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filterPrivacy="1" codeName="ThisWorkbook"/>
  <xr:revisionPtr revIDLastSave="0" documentId="8_{37B25C67-B68E-4FF7-8E73-A0E93886B638}" xr6:coauthVersionLast="47" xr6:coauthVersionMax="47" xr10:uidLastSave="{00000000-0000-0000-0000-000000000000}"/>
  <bookViews>
    <workbookView xWindow="38280" yWindow="-60" windowWidth="29040" windowHeight="15720" tabRatio="860" activeTab="1" xr2:uid="{00000000-000D-0000-FFFF-FFFF00000000}"/>
  </bookViews>
  <sheets>
    <sheet name="能力・生産・需給" sheetId="1" r:id="rId1"/>
    <sheet name="ETHYLENE-A1" sheetId="2" r:id="rId2"/>
    <sheet name="LDPE-A2" sheetId="3" r:id="rId3"/>
    <sheet name="HDPE-A3" sheetId="4" r:id="rId4"/>
    <sheet name="PE-A4" sheetId="5" r:id="rId5"/>
    <sheet name="PS-A5" sheetId="6" r:id="rId6"/>
    <sheet name="SM-A6" sheetId="7" r:id="rId7"/>
    <sheet name="PVC-A7" sheetId="8" r:id="rId8"/>
    <sheet name="VCM-A8" sheetId="9" r:id="rId9"/>
    <sheet name="EDC-A9" sheetId="10" r:id="rId10"/>
    <sheet name="EG-A10" sheetId="11" r:id="rId11"/>
    <sheet name="OTHER(C2)-A11" sheetId="12" r:id="rId12"/>
    <sheet name="PROPYLENE-A12" sheetId="13" r:id="rId13"/>
    <sheet name="PP-A13" sheetId="14" r:id="rId14"/>
    <sheet name="AN-A14" sheetId="15" r:id="rId15"/>
    <sheet name="OTHER(C3)-A15" sheetId="16" r:id="rId16"/>
    <sheet name="BENZENE-A16" sheetId="17" r:id="rId17"/>
    <sheet name="TOLUENE-A17" sheetId="18" r:id="rId18"/>
    <sheet name="XYLENES-A18" sheetId="19" r:id="rId19"/>
    <sheet name="PX-A19" sheetId="20" r:id="rId20"/>
    <sheet name="PTA-A20" sheetId="21" r:id="rId21"/>
    <sheet name="バランス" sheetId="22" r:id="rId22"/>
    <sheet name="ETHYLENE-B1" sheetId="23" r:id="rId23"/>
    <sheet name="LDPE-B2" sheetId="24" r:id="rId24"/>
    <sheet name="HDPE-B3" sheetId="25" r:id="rId25"/>
    <sheet name="PE-B4" sheetId="26" r:id="rId26"/>
    <sheet name="PS-B5" sheetId="27" r:id="rId27"/>
    <sheet name="SM-B6" sheetId="28" r:id="rId28"/>
    <sheet name="PVC-B7" sheetId="29" r:id="rId29"/>
    <sheet name="VCM-B8" sheetId="30" r:id="rId30"/>
    <sheet name="EDC-B9" sheetId="31" r:id="rId31"/>
    <sheet name="EG-B10" sheetId="32" r:id="rId32"/>
    <sheet name="OTHER(C2)-B11" sheetId="33" r:id="rId33"/>
    <sheet name="PROPYLENE-B12" sheetId="34" r:id="rId34"/>
    <sheet name="PP-B13" sheetId="35" r:id="rId35"/>
    <sheet name="AN-B14" sheetId="36" r:id="rId36"/>
    <sheet name="OTHER(C3)-B15" sheetId="37" r:id="rId37"/>
    <sheet name="BENZENE-B16" sheetId="38" r:id="rId38"/>
    <sheet name="TOLUENE-B17" sheetId="39" r:id="rId39"/>
    <sheet name="XYLENES-B18" sheetId="40" r:id="rId40"/>
    <sheet name="PX-B19" sheetId="41" r:id="rId41"/>
    <sheet name="PTA-B20" sheetId="42" r:id="rId42"/>
    <sheet name="エチレン・プロピレン換算" sheetId="43" r:id="rId43"/>
    <sheet name="ETHYLENE-C1" sheetId="44" r:id="rId44"/>
    <sheet name="LDPE-C2" sheetId="45" r:id="rId45"/>
    <sheet name="HDPE-C3" sheetId="46" r:id="rId46"/>
    <sheet name="SM-C4" sheetId="47" r:id="rId47"/>
    <sheet name="PVC-C5" sheetId="48" r:id="rId48"/>
    <sheet name="EG-C6" sheetId="49" r:id="rId49"/>
    <sheet name="PROPYLENE-C7" sheetId="50" r:id="rId50"/>
    <sheet name="PP-C8" sheetId="51" r:id="rId51"/>
    <sheet name="AN-C9" sheetId="52" r:id="rId52"/>
    <sheet name="換算バランス予想" sheetId="53" r:id="rId53"/>
    <sheet name="ETHYLENE-D1" sheetId="54" r:id="rId54"/>
    <sheet name="LDPE-D2" sheetId="55" r:id="rId55"/>
    <sheet name="HDPE-D3" sheetId="56" r:id="rId56"/>
    <sheet name="SM-D4" sheetId="57" r:id="rId57"/>
    <sheet name="PVC-D5" sheetId="58" r:id="rId58"/>
    <sheet name="EG-D6" sheetId="59" r:id="rId59"/>
    <sheet name="PROPYLENE-D7" sheetId="60" r:id="rId60"/>
    <sheet name="PP-D8" sheetId="61" r:id="rId61"/>
    <sheet name="AN-D9" sheetId="62" r:id="rId62"/>
    <sheet name="稼働率-E" sheetId="63" r:id="rId63"/>
    <sheet name="日本17" sheetId="64" r:id="rId64"/>
    <sheet name="日本23" sheetId="65" r:id="rId65"/>
    <sheet name="中国17" sheetId="66" r:id="rId66"/>
    <sheet name="中国23" sheetId="67" r:id="rId67"/>
    <sheet name="韓国17" sheetId="68" r:id="rId68"/>
    <sheet name="韓国23" sheetId="69" r:id="rId69"/>
    <sheet name="台湾17" sheetId="70" r:id="rId70"/>
    <sheet name="台湾23" sheetId="71" r:id="rId71"/>
    <sheet name="タイ17" sheetId="72" r:id="rId72"/>
    <sheet name="タイ23" sheetId="73" r:id="rId73"/>
    <sheet name="マレーシア17" sheetId="74" r:id="rId74"/>
    <sheet name="マレーシア23" sheetId="75" r:id="rId75"/>
    <sheet name="インド17" sheetId="76" r:id="rId76"/>
    <sheet name="インド23" sheetId="77" r:id="rId77"/>
    <sheet name="フィリピン17" sheetId="78" r:id="rId78"/>
    <sheet name="フィリピン23" sheetId="79" r:id="rId79"/>
    <sheet name="ベトナム17" sheetId="80" r:id="rId80"/>
    <sheet name="ベトナム23" sheetId="81" r:id="rId81"/>
    <sheet name="オーストラリア17" sheetId="82" r:id="rId82"/>
    <sheet name="オーストラリア23" sheetId="83" r:id="rId83"/>
    <sheet name="シンガポール17" sheetId="84" r:id="rId84"/>
    <sheet name="シンガポール23" sheetId="85" r:id="rId85"/>
    <sheet name="インドネシア17" sheetId="86" r:id="rId86"/>
    <sheet name="インドネシア23" sheetId="87" r:id="rId87"/>
    <sheet name="欧州17" sheetId="88" r:id="rId88"/>
    <sheet name="欧州23" sheetId="89" r:id="rId89"/>
    <sheet name="中東17" sheetId="90" r:id="rId90"/>
    <sheet name="中東23" sheetId="91" r:id="rId91"/>
    <sheet name="アフリカ17" sheetId="92" r:id="rId92"/>
    <sheet name="アフリカ23" sheetId="93" r:id="rId93"/>
    <sheet name="CIS17" sheetId="94" r:id="rId94"/>
    <sheet name="CIS23" sheetId="95" r:id="rId95"/>
    <sheet name="米国17" sheetId="96" r:id="rId96"/>
    <sheet name="米国23" sheetId="97" r:id="rId97"/>
    <sheet name="カナダ17" sheetId="98" r:id="rId98"/>
    <sheet name="カナダ23" sheetId="99" r:id="rId99"/>
    <sheet name="メキシコ17" sheetId="100" r:id="rId100"/>
    <sheet name="メキシコ23" sheetId="101" r:id="rId101"/>
    <sheet name="ブラジル17" sheetId="102" r:id="rId102"/>
    <sheet name="ブラジル23" sheetId="103" r:id="rId103"/>
  </sheets>
  <definedNames>
    <definedName name="_xlnm._FilterDatabase" localSheetId="14" hidden="1">'AN-A14'!$A$6:$T$93</definedName>
    <definedName name="_xlnm._FilterDatabase" localSheetId="16" hidden="1">'BENZENE-A16'!$A$6:$T$93</definedName>
    <definedName name="_xlnm._FilterDatabase" localSheetId="9" hidden="1">'EDC-A9'!$D$1:$D$199</definedName>
    <definedName name="_xlnm._FilterDatabase" localSheetId="10" hidden="1">'EG-A10'!$A$6:$S$93</definedName>
    <definedName name="_xlnm._FilterDatabase" localSheetId="1" hidden="1">'ETHYLENE-A1'!$A$6:$S$93</definedName>
    <definedName name="_xlnm._FilterDatabase" localSheetId="3" hidden="1">'HDPE-A3'!$A$6:$S$93</definedName>
    <definedName name="_xlnm._FilterDatabase" localSheetId="2" hidden="1">'LDPE-A2'!$A$6:$T$93</definedName>
    <definedName name="_xlnm._FilterDatabase" localSheetId="11" hidden="1">'OTHER(C2)-A11'!$A$6:$T$93</definedName>
    <definedName name="_xlnm._FilterDatabase" localSheetId="15" hidden="1">'OTHER(C3)-A15'!$A$6:$T$93</definedName>
    <definedName name="_xlnm._FilterDatabase" localSheetId="4" hidden="1">'PE-A4'!$D$1:$D$199</definedName>
    <definedName name="_xlnm._FilterDatabase" localSheetId="13" hidden="1">'PP-A13'!$A$6:$T$93</definedName>
    <definedName name="_xlnm._FilterDatabase" localSheetId="12" hidden="1">'PROPYLENE-A12'!$A$6:$T$93</definedName>
    <definedName name="_xlnm._FilterDatabase" localSheetId="20" hidden="1">'PTA-A20'!$A$6:$T$93</definedName>
    <definedName name="_xlnm._FilterDatabase" localSheetId="7" hidden="1">'PVC-A7'!$A$6:$T$93</definedName>
    <definedName name="_xlnm._FilterDatabase" localSheetId="19" hidden="1">'PX-A19'!$A$6:$T$93</definedName>
    <definedName name="_xlnm._FilterDatabase" localSheetId="6" hidden="1">'SM-A6'!$A$6:$X$93</definedName>
    <definedName name="_xlnm._FilterDatabase" localSheetId="17" hidden="1">'TOLUENE-A17'!$A$6:$T$93</definedName>
    <definedName name="_xlnm._FilterDatabase" localSheetId="8" hidden="1">'VCM-A8'!$D$1:$D$199</definedName>
    <definedName name="_xlnm._FilterDatabase" localSheetId="18" hidden="1">'XYLENES-A18'!$A$6:$T$93</definedName>
    <definedName name="_xlnm.Print_Area" localSheetId="14">'AN-A14'!$A$2:$S$98</definedName>
    <definedName name="_xlnm.Print_Area" localSheetId="35">'AN-B14'!$B$2:$Q$76</definedName>
    <definedName name="_xlnm.Print_Area" localSheetId="51">'AN-C9'!$A$2:$S$98</definedName>
    <definedName name="_xlnm.Print_Area" localSheetId="61">'AN-D9'!$B$2:$Q$40</definedName>
    <definedName name="_xlnm.Print_Area" localSheetId="16">'BENZENE-A16'!$A$2:$S$98</definedName>
    <definedName name="_xlnm.Print_Area" localSheetId="37">'BENZENE-B16'!$B$2:$Q$76</definedName>
    <definedName name="_xlnm.Print_Area" localSheetId="93">'CIS17'!$A$1:$Q$22</definedName>
    <definedName name="_xlnm.Print_Area" localSheetId="94">'CIS23'!$A$1:$Q$22</definedName>
    <definedName name="_xlnm.Print_Area" localSheetId="9">'EDC-A9'!$A$2:$S$98</definedName>
    <definedName name="_xlnm.Print_Area" localSheetId="30">'EDC-B9'!$B$2:$Q$76</definedName>
    <definedName name="_xlnm.Print_Area" localSheetId="10">'EG-A10'!$A$2:$S$98</definedName>
    <definedName name="_xlnm.Print_Area" localSheetId="31">'EG-B10'!$B$2:$Q$76</definedName>
    <definedName name="_xlnm.Print_Area" localSheetId="48">'EG-C6'!$A$2:$S$98</definedName>
    <definedName name="_xlnm.Print_Area" localSheetId="58">'EG-D6'!$B$2:$Q$40</definedName>
    <definedName name="_xlnm.Print_Area" localSheetId="1">'ETHYLENE-A1'!$A$2:$S$98</definedName>
    <definedName name="_xlnm.Print_Area" localSheetId="22">'ETHYLENE-B1'!$B$2:$Q$76</definedName>
    <definedName name="_xlnm.Print_Area" localSheetId="43">'ETHYLENE-C1'!$A$2:$S$98</definedName>
    <definedName name="_xlnm.Print_Area" localSheetId="53">'ETHYLENE-D1'!$B$2:$Q$40</definedName>
    <definedName name="_xlnm.Print_Area" localSheetId="3">'HDPE-A3'!$A$2:$S$98</definedName>
    <definedName name="_xlnm.Print_Area" localSheetId="24">'HDPE-B3'!$B$2:$Q$76</definedName>
    <definedName name="_xlnm.Print_Area" localSheetId="45">'HDPE-C3'!$A$2:$S$98</definedName>
    <definedName name="_xlnm.Print_Area" localSheetId="55">'HDPE-D3'!$B$2:$Q$40</definedName>
    <definedName name="_xlnm.Print_Area" localSheetId="2">'LDPE-A2'!$A$2:$S$98</definedName>
    <definedName name="_xlnm.Print_Area" localSheetId="23">'LDPE-B2'!$B$2:$Q$76</definedName>
    <definedName name="_xlnm.Print_Area" localSheetId="44">'LDPE-C2'!$A$2:$S$98</definedName>
    <definedName name="_xlnm.Print_Area" localSheetId="54">'LDPE-D2'!$B$2:$Q$40</definedName>
    <definedName name="_xlnm.Print_Area" localSheetId="11">'OTHER(C2)-A11'!$A$2:$S$98</definedName>
    <definedName name="_xlnm.Print_Area" localSheetId="32">'OTHER(C2)-B11'!$B$2:$Q$76</definedName>
    <definedName name="_xlnm.Print_Area" localSheetId="15">'OTHER(C3)-A15'!$A$2:$S$98</definedName>
    <definedName name="_xlnm.Print_Area" localSheetId="36">'OTHER(C3)-B15'!$B$2:$Q$76</definedName>
    <definedName name="_xlnm.Print_Area" localSheetId="4">'PE-A4'!$A$2:$S$98</definedName>
    <definedName name="_xlnm.Print_Area" localSheetId="25">'PE-B4'!$B$2:$Q$76</definedName>
    <definedName name="_xlnm.Print_Area" localSheetId="13">'PP-A13'!$A$2:$S$98</definedName>
    <definedName name="_xlnm.Print_Area" localSheetId="34">'PP-B13'!$B$2:$Q$76</definedName>
    <definedName name="_xlnm.Print_Area" localSheetId="50">'PP-C8'!$A$2:$S$98</definedName>
    <definedName name="_xlnm.Print_Area" localSheetId="60">'PP-D8'!$B$2:$Q$40</definedName>
    <definedName name="_xlnm.Print_Area" localSheetId="12">'PROPYLENE-A12'!$A$2:$S$98</definedName>
    <definedName name="_xlnm.Print_Area" localSheetId="33">'PROPYLENE-B12'!$B$2:$Q$76</definedName>
    <definedName name="_xlnm.Print_Area" localSheetId="49">'PROPYLENE-C7'!$A$2:$S$98</definedName>
    <definedName name="_xlnm.Print_Area" localSheetId="59">'PROPYLENE-D7'!$B$2:$Q$40</definedName>
    <definedName name="_xlnm.Print_Area" localSheetId="5">'PS-A5'!$A$2:$S$98</definedName>
    <definedName name="_xlnm.Print_Area" localSheetId="26">'PS-B5'!$B$2:$Q$76</definedName>
    <definedName name="_xlnm.Print_Area" localSheetId="20">'PTA-A20'!$A$2:$S$98</definedName>
    <definedName name="_xlnm.Print_Area" localSheetId="41">'PTA-B20'!$B$2:$Q$76</definedName>
    <definedName name="_xlnm.Print_Area" localSheetId="7">'PVC-A7'!$A$2:$S$98</definedName>
    <definedName name="_xlnm.Print_Area" localSheetId="28">'PVC-B7'!$B$2:$Q$76</definedName>
    <definedName name="_xlnm.Print_Area" localSheetId="47">'PVC-C5'!$A$2:$S$98</definedName>
    <definedName name="_xlnm.Print_Area" localSheetId="57">'PVC-D5'!$B$2:$Q$40</definedName>
    <definedName name="_xlnm.Print_Area" localSheetId="19">'PX-A19'!$A$2:$S$98</definedName>
    <definedName name="_xlnm.Print_Area" localSheetId="40">'PX-B19'!$B$2:$Q$76</definedName>
    <definedName name="_xlnm.Print_Area" localSheetId="6">'SM-A6'!$A$2:$S$98</definedName>
    <definedName name="_xlnm.Print_Area" localSheetId="27">'SM-B6'!$B$2:$Q$76</definedName>
    <definedName name="_xlnm.Print_Area" localSheetId="46">'SM-C4'!$A$2:$S$98</definedName>
    <definedName name="_xlnm.Print_Area" localSheetId="56">'SM-D4'!$B$2:$Q$40</definedName>
    <definedName name="_xlnm.Print_Area" localSheetId="17">'TOLUENE-A17'!$A$2:$S$98</definedName>
    <definedName name="_xlnm.Print_Area" localSheetId="38">'TOLUENE-B17'!$B$2:$Q$76</definedName>
    <definedName name="_xlnm.Print_Area" localSheetId="8">'VCM-A8'!$A$2:$S$98</definedName>
    <definedName name="_xlnm.Print_Area" localSheetId="29">'VCM-B8'!$B$2:$Q$76</definedName>
    <definedName name="_xlnm.Print_Area" localSheetId="18">'XYLENES-A18'!$A$2:$S$98</definedName>
    <definedName name="_xlnm.Print_Area" localSheetId="39">'XYLENES-B18'!$B$2:$Q$76</definedName>
    <definedName name="_xlnm.Print_Area" localSheetId="91">アフリカ17!$A$1:$Q$22</definedName>
    <definedName name="_xlnm.Print_Area" localSheetId="92">アフリカ23!$A$1:$Q$22</definedName>
    <definedName name="_xlnm.Print_Area" localSheetId="75">インド17!$A$1:$Q$22</definedName>
    <definedName name="_xlnm.Print_Area" localSheetId="76">インド23!$A$1:$Q$22</definedName>
    <definedName name="_xlnm.Print_Area" localSheetId="85">インドネシア17!$A$1:$Q$22</definedName>
    <definedName name="_xlnm.Print_Area" localSheetId="86">インドネシア23!$A$1:$Q$22</definedName>
    <definedName name="_xlnm.Print_Area" localSheetId="42">エチレン・プロピレン換算!$A$1:$P$72</definedName>
    <definedName name="_xlnm.Print_Area" localSheetId="81">オーストラリア17!$A$1:$Q$22</definedName>
    <definedName name="_xlnm.Print_Area" localSheetId="82">オーストラリア23!$A$1:$Q$22</definedName>
    <definedName name="_xlnm.Print_Area" localSheetId="97">カナダ17!$A$1:$Q$22</definedName>
    <definedName name="_xlnm.Print_Area" localSheetId="98">カナダ23!$A$1:$Q$22</definedName>
    <definedName name="_xlnm.Print_Area" localSheetId="83">シンガポール17!$A$1:$Q$22</definedName>
    <definedName name="_xlnm.Print_Area" localSheetId="84">シンガポール23!$A$1:$Q$22</definedName>
    <definedName name="_xlnm.Print_Area" localSheetId="71">タイ17!$A$1:$Q$22</definedName>
    <definedName name="_xlnm.Print_Area" localSheetId="72">タイ23!$A$1:$Q$22</definedName>
    <definedName name="_xlnm.Print_Area" localSheetId="21">バランス!$A$1:$P$72</definedName>
    <definedName name="_xlnm.Print_Area" localSheetId="77">フィリピン17!$A$1:$Q$22</definedName>
    <definedName name="_xlnm.Print_Area" localSheetId="78">フィリピン23!$A$1:$Q$22</definedName>
    <definedName name="_xlnm.Print_Area" localSheetId="101">ブラジル17!$A$1:$Q$22</definedName>
    <definedName name="_xlnm.Print_Area" localSheetId="102">ブラジル23!$A$1:$Q$22</definedName>
    <definedName name="_xlnm.Print_Area" localSheetId="79">ベトナム17!$A$1:$Q$22</definedName>
    <definedName name="_xlnm.Print_Area" localSheetId="80">ベトナム23!$A$1:$Q$22</definedName>
    <definedName name="_xlnm.Print_Area" localSheetId="73">マレーシア17!$A$1:$Q$22</definedName>
    <definedName name="_xlnm.Print_Area" localSheetId="74">マレーシア23!$A$1:$Q$22</definedName>
    <definedName name="_xlnm.Print_Area" localSheetId="99">メキシコ17!$A$1:$Q$22</definedName>
    <definedName name="_xlnm.Print_Area" localSheetId="100">メキシコ23!$A$1:$Q$22</definedName>
    <definedName name="_xlnm.Print_Area" localSheetId="87">欧州17!$A$1:$Q$22</definedName>
    <definedName name="_xlnm.Print_Area" localSheetId="88">欧州23!$A$1:$Q$22</definedName>
    <definedName name="_xlnm.Print_Area" localSheetId="62">'稼働率-E'!$C$2:$Q$27</definedName>
    <definedName name="_xlnm.Print_Area" localSheetId="52">換算バランス予想!$A$1:$P$72</definedName>
    <definedName name="_xlnm.Print_Area" localSheetId="67">韓国17!$A$1:$Q$22</definedName>
    <definedName name="_xlnm.Print_Area" localSheetId="68">韓国23!$A$1:$Q$22</definedName>
    <definedName name="_xlnm.Print_Area" localSheetId="69">台湾17!$A$1:$Q$22</definedName>
    <definedName name="_xlnm.Print_Area" localSheetId="70">台湾23!$A$1:$Q$22</definedName>
    <definedName name="_xlnm.Print_Area" localSheetId="65">中国17!$A$1:$Q$25</definedName>
    <definedName name="_xlnm.Print_Area" localSheetId="66">中国23!$A$1:$Q$25</definedName>
    <definedName name="_xlnm.Print_Area" localSheetId="89">中東17!$A$1:$Q$22</definedName>
    <definedName name="_xlnm.Print_Area" localSheetId="90">中東23!$A$1:$Q$22</definedName>
    <definedName name="_xlnm.Print_Area" localSheetId="63">日本17!$A$1:$Q$22</definedName>
    <definedName name="_xlnm.Print_Area" localSheetId="64">日本23!$A$1:$Q$22</definedName>
    <definedName name="_xlnm.Print_Area" localSheetId="0">能力・生産・需給!$A$1:$P$91</definedName>
    <definedName name="_xlnm.Print_Area" localSheetId="95">米国17!$A$1:$Q$22</definedName>
    <definedName name="_xlnm.Print_Area" localSheetId="96">米国23!$A$1:$Q$22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" i="2" l="1"/>
  <c r="N48" i="2" l="1"/>
  <c r="O48" i="2"/>
  <c r="P48" i="2"/>
  <c r="P22" i="77" l="1"/>
  <c r="D22" i="77"/>
  <c r="O22" i="77" s="1"/>
  <c r="C22" i="77"/>
  <c r="P22" i="76"/>
  <c r="D22" i="76"/>
  <c r="C22" i="76"/>
  <c r="K22" i="76" s="1"/>
  <c r="P22" i="81"/>
  <c r="D22" i="81"/>
  <c r="C22" i="81"/>
  <c r="P22" i="80"/>
  <c r="D22" i="80"/>
  <c r="C22" i="80"/>
  <c r="K22" i="80" s="1"/>
  <c r="P22" i="79"/>
  <c r="D22" i="79"/>
  <c r="C22" i="79"/>
  <c r="P22" i="78"/>
  <c r="D22" i="78"/>
  <c r="C22" i="78"/>
  <c r="P21" i="77"/>
  <c r="D21" i="77"/>
  <c r="C21" i="77"/>
  <c r="P21" i="76"/>
  <c r="D21" i="76"/>
  <c r="C21" i="76"/>
  <c r="P21" i="81"/>
  <c r="D21" i="81"/>
  <c r="C21" i="81"/>
  <c r="P21" i="80"/>
  <c r="D21" i="80"/>
  <c r="C21" i="80"/>
  <c r="P21" i="79"/>
  <c r="D21" i="79"/>
  <c r="C21" i="79"/>
  <c r="P21" i="78"/>
  <c r="D21" i="78"/>
  <c r="C21" i="78"/>
  <c r="P20" i="77"/>
  <c r="D20" i="77"/>
  <c r="C20" i="77"/>
  <c r="P20" i="76"/>
  <c r="D20" i="76"/>
  <c r="C20" i="76"/>
  <c r="P20" i="81"/>
  <c r="D20" i="81"/>
  <c r="I20" i="81" s="1"/>
  <c r="C20" i="81"/>
  <c r="P20" i="80"/>
  <c r="D20" i="80"/>
  <c r="C20" i="80"/>
  <c r="P20" i="79"/>
  <c r="D20" i="79"/>
  <c r="C20" i="79"/>
  <c r="P20" i="78"/>
  <c r="D20" i="78"/>
  <c r="C20" i="78"/>
  <c r="P19" i="77"/>
  <c r="D19" i="77"/>
  <c r="I19" i="77" s="1"/>
  <c r="C19" i="77"/>
  <c r="P19" i="76"/>
  <c r="D19" i="76"/>
  <c r="C19" i="76"/>
  <c r="P19" i="81"/>
  <c r="D19" i="81"/>
  <c r="C19" i="81"/>
  <c r="P19" i="80"/>
  <c r="D19" i="80"/>
  <c r="C19" i="80"/>
  <c r="P19" i="79"/>
  <c r="D19" i="79"/>
  <c r="K19" i="79" s="1"/>
  <c r="C19" i="79"/>
  <c r="P19" i="78"/>
  <c r="D19" i="78"/>
  <c r="C19" i="78"/>
  <c r="P18" i="77"/>
  <c r="D18" i="77"/>
  <c r="C18" i="77"/>
  <c r="P18" i="76"/>
  <c r="D18" i="76"/>
  <c r="C18" i="76"/>
  <c r="K18" i="76" s="1"/>
  <c r="P18" i="81"/>
  <c r="D18" i="81"/>
  <c r="O18" i="81" s="1"/>
  <c r="Q18" i="81" s="1"/>
  <c r="C18" i="81"/>
  <c r="P18" i="80"/>
  <c r="D18" i="80"/>
  <c r="C18" i="80"/>
  <c r="K18" i="80" s="1"/>
  <c r="P18" i="79"/>
  <c r="D18" i="79"/>
  <c r="C18" i="79"/>
  <c r="P18" i="78"/>
  <c r="D18" i="78"/>
  <c r="C18" i="78"/>
  <c r="P16" i="77"/>
  <c r="D16" i="77"/>
  <c r="I16" i="77" s="1"/>
  <c r="C16" i="77"/>
  <c r="P16" i="76"/>
  <c r="D16" i="76"/>
  <c r="C16" i="76"/>
  <c r="P16" i="81"/>
  <c r="D16" i="81"/>
  <c r="C16" i="81"/>
  <c r="P16" i="80"/>
  <c r="D16" i="80"/>
  <c r="C16" i="80"/>
  <c r="P16" i="79"/>
  <c r="D16" i="79"/>
  <c r="O16" i="79" s="1"/>
  <c r="Q16" i="79" s="1"/>
  <c r="C16" i="79"/>
  <c r="P16" i="78"/>
  <c r="D16" i="78"/>
  <c r="C16" i="78"/>
  <c r="P15" i="77"/>
  <c r="D15" i="77"/>
  <c r="C15" i="77"/>
  <c r="P15" i="76"/>
  <c r="D15" i="76"/>
  <c r="C15" i="76"/>
  <c r="P15" i="81"/>
  <c r="D15" i="81"/>
  <c r="O15" i="81" s="1"/>
  <c r="Q15" i="81" s="1"/>
  <c r="C15" i="81"/>
  <c r="P15" i="80"/>
  <c r="D15" i="80"/>
  <c r="C15" i="80"/>
  <c r="K15" i="80" s="1"/>
  <c r="P15" i="79"/>
  <c r="D15" i="79"/>
  <c r="C15" i="79"/>
  <c r="P15" i="78"/>
  <c r="D15" i="78"/>
  <c r="C15" i="78"/>
  <c r="P14" i="77"/>
  <c r="D14" i="77"/>
  <c r="K14" i="77" s="1"/>
  <c r="C14" i="77"/>
  <c r="C17" i="77" s="1"/>
  <c r="P14" i="76"/>
  <c r="D14" i="76"/>
  <c r="C14" i="76"/>
  <c r="K14" i="76" s="1"/>
  <c r="P14" i="81"/>
  <c r="D14" i="81"/>
  <c r="C14" i="81"/>
  <c r="P14" i="80"/>
  <c r="D14" i="80"/>
  <c r="C14" i="80"/>
  <c r="P14" i="79"/>
  <c r="D14" i="79"/>
  <c r="O14" i="79" s="1"/>
  <c r="Q14" i="79" s="1"/>
  <c r="C14" i="79"/>
  <c r="P14" i="78"/>
  <c r="D14" i="78"/>
  <c r="C14" i="78"/>
  <c r="P13" i="77"/>
  <c r="D13" i="77"/>
  <c r="C13" i="77"/>
  <c r="P13" i="76"/>
  <c r="D13" i="76"/>
  <c r="C13" i="76"/>
  <c r="P13" i="81"/>
  <c r="D13" i="81"/>
  <c r="I13" i="81" s="1"/>
  <c r="C13" i="81"/>
  <c r="P13" i="80"/>
  <c r="D13" i="80"/>
  <c r="O13" i="80" s="1"/>
  <c r="C13" i="80"/>
  <c r="P13" i="79"/>
  <c r="D13" i="79"/>
  <c r="C13" i="79"/>
  <c r="P13" i="78"/>
  <c r="D13" i="78"/>
  <c r="C13" i="78"/>
  <c r="P11" i="77"/>
  <c r="D11" i="77"/>
  <c r="K11" i="77" s="1"/>
  <c r="C11" i="77"/>
  <c r="P11" i="76"/>
  <c r="D11" i="76"/>
  <c r="I11" i="76" s="1"/>
  <c r="C11" i="76"/>
  <c r="K11" i="76" s="1"/>
  <c r="P11" i="81"/>
  <c r="D11" i="81"/>
  <c r="C11" i="81"/>
  <c r="P11" i="80"/>
  <c r="D11" i="80"/>
  <c r="C11" i="80"/>
  <c r="P11" i="79"/>
  <c r="D11" i="79"/>
  <c r="G11" i="79" s="1"/>
  <c r="H11" i="79" s="1"/>
  <c r="C11" i="79"/>
  <c r="P11" i="78"/>
  <c r="D11" i="78"/>
  <c r="C11" i="78"/>
  <c r="P10" i="77"/>
  <c r="D10" i="77"/>
  <c r="C10" i="77"/>
  <c r="P10" i="76"/>
  <c r="D10" i="76"/>
  <c r="C10" i="76"/>
  <c r="P10" i="81"/>
  <c r="D10" i="81"/>
  <c r="I10" i="81" s="1"/>
  <c r="C10" i="81"/>
  <c r="P10" i="80"/>
  <c r="D10" i="80"/>
  <c r="C10" i="80"/>
  <c r="P10" i="79"/>
  <c r="D10" i="79"/>
  <c r="C10" i="79"/>
  <c r="P10" i="78"/>
  <c r="D10" i="78"/>
  <c r="C10" i="78"/>
  <c r="P9" i="77"/>
  <c r="D9" i="77"/>
  <c r="I9" i="77" s="1"/>
  <c r="C9" i="77"/>
  <c r="P9" i="76"/>
  <c r="D9" i="76"/>
  <c r="I9" i="76" s="1"/>
  <c r="C9" i="76"/>
  <c r="P9" i="81"/>
  <c r="D9" i="81"/>
  <c r="I9" i="81" s="1"/>
  <c r="C9" i="81"/>
  <c r="P9" i="80"/>
  <c r="D9" i="80"/>
  <c r="I9" i="80" s="1"/>
  <c r="C9" i="80"/>
  <c r="K9" i="80" s="1"/>
  <c r="P9" i="79"/>
  <c r="D9" i="79"/>
  <c r="G9" i="79" s="1"/>
  <c r="H9" i="79" s="1"/>
  <c r="C9" i="79"/>
  <c r="P9" i="78"/>
  <c r="D9" i="78"/>
  <c r="C9" i="78"/>
  <c r="P8" i="77"/>
  <c r="D8" i="77"/>
  <c r="I8" i="77" s="1"/>
  <c r="C8" i="77"/>
  <c r="P8" i="76"/>
  <c r="D8" i="76"/>
  <c r="C8" i="76"/>
  <c r="K8" i="76" s="1"/>
  <c r="P8" i="81"/>
  <c r="D8" i="81"/>
  <c r="O8" i="81" s="1"/>
  <c r="Q8" i="81" s="1"/>
  <c r="C8" i="81"/>
  <c r="P8" i="80"/>
  <c r="D8" i="80"/>
  <c r="C8" i="80"/>
  <c r="K8" i="80" s="1"/>
  <c r="P8" i="79"/>
  <c r="D8" i="79"/>
  <c r="C8" i="79"/>
  <c r="P8" i="78"/>
  <c r="D8" i="78"/>
  <c r="C8" i="78"/>
  <c r="P7" i="77"/>
  <c r="D7" i="77"/>
  <c r="I7" i="77" s="1"/>
  <c r="C7" i="77"/>
  <c r="P7" i="76"/>
  <c r="D7" i="76"/>
  <c r="I7" i="76" s="1"/>
  <c r="C7" i="76"/>
  <c r="K7" i="76" s="1"/>
  <c r="P7" i="81"/>
  <c r="D7" i="81"/>
  <c r="K7" i="81" s="1"/>
  <c r="C7" i="81"/>
  <c r="P7" i="80"/>
  <c r="D7" i="80"/>
  <c r="C7" i="80"/>
  <c r="P7" i="79"/>
  <c r="D7" i="79"/>
  <c r="C7" i="79"/>
  <c r="P7" i="78"/>
  <c r="D7" i="78"/>
  <c r="C7" i="78"/>
  <c r="P6" i="77"/>
  <c r="D6" i="77"/>
  <c r="I6" i="77" s="1"/>
  <c r="C6" i="77"/>
  <c r="P6" i="76"/>
  <c r="D6" i="76"/>
  <c r="C6" i="76"/>
  <c r="P6" i="81"/>
  <c r="D6" i="81"/>
  <c r="I6" i="81" s="1"/>
  <c r="C6" i="81"/>
  <c r="P6" i="80"/>
  <c r="D6" i="80"/>
  <c r="I6" i="80" s="1"/>
  <c r="C6" i="80"/>
  <c r="P6" i="79"/>
  <c r="D6" i="79"/>
  <c r="C6" i="79"/>
  <c r="P6" i="78"/>
  <c r="D6" i="78"/>
  <c r="C6" i="78"/>
  <c r="P5" i="77"/>
  <c r="D5" i="77"/>
  <c r="I5" i="77" s="1"/>
  <c r="C5" i="77"/>
  <c r="P5" i="76"/>
  <c r="D5" i="76"/>
  <c r="I5" i="76" s="1"/>
  <c r="C5" i="76"/>
  <c r="P5" i="81"/>
  <c r="D5" i="81"/>
  <c r="C5" i="81"/>
  <c r="P5" i="80"/>
  <c r="D5" i="80"/>
  <c r="C5" i="80"/>
  <c r="P5" i="79"/>
  <c r="D5" i="79"/>
  <c r="I5" i="79" s="1"/>
  <c r="C5" i="79"/>
  <c r="P5" i="78"/>
  <c r="D5" i="78"/>
  <c r="C5" i="78"/>
  <c r="I22" i="77"/>
  <c r="K22" i="77"/>
  <c r="I20" i="77"/>
  <c r="O18" i="77"/>
  <c r="Q18" i="77" s="1"/>
  <c r="I18" i="77"/>
  <c r="K18" i="77"/>
  <c r="F17" i="77"/>
  <c r="E17" i="77"/>
  <c r="O15" i="77"/>
  <c r="Q15" i="77" s="1"/>
  <c r="I15" i="77"/>
  <c r="K15" i="77"/>
  <c r="I13" i="77"/>
  <c r="F12" i="77"/>
  <c r="E12" i="77"/>
  <c r="I10" i="77"/>
  <c r="O8" i="77"/>
  <c r="O22" i="76"/>
  <c r="I22" i="76"/>
  <c r="G21" i="76"/>
  <c r="H21" i="76" s="1"/>
  <c r="I20" i="76"/>
  <c r="I19" i="76"/>
  <c r="O19" i="76"/>
  <c r="Q19" i="76" s="1"/>
  <c r="O18" i="76"/>
  <c r="I18" i="76"/>
  <c r="F17" i="76"/>
  <c r="E17" i="76"/>
  <c r="D17" i="76"/>
  <c r="I16" i="76"/>
  <c r="O16" i="76"/>
  <c r="Q16" i="76" s="1"/>
  <c r="O15" i="76"/>
  <c r="I15" i="76"/>
  <c r="K15" i="76"/>
  <c r="O14" i="76"/>
  <c r="Q14" i="76" s="1"/>
  <c r="I14" i="76"/>
  <c r="G14" i="76"/>
  <c r="H14" i="76" s="1"/>
  <c r="I13" i="76"/>
  <c r="F12" i="76"/>
  <c r="E12" i="76"/>
  <c r="O11" i="76"/>
  <c r="I10" i="76"/>
  <c r="O8" i="76"/>
  <c r="I8" i="76"/>
  <c r="O7" i="76"/>
  <c r="Q7" i="76" s="1"/>
  <c r="I6" i="76"/>
  <c r="O5" i="76"/>
  <c r="O21" i="81"/>
  <c r="Q21" i="81" s="1"/>
  <c r="I21" i="81"/>
  <c r="G21" i="81"/>
  <c r="H21" i="81" s="1"/>
  <c r="I19" i="81"/>
  <c r="O19" i="81"/>
  <c r="Q19" i="81" s="1"/>
  <c r="F17" i="81"/>
  <c r="E17" i="81"/>
  <c r="I16" i="81"/>
  <c r="O16" i="81"/>
  <c r="Q16" i="81" s="1"/>
  <c r="O14" i="81"/>
  <c r="Q14" i="81" s="1"/>
  <c r="K14" i="81"/>
  <c r="I14" i="81"/>
  <c r="G14" i="81"/>
  <c r="H14" i="81" s="1"/>
  <c r="C17" i="81"/>
  <c r="F12" i="81"/>
  <c r="E12" i="81"/>
  <c r="O11" i="81"/>
  <c r="Q11" i="81" s="1"/>
  <c r="K11" i="81"/>
  <c r="I11" i="81"/>
  <c r="G11" i="81"/>
  <c r="H11" i="81" s="1"/>
  <c r="O9" i="81"/>
  <c r="Q9" i="81" s="1"/>
  <c r="O7" i="81"/>
  <c r="G7" i="81"/>
  <c r="H7" i="81" s="1"/>
  <c r="I5" i="81"/>
  <c r="O5" i="81"/>
  <c r="O21" i="80"/>
  <c r="I21" i="80"/>
  <c r="G21" i="80"/>
  <c r="H21" i="80" s="1"/>
  <c r="K21" i="80"/>
  <c r="O20" i="80"/>
  <c r="Q20" i="80" s="1"/>
  <c r="I20" i="80"/>
  <c r="K19" i="80"/>
  <c r="I19" i="80"/>
  <c r="G19" i="80"/>
  <c r="H19" i="80" s="1"/>
  <c r="O19" i="80"/>
  <c r="F17" i="80"/>
  <c r="E17" i="80"/>
  <c r="K16" i="80"/>
  <c r="I16" i="80"/>
  <c r="G16" i="80"/>
  <c r="H16" i="80" s="1"/>
  <c r="O16" i="80"/>
  <c r="O14" i="80"/>
  <c r="I14" i="80"/>
  <c r="G14" i="80"/>
  <c r="H14" i="80" s="1"/>
  <c r="F12" i="80"/>
  <c r="E12" i="80"/>
  <c r="I11" i="80"/>
  <c r="G11" i="80"/>
  <c r="H11" i="80" s="1"/>
  <c r="K11" i="80"/>
  <c r="O10" i="80"/>
  <c r="Q10" i="80" s="1"/>
  <c r="I10" i="80"/>
  <c r="G9" i="80"/>
  <c r="H9" i="80" s="1"/>
  <c r="O9" i="80"/>
  <c r="G7" i="80"/>
  <c r="H7" i="80" s="1"/>
  <c r="O6" i="80"/>
  <c r="Q6" i="80" s="1"/>
  <c r="O5" i="80"/>
  <c r="G5" i="80"/>
  <c r="H5" i="80" s="1"/>
  <c r="O22" i="79"/>
  <c r="Q22" i="79" s="1"/>
  <c r="I20" i="79"/>
  <c r="O18" i="79"/>
  <c r="Q18" i="79" s="1"/>
  <c r="K18" i="79"/>
  <c r="F17" i="79"/>
  <c r="E17" i="79"/>
  <c r="O15" i="79"/>
  <c r="Q15" i="79" s="1"/>
  <c r="K15" i="79"/>
  <c r="C17" i="79"/>
  <c r="I13" i="79"/>
  <c r="F12" i="79"/>
  <c r="E12" i="79"/>
  <c r="I10" i="79"/>
  <c r="O8" i="79"/>
  <c r="Q8" i="79" s="1"/>
  <c r="I6" i="79"/>
  <c r="G14" i="79" l="1"/>
  <c r="H14" i="79" s="1"/>
  <c r="K15" i="81"/>
  <c r="J7" i="80"/>
  <c r="Q13" i="80"/>
  <c r="G16" i="79"/>
  <c r="H16" i="79" s="1"/>
  <c r="K21" i="79"/>
  <c r="K21" i="77"/>
  <c r="K22" i="81"/>
  <c r="Q11" i="76"/>
  <c r="I9" i="79"/>
  <c r="K5" i="80"/>
  <c r="K7" i="80"/>
  <c r="Q5" i="76"/>
  <c r="K8" i="81"/>
  <c r="Q22" i="77"/>
  <c r="K22" i="79"/>
  <c r="K21" i="81"/>
  <c r="O19" i="79"/>
  <c r="Q19" i="79" s="1"/>
  <c r="Q16" i="80"/>
  <c r="D17" i="77"/>
  <c r="K17" i="77" s="1"/>
  <c r="I13" i="80"/>
  <c r="J11" i="79"/>
  <c r="G11" i="76"/>
  <c r="H11" i="76" s="1"/>
  <c r="O11" i="77"/>
  <c r="Q11" i="77" s="1"/>
  <c r="Q9" i="80"/>
  <c r="O9" i="76"/>
  <c r="Q9" i="76" s="1"/>
  <c r="C12" i="80"/>
  <c r="Q8" i="77"/>
  <c r="K8" i="79"/>
  <c r="K8" i="77"/>
  <c r="C12" i="77"/>
  <c r="Q7" i="81"/>
  <c r="I7" i="80"/>
  <c r="I7" i="81"/>
  <c r="G7" i="79"/>
  <c r="H7" i="79" s="1"/>
  <c r="G7" i="76"/>
  <c r="H7" i="76" s="1"/>
  <c r="K7" i="77"/>
  <c r="C12" i="81"/>
  <c r="C12" i="79"/>
  <c r="C12" i="76"/>
  <c r="Q5" i="81"/>
  <c r="I5" i="80"/>
  <c r="K5" i="79"/>
  <c r="O5" i="79"/>
  <c r="Q5" i="79" s="1"/>
  <c r="O21" i="77"/>
  <c r="Q21" i="77" s="1"/>
  <c r="K21" i="76"/>
  <c r="O21" i="79"/>
  <c r="Q21" i="79" s="1"/>
  <c r="J21" i="80"/>
  <c r="O21" i="76"/>
  <c r="Q21" i="76" s="1"/>
  <c r="I21" i="76"/>
  <c r="I22" i="81"/>
  <c r="Q22" i="76"/>
  <c r="K18" i="81"/>
  <c r="I7" i="79"/>
  <c r="K9" i="79"/>
  <c r="O9" i="79"/>
  <c r="Q9" i="79" s="1"/>
  <c r="I11" i="79"/>
  <c r="I14" i="79"/>
  <c r="I16" i="79"/>
  <c r="G19" i="79"/>
  <c r="H19" i="79" s="1"/>
  <c r="G21" i="79"/>
  <c r="Q21" i="80"/>
  <c r="I8" i="81"/>
  <c r="I15" i="81"/>
  <c r="D17" i="81"/>
  <c r="I18" i="81"/>
  <c r="O22" i="81"/>
  <c r="Q22" i="81" s="1"/>
  <c r="Q8" i="76"/>
  <c r="C17" i="76"/>
  <c r="K17" i="76" s="1"/>
  <c r="Q15" i="76"/>
  <c r="Q17" i="76" s="1"/>
  <c r="Q18" i="76"/>
  <c r="J21" i="76"/>
  <c r="O5" i="77"/>
  <c r="Q5" i="77" s="1"/>
  <c r="O7" i="77"/>
  <c r="Q7" i="77" s="1"/>
  <c r="O9" i="77"/>
  <c r="Q9" i="77" s="1"/>
  <c r="G11" i="77"/>
  <c r="O14" i="77"/>
  <c r="Q14" i="77" s="1"/>
  <c r="Q17" i="77" s="1"/>
  <c r="O16" i="77"/>
  <c r="Q16" i="77" s="1"/>
  <c r="O19" i="77"/>
  <c r="Q19" i="77" s="1"/>
  <c r="G21" i="77"/>
  <c r="K7" i="79"/>
  <c r="J9" i="79"/>
  <c r="K11" i="79"/>
  <c r="K14" i="79"/>
  <c r="K16" i="79"/>
  <c r="D17" i="79"/>
  <c r="I17" i="79" s="1"/>
  <c r="I19" i="79"/>
  <c r="I21" i="79"/>
  <c r="C17" i="80"/>
  <c r="Q14" i="80"/>
  <c r="J11" i="81"/>
  <c r="J21" i="81"/>
  <c r="J14" i="76"/>
  <c r="G7" i="77"/>
  <c r="H7" i="77" s="1"/>
  <c r="I11" i="77"/>
  <c r="G14" i="77"/>
  <c r="H14" i="77" s="1"/>
  <c r="I21" i="77"/>
  <c r="G5" i="79"/>
  <c r="H5" i="79" s="1"/>
  <c r="J14" i="79"/>
  <c r="J5" i="80"/>
  <c r="Q5" i="80"/>
  <c r="J11" i="80"/>
  <c r="J14" i="80"/>
  <c r="Q19" i="80"/>
  <c r="J7" i="81"/>
  <c r="J14" i="81"/>
  <c r="Q17" i="81"/>
  <c r="I14" i="77"/>
  <c r="G6" i="77"/>
  <c r="H6" i="77" s="1"/>
  <c r="K6" i="77"/>
  <c r="J9" i="77"/>
  <c r="G10" i="77"/>
  <c r="H10" i="77" s="1"/>
  <c r="K10" i="77"/>
  <c r="G13" i="77"/>
  <c r="H13" i="77" s="1"/>
  <c r="K13" i="77"/>
  <c r="I17" i="77"/>
  <c r="G20" i="77"/>
  <c r="H20" i="77" s="1"/>
  <c r="K20" i="77"/>
  <c r="G5" i="77"/>
  <c r="H5" i="77" s="1"/>
  <c r="K5" i="77"/>
  <c r="O6" i="77"/>
  <c r="Q6" i="77" s="1"/>
  <c r="G9" i="77"/>
  <c r="H9" i="77" s="1"/>
  <c r="K9" i="77"/>
  <c r="O10" i="77"/>
  <c r="Q10" i="77" s="1"/>
  <c r="D12" i="77"/>
  <c r="O13" i="77"/>
  <c r="Q13" i="77" s="1"/>
  <c r="G16" i="77"/>
  <c r="H16" i="77" s="1"/>
  <c r="K16" i="77"/>
  <c r="G19" i="77"/>
  <c r="H19" i="77" s="1"/>
  <c r="K19" i="77"/>
  <c r="O20" i="77"/>
  <c r="Q20" i="77" s="1"/>
  <c r="G8" i="77"/>
  <c r="H8" i="77" s="1"/>
  <c r="G15" i="77"/>
  <c r="H15" i="77" s="1"/>
  <c r="G18" i="77"/>
  <c r="H18" i="77" s="1"/>
  <c r="G22" i="77"/>
  <c r="H22" i="77" s="1"/>
  <c r="G6" i="76"/>
  <c r="H6" i="76" s="1"/>
  <c r="K6" i="76"/>
  <c r="G10" i="76"/>
  <c r="H10" i="76" s="1"/>
  <c r="K10" i="76"/>
  <c r="G13" i="76"/>
  <c r="H13" i="76" s="1"/>
  <c r="K13" i="76"/>
  <c r="I17" i="76"/>
  <c r="G20" i="76"/>
  <c r="H20" i="76" s="1"/>
  <c r="K20" i="76"/>
  <c r="G5" i="76"/>
  <c r="H5" i="76" s="1"/>
  <c r="K5" i="76"/>
  <c r="O6" i="76"/>
  <c r="Q6" i="76" s="1"/>
  <c r="G9" i="76"/>
  <c r="H9" i="76" s="1"/>
  <c r="K9" i="76"/>
  <c r="O10" i="76"/>
  <c r="Q10" i="76" s="1"/>
  <c r="D12" i="76"/>
  <c r="O13" i="76"/>
  <c r="Q13" i="76" s="1"/>
  <c r="G16" i="76"/>
  <c r="H16" i="76" s="1"/>
  <c r="K16" i="76"/>
  <c r="G19" i="76"/>
  <c r="H19" i="76" s="1"/>
  <c r="K19" i="76"/>
  <c r="O20" i="76"/>
  <c r="Q20" i="76" s="1"/>
  <c r="G8" i="76"/>
  <c r="H8" i="76" s="1"/>
  <c r="G15" i="76"/>
  <c r="H15" i="76" s="1"/>
  <c r="G17" i="76"/>
  <c r="H17" i="76" s="1"/>
  <c r="G18" i="76"/>
  <c r="H18" i="76" s="1"/>
  <c r="G22" i="76"/>
  <c r="H22" i="76" s="1"/>
  <c r="K17" i="81"/>
  <c r="G6" i="81"/>
  <c r="H6" i="81" s="1"/>
  <c r="K6" i="81"/>
  <c r="G10" i="81"/>
  <c r="H10" i="81" s="1"/>
  <c r="K10" i="81"/>
  <c r="G13" i="81"/>
  <c r="H13" i="81" s="1"/>
  <c r="K13" i="81"/>
  <c r="I17" i="81"/>
  <c r="G20" i="81"/>
  <c r="H20" i="81" s="1"/>
  <c r="K20" i="81"/>
  <c r="G5" i="81"/>
  <c r="H5" i="81" s="1"/>
  <c r="K5" i="81"/>
  <c r="O6" i="81"/>
  <c r="Q6" i="81" s="1"/>
  <c r="G9" i="81"/>
  <c r="H9" i="81" s="1"/>
  <c r="K9" i="81"/>
  <c r="O10" i="81"/>
  <c r="Q10" i="81" s="1"/>
  <c r="D12" i="81"/>
  <c r="O13" i="81"/>
  <c r="Q13" i="81" s="1"/>
  <c r="G16" i="81"/>
  <c r="H16" i="81" s="1"/>
  <c r="K16" i="81"/>
  <c r="G19" i="81"/>
  <c r="H19" i="81" s="1"/>
  <c r="K19" i="81"/>
  <c r="O20" i="81"/>
  <c r="Q20" i="81" s="1"/>
  <c r="G8" i="81"/>
  <c r="H8" i="81" s="1"/>
  <c r="G15" i="81"/>
  <c r="H15" i="81" s="1"/>
  <c r="G17" i="81"/>
  <c r="H17" i="81" s="1"/>
  <c r="G18" i="81"/>
  <c r="H18" i="81" s="1"/>
  <c r="G22" i="81"/>
  <c r="H22" i="81" s="1"/>
  <c r="O8" i="80"/>
  <c r="Q8" i="80" s="1"/>
  <c r="K14" i="80"/>
  <c r="O15" i="80"/>
  <c r="Q15" i="80" s="1"/>
  <c r="D17" i="80"/>
  <c r="O18" i="80"/>
  <c r="Q18" i="80" s="1"/>
  <c r="O22" i="80"/>
  <c r="Q22" i="80" s="1"/>
  <c r="G6" i="80"/>
  <c r="H6" i="80" s="1"/>
  <c r="K6" i="80"/>
  <c r="O7" i="80"/>
  <c r="Q7" i="80" s="1"/>
  <c r="I8" i="80"/>
  <c r="J9" i="80"/>
  <c r="G10" i="80"/>
  <c r="H10" i="80" s="1"/>
  <c r="K10" i="80"/>
  <c r="O11" i="80"/>
  <c r="Q11" i="80" s="1"/>
  <c r="G13" i="80"/>
  <c r="H13" i="80" s="1"/>
  <c r="K13" i="80"/>
  <c r="I15" i="80"/>
  <c r="J16" i="80"/>
  <c r="I18" i="80"/>
  <c r="J19" i="80"/>
  <c r="G20" i="80"/>
  <c r="H20" i="80" s="1"/>
  <c r="K20" i="80"/>
  <c r="I22" i="80"/>
  <c r="D12" i="80"/>
  <c r="G8" i="80"/>
  <c r="H8" i="80" s="1"/>
  <c r="G15" i="80"/>
  <c r="H15" i="80" s="1"/>
  <c r="G18" i="80"/>
  <c r="H18" i="80" s="1"/>
  <c r="G22" i="80"/>
  <c r="H22" i="80" s="1"/>
  <c r="Q17" i="79"/>
  <c r="G6" i="79"/>
  <c r="H6" i="79" s="1"/>
  <c r="K6" i="79"/>
  <c r="O7" i="79"/>
  <c r="Q7" i="79" s="1"/>
  <c r="I8" i="79"/>
  <c r="G10" i="79"/>
  <c r="H10" i="79" s="1"/>
  <c r="K10" i="79"/>
  <c r="O11" i="79"/>
  <c r="Q11" i="79" s="1"/>
  <c r="G13" i="79"/>
  <c r="H13" i="79" s="1"/>
  <c r="K13" i="79"/>
  <c r="I15" i="79"/>
  <c r="J16" i="79"/>
  <c r="I18" i="79"/>
  <c r="G20" i="79"/>
  <c r="H20" i="79" s="1"/>
  <c r="K20" i="79"/>
  <c r="I22" i="79"/>
  <c r="J10" i="79"/>
  <c r="O6" i="79"/>
  <c r="Q6" i="79" s="1"/>
  <c r="O10" i="79"/>
  <c r="Q10" i="79" s="1"/>
  <c r="D12" i="79"/>
  <c r="O13" i="79"/>
  <c r="Q13" i="79" s="1"/>
  <c r="O20" i="79"/>
  <c r="Q20" i="79" s="1"/>
  <c r="G8" i="79"/>
  <c r="H8" i="79" s="1"/>
  <c r="G15" i="79"/>
  <c r="H15" i="79" s="1"/>
  <c r="G17" i="79"/>
  <c r="H17" i="79" s="1"/>
  <c r="G18" i="79"/>
  <c r="H18" i="79" s="1"/>
  <c r="G22" i="79"/>
  <c r="H22" i="79" s="1"/>
  <c r="J11" i="76" l="1"/>
  <c r="J6" i="76"/>
  <c r="G17" i="77"/>
  <c r="H17" i="77" s="1"/>
  <c r="J7" i="76"/>
  <c r="J6" i="77"/>
  <c r="J13" i="76"/>
  <c r="J10" i="80"/>
  <c r="J6" i="79"/>
  <c r="J20" i="76"/>
  <c r="J16" i="81"/>
  <c r="K17" i="79"/>
  <c r="J15" i="77"/>
  <c r="Q17" i="80"/>
  <c r="J14" i="77"/>
  <c r="J13" i="81"/>
  <c r="J13" i="79"/>
  <c r="J13" i="77"/>
  <c r="J8" i="81"/>
  <c r="J8" i="79"/>
  <c r="J8" i="76"/>
  <c r="J7" i="79"/>
  <c r="J22" i="79"/>
  <c r="J19" i="79"/>
  <c r="J20" i="81"/>
  <c r="J5" i="77"/>
  <c r="J17" i="81"/>
  <c r="H21" i="77"/>
  <c r="J21" i="77"/>
  <c r="J7" i="77"/>
  <c r="J15" i="79"/>
  <c r="H11" i="77"/>
  <c r="J11" i="77"/>
  <c r="Q12" i="79"/>
  <c r="J5" i="76"/>
  <c r="J22" i="77"/>
  <c r="H21" i="79"/>
  <c r="J21" i="79"/>
  <c r="J5" i="79"/>
  <c r="Q12" i="77"/>
  <c r="J17" i="77"/>
  <c r="J19" i="77"/>
  <c r="J10" i="77"/>
  <c r="J16" i="77"/>
  <c r="J18" i="77"/>
  <c r="I12" i="77"/>
  <c r="K12" i="77"/>
  <c r="G12" i="77"/>
  <c r="H12" i="77" s="1"/>
  <c r="J8" i="77"/>
  <c r="J20" i="77"/>
  <c r="I12" i="76"/>
  <c r="K12" i="76"/>
  <c r="G12" i="76"/>
  <c r="H12" i="76" s="1"/>
  <c r="J16" i="76"/>
  <c r="J22" i="76"/>
  <c r="J18" i="76"/>
  <c r="J15" i="76"/>
  <c r="J9" i="76"/>
  <c r="J10" i="76"/>
  <c r="Q12" i="76"/>
  <c r="J17" i="76"/>
  <c r="J19" i="76"/>
  <c r="J6" i="81"/>
  <c r="Q12" i="81"/>
  <c r="J9" i="81"/>
  <c r="J10" i="81"/>
  <c r="I12" i="81"/>
  <c r="K12" i="81"/>
  <c r="G12" i="81"/>
  <c r="H12" i="81" s="1"/>
  <c r="J5" i="81"/>
  <c r="J22" i="81"/>
  <c r="J18" i="81"/>
  <c r="J15" i="81"/>
  <c r="J19" i="81"/>
  <c r="K17" i="80"/>
  <c r="G17" i="80"/>
  <c r="H17" i="80" s="1"/>
  <c r="I17" i="80"/>
  <c r="J15" i="80"/>
  <c r="Q12" i="80"/>
  <c r="I12" i="80"/>
  <c r="K12" i="80"/>
  <c r="G12" i="80"/>
  <c r="H12" i="80" s="1"/>
  <c r="J20" i="80"/>
  <c r="J6" i="80"/>
  <c r="J18" i="80"/>
  <c r="J22" i="80"/>
  <c r="J8" i="80"/>
  <c r="J13" i="80"/>
  <c r="J18" i="79"/>
  <c r="I12" i="79"/>
  <c r="K12" i="79"/>
  <c r="G12" i="79"/>
  <c r="H12" i="79" s="1"/>
  <c r="J20" i="79"/>
  <c r="J17" i="79"/>
  <c r="J17" i="80" l="1"/>
  <c r="J12" i="80"/>
  <c r="J12" i="76"/>
  <c r="J12" i="77"/>
  <c r="J12" i="81"/>
  <c r="J12" i="79"/>
  <c r="K22" i="78" l="1"/>
  <c r="I21" i="78"/>
  <c r="O20" i="78"/>
  <c r="Q20" i="78" s="1"/>
  <c r="I19" i="78"/>
  <c r="O19" i="78"/>
  <c r="Q19" i="78" s="1"/>
  <c r="K18" i="78"/>
  <c r="F17" i="78"/>
  <c r="E17" i="78"/>
  <c r="K16" i="78"/>
  <c r="G15" i="78"/>
  <c r="H15" i="78" s="1"/>
  <c r="C17" i="78"/>
  <c r="I14" i="78"/>
  <c r="O13" i="78"/>
  <c r="F12" i="78"/>
  <c r="E12" i="78"/>
  <c r="I11" i="78"/>
  <c r="I10" i="78"/>
  <c r="O10" i="78"/>
  <c r="Q10" i="78" s="1"/>
  <c r="K9" i="78"/>
  <c r="G8" i="78"/>
  <c r="H8" i="78" s="1"/>
  <c r="K8" i="78"/>
  <c r="I7" i="78"/>
  <c r="D12" i="78"/>
  <c r="I5" i="78"/>
  <c r="K5" i="78" l="1"/>
  <c r="C12" i="78"/>
  <c r="K12" i="78" s="1"/>
  <c r="J8" i="78"/>
  <c r="O8" i="78"/>
  <c r="Q8" i="78" s="1"/>
  <c r="I9" i="78"/>
  <c r="J15" i="78"/>
  <c r="O15" i="78"/>
  <c r="Q15" i="78" s="1"/>
  <c r="I16" i="78"/>
  <c r="G18" i="78"/>
  <c r="H18" i="78" s="1"/>
  <c r="I20" i="78"/>
  <c r="I22" i="78"/>
  <c r="O16" i="78"/>
  <c r="Q16" i="78" s="1"/>
  <c r="I18" i="78"/>
  <c r="O9" i="78"/>
  <c r="Q9" i="78" s="1"/>
  <c r="Q13" i="78"/>
  <c r="O5" i="78"/>
  <c r="Q5" i="78" s="1"/>
  <c r="I6" i="78"/>
  <c r="I8" i="78"/>
  <c r="I13" i="78"/>
  <c r="I15" i="78"/>
  <c r="K19" i="78"/>
  <c r="O22" i="78"/>
  <c r="Q22" i="78" s="1"/>
  <c r="K15" i="78"/>
  <c r="J18" i="78"/>
  <c r="O18" i="78"/>
  <c r="Q18" i="78" s="1"/>
  <c r="G22" i="78"/>
  <c r="H22" i="78" s="1"/>
  <c r="G12" i="78"/>
  <c r="J12" i="78" s="1"/>
  <c r="I12" i="78"/>
  <c r="G7" i="78"/>
  <c r="H7" i="78" s="1"/>
  <c r="K11" i="78"/>
  <c r="K14" i="78"/>
  <c r="D17" i="78"/>
  <c r="K21" i="78"/>
  <c r="G6" i="78"/>
  <c r="H6" i="78" s="1"/>
  <c r="K6" i="78"/>
  <c r="O7" i="78"/>
  <c r="Q7" i="78" s="1"/>
  <c r="G10" i="78"/>
  <c r="H10" i="78" s="1"/>
  <c r="K10" i="78"/>
  <c r="O11" i="78"/>
  <c r="Q11" i="78" s="1"/>
  <c r="G13" i="78"/>
  <c r="H13" i="78" s="1"/>
  <c r="K13" i="78"/>
  <c r="O14" i="78"/>
  <c r="Q14" i="78" s="1"/>
  <c r="G20" i="78"/>
  <c r="H20" i="78" s="1"/>
  <c r="K20" i="78"/>
  <c r="O21" i="78"/>
  <c r="Q21" i="78" s="1"/>
  <c r="K7" i="78"/>
  <c r="J10" i="78"/>
  <c r="G11" i="78"/>
  <c r="H11" i="78" s="1"/>
  <c r="G14" i="78"/>
  <c r="H14" i="78" s="1"/>
  <c r="G21" i="78"/>
  <c r="H21" i="78" s="1"/>
  <c r="G5" i="78"/>
  <c r="H5" i="78" s="1"/>
  <c r="O6" i="78"/>
  <c r="Q6" i="78" s="1"/>
  <c r="G9" i="78"/>
  <c r="H9" i="78" s="1"/>
  <c r="G16" i="78"/>
  <c r="H16" i="78" s="1"/>
  <c r="G19" i="78"/>
  <c r="H19" i="78" s="1"/>
  <c r="J20" i="78" l="1"/>
  <c r="Q17" i="78"/>
  <c r="Q12" i="78"/>
  <c r="J14" i="78"/>
  <c r="J22" i="78"/>
  <c r="J9" i="78"/>
  <c r="J7" i="78"/>
  <c r="J19" i="78"/>
  <c r="J16" i="78"/>
  <c r="I17" i="78"/>
  <c r="K17" i="78"/>
  <c r="G17" i="78"/>
  <c r="H17" i="78" s="1"/>
  <c r="J6" i="78"/>
  <c r="J21" i="78"/>
  <c r="J13" i="78"/>
  <c r="J11" i="78"/>
  <c r="J5" i="78"/>
  <c r="H12" i="78"/>
  <c r="J17" i="78" l="1"/>
  <c r="P22" i="65" l="1"/>
  <c r="D22" i="65"/>
  <c r="C22" i="65"/>
  <c r="K22" i="65" s="1"/>
  <c r="P22" i="64"/>
  <c r="D22" i="64"/>
  <c r="C22" i="64"/>
  <c r="K22" i="64" s="1"/>
  <c r="P21" i="65"/>
  <c r="D21" i="65"/>
  <c r="I21" i="65" s="1"/>
  <c r="C21" i="65"/>
  <c r="P21" i="64"/>
  <c r="D21" i="64"/>
  <c r="O21" i="64" s="1"/>
  <c r="C21" i="64"/>
  <c r="P20" i="65"/>
  <c r="D20" i="65"/>
  <c r="C20" i="65"/>
  <c r="P20" i="64"/>
  <c r="D20" i="64"/>
  <c r="C20" i="64"/>
  <c r="P19" i="65"/>
  <c r="D19" i="65"/>
  <c r="O19" i="65" s="1"/>
  <c r="Q19" i="65" s="1"/>
  <c r="C19" i="65"/>
  <c r="P19" i="64"/>
  <c r="D19" i="64"/>
  <c r="O19" i="64" s="1"/>
  <c r="C19" i="64"/>
  <c r="P18" i="65"/>
  <c r="D18" i="65"/>
  <c r="C18" i="65"/>
  <c r="P18" i="64"/>
  <c r="D18" i="64"/>
  <c r="C18" i="64"/>
  <c r="K18" i="64" s="1"/>
  <c r="P16" i="65"/>
  <c r="D16" i="65"/>
  <c r="I16" i="65" s="1"/>
  <c r="C16" i="65"/>
  <c r="P16" i="64"/>
  <c r="D16" i="64"/>
  <c r="G16" i="64" s="1"/>
  <c r="H16" i="64" s="1"/>
  <c r="C16" i="64"/>
  <c r="P15" i="65"/>
  <c r="D15" i="65"/>
  <c r="C15" i="65"/>
  <c r="P15" i="64"/>
  <c r="D15" i="64"/>
  <c r="C15" i="64"/>
  <c r="P14" i="65"/>
  <c r="D14" i="65"/>
  <c r="I14" i="65" s="1"/>
  <c r="C14" i="65"/>
  <c r="P14" i="64"/>
  <c r="D14" i="64"/>
  <c r="G14" i="64" s="1"/>
  <c r="H14" i="64" s="1"/>
  <c r="C14" i="64"/>
  <c r="P13" i="65"/>
  <c r="D13" i="65"/>
  <c r="C13" i="65"/>
  <c r="P13" i="64"/>
  <c r="D13" i="64"/>
  <c r="C13" i="64"/>
  <c r="P11" i="65"/>
  <c r="D11" i="65"/>
  <c r="I11" i="65" s="1"/>
  <c r="C11" i="65"/>
  <c r="P11" i="64"/>
  <c r="D11" i="64"/>
  <c r="G11" i="64" s="1"/>
  <c r="H11" i="64" s="1"/>
  <c r="C11" i="64"/>
  <c r="P10" i="65"/>
  <c r="D10" i="65"/>
  <c r="C10" i="65"/>
  <c r="P10" i="64"/>
  <c r="D10" i="64"/>
  <c r="C10" i="64"/>
  <c r="P9" i="65"/>
  <c r="D9" i="65"/>
  <c r="I9" i="65" s="1"/>
  <c r="C9" i="65"/>
  <c r="P9" i="64"/>
  <c r="D9" i="64"/>
  <c r="I9" i="64" s="1"/>
  <c r="C9" i="64"/>
  <c r="P8" i="65"/>
  <c r="D8" i="65"/>
  <c r="C8" i="65"/>
  <c r="P8" i="64"/>
  <c r="D8" i="64"/>
  <c r="C8" i="64"/>
  <c r="P7" i="65"/>
  <c r="D7" i="65"/>
  <c r="I7" i="65" s="1"/>
  <c r="C7" i="65"/>
  <c r="P7" i="64"/>
  <c r="D7" i="64"/>
  <c r="G7" i="64" s="1"/>
  <c r="H7" i="64" s="1"/>
  <c r="C7" i="64"/>
  <c r="P6" i="65"/>
  <c r="D6" i="65"/>
  <c r="C6" i="65"/>
  <c r="P6" i="64"/>
  <c r="D6" i="64"/>
  <c r="C6" i="64"/>
  <c r="P5" i="65"/>
  <c r="D5" i="65"/>
  <c r="I5" i="65" s="1"/>
  <c r="C5" i="65"/>
  <c r="P5" i="64"/>
  <c r="D5" i="64"/>
  <c r="O5" i="64" s="1"/>
  <c r="Q5" i="64" s="1"/>
  <c r="C5" i="64"/>
  <c r="O22" i="65"/>
  <c r="Q22" i="65" s="1"/>
  <c r="I22" i="65"/>
  <c r="G22" i="65"/>
  <c r="H22" i="65" s="1"/>
  <c r="I20" i="65"/>
  <c r="O20" i="65"/>
  <c r="Q20" i="65" s="1"/>
  <c r="O18" i="65"/>
  <c r="Q18" i="65" s="1"/>
  <c r="I18" i="65"/>
  <c r="G18" i="65"/>
  <c r="H18" i="65" s="1"/>
  <c r="F17" i="65"/>
  <c r="E17" i="65"/>
  <c r="O15" i="65"/>
  <c r="Q15" i="65" s="1"/>
  <c r="K15" i="65"/>
  <c r="I15" i="65"/>
  <c r="G15" i="65"/>
  <c r="H15" i="65" s="1"/>
  <c r="I13" i="65"/>
  <c r="O13" i="65"/>
  <c r="Q13" i="65" s="1"/>
  <c r="F12" i="65"/>
  <c r="E12" i="65"/>
  <c r="I10" i="65"/>
  <c r="O10" i="65"/>
  <c r="Q10" i="65" s="1"/>
  <c r="O8" i="65"/>
  <c r="K8" i="65"/>
  <c r="I8" i="65"/>
  <c r="G8" i="65"/>
  <c r="H8" i="65" s="1"/>
  <c r="J8" i="65"/>
  <c r="I6" i="65"/>
  <c r="O22" i="64"/>
  <c r="I20" i="64"/>
  <c r="O18" i="64"/>
  <c r="F17" i="64"/>
  <c r="E17" i="64"/>
  <c r="O15" i="64"/>
  <c r="Q15" i="64" s="1"/>
  <c r="K15" i="64"/>
  <c r="I14" i="64"/>
  <c r="I13" i="64"/>
  <c r="F12" i="64"/>
  <c r="E12" i="64"/>
  <c r="I10" i="64"/>
  <c r="O8" i="64"/>
  <c r="K8" i="64"/>
  <c r="I6" i="64"/>
  <c r="I16" i="64" l="1"/>
  <c r="O9" i="64"/>
  <c r="J15" i="65"/>
  <c r="Q21" i="64"/>
  <c r="G21" i="64"/>
  <c r="H21" i="64" s="1"/>
  <c r="I21" i="64"/>
  <c r="Q19" i="64"/>
  <c r="I19" i="64"/>
  <c r="K18" i="65"/>
  <c r="O16" i="65"/>
  <c r="Q16" i="65" s="1"/>
  <c r="K16" i="64"/>
  <c r="D17" i="64"/>
  <c r="G17" i="64" s="1"/>
  <c r="H17" i="64" s="1"/>
  <c r="C17" i="65"/>
  <c r="K14" i="64"/>
  <c r="K11" i="64"/>
  <c r="I11" i="64"/>
  <c r="Q9" i="64"/>
  <c r="K9" i="64"/>
  <c r="O9" i="65"/>
  <c r="Q9" i="65" s="1"/>
  <c r="Q8" i="65"/>
  <c r="K7" i="64"/>
  <c r="I7" i="64"/>
  <c r="C12" i="64"/>
  <c r="C12" i="65"/>
  <c r="D12" i="65"/>
  <c r="G12" i="65" s="1"/>
  <c r="H12" i="65" s="1"/>
  <c r="O5" i="65"/>
  <c r="Q5" i="65" s="1"/>
  <c r="G5" i="64"/>
  <c r="H5" i="64" s="1"/>
  <c r="G19" i="64"/>
  <c r="H19" i="64" s="1"/>
  <c r="J18" i="65"/>
  <c r="C17" i="64"/>
  <c r="Q22" i="64"/>
  <c r="J7" i="64"/>
  <c r="K21" i="64"/>
  <c r="K5" i="65"/>
  <c r="K9" i="65"/>
  <c r="K16" i="65"/>
  <c r="I19" i="65"/>
  <c r="Q18" i="64"/>
  <c r="K19" i="65"/>
  <c r="I5" i="64"/>
  <c r="G9" i="64"/>
  <c r="J11" i="64"/>
  <c r="J14" i="64"/>
  <c r="O14" i="64"/>
  <c r="Q14" i="64" s="1"/>
  <c r="O16" i="64"/>
  <c r="Q16" i="64" s="1"/>
  <c r="K19" i="64"/>
  <c r="K5" i="64"/>
  <c r="Q8" i="64"/>
  <c r="J21" i="64"/>
  <c r="J22" i="65"/>
  <c r="K7" i="65"/>
  <c r="G14" i="65"/>
  <c r="H14" i="65" s="1"/>
  <c r="D17" i="65"/>
  <c r="K21" i="65"/>
  <c r="G6" i="65"/>
  <c r="H6" i="65" s="1"/>
  <c r="G10" i="65"/>
  <c r="H10" i="65" s="1"/>
  <c r="K10" i="65"/>
  <c r="O11" i="65"/>
  <c r="Q11" i="65" s="1"/>
  <c r="G13" i="65"/>
  <c r="H13" i="65" s="1"/>
  <c r="K13" i="65"/>
  <c r="O14" i="65"/>
  <c r="Q14" i="65" s="1"/>
  <c r="G20" i="65"/>
  <c r="H20" i="65" s="1"/>
  <c r="K20" i="65"/>
  <c r="O21" i="65"/>
  <c r="Q21" i="65" s="1"/>
  <c r="J14" i="65"/>
  <c r="G7" i="65"/>
  <c r="H7" i="65" s="1"/>
  <c r="G11" i="65"/>
  <c r="H11" i="65" s="1"/>
  <c r="K11" i="65"/>
  <c r="K14" i="65"/>
  <c r="G21" i="65"/>
  <c r="H21" i="65" s="1"/>
  <c r="J5" i="65"/>
  <c r="K6" i="65"/>
  <c r="O7" i="65"/>
  <c r="Q7" i="65" s="1"/>
  <c r="G5" i="65"/>
  <c r="H5" i="65" s="1"/>
  <c r="O6" i="65"/>
  <c r="Q6" i="65" s="1"/>
  <c r="G9" i="65"/>
  <c r="H9" i="65" s="1"/>
  <c r="G16" i="65"/>
  <c r="H16" i="65" s="1"/>
  <c r="G19" i="65"/>
  <c r="H19" i="65" s="1"/>
  <c r="G6" i="64"/>
  <c r="H6" i="64" s="1"/>
  <c r="K6" i="64"/>
  <c r="O7" i="64"/>
  <c r="Q7" i="64" s="1"/>
  <c r="I8" i="64"/>
  <c r="H10" i="64"/>
  <c r="K10" i="64"/>
  <c r="O11" i="64"/>
  <c r="Q11" i="64" s="1"/>
  <c r="G13" i="64"/>
  <c r="H13" i="64" s="1"/>
  <c r="K13" i="64"/>
  <c r="I15" i="64"/>
  <c r="J16" i="64"/>
  <c r="I18" i="64"/>
  <c r="G20" i="64"/>
  <c r="H20" i="64" s="1"/>
  <c r="K20" i="64"/>
  <c r="I22" i="64"/>
  <c r="O10" i="64"/>
  <c r="Q10" i="64" s="1"/>
  <c r="O20" i="64"/>
  <c r="Q20" i="64" s="1"/>
  <c r="O6" i="64"/>
  <c r="Q6" i="64" s="1"/>
  <c r="D12" i="64"/>
  <c r="O13" i="64"/>
  <c r="Q13" i="64" s="1"/>
  <c r="G8" i="64"/>
  <c r="H8" i="64" s="1"/>
  <c r="G15" i="64"/>
  <c r="H15" i="64" s="1"/>
  <c r="G18" i="64"/>
  <c r="H18" i="64" s="1"/>
  <c r="G22" i="64"/>
  <c r="H22" i="64" s="1"/>
  <c r="I17" i="64" l="1"/>
  <c r="Q17" i="65"/>
  <c r="J20" i="65"/>
  <c r="J20" i="64"/>
  <c r="J19" i="64"/>
  <c r="J16" i="65"/>
  <c r="K17" i="64"/>
  <c r="Q17" i="64"/>
  <c r="I12" i="65"/>
  <c r="J10" i="65"/>
  <c r="K12" i="65"/>
  <c r="Q12" i="65"/>
  <c r="J6" i="64"/>
  <c r="J12" i="65"/>
  <c r="J5" i="64"/>
  <c r="Q12" i="64"/>
  <c r="H9" i="64"/>
  <c r="J9" i="64"/>
  <c r="J15" i="64"/>
  <c r="J21" i="65"/>
  <c r="J19" i="65"/>
  <c r="J9" i="65"/>
  <c r="J13" i="65"/>
  <c r="J11" i="65"/>
  <c r="J7" i="65"/>
  <c r="J6" i="65"/>
  <c r="K17" i="65"/>
  <c r="G17" i="65"/>
  <c r="H17" i="65" s="1"/>
  <c r="I17" i="65"/>
  <c r="J8" i="64"/>
  <c r="J18" i="64"/>
  <c r="J17" i="64"/>
  <c r="J13" i="64"/>
  <c r="I12" i="64"/>
  <c r="K12" i="64"/>
  <c r="G12" i="64"/>
  <c r="H12" i="64" s="1"/>
  <c r="J22" i="64"/>
  <c r="J10" i="64"/>
  <c r="J12" i="64" l="1"/>
  <c r="J17" i="65"/>
  <c r="P22" i="83" l="1"/>
  <c r="D22" i="83"/>
  <c r="C22" i="83"/>
  <c r="K22" i="83" s="1"/>
  <c r="P22" i="82"/>
  <c r="D22" i="82"/>
  <c r="C22" i="82"/>
  <c r="K22" i="82" s="1"/>
  <c r="P21" i="83"/>
  <c r="D21" i="83"/>
  <c r="I21" i="83" s="1"/>
  <c r="C21" i="83"/>
  <c r="P21" i="82"/>
  <c r="D21" i="82"/>
  <c r="O21" i="82" s="1"/>
  <c r="Q21" i="82" s="1"/>
  <c r="C21" i="82"/>
  <c r="P20" i="83"/>
  <c r="D20" i="83"/>
  <c r="C20" i="83"/>
  <c r="P20" i="82"/>
  <c r="D20" i="82"/>
  <c r="C20" i="82"/>
  <c r="P19" i="83"/>
  <c r="D19" i="83"/>
  <c r="I19" i="83" s="1"/>
  <c r="C19" i="83"/>
  <c r="P19" i="82"/>
  <c r="D19" i="82"/>
  <c r="O19" i="82" s="1"/>
  <c r="C19" i="82"/>
  <c r="P18" i="83"/>
  <c r="D18" i="83"/>
  <c r="C18" i="83"/>
  <c r="P18" i="82"/>
  <c r="D18" i="82"/>
  <c r="C18" i="82"/>
  <c r="P16" i="83"/>
  <c r="D16" i="83"/>
  <c r="O16" i="83" s="1"/>
  <c r="Q16" i="83" s="1"/>
  <c r="C16" i="83"/>
  <c r="P16" i="82"/>
  <c r="D16" i="82"/>
  <c r="O16" i="82" s="1"/>
  <c r="P15" i="83"/>
  <c r="D15" i="83"/>
  <c r="C15" i="83"/>
  <c r="P15" i="82"/>
  <c r="D15" i="82"/>
  <c r="O15" i="82" s="1"/>
  <c r="C15" i="82"/>
  <c r="P14" i="83"/>
  <c r="D14" i="83"/>
  <c r="C14" i="83"/>
  <c r="C17" i="83" s="1"/>
  <c r="P14" i="82"/>
  <c r="D14" i="82"/>
  <c r="G14" i="82" s="1"/>
  <c r="H14" i="82" s="1"/>
  <c r="C14" i="82"/>
  <c r="C17" i="82" s="1"/>
  <c r="P13" i="83"/>
  <c r="D13" i="83"/>
  <c r="C13" i="83"/>
  <c r="P13" i="82"/>
  <c r="D13" i="82"/>
  <c r="C13" i="82"/>
  <c r="P11" i="83"/>
  <c r="D11" i="83"/>
  <c r="O11" i="83" s="1"/>
  <c r="Q11" i="83" s="1"/>
  <c r="C11" i="83"/>
  <c r="C16" i="82"/>
  <c r="P11" i="82"/>
  <c r="D11" i="82"/>
  <c r="O11" i="82" s="1"/>
  <c r="Q11" i="82" s="1"/>
  <c r="C11" i="82"/>
  <c r="P10" i="83"/>
  <c r="D10" i="83"/>
  <c r="C10" i="83"/>
  <c r="P10" i="82"/>
  <c r="D10" i="82"/>
  <c r="C10" i="82"/>
  <c r="K10" i="82" s="1"/>
  <c r="P9" i="83"/>
  <c r="D9" i="83"/>
  <c r="G9" i="83" s="1"/>
  <c r="H9" i="83" s="1"/>
  <c r="C9" i="83"/>
  <c r="P9" i="82"/>
  <c r="D9" i="82"/>
  <c r="I9" i="82" s="1"/>
  <c r="C9" i="82"/>
  <c r="P8" i="83"/>
  <c r="D8" i="83"/>
  <c r="C8" i="83"/>
  <c r="P8" i="82"/>
  <c r="D8" i="82"/>
  <c r="C8" i="82"/>
  <c r="P7" i="83"/>
  <c r="D7" i="83"/>
  <c r="C7" i="83"/>
  <c r="P7" i="82"/>
  <c r="D7" i="82"/>
  <c r="I7" i="82" s="1"/>
  <c r="C7" i="82"/>
  <c r="P6" i="83"/>
  <c r="D6" i="83"/>
  <c r="I6" i="83" s="1"/>
  <c r="C6" i="83"/>
  <c r="P6" i="82"/>
  <c r="D6" i="82"/>
  <c r="C6" i="82"/>
  <c r="P5" i="83"/>
  <c r="D5" i="83"/>
  <c r="I5" i="83" s="1"/>
  <c r="C5" i="83"/>
  <c r="P5" i="82"/>
  <c r="D5" i="82"/>
  <c r="C5" i="82"/>
  <c r="O22" i="83"/>
  <c r="Q22" i="83" s="1"/>
  <c r="I20" i="83"/>
  <c r="O18" i="83"/>
  <c r="Q18" i="83" s="1"/>
  <c r="F17" i="83"/>
  <c r="E17" i="83"/>
  <c r="O15" i="83"/>
  <c r="K15" i="83"/>
  <c r="G14" i="83"/>
  <c r="H14" i="83" s="1"/>
  <c r="I13" i="83"/>
  <c r="F12" i="83"/>
  <c r="E12" i="83"/>
  <c r="I10" i="83"/>
  <c r="O8" i="83"/>
  <c r="Q8" i="83" s="1"/>
  <c r="O22" i="82"/>
  <c r="I22" i="82"/>
  <c r="O18" i="82"/>
  <c r="I18" i="82"/>
  <c r="K18" i="82"/>
  <c r="F17" i="82"/>
  <c r="E17" i="82"/>
  <c r="K15" i="82"/>
  <c r="O14" i="82"/>
  <c r="Q14" i="82" s="1"/>
  <c r="F12" i="82"/>
  <c r="E12" i="82"/>
  <c r="O8" i="82"/>
  <c r="Q8" i="82" s="1"/>
  <c r="I8" i="82"/>
  <c r="J14" i="83" l="1"/>
  <c r="I19" i="82"/>
  <c r="I14" i="82"/>
  <c r="G21" i="82"/>
  <c r="H21" i="82" s="1"/>
  <c r="K19" i="83"/>
  <c r="K18" i="83"/>
  <c r="I16" i="82"/>
  <c r="K16" i="83"/>
  <c r="Q15" i="82"/>
  <c r="D17" i="83"/>
  <c r="I17" i="83" s="1"/>
  <c r="O14" i="83"/>
  <c r="Q14" i="83" s="1"/>
  <c r="Q17" i="83" s="1"/>
  <c r="I11" i="82"/>
  <c r="I11" i="83"/>
  <c r="G11" i="82"/>
  <c r="H11" i="82" s="1"/>
  <c r="G11" i="83"/>
  <c r="H11" i="83" s="1"/>
  <c r="I9" i="83"/>
  <c r="K8" i="83"/>
  <c r="C12" i="82"/>
  <c r="O7" i="82"/>
  <c r="Q7" i="82" s="1"/>
  <c r="G7" i="83"/>
  <c r="H7" i="83" s="1"/>
  <c r="C12" i="83"/>
  <c r="K7" i="82"/>
  <c r="K5" i="83"/>
  <c r="O5" i="83"/>
  <c r="Q5" i="83" s="1"/>
  <c r="K21" i="82"/>
  <c r="K21" i="83"/>
  <c r="I15" i="82"/>
  <c r="D17" i="82"/>
  <c r="I7" i="83"/>
  <c r="K9" i="83"/>
  <c r="O9" i="83"/>
  <c r="Q9" i="83" s="1"/>
  <c r="K14" i="82"/>
  <c r="K7" i="83"/>
  <c r="J9" i="83"/>
  <c r="K11" i="83"/>
  <c r="I14" i="83"/>
  <c r="Q15" i="83"/>
  <c r="I16" i="83"/>
  <c r="G19" i="83"/>
  <c r="H19" i="83" s="1"/>
  <c r="G21" i="83"/>
  <c r="H21" i="83" s="1"/>
  <c r="G16" i="83"/>
  <c r="H16" i="83" s="1"/>
  <c r="O19" i="83"/>
  <c r="Q19" i="83" s="1"/>
  <c r="J21" i="83"/>
  <c r="O21" i="83"/>
  <c r="Q21" i="83" s="1"/>
  <c r="G7" i="82"/>
  <c r="K11" i="82"/>
  <c r="Q18" i="82"/>
  <c r="I21" i="82"/>
  <c r="G5" i="83"/>
  <c r="H5" i="83" s="1"/>
  <c r="J11" i="82"/>
  <c r="J14" i="82"/>
  <c r="Q22" i="82"/>
  <c r="K14" i="83"/>
  <c r="G6" i="83"/>
  <c r="H6" i="83" s="1"/>
  <c r="K6" i="83"/>
  <c r="O7" i="83"/>
  <c r="Q7" i="83" s="1"/>
  <c r="I8" i="83"/>
  <c r="G10" i="83"/>
  <c r="H10" i="83" s="1"/>
  <c r="K10" i="83"/>
  <c r="G13" i="83"/>
  <c r="H13" i="83" s="1"/>
  <c r="K13" i="83"/>
  <c r="I15" i="83"/>
  <c r="I18" i="83"/>
  <c r="G20" i="83"/>
  <c r="H20" i="83" s="1"/>
  <c r="K20" i="83"/>
  <c r="I22" i="83"/>
  <c r="O6" i="83"/>
  <c r="Q6" i="83" s="1"/>
  <c r="O10" i="83"/>
  <c r="Q10" i="83" s="1"/>
  <c r="O13" i="83"/>
  <c r="Q13" i="83" s="1"/>
  <c r="O20" i="83"/>
  <c r="Q20" i="83" s="1"/>
  <c r="D12" i="83"/>
  <c r="G8" i="83"/>
  <c r="H8" i="83" s="1"/>
  <c r="G15" i="83"/>
  <c r="H15" i="83" s="1"/>
  <c r="G18" i="83"/>
  <c r="H18" i="83" s="1"/>
  <c r="G22" i="83"/>
  <c r="H22" i="83" s="1"/>
  <c r="I13" i="82"/>
  <c r="O13" i="82"/>
  <c r="Q13" i="82" s="1"/>
  <c r="K13" i="82"/>
  <c r="G13" i="82"/>
  <c r="H13" i="82" s="1"/>
  <c r="K8" i="82"/>
  <c r="I10" i="82"/>
  <c r="O10" i="82"/>
  <c r="Q10" i="82" s="1"/>
  <c r="O5" i="82"/>
  <c r="Q5" i="82" s="1"/>
  <c r="K5" i="82"/>
  <c r="G5" i="82"/>
  <c r="G10" i="82"/>
  <c r="H10" i="82" s="1"/>
  <c r="K17" i="82"/>
  <c r="G17" i="82"/>
  <c r="H17" i="82" s="1"/>
  <c r="I17" i="82"/>
  <c r="Q19" i="82"/>
  <c r="I6" i="82"/>
  <c r="D12" i="82"/>
  <c r="O6" i="82"/>
  <c r="Q6" i="82" s="1"/>
  <c r="G6" i="82"/>
  <c r="H6" i="82" s="1"/>
  <c r="I20" i="82"/>
  <c r="O20" i="82"/>
  <c r="Q20" i="82" s="1"/>
  <c r="K20" i="82"/>
  <c r="G20" i="82"/>
  <c r="H20" i="82" s="1"/>
  <c r="I5" i="82"/>
  <c r="K6" i="82"/>
  <c r="O9" i="82"/>
  <c r="Q9" i="82" s="1"/>
  <c r="K9" i="82"/>
  <c r="G9" i="82"/>
  <c r="Q16" i="82"/>
  <c r="Q17" i="82" s="1"/>
  <c r="J21" i="82"/>
  <c r="G16" i="82"/>
  <c r="H16" i="82" s="1"/>
  <c r="K16" i="82"/>
  <c r="G19" i="82"/>
  <c r="H19" i="82" s="1"/>
  <c r="K19" i="82"/>
  <c r="G8" i="82"/>
  <c r="H8" i="82" s="1"/>
  <c r="G15" i="82"/>
  <c r="H15" i="82" s="1"/>
  <c r="G18" i="82"/>
  <c r="H18" i="82" s="1"/>
  <c r="G22" i="82"/>
  <c r="H22" i="82" s="1"/>
  <c r="K17" i="83" l="1"/>
  <c r="G17" i="83"/>
  <c r="H17" i="83" s="1"/>
  <c r="J13" i="82"/>
  <c r="J10" i="83"/>
  <c r="J20" i="82"/>
  <c r="J16" i="83"/>
  <c r="J17" i="83"/>
  <c r="J11" i="83"/>
  <c r="J7" i="83"/>
  <c r="J6" i="83"/>
  <c r="J5" i="83"/>
  <c r="J19" i="83"/>
  <c r="J18" i="82"/>
  <c r="J13" i="83"/>
  <c r="J10" i="82"/>
  <c r="J8" i="83"/>
  <c r="J20" i="83"/>
  <c r="H7" i="82"/>
  <c r="J7" i="82"/>
  <c r="J22" i="83"/>
  <c r="J15" i="83"/>
  <c r="Q12" i="83"/>
  <c r="I12" i="83"/>
  <c r="K12" i="83"/>
  <c r="G12" i="83"/>
  <c r="H12" i="83" s="1"/>
  <c r="J18" i="83"/>
  <c r="J22" i="82"/>
  <c r="J19" i="82"/>
  <c r="Q12" i="82"/>
  <c r="J6" i="82"/>
  <c r="J15" i="82"/>
  <c r="H9" i="82"/>
  <c r="J9" i="82"/>
  <c r="J8" i="82"/>
  <c r="J16" i="82"/>
  <c r="I12" i="82"/>
  <c r="K12" i="82"/>
  <c r="G12" i="82"/>
  <c r="H12" i="82" s="1"/>
  <c r="J17" i="82"/>
  <c r="H5" i="82"/>
  <c r="J5" i="82"/>
  <c r="J12" i="82" l="1"/>
  <c r="J12" i="83"/>
  <c r="P22" i="89"/>
  <c r="D22" i="89"/>
  <c r="G22" i="89" s="1"/>
  <c r="J22" i="89" s="1"/>
  <c r="C22" i="89"/>
  <c r="P22" i="88"/>
  <c r="D22" i="88"/>
  <c r="G22" i="88" s="1"/>
  <c r="H22" i="88" s="1"/>
  <c r="C22" i="88"/>
  <c r="P21" i="89"/>
  <c r="D21" i="89"/>
  <c r="G21" i="89" s="1"/>
  <c r="H21" i="89" s="1"/>
  <c r="C21" i="89"/>
  <c r="P21" i="88"/>
  <c r="D21" i="88"/>
  <c r="C21" i="88"/>
  <c r="P20" i="89"/>
  <c r="D20" i="89"/>
  <c r="I20" i="89" s="1"/>
  <c r="C20" i="89"/>
  <c r="P20" i="88"/>
  <c r="D20" i="88"/>
  <c r="I20" i="88" s="1"/>
  <c r="C20" i="88"/>
  <c r="P19" i="89"/>
  <c r="D19" i="89"/>
  <c r="O19" i="89" s="1"/>
  <c r="C19" i="89"/>
  <c r="P19" i="88"/>
  <c r="D19" i="88"/>
  <c r="C19" i="88"/>
  <c r="K19" i="88" s="1"/>
  <c r="P18" i="89"/>
  <c r="D18" i="89"/>
  <c r="I18" i="89" s="1"/>
  <c r="C18" i="89"/>
  <c r="P18" i="88"/>
  <c r="D18" i="88"/>
  <c r="G18" i="88" s="1"/>
  <c r="H18" i="88" s="1"/>
  <c r="C18" i="88"/>
  <c r="P16" i="89"/>
  <c r="D16" i="89"/>
  <c r="I16" i="89" s="1"/>
  <c r="C16" i="89"/>
  <c r="P16" i="88"/>
  <c r="D16" i="88"/>
  <c r="C16" i="88"/>
  <c r="K16" i="88" s="1"/>
  <c r="P15" i="89"/>
  <c r="D15" i="89"/>
  <c r="O15" i="89" s="1"/>
  <c r="Q15" i="89" s="1"/>
  <c r="C15" i="89"/>
  <c r="P15" i="88"/>
  <c r="D15" i="88"/>
  <c r="O15" i="88" s="1"/>
  <c r="C15" i="88"/>
  <c r="P14" i="89"/>
  <c r="D14" i="89"/>
  <c r="G14" i="89" s="1"/>
  <c r="H14" i="89" s="1"/>
  <c r="C14" i="89"/>
  <c r="P14" i="88"/>
  <c r="D14" i="88"/>
  <c r="C14" i="88"/>
  <c r="P13" i="89"/>
  <c r="D13" i="89"/>
  <c r="I13" i="89" s="1"/>
  <c r="C13" i="89"/>
  <c r="P13" i="88"/>
  <c r="D13" i="88"/>
  <c r="I13" i="88" s="1"/>
  <c r="C13" i="88"/>
  <c r="P11" i="89"/>
  <c r="D11" i="89"/>
  <c r="G11" i="89" s="1"/>
  <c r="H11" i="89" s="1"/>
  <c r="C11" i="89"/>
  <c r="P11" i="88"/>
  <c r="D11" i="88"/>
  <c r="C11" i="88"/>
  <c r="P10" i="89"/>
  <c r="D10" i="89"/>
  <c r="C10" i="89"/>
  <c r="P10" i="88"/>
  <c r="D10" i="88"/>
  <c r="O10" i="88" s="1"/>
  <c r="C10" i="88"/>
  <c r="P9" i="89"/>
  <c r="D9" i="89"/>
  <c r="I9" i="89" s="1"/>
  <c r="C9" i="89"/>
  <c r="P9" i="88"/>
  <c r="D9" i="88"/>
  <c r="O9" i="88" s="1"/>
  <c r="C9" i="88"/>
  <c r="P8" i="89"/>
  <c r="D8" i="89"/>
  <c r="O8" i="89" s="1"/>
  <c r="C8" i="89"/>
  <c r="P8" i="88"/>
  <c r="D8" i="88"/>
  <c r="C8" i="88"/>
  <c r="P7" i="89"/>
  <c r="D7" i="89"/>
  <c r="G7" i="89" s="1"/>
  <c r="H7" i="89" s="1"/>
  <c r="C7" i="89"/>
  <c r="P7" i="88"/>
  <c r="D7" i="88"/>
  <c r="C7" i="88"/>
  <c r="P6" i="89"/>
  <c r="D6" i="89"/>
  <c r="I6" i="89" s="1"/>
  <c r="C6" i="89"/>
  <c r="P6" i="88"/>
  <c r="D6" i="88"/>
  <c r="I6" i="88" s="1"/>
  <c r="C6" i="88"/>
  <c r="P5" i="89"/>
  <c r="D5" i="89"/>
  <c r="I5" i="89" s="1"/>
  <c r="C5" i="89"/>
  <c r="P5" i="88"/>
  <c r="D5" i="88"/>
  <c r="I5" i="88" s="1"/>
  <c r="C5" i="88"/>
  <c r="I22" i="89"/>
  <c r="O18" i="89"/>
  <c r="Q18" i="89" s="1"/>
  <c r="F17" i="89"/>
  <c r="E17" i="89"/>
  <c r="G15" i="89"/>
  <c r="J15" i="89" s="1"/>
  <c r="F12" i="89"/>
  <c r="E12" i="89"/>
  <c r="I10" i="89"/>
  <c r="I22" i="88"/>
  <c r="I21" i="88"/>
  <c r="O19" i="88"/>
  <c r="I19" i="88"/>
  <c r="I18" i="88"/>
  <c r="F17" i="88"/>
  <c r="E17" i="88"/>
  <c r="O16" i="88"/>
  <c r="I16" i="88"/>
  <c r="I14" i="88"/>
  <c r="F12" i="88"/>
  <c r="E12" i="88"/>
  <c r="I11" i="88"/>
  <c r="O8" i="88"/>
  <c r="I8" i="88"/>
  <c r="G8" i="88"/>
  <c r="H8" i="88" s="1"/>
  <c r="I7" i="88"/>
  <c r="Q16" i="88" l="1"/>
  <c r="K8" i="88"/>
  <c r="K18" i="88"/>
  <c r="I10" i="88"/>
  <c r="O16" i="89"/>
  <c r="Q16" i="89" s="1"/>
  <c r="K8" i="89"/>
  <c r="G8" i="89"/>
  <c r="J8" i="89" s="1"/>
  <c r="G15" i="88"/>
  <c r="H15" i="88" s="1"/>
  <c r="I8" i="89"/>
  <c r="O22" i="88"/>
  <c r="Q22" i="88" s="1"/>
  <c r="K22" i="88"/>
  <c r="O22" i="89"/>
  <c r="Q22" i="89" s="1"/>
  <c r="K22" i="89"/>
  <c r="O20" i="88"/>
  <c r="Q19" i="88"/>
  <c r="Q19" i="89"/>
  <c r="J18" i="88"/>
  <c r="O18" i="88"/>
  <c r="Q18" i="88" s="1"/>
  <c r="G18" i="89"/>
  <c r="H18" i="89" s="1"/>
  <c r="K15" i="88"/>
  <c r="I15" i="89"/>
  <c r="I15" i="88"/>
  <c r="C17" i="89"/>
  <c r="C17" i="88"/>
  <c r="K14" i="89"/>
  <c r="O13" i="88"/>
  <c r="Q13" i="88" s="1"/>
  <c r="J11" i="89"/>
  <c r="Q9" i="88"/>
  <c r="O9" i="89"/>
  <c r="Q9" i="89" s="1"/>
  <c r="I9" i="88"/>
  <c r="K9" i="88"/>
  <c r="C12" i="88"/>
  <c r="Q8" i="89"/>
  <c r="K7" i="89"/>
  <c r="C12" i="89"/>
  <c r="D12" i="88"/>
  <c r="K12" i="88" s="1"/>
  <c r="O5" i="88"/>
  <c r="Q5" i="88" s="1"/>
  <c r="K5" i="88"/>
  <c r="K21" i="89"/>
  <c r="I19" i="89"/>
  <c r="K18" i="89"/>
  <c r="J22" i="88"/>
  <c r="O7" i="89"/>
  <c r="Q7" i="89" s="1"/>
  <c r="H8" i="89"/>
  <c r="K11" i="89"/>
  <c r="O14" i="89"/>
  <c r="Q14" i="89" s="1"/>
  <c r="Q17" i="89" s="1"/>
  <c r="H15" i="89"/>
  <c r="O21" i="89"/>
  <c r="Q21" i="89" s="1"/>
  <c r="H22" i="89"/>
  <c r="O5" i="89"/>
  <c r="Q5" i="89" s="1"/>
  <c r="J7" i="89"/>
  <c r="O11" i="89"/>
  <c r="Q11" i="89" s="1"/>
  <c r="J14" i="89"/>
  <c r="D17" i="89"/>
  <c r="K17" i="89" s="1"/>
  <c r="J21" i="89"/>
  <c r="Q20" i="88"/>
  <c r="J8" i="88"/>
  <c r="Q8" i="88"/>
  <c r="Q10" i="88"/>
  <c r="Q15" i="88"/>
  <c r="G6" i="89"/>
  <c r="H6" i="89" s="1"/>
  <c r="G10" i="89"/>
  <c r="H10" i="89" s="1"/>
  <c r="G13" i="89"/>
  <c r="H13" i="89" s="1"/>
  <c r="G20" i="89"/>
  <c r="H20" i="89" s="1"/>
  <c r="K20" i="89"/>
  <c r="K6" i="89"/>
  <c r="K10" i="89"/>
  <c r="K13" i="89"/>
  <c r="G5" i="89"/>
  <c r="H5" i="89" s="1"/>
  <c r="K5" i="89"/>
  <c r="O6" i="89"/>
  <c r="Q6" i="89" s="1"/>
  <c r="I7" i="89"/>
  <c r="G9" i="89"/>
  <c r="H9" i="89" s="1"/>
  <c r="K9" i="89"/>
  <c r="O10" i="89"/>
  <c r="Q10" i="89" s="1"/>
  <c r="I11" i="89"/>
  <c r="D12" i="89"/>
  <c r="O13" i="89"/>
  <c r="Q13" i="89" s="1"/>
  <c r="I14" i="89"/>
  <c r="G16" i="89"/>
  <c r="H16" i="89" s="1"/>
  <c r="K16" i="89"/>
  <c r="G19" i="89"/>
  <c r="H19" i="89" s="1"/>
  <c r="K19" i="89"/>
  <c r="O20" i="89"/>
  <c r="Q20" i="89" s="1"/>
  <c r="I21" i="89"/>
  <c r="J6" i="89"/>
  <c r="J10" i="89"/>
  <c r="K15" i="89"/>
  <c r="G7" i="88"/>
  <c r="H7" i="88" s="1"/>
  <c r="K11" i="88"/>
  <c r="G14" i="88"/>
  <c r="H14" i="88" s="1"/>
  <c r="K14" i="88"/>
  <c r="D17" i="88"/>
  <c r="G21" i="88"/>
  <c r="H21" i="88" s="1"/>
  <c r="K21" i="88"/>
  <c r="G6" i="88"/>
  <c r="H6" i="88" s="1"/>
  <c r="O7" i="88"/>
  <c r="Q7" i="88" s="1"/>
  <c r="G10" i="88"/>
  <c r="H10" i="88" s="1"/>
  <c r="K10" i="88"/>
  <c r="O11" i="88"/>
  <c r="Q11" i="88" s="1"/>
  <c r="G13" i="88"/>
  <c r="H13" i="88" s="1"/>
  <c r="K13" i="88"/>
  <c r="O14" i="88"/>
  <c r="Q14" i="88" s="1"/>
  <c r="Q17" i="88" s="1"/>
  <c r="G20" i="88"/>
  <c r="H20" i="88" s="1"/>
  <c r="K20" i="88"/>
  <c r="O21" i="88"/>
  <c r="Q21" i="88" s="1"/>
  <c r="K7" i="88"/>
  <c r="G11" i="88"/>
  <c r="H11" i="88" s="1"/>
  <c r="K6" i="88"/>
  <c r="G5" i="88"/>
  <c r="H5" i="88" s="1"/>
  <c r="O6" i="88"/>
  <c r="Q6" i="88" s="1"/>
  <c r="G9" i="88"/>
  <c r="H9" i="88" s="1"/>
  <c r="G16" i="88"/>
  <c r="H16" i="88" s="1"/>
  <c r="G19" i="88"/>
  <c r="H19" i="88" s="1"/>
  <c r="J7" i="88" l="1"/>
  <c r="J15" i="88"/>
  <c r="J18" i="89"/>
  <c r="G17" i="89"/>
  <c r="H17" i="89" s="1"/>
  <c r="I17" i="89"/>
  <c r="I12" i="88"/>
  <c r="G12" i="88"/>
  <c r="J12" i="88" s="1"/>
  <c r="Q12" i="88"/>
  <c r="J6" i="88"/>
  <c r="J5" i="89"/>
  <c r="J20" i="88"/>
  <c r="J16" i="88"/>
  <c r="J14" i="88"/>
  <c r="J13" i="88"/>
  <c r="J20" i="89"/>
  <c r="Q12" i="89"/>
  <c r="J17" i="89"/>
  <c r="J19" i="89"/>
  <c r="J9" i="89"/>
  <c r="J13" i="89"/>
  <c r="I12" i="89"/>
  <c r="K12" i="89"/>
  <c r="G12" i="89"/>
  <c r="H12" i="89" s="1"/>
  <c r="J16" i="89"/>
  <c r="I17" i="88"/>
  <c r="K17" i="88"/>
  <c r="G17" i="88"/>
  <c r="H17" i="88" s="1"/>
  <c r="J21" i="88"/>
  <c r="J10" i="88"/>
  <c r="J11" i="88"/>
  <c r="J5" i="88"/>
  <c r="J19" i="88"/>
  <c r="J9" i="88"/>
  <c r="H12" i="88" l="1"/>
  <c r="J12" i="89"/>
  <c r="J17" i="88"/>
  <c r="P22" i="95" l="1"/>
  <c r="D22" i="95"/>
  <c r="C22" i="95"/>
  <c r="K22" i="95" s="1"/>
  <c r="P22" i="94"/>
  <c r="D22" i="94"/>
  <c r="C22" i="94"/>
  <c r="P21" i="95"/>
  <c r="D21" i="95"/>
  <c r="C21" i="95"/>
  <c r="P21" i="94"/>
  <c r="D21" i="94"/>
  <c r="I21" i="94" s="1"/>
  <c r="C21" i="94"/>
  <c r="K21" i="94" s="1"/>
  <c r="P20" i="95"/>
  <c r="D20" i="95"/>
  <c r="C20" i="95"/>
  <c r="P20" i="94"/>
  <c r="D20" i="94"/>
  <c r="C20" i="94"/>
  <c r="P19" i="95"/>
  <c r="D19" i="95"/>
  <c r="C19" i="95"/>
  <c r="P19" i="94"/>
  <c r="D19" i="94"/>
  <c r="O19" i="94" s="1"/>
  <c r="C19" i="94"/>
  <c r="P18" i="95"/>
  <c r="D18" i="95"/>
  <c r="C18" i="95"/>
  <c r="P18" i="94"/>
  <c r="D18" i="94"/>
  <c r="C18" i="94"/>
  <c r="K18" i="94" s="1"/>
  <c r="P16" i="95"/>
  <c r="D16" i="95"/>
  <c r="I16" i="95" s="1"/>
  <c r="C16" i="95"/>
  <c r="P16" i="94"/>
  <c r="D16" i="94"/>
  <c r="O16" i="94" s="1"/>
  <c r="C16" i="94"/>
  <c r="P15" i="95"/>
  <c r="D15" i="95"/>
  <c r="C15" i="95"/>
  <c r="P15" i="94"/>
  <c r="D15" i="94"/>
  <c r="C15" i="94"/>
  <c r="P14" i="95"/>
  <c r="D14" i="95"/>
  <c r="O14" i="95" s="1"/>
  <c r="Q14" i="95" s="1"/>
  <c r="C14" i="95"/>
  <c r="P14" i="94"/>
  <c r="D14" i="94"/>
  <c r="O14" i="94" s="1"/>
  <c r="C14" i="94"/>
  <c r="P13" i="95"/>
  <c r="D13" i="95"/>
  <c r="C13" i="95"/>
  <c r="P13" i="94"/>
  <c r="D13" i="94"/>
  <c r="C13" i="94"/>
  <c r="P11" i="95"/>
  <c r="D11" i="95"/>
  <c r="G11" i="95" s="1"/>
  <c r="H11" i="95" s="1"/>
  <c r="C11" i="95"/>
  <c r="P11" i="94"/>
  <c r="D11" i="94"/>
  <c r="O11" i="94" s="1"/>
  <c r="C11" i="94"/>
  <c r="P10" i="95"/>
  <c r="D10" i="95"/>
  <c r="O10" i="95" s="1"/>
  <c r="C10" i="95"/>
  <c r="P10" i="94"/>
  <c r="D10" i="94"/>
  <c r="C10" i="94"/>
  <c r="P9" i="95"/>
  <c r="D9" i="95"/>
  <c r="O9" i="95" s="1"/>
  <c r="C9" i="95"/>
  <c r="P9" i="94"/>
  <c r="D9" i="94"/>
  <c r="I9" i="94" s="1"/>
  <c r="C9" i="94"/>
  <c r="P8" i="95"/>
  <c r="D8" i="95"/>
  <c r="C8" i="95"/>
  <c r="P8" i="94"/>
  <c r="D8" i="94"/>
  <c r="C8" i="94"/>
  <c r="P7" i="95"/>
  <c r="D7" i="95"/>
  <c r="C7" i="95"/>
  <c r="P7" i="94"/>
  <c r="D7" i="94"/>
  <c r="O7" i="94" s="1"/>
  <c r="C7" i="94"/>
  <c r="P6" i="95"/>
  <c r="D6" i="95"/>
  <c r="I6" i="95" s="1"/>
  <c r="C6" i="95"/>
  <c r="P6" i="94"/>
  <c r="D6" i="94"/>
  <c r="C6" i="94"/>
  <c r="P5" i="95"/>
  <c r="D5" i="95"/>
  <c r="O5" i="95" s="1"/>
  <c r="Q5" i="95" s="1"/>
  <c r="C5" i="95"/>
  <c r="P5" i="94"/>
  <c r="D5" i="94"/>
  <c r="I5" i="94" s="1"/>
  <c r="C5" i="94"/>
  <c r="O20" i="95"/>
  <c r="Q20" i="95" s="1"/>
  <c r="I20" i="95"/>
  <c r="F17" i="95"/>
  <c r="E17" i="95"/>
  <c r="O13" i="95"/>
  <c r="Q13" i="95" s="1"/>
  <c r="I13" i="95"/>
  <c r="F12" i="95"/>
  <c r="E12" i="95"/>
  <c r="I10" i="95"/>
  <c r="K8" i="95"/>
  <c r="O6" i="95"/>
  <c r="O22" i="94"/>
  <c r="I22" i="94"/>
  <c r="K22" i="94"/>
  <c r="I20" i="94"/>
  <c r="O18" i="94"/>
  <c r="I18" i="94"/>
  <c r="F17" i="94"/>
  <c r="E17" i="94"/>
  <c r="O15" i="94"/>
  <c r="I15" i="94"/>
  <c r="K15" i="94"/>
  <c r="I13" i="94"/>
  <c r="F12" i="94"/>
  <c r="E12" i="94"/>
  <c r="I10" i="94"/>
  <c r="O8" i="94"/>
  <c r="I8" i="94"/>
  <c r="I6" i="94"/>
  <c r="K19" i="95" l="1"/>
  <c r="G7" i="94"/>
  <c r="H7" i="94" s="1"/>
  <c r="K8" i="94"/>
  <c r="O21" i="94"/>
  <c r="Q21" i="94" s="1"/>
  <c r="G21" i="94"/>
  <c r="H21" i="94" s="1"/>
  <c r="Q19" i="94"/>
  <c r="I19" i="94"/>
  <c r="K18" i="95"/>
  <c r="Q16" i="94"/>
  <c r="I16" i="94"/>
  <c r="K16" i="95"/>
  <c r="K15" i="95"/>
  <c r="C17" i="95"/>
  <c r="Q14" i="94"/>
  <c r="G14" i="94"/>
  <c r="I14" i="94"/>
  <c r="K14" i="94"/>
  <c r="D17" i="94"/>
  <c r="I17" i="94" s="1"/>
  <c r="Q11" i="94"/>
  <c r="K11" i="94"/>
  <c r="I11" i="94"/>
  <c r="J11" i="95"/>
  <c r="G11" i="94"/>
  <c r="H11" i="94" s="1"/>
  <c r="Q9" i="95"/>
  <c r="O9" i="94"/>
  <c r="Q9" i="94" s="1"/>
  <c r="C12" i="95"/>
  <c r="K9" i="95"/>
  <c r="Q10" i="95"/>
  <c r="Q7" i="94"/>
  <c r="I7" i="94"/>
  <c r="K7" i="94"/>
  <c r="G7" i="95"/>
  <c r="H7" i="95" s="1"/>
  <c r="C12" i="94"/>
  <c r="Q6" i="95"/>
  <c r="O5" i="94"/>
  <c r="Q5" i="94" s="1"/>
  <c r="G5" i="95"/>
  <c r="H5" i="95" s="1"/>
  <c r="G21" i="95"/>
  <c r="H21" i="95" s="1"/>
  <c r="O19" i="95"/>
  <c r="Q19" i="95" s="1"/>
  <c r="I5" i="95"/>
  <c r="I7" i="95"/>
  <c r="G9" i="95"/>
  <c r="H9" i="95" s="1"/>
  <c r="I11" i="95"/>
  <c r="G14" i="95"/>
  <c r="O16" i="95"/>
  <c r="Q16" i="95" s="1"/>
  <c r="G19" i="95"/>
  <c r="H19" i="95" s="1"/>
  <c r="I21" i="95"/>
  <c r="Q22" i="94"/>
  <c r="K5" i="95"/>
  <c r="K7" i="95"/>
  <c r="O7" i="95"/>
  <c r="Q7" i="95" s="1"/>
  <c r="I9" i="95"/>
  <c r="K11" i="95"/>
  <c r="O11" i="95"/>
  <c r="Q11" i="95" s="1"/>
  <c r="I14" i="95"/>
  <c r="G16" i="95"/>
  <c r="H16" i="95" s="1"/>
  <c r="I19" i="95"/>
  <c r="K21" i="95"/>
  <c r="O21" i="95"/>
  <c r="Q21" i="95" s="1"/>
  <c r="J7" i="94"/>
  <c r="Q8" i="94"/>
  <c r="C17" i="94"/>
  <c r="Q15" i="94"/>
  <c r="Q18" i="94"/>
  <c r="J21" i="94"/>
  <c r="O8" i="95"/>
  <c r="Q8" i="95" s="1"/>
  <c r="K14" i="95"/>
  <c r="O15" i="95"/>
  <c r="Q15" i="95" s="1"/>
  <c r="D17" i="95"/>
  <c r="O18" i="95"/>
  <c r="Q18" i="95" s="1"/>
  <c r="O22" i="95"/>
  <c r="Q22" i="95" s="1"/>
  <c r="G6" i="95"/>
  <c r="H6" i="95" s="1"/>
  <c r="K6" i="95"/>
  <c r="I8" i="95"/>
  <c r="G10" i="95"/>
  <c r="H10" i="95" s="1"/>
  <c r="K10" i="95"/>
  <c r="G13" i="95"/>
  <c r="H13" i="95" s="1"/>
  <c r="K13" i="95"/>
  <c r="I15" i="95"/>
  <c r="J16" i="95"/>
  <c r="I18" i="95"/>
  <c r="G20" i="95"/>
  <c r="H20" i="95" s="1"/>
  <c r="K20" i="95"/>
  <c r="I22" i="95"/>
  <c r="D12" i="95"/>
  <c r="G8" i="95"/>
  <c r="H8" i="95" s="1"/>
  <c r="G15" i="95"/>
  <c r="H15" i="95" s="1"/>
  <c r="G18" i="95"/>
  <c r="H18" i="95" s="1"/>
  <c r="G22" i="95"/>
  <c r="H22" i="95" s="1"/>
  <c r="G6" i="94"/>
  <c r="H6" i="94" s="1"/>
  <c r="K10" i="94"/>
  <c r="G13" i="94"/>
  <c r="H13" i="94" s="1"/>
  <c r="K13" i="94"/>
  <c r="G20" i="94"/>
  <c r="H20" i="94" s="1"/>
  <c r="K20" i="94"/>
  <c r="G5" i="94"/>
  <c r="H5" i="94" s="1"/>
  <c r="K5" i="94"/>
  <c r="O6" i="94"/>
  <c r="Q6" i="94" s="1"/>
  <c r="G9" i="94"/>
  <c r="H9" i="94" s="1"/>
  <c r="K9" i="94"/>
  <c r="O10" i="94"/>
  <c r="Q10" i="94" s="1"/>
  <c r="D12" i="94"/>
  <c r="O13" i="94"/>
  <c r="Q13" i="94" s="1"/>
  <c r="G16" i="94"/>
  <c r="H16" i="94" s="1"/>
  <c r="K16" i="94"/>
  <c r="G19" i="94"/>
  <c r="H19" i="94" s="1"/>
  <c r="K19" i="94"/>
  <c r="O20" i="94"/>
  <c r="Q20" i="94" s="1"/>
  <c r="K6" i="94"/>
  <c r="G10" i="94"/>
  <c r="H10" i="94" s="1"/>
  <c r="G8" i="94"/>
  <c r="H8" i="94" s="1"/>
  <c r="G15" i="94"/>
  <c r="H15" i="94" s="1"/>
  <c r="G18" i="94"/>
  <c r="H18" i="94" s="1"/>
  <c r="G22" i="94"/>
  <c r="H22" i="94" s="1"/>
  <c r="J5" i="95" l="1"/>
  <c r="J9" i="95"/>
  <c r="Q17" i="94"/>
  <c r="Q17" i="95"/>
  <c r="K17" i="94"/>
  <c r="G17" i="94"/>
  <c r="H17" i="94" s="1"/>
  <c r="H14" i="94"/>
  <c r="J14" i="94"/>
  <c r="J11" i="94"/>
  <c r="J7" i="95"/>
  <c r="J21" i="95"/>
  <c r="J19" i="95"/>
  <c r="J19" i="94"/>
  <c r="J18" i="94"/>
  <c r="J15" i="94"/>
  <c r="J16" i="94"/>
  <c r="J13" i="95"/>
  <c r="H14" i="95"/>
  <c r="J14" i="95"/>
  <c r="Q12" i="95"/>
  <c r="I12" i="95"/>
  <c r="K12" i="95"/>
  <c r="G12" i="95"/>
  <c r="H12" i="95" s="1"/>
  <c r="J22" i="95"/>
  <c r="J8" i="95"/>
  <c r="K17" i="95"/>
  <c r="G17" i="95"/>
  <c r="H17" i="95" s="1"/>
  <c r="I17" i="95"/>
  <c r="J10" i="95"/>
  <c r="J18" i="95"/>
  <c r="J15" i="95"/>
  <c r="J20" i="95"/>
  <c r="J6" i="95"/>
  <c r="J22" i="94"/>
  <c r="I12" i="94"/>
  <c r="K12" i="94"/>
  <c r="G12" i="94"/>
  <c r="H12" i="94" s="1"/>
  <c r="J8" i="94"/>
  <c r="J20" i="94"/>
  <c r="J13" i="94"/>
  <c r="J5" i="94"/>
  <c r="Q12" i="94"/>
  <c r="J6" i="94"/>
  <c r="J10" i="94"/>
  <c r="J9" i="94"/>
  <c r="J17" i="94" l="1"/>
  <c r="J12" i="95"/>
  <c r="J17" i="95"/>
  <c r="J12" i="94"/>
  <c r="P22" i="103" l="1"/>
  <c r="D22" i="103"/>
  <c r="G22" i="103" s="1"/>
  <c r="C22" i="103"/>
  <c r="P22" i="102"/>
  <c r="D22" i="102"/>
  <c r="O22" i="102" s="1"/>
  <c r="C22" i="102"/>
  <c r="K22" i="102" s="1"/>
  <c r="P22" i="101"/>
  <c r="D22" i="101"/>
  <c r="C22" i="101"/>
  <c r="P22" i="100"/>
  <c r="D22" i="100"/>
  <c r="O22" i="100" s="1"/>
  <c r="C22" i="100"/>
  <c r="P22" i="99"/>
  <c r="C22" i="99"/>
  <c r="P22" i="98"/>
  <c r="D22" i="98"/>
  <c r="O22" i="98" s="1"/>
  <c r="C22" i="98"/>
  <c r="P22" i="97"/>
  <c r="C22" i="97"/>
  <c r="P22" i="96"/>
  <c r="D22" i="96"/>
  <c r="O22" i="96" s="1"/>
  <c r="C22" i="96"/>
  <c r="P21" i="103"/>
  <c r="D21" i="103"/>
  <c r="I21" i="103" s="1"/>
  <c r="C21" i="103"/>
  <c r="P21" i="102"/>
  <c r="D21" i="102"/>
  <c r="O21" i="102" s="1"/>
  <c r="C21" i="102"/>
  <c r="K21" i="102" s="1"/>
  <c r="P21" i="101"/>
  <c r="D21" i="101"/>
  <c r="C21" i="101"/>
  <c r="P21" i="100"/>
  <c r="D21" i="100"/>
  <c r="C21" i="100"/>
  <c r="P21" i="99"/>
  <c r="D21" i="99"/>
  <c r="G21" i="99" s="1"/>
  <c r="C21" i="99"/>
  <c r="P21" i="98"/>
  <c r="D21" i="98"/>
  <c r="C21" i="98"/>
  <c r="P21" i="97"/>
  <c r="C21" i="97"/>
  <c r="P21" i="96"/>
  <c r="D21" i="96"/>
  <c r="G21" i="96" s="1"/>
  <c r="H21" i="96" s="1"/>
  <c r="C21" i="96"/>
  <c r="P20" i="103"/>
  <c r="D20" i="103"/>
  <c r="I20" i="103" s="1"/>
  <c r="C20" i="103"/>
  <c r="P20" i="102"/>
  <c r="D20" i="102"/>
  <c r="C20" i="102"/>
  <c r="P20" i="101"/>
  <c r="D20" i="101"/>
  <c r="I20" i="101" s="1"/>
  <c r="C20" i="101"/>
  <c r="P20" i="100"/>
  <c r="D20" i="100"/>
  <c r="C20" i="100"/>
  <c r="P20" i="99"/>
  <c r="D20" i="99"/>
  <c r="O20" i="99" s="1"/>
  <c r="Q20" i="99" s="1"/>
  <c r="C20" i="99"/>
  <c r="P20" i="98"/>
  <c r="D20" i="98"/>
  <c r="I20" i="98" s="1"/>
  <c r="C20" i="98"/>
  <c r="P20" i="97"/>
  <c r="C20" i="97"/>
  <c r="P20" i="96"/>
  <c r="D20" i="96"/>
  <c r="I20" i="96" s="1"/>
  <c r="C20" i="96"/>
  <c r="P19" i="103"/>
  <c r="C19" i="103"/>
  <c r="P19" i="102"/>
  <c r="D19" i="102"/>
  <c r="I19" i="102" s="1"/>
  <c r="C19" i="102"/>
  <c r="P19" i="101"/>
  <c r="C19" i="101"/>
  <c r="P19" i="100"/>
  <c r="D19" i="100"/>
  <c r="I19" i="100" s="1"/>
  <c r="C19" i="100"/>
  <c r="P19" i="99"/>
  <c r="C19" i="99"/>
  <c r="P19" i="98"/>
  <c r="D19" i="98"/>
  <c r="O19" i="98" s="1"/>
  <c r="C19" i="98"/>
  <c r="P19" i="97"/>
  <c r="C19" i="97"/>
  <c r="P19" i="96"/>
  <c r="D19" i="96"/>
  <c r="O19" i="96" s="1"/>
  <c r="C19" i="96"/>
  <c r="P18" i="103"/>
  <c r="C18" i="103"/>
  <c r="P18" i="102"/>
  <c r="D18" i="102"/>
  <c r="O18" i="102" s="1"/>
  <c r="C18" i="102"/>
  <c r="P18" i="101"/>
  <c r="D18" i="101"/>
  <c r="C18" i="101"/>
  <c r="P18" i="100"/>
  <c r="D18" i="100"/>
  <c r="O18" i="100" s="1"/>
  <c r="Q18" i="100" s="1"/>
  <c r="C18" i="100"/>
  <c r="P18" i="99"/>
  <c r="C18" i="99"/>
  <c r="P18" i="98"/>
  <c r="D18" i="98"/>
  <c r="I18" i="98" s="1"/>
  <c r="C18" i="98"/>
  <c r="P18" i="97"/>
  <c r="C18" i="97"/>
  <c r="P18" i="96"/>
  <c r="D18" i="96"/>
  <c r="G18" i="96" s="1"/>
  <c r="H18" i="96" s="1"/>
  <c r="C18" i="96"/>
  <c r="P16" i="103"/>
  <c r="D16" i="103"/>
  <c r="O16" i="103" s="1"/>
  <c r="C16" i="103"/>
  <c r="K16" i="103" s="1"/>
  <c r="P16" i="102"/>
  <c r="D16" i="102"/>
  <c r="O16" i="102" s="1"/>
  <c r="C16" i="102"/>
  <c r="P16" i="101"/>
  <c r="D16" i="101"/>
  <c r="G16" i="101" s="1"/>
  <c r="H16" i="101" s="1"/>
  <c r="C16" i="101"/>
  <c r="P16" i="100"/>
  <c r="D16" i="100"/>
  <c r="O16" i="100" s="1"/>
  <c r="C16" i="100"/>
  <c r="P16" i="99"/>
  <c r="D16" i="99"/>
  <c r="G16" i="99" s="1"/>
  <c r="H16" i="99" s="1"/>
  <c r="C16" i="99"/>
  <c r="D16" i="98"/>
  <c r="C16" i="98"/>
  <c r="P16" i="97"/>
  <c r="D16" i="97"/>
  <c r="O16" i="97" s="1"/>
  <c r="C16" i="97"/>
  <c r="P16" i="96"/>
  <c r="D16" i="96"/>
  <c r="O16" i="96" s="1"/>
  <c r="Q16" i="96" s="1"/>
  <c r="C16" i="96"/>
  <c r="P15" i="103"/>
  <c r="D15" i="103"/>
  <c r="O15" i="103" s="1"/>
  <c r="C15" i="103"/>
  <c r="P15" i="102"/>
  <c r="D15" i="102"/>
  <c r="C15" i="102"/>
  <c r="P15" i="101"/>
  <c r="D15" i="101"/>
  <c r="C15" i="101"/>
  <c r="P15" i="100"/>
  <c r="D15" i="100"/>
  <c r="O15" i="100" s="1"/>
  <c r="Q15" i="100" s="1"/>
  <c r="C15" i="100"/>
  <c r="P15" i="99"/>
  <c r="D15" i="99"/>
  <c r="C15" i="99"/>
  <c r="P16" i="98"/>
  <c r="P15" i="98"/>
  <c r="D15" i="98"/>
  <c r="C15" i="98"/>
  <c r="P15" i="97"/>
  <c r="C15" i="97"/>
  <c r="P15" i="96"/>
  <c r="D15" i="96"/>
  <c r="I15" i="96" s="1"/>
  <c r="C15" i="96"/>
  <c r="P14" i="103"/>
  <c r="C14" i="103"/>
  <c r="P14" i="102"/>
  <c r="D14" i="102"/>
  <c r="C14" i="102"/>
  <c r="P14" i="101"/>
  <c r="C14" i="101"/>
  <c r="P14" i="100"/>
  <c r="D14" i="100"/>
  <c r="C14" i="100"/>
  <c r="P14" i="99"/>
  <c r="D14" i="99"/>
  <c r="G14" i="99" s="1"/>
  <c r="H14" i="99" s="1"/>
  <c r="C14" i="99"/>
  <c r="P14" i="98"/>
  <c r="D14" i="98"/>
  <c r="O14" i="98" s="1"/>
  <c r="C14" i="98"/>
  <c r="P14" i="97"/>
  <c r="C14" i="97"/>
  <c r="P14" i="96"/>
  <c r="D14" i="96"/>
  <c r="G14" i="96" s="1"/>
  <c r="H14" i="96" s="1"/>
  <c r="C14" i="96"/>
  <c r="P13" i="103"/>
  <c r="C13" i="103"/>
  <c r="P13" i="102"/>
  <c r="C13" i="102"/>
  <c r="P13" i="101"/>
  <c r="C13" i="101"/>
  <c r="P13" i="100"/>
  <c r="C13" i="100"/>
  <c r="P13" i="99"/>
  <c r="C13" i="99"/>
  <c r="P13" i="98"/>
  <c r="D13" i="98"/>
  <c r="I13" i="98" s="1"/>
  <c r="C13" i="98"/>
  <c r="P13" i="97"/>
  <c r="C13" i="97"/>
  <c r="P13" i="96"/>
  <c r="D13" i="96"/>
  <c r="C13" i="96"/>
  <c r="P11" i="103"/>
  <c r="D11" i="103"/>
  <c r="I11" i="103" s="1"/>
  <c r="C11" i="103"/>
  <c r="P11" i="102"/>
  <c r="D11" i="102"/>
  <c r="K11" i="102" s="1"/>
  <c r="C11" i="102"/>
  <c r="P11" i="101"/>
  <c r="D11" i="101"/>
  <c r="I11" i="101" s="1"/>
  <c r="C11" i="101"/>
  <c r="P11" i="100"/>
  <c r="D11" i="100"/>
  <c r="C11" i="100"/>
  <c r="P11" i="99"/>
  <c r="D11" i="99"/>
  <c r="G11" i="99" s="1"/>
  <c r="C11" i="99"/>
  <c r="P11" i="98"/>
  <c r="D11" i="98"/>
  <c r="O11" i="98" s="1"/>
  <c r="C11" i="98"/>
  <c r="P11" i="97"/>
  <c r="D11" i="97"/>
  <c r="C11" i="97"/>
  <c r="P11" i="96"/>
  <c r="D11" i="96"/>
  <c r="O11" i="96" s="1"/>
  <c r="C11" i="96"/>
  <c r="P10" i="103"/>
  <c r="D10" i="103"/>
  <c r="O10" i="103" s="1"/>
  <c r="C10" i="103"/>
  <c r="P10" i="102"/>
  <c r="D10" i="102"/>
  <c r="I10" i="102" s="1"/>
  <c r="C10" i="102"/>
  <c r="P10" i="101"/>
  <c r="D10" i="101"/>
  <c r="I10" i="101" s="1"/>
  <c r="C10" i="101"/>
  <c r="P10" i="100"/>
  <c r="D10" i="100"/>
  <c r="I10" i="100" s="1"/>
  <c r="C10" i="100"/>
  <c r="P10" i="99"/>
  <c r="D10" i="99"/>
  <c r="C10" i="99"/>
  <c r="P10" i="98"/>
  <c r="D10" i="98"/>
  <c r="I10" i="98" s="1"/>
  <c r="C10" i="98"/>
  <c r="P10" i="97"/>
  <c r="C10" i="97"/>
  <c r="P10" i="96"/>
  <c r="D10" i="96"/>
  <c r="I10" i="96" s="1"/>
  <c r="C10" i="96"/>
  <c r="P9" i="103"/>
  <c r="D9" i="103"/>
  <c r="C9" i="103"/>
  <c r="P9" i="102"/>
  <c r="D9" i="102"/>
  <c r="C9" i="102"/>
  <c r="P9" i="101"/>
  <c r="D9" i="101"/>
  <c r="I9" i="101" s="1"/>
  <c r="C9" i="101"/>
  <c r="P9" i="100"/>
  <c r="D9" i="100"/>
  <c r="I9" i="100" s="1"/>
  <c r="C9" i="100"/>
  <c r="P9" i="99"/>
  <c r="D9" i="99"/>
  <c r="O9" i="99" s="1"/>
  <c r="Q9" i="99" s="1"/>
  <c r="C9" i="99"/>
  <c r="P9" i="98"/>
  <c r="D9" i="98"/>
  <c r="O9" i="98" s="1"/>
  <c r="C9" i="98"/>
  <c r="P9" i="97"/>
  <c r="C9" i="97"/>
  <c r="P9" i="96"/>
  <c r="D9" i="96"/>
  <c r="I9" i="96" s="1"/>
  <c r="C9" i="96"/>
  <c r="P8" i="103"/>
  <c r="D8" i="103"/>
  <c r="I8" i="103" s="1"/>
  <c r="C8" i="103"/>
  <c r="P8" i="102"/>
  <c r="D8" i="102"/>
  <c r="O8" i="102" s="1"/>
  <c r="C8" i="102"/>
  <c r="P8" i="101"/>
  <c r="D8" i="101"/>
  <c r="C8" i="101"/>
  <c r="P8" i="100"/>
  <c r="D8" i="100"/>
  <c r="O8" i="100" s="1"/>
  <c r="C8" i="100"/>
  <c r="P8" i="99"/>
  <c r="D8" i="99"/>
  <c r="C8" i="99"/>
  <c r="P8" i="98"/>
  <c r="D8" i="98"/>
  <c r="O8" i="98" s="1"/>
  <c r="C8" i="98"/>
  <c r="P8" i="97"/>
  <c r="D8" i="97"/>
  <c r="O8" i="97" s="1"/>
  <c r="C8" i="97"/>
  <c r="P8" i="96"/>
  <c r="D8" i="96"/>
  <c r="O8" i="96" s="1"/>
  <c r="C8" i="96"/>
  <c r="P7" i="103"/>
  <c r="C7" i="103"/>
  <c r="P7" i="102"/>
  <c r="D7" i="102"/>
  <c r="C7" i="102"/>
  <c r="P7" i="101"/>
  <c r="C7" i="101"/>
  <c r="P7" i="100"/>
  <c r="D7" i="100"/>
  <c r="I7" i="100" s="1"/>
  <c r="C7" i="100"/>
  <c r="P7" i="99"/>
  <c r="C7" i="99"/>
  <c r="P7" i="98"/>
  <c r="D7" i="98"/>
  <c r="K7" i="98" s="1"/>
  <c r="C7" i="98"/>
  <c r="P7" i="97"/>
  <c r="C7" i="97"/>
  <c r="P7" i="96"/>
  <c r="D7" i="96"/>
  <c r="O7" i="96" s="1"/>
  <c r="C7" i="96"/>
  <c r="P6" i="103"/>
  <c r="C6" i="103"/>
  <c r="P6" i="102"/>
  <c r="D6" i="102"/>
  <c r="I6" i="102" s="1"/>
  <c r="C6" i="102"/>
  <c r="P6" i="101"/>
  <c r="C6" i="101"/>
  <c r="P6" i="100"/>
  <c r="D6" i="100"/>
  <c r="I6" i="100" s="1"/>
  <c r="C6" i="100"/>
  <c r="P6" i="99"/>
  <c r="C6" i="99"/>
  <c r="P6" i="98"/>
  <c r="C6" i="98"/>
  <c r="P6" i="97"/>
  <c r="C6" i="97"/>
  <c r="P6" i="96"/>
  <c r="C6" i="96"/>
  <c r="P5" i="103"/>
  <c r="C5" i="103"/>
  <c r="P5" i="102"/>
  <c r="D5" i="102"/>
  <c r="G5" i="102" s="1"/>
  <c r="H5" i="102" s="1"/>
  <c r="C5" i="102"/>
  <c r="P5" i="101"/>
  <c r="C5" i="101"/>
  <c r="P5" i="100"/>
  <c r="C5" i="100"/>
  <c r="P5" i="99"/>
  <c r="C5" i="99"/>
  <c r="P5" i="98"/>
  <c r="C5" i="98"/>
  <c r="P5" i="97"/>
  <c r="C5" i="97"/>
  <c r="P5" i="96"/>
  <c r="C5" i="96"/>
  <c r="F17" i="103"/>
  <c r="E17" i="103"/>
  <c r="I16" i="103"/>
  <c r="G15" i="103"/>
  <c r="H15" i="103" s="1"/>
  <c r="F12" i="103"/>
  <c r="E12" i="103"/>
  <c r="I10" i="103"/>
  <c r="O9" i="103"/>
  <c r="I9" i="103"/>
  <c r="I21" i="102"/>
  <c r="G21" i="102"/>
  <c r="I20" i="102"/>
  <c r="F17" i="102"/>
  <c r="E17" i="102"/>
  <c r="I16" i="102"/>
  <c r="G16" i="102"/>
  <c r="H16" i="102" s="1"/>
  <c r="F12" i="102"/>
  <c r="E12" i="102"/>
  <c r="I9" i="102"/>
  <c r="O9" i="102"/>
  <c r="O7" i="102"/>
  <c r="G7" i="102"/>
  <c r="H7" i="102" s="1"/>
  <c r="F17" i="101"/>
  <c r="E17" i="101"/>
  <c r="F12" i="101"/>
  <c r="E12" i="101"/>
  <c r="I20" i="100"/>
  <c r="F17" i="100"/>
  <c r="E17" i="100"/>
  <c r="G14" i="100"/>
  <c r="H14" i="100" s="1"/>
  <c r="F12" i="100"/>
  <c r="E12" i="100"/>
  <c r="I11" i="100"/>
  <c r="F17" i="99"/>
  <c r="E17" i="99"/>
  <c r="I16" i="99"/>
  <c r="O16" i="99"/>
  <c r="F12" i="99"/>
  <c r="E12" i="99"/>
  <c r="O10" i="99"/>
  <c r="Q10" i="99" s="1"/>
  <c r="I10" i="99"/>
  <c r="O21" i="98"/>
  <c r="I21" i="98"/>
  <c r="G21" i="98"/>
  <c r="O18" i="98"/>
  <c r="F17" i="98"/>
  <c r="E17" i="98"/>
  <c r="O16" i="98"/>
  <c r="O15" i="98"/>
  <c r="I15" i="98"/>
  <c r="I14" i="98"/>
  <c r="F12" i="98"/>
  <c r="E12" i="98"/>
  <c r="I9" i="98"/>
  <c r="F17" i="97"/>
  <c r="E17" i="97"/>
  <c r="G16" i="97"/>
  <c r="H16" i="97" s="1"/>
  <c r="F12" i="97"/>
  <c r="E12" i="97"/>
  <c r="K8" i="97"/>
  <c r="G22" i="96"/>
  <c r="H22" i="96" s="1"/>
  <c r="I19" i="96"/>
  <c r="F17" i="96"/>
  <c r="E17" i="96"/>
  <c r="I13" i="96"/>
  <c r="F12" i="96"/>
  <c r="E12" i="96"/>
  <c r="G11" i="96"/>
  <c r="H11" i="96" s="1"/>
  <c r="I14" i="99" l="1"/>
  <c r="K8" i="102"/>
  <c r="K9" i="102"/>
  <c r="I22" i="100"/>
  <c r="O11" i="102"/>
  <c r="Q11" i="102" s="1"/>
  <c r="J7" i="102"/>
  <c r="I16" i="96"/>
  <c r="D17" i="102"/>
  <c r="O14" i="99"/>
  <c r="Q14" i="99" s="1"/>
  <c r="I11" i="98"/>
  <c r="I20" i="99"/>
  <c r="I21" i="99"/>
  <c r="K16" i="102"/>
  <c r="Q22" i="96"/>
  <c r="I22" i="98"/>
  <c r="O21" i="99"/>
  <c r="Q21" i="99" s="1"/>
  <c r="K21" i="101"/>
  <c r="G19" i="102"/>
  <c r="H19" i="102" s="1"/>
  <c r="O19" i="102"/>
  <c r="K18" i="102"/>
  <c r="K18" i="101"/>
  <c r="Q16" i="103"/>
  <c r="Q16" i="98"/>
  <c r="K15" i="103"/>
  <c r="J15" i="103"/>
  <c r="K15" i="99"/>
  <c r="C17" i="100"/>
  <c r="K15" i="98"/>
  <c r="I14" i="102"/>
  <c r="G14" i="102"/>
  <c r="H14" i="102" s="1"/>
  <c r="O14" i="102"/>
  <c r="G14" i="98"/>
  <c r="H14" i="98" s="1"/>
  <c r="K14" i="98"/>
  <c r="O14" i="96"/>
  <c r="Q14" i="96" s="1"/>
  <c r="C17" i="98"/>
  <c r="C17" i="97"/>
  <c r="G11" i="98"/>
  <c r="K11" i="98"/>
  <c r="J11" i="96"/>
  <c r="G11" i="102"/>
  <c r="H11" i="102" s="1"/>
  <c r="K9" i="103"/>
  <c r="G9" i="99"/>
  <c r="H9" i="99" s="1"/>
  <c r="I9" i="99"/>
  <c r="K9" i="99"/>
  <c r="Q10" i="103"/>
  <c r="O10" i="101"/>
  <c r="Q10" i="101" s="1"/>
  <c r="Q8" i="100"/>
  <c r="Q8" i="96"/>
  <c r="O8" i="103"/>
  <c r="Q8" i="103" s="1"/>
  <c r="G8" i="103"/>
  <c r="K8" i="103"/>
  <c r="I8" i="98"/>
  <c r="K8" i="98"/>
  <c r="K8" i="99"/>
  <c r="K8" i="101"/>
  <c r="Q7" i="96"/>
  <c r="I7" i="102"/>
  <c r="K7" i="102"/>
  <c r="G7" i="98"/>
  <c r="I7" i="98"/>
  <c r="O7" i="98"/>
  <c r="Q7" i="98" s="1"/>
  <c r="K7" i="96"/>
  <c r="C12" i="101"/>
  <c r="K5" i="102"/>
  <c r="I5" i="102"/>
  <c r="K21" i="98"/>
  <c r="I22" i="103"/>
  <c r="Q22" i="100"/>
  <c r="I19" i="98"/>
  <c r="O22" i="103"/>
  <c r="Q22" i="103" s="1"/>
  <c r="K22" i="103"/>
  <c r="K22" i="98"/>
  <c r="K22" i="101"/>
  <c r="K21" i="99"/>
  <c r="K21" i="96"/>
  <c r="O20" i="103"/>
  <c r="Q20" i="103" s="1"/>
  <c r="Q19" i="96"/>
  <c r="K19" i="102"/>
  <c r="Q18" i="102"/>
  <c r="K18" i="98"/>
  <c r="Q16" i="100"/>
  <c r="Q16" i="97"/>
  <c r="Q16" i="99"/>
  <c r="K16" i="99"/>
  <c r="I15" i="100"/>
  <c r="I15" i="103"/>
  <c r="K15" i="100"/>
  <c r="O15" i="96"/>
  <c r="Q15" i="96" s="1"/>
  <c r="C17" i="103"/>
  <c r="K15" i="102"/>
  <c r="C17" i="96"/>
  <c r="C17" i="99"/>
  <c r="Q14" i="98"/>
  <c r="K14" i="102"/>
  <c r="D17" i="98"/>
  <c r="J14" i="98"/>
  <c r="C17" i="102"/>
  <c r="K17" i="102" s="1"/>
  <c r="C17" i="101"/>
  <c r="Q11" i="96"/>
  <c r="K11" i="100"/>
  <c r="H11" i="99"/>
  <c r="J11" i="99"/>
  <c r="I11" i="99"/>
  <c r="K11" i="99"/>
  <c r="I11" i="102"/>
  <c r="Q9" i="103"/>
  <c r="G9" i="102"/>
  <c r="H9" i="102" s="1"/>
  <c r="K9" i="100"/>
  <c r="C12" i="102"/>
  <c r="C12" i="98"/>
  <c r="C12" i="96"/>
  <c r="Q8" i="97"/>
  <c r="C12" i="100"/>
  <c r="C12" i="103"/>
  <c r="C12" i="99"/>
  <c r="C12" i="97"/>
  <c r="O5" i="102"/>
  <c r="Q5" i="102" s="1"/>
  <c r="K11" i="97"/>
  <c r="I11" i="97"/>
  <c r="G21" i="101"/>
  <c r="H21" i="101" s="1"/>
  <c r="G11" i="97"/>
  <c r="I16" i="98"/>
  <c r="O14" i="100"/>
  <c r="Q14" i="100" s="1"/>
  <c r="J14" i="100"/>
  <c r="K14" i="100"/>
  <c r="K15" i="101"/>
  <c r="O18" i="96"/>
  <c r="Q18" i="96" s="1"/>
  <c r="J18" i="96"/>
  <c r="I18" i="96"/>
  <c r="K18" i="96"/>
  <c r="G21" i="100"/>
  <c r="H21" i="100" s="1"/>
  <c r="O21" i="100"/>
  <c r="Q21" i="100" s="1"/>
  <c r="I22" i="96"/>
  <c r="K22" i="96"/>
  <c r="O9" i="96"/>
  <c r="Q9" i="96" s="1"/>
  <c r="K11" i="96"/>
  <c r="G15" i="96"/>
  <c r="H21" i="98"/>
  <c r="J21" i="98"/>
  <c r="I14" i="100"/>
  <c r="I16" i="100"/>
  <c r="K18" i="100"/>
  <c r="I21" i="100"/>
  <c r="O21" i="101"/>
  <c r="Q21" i="101" s="1"/>
  <c r="H21" i="102"/>
  <c r="J21" i="102"/>
  <c r="H11" i="98"/>
  <c r="J11" i="98"/>
  <c r="O9" i="101"/>
  <c r="Q9" i="101" s="1"/>
  <c r="K9" i="101"/>
  <c r="K11" i="101"/>
  <c r="K16" i="101"/>
  <c r="I16" i="101"/>
  <c r="H7" i="98"/>
  <c r="J7" i="98"/>
  <c r="Q9" i="98"/>
  <c r="G9" i="101"/>
  <c r="H9" i="101" s="1"/>
  <c r="G11" i="101"/>
  <c r="H11" i="101" s="1"/>
  <c r="O16" i="101"/>
  <c r="Q16" i="101" s="1"/>
  <c r="I21" i="101"/>
  <c r="Q7" i="102"/>
  <c r="Q9" i="102"/>
  <c r="Q15" i="103"/>
  <c r="H22" i="103"/>
  <c r="J22" i="103"/>
  <c r="G7" i="100"/>
  <c r="H7" i="100" s="1"/>
  <c r="O7" i="100"/>
  <c r="Q7" i="100" s="1"/>
  <c r="I8" i="96"/>
  <c r="K8" i="96"/>
  <c r="K8" i="100"/>
  <c r="G9" i="100"/>
  <c r="H9" i="100" s="1"/>
  <c r="O9" i="100"/>
  <c r="Q9" i="100" s="1"/>
  <c r="G11" i="100"/>
  <c r="H11" i="100" s="1"/>
  <c r="O11" i="100"/>
  <c r="Q11" i="100" s="1"/>
  <c r="D17" i="96"/>
  <c r="J14" i="96"/>
  <c r="K16" i="97"/>
  <c r="I16" i="97"/>
  <c r="G19" i="100"/>
  <c r="H19" i="100" s="1"/>
  <c r="O19" i="100"/>
  <c r="Q19" i="100" s="1"/>
  <c r="J21" i="96"/>
  <c r="O21" i="96"/>
  <c r="Q21" i="96" s="1"/>
  <c r="K22" i="100"/>
  <c r="G7" i="96"/>
  <c r="H7" i="96" s="1"/>
  <c r="G8" i="96"/>
  <c r="H8" i="96" s="1"/>
  <c r="K14" i="96"/>
  <c r="J22" i="96"/>
  <c r="Q19" i="98"/>
  <c r="J14" i="99"/>
  <c r="H21" i="99"/>
  <c r="J21" i="99"/>
  <c r="K7" i="100"/>
  <c r="D17" i="100"/>
  <c r="G17" i="100" s="1"/>
  <c r="H17" i="100" s="1"/>
  <c r="K21" i="100"/>
  <c r="O20" i="101"/>
  <c r="Q20" i="101" s="1"/>
  <c r="O15" i="102"/>
  <c r="Q15" i="102" s="1"/>
  <c r="Q22" i="102"/>
  <c r="Q14" i="102"/>
  <c r="Q16" i="102"/>
  <c r="Q22" i="98"/>
  <c r="Q8" i="98"/>
  <c r="Q11" i="98"/>
  <c r="Q15" i="98"/>
  <c r="Q18" i="98"/>
  <c r="Q21" i="98"/>
  <c r="Q8" i="102"/>
  <c r="Q19" i="102"/>
  <c r="Q21" i="102"/>
  <c r="G11" i="103"/>
  <c r="H11" i="103" s="1"/>
  <c r="K21" i="103"/>
  <c r="G10" i="103"/>
  <c r="H10" i="103" s="1"/>
  <c r="K10" i="103"/>
  <c r="O11" i="103"/>
  <c r="Q11" i="103" s="1"/>
  <c r="G20" i="103"/>
  <c r="H20" i="103" s="1"/>
  <c r="K20" i="103"/>
  <c r="O21" i="103"/>
  <c r="Q21" i="103" s="1"/>
  <c r="K11" i="103"/>
  <c r="G21" i="103"/>
  <c r="H21" i="103" s="1"/>
  <c r="G9" i="103"/>
  <c r="H9" i="103" s="1"/>
  <c r="G16" i="103"/>
  <c r="H16" i="103" s="1"/>
  <c r="J5" i="102"/>
  <c r="G6" i="102"/>
  <c r="H6" i="102" s="1"/>
  <c r="K6" i="102"/>
  <c r="I8" i="102"/>
  <c r="J9" i="102"/>
  <c r="G10" i="102"/>
  <c r="H10" i="102" s="1"/>
  <c r="K10" i="102"/>
  <c r="I15" i="102"/>
  <c r="J16" i="102"/>
  <c r="I17" i="102"/>
  <c r="I18" i="102"/>
  <c r="J19" i="102"/>
  <c r="G20" i="102"/>
  <c r="H20" i="102" s="1"/>
  <c r="K20" i="102"/>
  <c r="I22" i="102"/>
  <c r="O6" i="102"/>
  <c r="Q6" i="102" s="1"/>
  <c r="O10" i="102"/>
  <c r="Q10" i="102" s="1"/>
  <c r="D12" i="102"/>
  <c r="O20" i="102"/>
  <c r="Q20" i="102" s="1"/>
  <c r="G8" i="102"/>
  <c r="H8" i="102" s="1"/>
  <c r="G15" i="102"/>
  <c r="H15" i="102" s="1"/>
  <c r="G17" i="102"/>
  <c r="H17" i="102" s="1"/>
  <c r="G18" i="102"/>
  <c r="H18" i="102" s="1"/>
  <c r="G22" i="102"/>
  <c r="H22" i="102" s="1"/>
  <c r="O8" i="101"/>
  <c r="Q8" i="101" s="1"/>
  <c r="O15" i="101"/>
  <c r="Q15" i="101" s="1"/>
  <c r="O18" i="101"/>
  <c r="Q18" i="101" s="1"/>
  <c r="O22" i="101"/>
  <c r="Q22" i="101" s="1"/>
  <c r="I8" i="101"/>
  <c r="G10" i="101"/>
  <c r="H10" i="101" s="1"/>
  <c r="K10" i="101"/>
  <c r="O11" i="101"/>
  <c r="Q11" i="101" s="1"/>
  <c r="I15" i="101"/>
  <c r="J16" i="101"/>
  <c r="I18" i="101"/>
  <c r="G20" i="101"/>
  <c r="H20" i="101" s="1"/>
  <c r="K20" i="101"/>
  <c r="I22" i="101"/>
  <c r="G8" i="101"/>
  <c r="H8" i="101" s="1"/>
  <c r="G15" i="101"/>
  <c r="H15" i="101" s="1"/>
  <c r="G18" i="101"/>
  <c r="H18" i="101" s="1"/>
  <c r="G22" i="101"/>
  <c r="H22" i="101" s="1"/>
  <c r="K17" i="100"/>
  <c r="G6" i="100"/>
  <c r="H6" i="100" s="1"/>
  <c r="K6" i="100"/>
  <c r="I8" i="100"/>
  <c r="J9" i="100"/>
  <c r="G10" i="100"/>
  <c r="H10" i="100" s="1"/>
  <c r="K10" i="100"/>
  <c r="I18" i="100"/>
  <c r="G20" i="100"/>
  <c r="H20" i="100" s="1"/>
  <c r="K20" i="100"/>
  <c r="O6" i="100"/>
  <c r="Q6" i="100" s="1"/>
  <c r="O10" i="100"/>
  <c r="Q10" i="100" s="1"/>
  <c r="D12" i="100"/>
  <c r="G16" i="100"/>
  <c r="H16" i="100" s="1"/>
  <c r="K16" i="100"/>
  <c r="K19" i="100"/>
  <c r="O20" i="100"/>
  <c r="Q20" i="100" s="1"/>
  <c r="G8" i="100"/>
  <c r="H8" i="100" s="1"/>
  <c r="G15" i="100"/>
  <c r="H15" i="100" s="1"/>
  <c r="G18" i="100"/>
  <c r="H18" i="100" s="1"/>
  <c r="G22" i="100"/>
  <c r="H22" i="100" s="1"/>
  <c r="O8" i="99"/>
  <c r="Q8" i="99" s="1"/>
  <c r="K14" i="99"/>
  <c r="O15" i="99"/>
  <c r="Q15" i="99" s="1"/>
  <c r="Q17" i="99" s="1"/>
  <c r="D17" i="99"/>
  <c r="I8" i="99"/>
  <c r="G10" i="99"/>
  <c r="H10" i="99" s="1"/>
  <c r="K10" i="99"/>
  <c r="O11" i="99"/>
  <c r="Q11" i="99" s="1"/>
  <c r="I15" i="99"/>
  <c r="J16" i="99"/>
  <c r="G20" i="99"/>
  <c r="H20" i="99" s="1"/>
  <c r="K20" i="99"/>
  <c r="G8" i="99"/>
  <c r="H8" i="99" s="1"/>
  <c r="G15" i="99"/>
  <c r="H15" i="99" s="1"/>
  <c r="G10" i="98"/>
  <c r="H10" i="98" s="1"/>
  <c r="K13" i="98"/>
  <c r="K10" i="98"/>
  <c r="G9" i="98"/>
  <c r="H9" i="98" s="1"/>
  <c r="K9" i="98"/>
  <c r="O10" i="98"/>
  <c r="Q10" i="98" s="1"/>
  <c r="O13" i="98"/>
  <c r="Q13" i="98" s="1"/>
  <c r="G16" i="98"/>
  <c r="H16" i="98" s="1"/>
  <c r="K16" i="98"/>
  <c r="G19" i="98"/>
  <c r="H19" i="98" s="1"/>
  <c r="K19" i="98"/>
  <c r="O20" i="98"/>
  <c r="Q20" i="98" s="1"/>
  <c r="G13" i="98"/>
  <c r="H13" i="98" s="1"/>
  <c r="G20" i="98"/>
  <c r="H20" i="98" s="1"/>
  <c r="K20" i="98"/>
  <c r="G8" i="98"/>
  <c r="H8" i="98" s="1"/>
  <c r="G15" i="98"/>
  <c r="H15" i="98" s="1"/>
  <c r="G18" i="98"/>
  <c r="H18" i="98" s="1"/>
  <c r="G22" i="98"/>
  <c r="H22" i="98" s="1"/>
  <c r="I8" i="97"/>
  <c r="O11" i="97"/>
  <c r="Q11" i="97" s="1"/>
  <c r="J16" i="97"/>
  <c r="G8" i="97"/>
  <c r="H8" i="97" s="1"/>
  <c r="G10" i="96"/>
  <c r="H10" i="96" s="1"/>
  <c r="K10" i="96"/>
  <c r="G13" i="96"/>
  <c r="H13" i="96" s="1"/>
  <c r="K13" i="96"/>
  <c r="G20" i="96"/>
  <c r="H20" i="96" s="1"/>
  <c r="K20" i="96"/>
  <c r="I7" i="96"/>
  <c r="G9" i="96"/>
  <c r="H9" i="96" s="1"/>
  <c r="K9" i="96"/>
  <c r="O10" i="96"/>
  <c r="Q10" i="96" s="1"/>
  <c r="I11" i="96"/>
  <c r="O13" i="96"/>
  <c r="Q13" i="96" s="1"/>
  <c r="I14" i="96"/>
  <c r="G16" i="96"/>
  <c r="H16" i="96" s="1"/>
  <c r="K16" i="96"/>
  <c r="G19" i="96"/>
  <c r="H19" i="96" s="1"/>
  <c r="K19" i="96"/>
  <c r="O20" i="96"/>
  <c r="Q20" i="96" s="1"/>
  <c r="I21" i="96"/>
  <c r="K15" i="96"/>
  <c r="J9" i="99" l="1"/>
  <c r="Q17" i="96"/>
  <c r="Q17" i="98"/>
  <c r="J20" i="102"/>
  <c r="J20" i="101"/>
  <c r="Q17" i="100"/>
  <c r="K17" i="98"/>
  <c r="J14" i="102"/>
  <c r="I17" i="100"/>
  <c r="J11" i="103"/>
  <c r="J11" i="102"/>
  <c r="H8" i="103"/>
  <c r="J8" i="103"/>
  <c r="J19" i="100"/>
  <c r="J22" i="100"/>
  <c r="J19" i="98"/>
  <c r="I17" i="98"/>
  <c r="K17" i="96"/>
  <c r="Q17" i="102"/>
  <c r="G17" i="98"/>
  <c r="H17" i="98" s="1"/>
  <c r="G17" i="96"/>
  <c r="H17" i="96" s="1"/>
  <c r="I17" i="96"/>
  <c r="J13" i="96"/>
  <c r="J9" i="101"/>
  <c r="Q12" i="100"/>
  <c r="J10" i="98"/>
  <c r="J8" i="99"/>
  <c r="J6" i="102"/>
  <c r="J9" i="96"/>
  <c r="J15" i="98"/>
  <c r="J18" i="102"/>
  <c r="Q12" i="102"/>
  <c r="J10" i="96"/>
  <c r="J16" i="100"/>
  <c r="J8" i="101"/>
  <c r="J7" i="96"/>
  <c r="H15" i="96"/>
  <c r="J15" i="96"/>
  <c r="H11" i="97"/>
  <c r="J11" i="97"/>
  <c r="J8" i="96"/>
  <c r="J8" i="97"/>
  <c r="J22" i="98"/>
  <c r="J11" i="100"/>
  <c r="J7" i="100"/>
  <c r="J11" i="101"/>
  <c r="J21" i="100"/>
  <c r="J21" i="101"/>
  <c r="J9" i="103"/>
  <c r="J21" i="103"/>
  <c r="J16" i="103"/>
  <c r="J10" i="103"/>
  <c r="J20" i="103"/>
  <c r="I12" i="102"/>
  <c r="K12" i="102"/>
  <c r="G12" i="102"/>
  <c r="H12" i="102" s="1"/>
  <c r="J17" i="102"/>
  <c r="J22" i="102"/>
  <c r="J15" i="102"/>
  <c r="J8" i="102"/>
  <c r="J10" i="102"/>
  <c r="J22" i="101"/>
  <c r="J18" i="101"/>
  <c r="J10" i="101"/>
  <c r="J15" i="101"/>
  <c r="J17" i="100"/>
  <c r="J6" i="100"/>
  <c r="J20" i="100"/>
  <c r="I12" i="100"/>
  <c r="K12" i="100"/>
  <c r="G12" i="100"/>
  <c r="H12" i="100" s="1"/>
  <c r="J10" i="100"/>
  <c r="J18" i="100"/>
  <c r="J15" i="100"/>
  <c r="J8" i="100"/>
  <c r="J10" i="99"/>
  <c r="J15" i="99"/>
  <c r="J20" i="99"/>
  <c r="K17" i="99"/>
  <c r="G17" i="99"/>
  <c r="H17" i="99" s="1"/>
  <c r="I17" i="99"/>
  <c r="J13" i="98"/>
  <c r="J8" i="98"/>
  <c r="J9" i="98"/>
  <c r="J20" i="98"/>
  <c r="J18" i="98"/>
  <c r="J16" i="98"/>
  <c r="J19" i="96"/>
  <c r="J16" i="96"/>
  <c r="J20" i="96"/>
  <c r="J17" i="98" l="1"/>
  <c r="J17" i="96"/>
  <c r="J12" i="102"/>
  <c r="J12" i="100"/>
  <c r="J17" i="99"/>
  <c r="P22" i="87" l="1"/>
  <c r="D22" i="87"/>
  <c r="C22" i="87"/>
  <c r="P22" i="86"/>
  <c r="D22" i="86"/>
  <c r="C22" i="86"/>
  <c r="P21" i="87"/>
  <c r="D21" i="87"/>
  <c r="C21" i="87"/>
  <c r="P21" i="86"/>
  <c r="D21" i="86"/>
  <c r="C21" i="86"/>
  <c r="P20" i="87"/>
  <c r="D20" i="87"/>
  <c r="C20" i="87"/>
  <c r="P20" i="86"/>
  <c r="D20" i="86"/>
  <c r="C20" i="86"/>
  <c r="P19" i="87"/>
  <c r="D19" i="87"/>
  <c r="I19" i="87" s="1"/>
  <c r="C19" i="87"/>
  <c r="P19" i="86"/>
  <c r="D19" i="86"/>
  <c r="C19" i="86"/>
  <c r="P18" i="87"/>
  <c r="D18" i="87"/>
  <c r="C18" i="87"/>
  <c r="P18" i="86"/>
  <c r="D18" i="86"/>
  <c r="O18" i="86" s="1"/>
  <c r="C18" i="86"/>
  <c r="P16" i="87"/>
  <c r="D16" i="87"/>
  <c r="I16" i="87" s="1"/>
  <c r="C16" i="87"/>
  <c r="P16" i="86"/>
  <c r="D16" i="86"/>
  <c r="O16" i="86" s="1"/>
  <c r="Q16" i="86" s="1"/>
  <c r="C16" i="86"/>
  <c r="K16" i="86" s="1"/>
  <c r="P15" i="87"/>
  <c r="D15" i="87"/>
  <c r="C15" i="87"/>
  <c r="P15" i="86"/>
  <c r="D15" i="86"/>
  <c r="C15" i="86"/>
  <c r="P14" i="87"/>
  <c r="D14" i="87"/>
  <c r="C14" i="87"/>
  <c r="P14" i="86"/>
  <c r="D14" i="86"/>
  <c r="G14" i="86" s="1"/>
  <c r="H14" i="86" s="1"/>
  <c r="C14" i="86"/>
  <c r="P13" i="87"/>
  <c r="D13" i="87"/>
  <c r="C13" i="87"/>
  <c r="P13" i="86"/>
  <c r="D13" i="86"/>
  <c r="C13" i="86"/>
  <c r="P11" i="87"/>
  <c r="D11" i="87"/>
  <c r="O11" i="87" s="1"/>
  <c r="Q11" i="87" s="1"/>
  <c r="C11" i="87"/>
  <c r="P11" i="86"/>
  <c r="D11" i="86"/>
  <c r="C11" i="86"/>
  <c r="P10" i="87"/>
  <c r="D10" i="87"/>
  <c r="C10" i="87"/>
  <c r="P10" i="86"/>
  <c r="D10" i="86"/>
  <c r="I10" i="86" s="1"/>
  <c r="C10" i="86"/>
  <c r="P9" i="87"/>
  <c r="D9" i="87"/>
  <c r="I9" i="87" s="1"/>
  <c r="C9" i="87"/>
  <c r="P9" i="86"/>
  <c r="D9" i="86"/>
  <c r="O9" i="86" s="1"/>
  <c r="C9" i="86"/>
  <c r="P8" i="87"/>
  <c r="D8" i="87"/>
  <c r="C8" i="87"/>
  <c r="P8" i="86"/>
  <c r="D8" i="86"/>
  <c r="C8" i="86"/>
  <c r="P7" i="87"/>
  <c r="D7" i="87"/>
  <c r="C7" i="87"/>
  <c r="P7" i="86"/>
  <c r="D7" i="86"/>
  <c r="C7" i="86"/>
  <c r="P6" i="87"/>
  <c r="D6" i="87"/>
  <c r="C6" i="87"/>
  <c r="P6" i="86"/>
  <c r="D6" i="86"/>
  <c r="I6" i="86" s="1"/>
  <c r="C6" i="86"/>
  <c r="P5" i="87"/>
  <c r="D5" i="87"/>
  <c r="I5" i="87" s="1"/>
  <c r="C5" i="87"/>
  <c r="P5" i="86"/>
  <c r="D5" i="86"/>
  <c r="I5" i="86" s="1"/>
  <c r="C5" i="86"/>
  <c r="O22" i="87"/>
  <c r="Q22" i="87" s="1"/>
  <c r="I22" i="87"/>
  <c r="K22" i="87"/>
  <c r="I20" i="87"/>
  <c r="O18" i="87"/>
  <c r="I18" i="87"/>
  <c r="K18" i="87"/>
  <c r="F17" i="87"/>
  <c r="E17" i="87"/>
  <c r="O15" i="87"/>
  <c r="Q15" i="87" s="1"/>
  <c r="I15" i="87"/>
  <c r="I13" i="87"/>
  <c r="F12" i="87"/>
  <c r="E12" i="87"/>
  <c r="I10" i="87"/>
  <c r="O8" i="87"/>
  <c r="Q8" i="87" s="1"/>
  <c r="I8" i="87"/>
  <c r="I6" i="87"/>
  <c r="O22" i="86"/>
  <c r="I22" i="86"/>
  <c r="G22" i="86"/>
  <c r="J22" i="86" s="1"/>
  <c r="G21" i="86"/>
  <c r="H21" i="86" s="1"/>
  <c r="I20" i="86"/>
  <c r="F17" i="86"/>
  <c r="E17" i="86"/>
  <c r="O15" i="86"/>
  <c r="K15" i="86"/>
  <c r="I15" i="86"/>
  <c r="G15" i="86"/>
  <c r="J15" i="86" s="1"/>
  <c r="I13" i="86"/>
  <c r="F12" i="86"/>
  <c r="E12" i="86"/>
  <c r="O8" i="86"/>
  <c r="I8" i="86"/>
  <c r="G8" i="86"/>
  <c r="H8" i="86" s="1"/>
  <c r="K7" i="87" l="1"/>
  <c r="K8" i="86"/>
  <c r="K22" i="86"/>
  <c r="K19" i="86"/>
  <c r="K21" i="87"/>
  <c r="I9" i="86"/>
  <c r="G18" i="86"/>
  <c r="J18" i="86" s="1"/>
  <c r="O21" i="87"/>
  <c r="Q21" i="87" s="1"/>
  <c r="O10" i="86"/>
  <c r="I18" i="86"/>
  <c r="K18" i="86"/>
  <c r="J21" i="86"/>
  <c r="K21" i="86"/>
  <c r="I19" i="86"/>
  <c r="O19" i="86"/>
  <c r="Q19" i="86" s="1"/>
  <c r="Q18" i="87"/>
  <c r="H18" i="86"/>
  <c r="I16" i="86"/>
  <c r="D17" i="87"/>
  <c r="K15" i="87"/>
  <c r="H15" i="86"/>
  <c r="K14" i="86"/>
  <c r="K14" i="87"/>
  <c r="C17" i="87"/>
  <c r="K17" i="87" s="1"/>
  <c r="C17" i="86"/>
  <c r="K11" i="87"/>
  <c r="Q9" i="86"/>
  <c r="K9" i="86"/>
  <c r="D12" i="86"/>
  <c r="I12" i="86" s="1"/>
  <c r="K8" i="87"/>
  <c r="O7" i="87"/>
  <c r="Q7" i="87" s="1"/>
  <c r="C12" i="87"/>
  <c r="C12" i="86"/>
  <c r="O5" i="86"/>
  <c r="Q5" i="86" s="1"/>
  <c r="K5" i="86"/>
  <c r="Q22" i="86"/>
  <c r="H22" i="86"/>
  <c r="O5" i="87"/>
  <c r="Q5" i="87" s="1"/>
  <c r="G7" i="87"/>
  <c r="O9" i="87"/>
  <c r="Q9" i="87" s="1"/>
  <c r="G11" i="87"/>
  <c r="O14" i="87"/>
  <c r="Q14" i="87" s="1"/>
  <c r="O16" i="87"/>
  <c r="Q16" i="87" s="1"/>
  <c r="O19" i="87"/>
  <c r="Q19" i="87" s="1"/>
  <c r="G21" i="87"/>
  <c r="J8" i="86"/>
  <c r="Q8" i="86"/>
  <c r="Q10" i="86"/>
  <c r="I7" i="87"/>
  <c r="I11" i="87"/>
  <c r="G14" i="87"/>
  <c r="H14" i="87" s="1"/>
  <c r="I21" i="87"/>
  <c r="J14" i="86"/>
  <c r="Q15" i="86"/>
  <c r="Q18" i="86"/>
  <c r="I14" i="87"/>
  <c r="K6" i="87"/>
  <c r="K10" i="87"/>
  <c r="G13" i="87"/>
  <c r="H13" i="87" s="1"/>
  <c r="K13" i="87"/>
  <c r="K20" i="87"/>
  <c r="G9" i="87"/>
  <c r="H9" i="87" s="1"/>
  <c r="K9" i="87"/>
  <c r="O10" i="87"/>
  <c r="Q10" i="87" s="1"/>
  <c r="D12" i="87"/>
  <c r="O13" i="87"/>
  <c r="Q13" i="87" s="1"/>
  <c r="G16" i="87"/>
  <c r="H16" i="87" s="1"/>
  <c r="K16" i="87"/>
  <c r="G19" i="87"/>
  <c r="H19" i="87" s="1"/>
  <c r="K19" i="87"/>
  <c r="O20" i="87"/>
  <c r="Q20" i="87" s="1"/>
  <c r="G6" i="87"/>
  <c r="H6" i="87" s="1"/>
  <c r="J9" i="87"/>
  <c r="G10" i="87"/>
  <c r="H10" i="87" s="1"/>
  <c r="I17" i="87"/>
  <c r="G20" i="87"/>
  <c r="H20" i="87" s="1"/>
  <c r="G5" i="87"/>
  <c r="H5" i="87" s="1"/>
  <c r="K5" i="87"/>
  <c r="O6" i="87"/>
  <c r="Q6" i="87" s="1"/>
  <c r="G8" i="87"/>
  <c r="H8" i="87" s="1"/>
  <c r="G15" i="87"/>
  <c r="H15" i="87" s="1"/>
  <c r="G17" i="87"/>
  <c r="H17" i="87" s="1"/>
  <c r="G18" i="87"/>
  <c r="H18" i="87" s="1"/>
  <c r="G22" i="87"/>
  <c r="H22" i="87" s="1"/>
  <c r="K7" i="86"/>
  <c r="G11" i="86"/>
  <c r="H11" i="86" s="1"/>
  <c r="K11" i="86"/>
  <c r="D17" i="86"/>
  <c r="G10" i="86"/>
  <c r="H10" i="86" s="1"/>
  <c r="O11" i="86"/>
  <c r="Q11" i="86" s="1"/>
  <c r="O14" i="86"/>
  <c r="Q14" i="86" s="1"/>
  <c r="G7" i="86"/>
  <c r="H7" i="86" s="1"/>
  <c r="G6" i="86"/>
  <c r="H6" i="86" s="1"/>
  <c r="K6" i="86"/>
  <c r="O7" i="86"/>
  <c r="Q7" i="86" s="1"/>
  <c r="K10" i="86"/>
  <c r="G13" i="86"/>
  <c r="H13" i="86" s="1"/>
  <c r="K13" i="86"/>
  <c r="G20" i="86"/>
  <c r="H20" i="86" s="1"/>
  <c r="K20" i="86"/>
  <c r="O21" i="86"/>
  <c r="Q21" i="86" s="1"/>
  <c r="G5" i="86"/>
  <c r="H5" i="86" s="1"/>
  <c r="O6" i="86"/>
  <c r="Q6" i="86" s="1"/>
  <c r="I7" i="86"/>
  <c r="G9" i="86"/>
  <c r="H9" i="86" s="1"/>
  <c r="I11" i="86"/>
  <c r="O13" i="86"/>
  <c r="Q13" i="86" s="1"/>
  <c r="I14" i="86"/>
  <c r="G16" i="86"/>
  <c r="H16" i="86" s="1"/>
  <c r="G19" i="86"/>
  <c r="H19" i="86" s="1"/>
  <c r="O20" i="86"/>
  <c r="Q20" i="86" s="1"/>
  <c r="I21" i="86"/>
  <c r="K12" i="86" l="1"/>
  <c r="J5" i="87"/>
  <c r="G12" i="86"/>
  <c r="J12" i="86" s="1"/>
  <c r="J5" i="86"/>
  <c r="J19" i="87"/>
  <c r="H7" i="87"/>
  <c r="J7" i="87"/>
  <c r="Q12" i="86"/>
  <c r="H21" i="87"/>
  <c r="J21" i="87"/>
  <c r="J14" i="87"/>
  <c r="J10" i="86"/>
  <c r="J10" i="87"/>
  <c r="Q17" i="87"/>
  <c r="Q17" i="86"/>
  <c r="Q12" i="87"/>
  <c r="J8" i="87"/>
  <c r="H11" i="87"/>
  <c r="J11" i="87"/>
  <c r="I12" i="87"/>
  <c r="K12" i="87"/>
  <c r="G12" i="87"/>
  <c r="H12" i="87" s="1"/>
  <c r="J6" i="87"/>
  <c r="J22" i="87"/>
  <c r="J18" i="87"/>
  <c r="J15" i="87"/>
  <c r="J16" i="87"/>
  <c r="J13" i="87"/>
  <c r="J17" i="87"/>
  <c r="J20" i="87"/>
  <c r="J19" i="86"/>
  <c r="J20" i="86"/>
  <c r="H12" i="86"/>
  <c r="J16" i="86"/>
  <c r="J9" i="86"/>
  <c r="J13" i="86"/>
  <c r="K17" i="86"/>
  <c r="G17" i="86"/>
  <c r="H17" i="86" s="1"/>
  <c r="I17" i="86"/>
  <c r="J6" i="86"/>
  <c r="J7" i="86"/>
  <c r="J11" i="86"/>
  <c r="J12" i="87" l="1"/>
  <c r="J17" i="86"/>
  <c r="P22" i="67" l="1"/>
  <c r="D22" i="67"/>
  <c r="C22" i="67"/>
  <c r="P22" i="66"/>
  <c r="D22" i="66"/>
  <c r="I22" i="66" s="1"/>
  <c r="C22" i="66"/>
  <c r="K22" i="66" s="1"/>
  <c r="P21" i="67"/>
  <c r="D21" i="67"/>
  <c r="G21" i="67" s="1"/>
  <c r="H21" i="67" s="1"/>
  <c r="C21" i="67"/>
  <c r="P21" i="66"/>
  <c r="D21" i="66"/>
  <c r="I21" i="66" s="1"/>
  <c r="C21" i="66"/>
  <c r="P20" i="67"/>
  <c r="D20" i="67"/>
  <c r="O20" i="67" s="1"/>
  <c r="C20" i="67"/>
  <c r="P20" i="66"/>
  <c r="D20" i="66"/>
  <c r="I20" i="66" s="1"/>
  <c r="C20" i="66"/>
  <c r="P19" i="67"/>
  <c r="D19" i="67"/>
  <c r="C19" i="67"/>
  <c r="P19" i="66"/>
  <c r="D19" i="66"/>
  <c r="I19" i="66" s="1"/>
  <c r="C19" i="66"/>
  <c r="P18" i="67"/>
  <c r="D18" i="67"/>
  <c r="C18" i="67"/>
  <c r="P18" i="66"/>
  <c r="D18" i="66"/>
  <c r="I18" i="66" s="1"/>
  <c r="C18" i="66"/>
  <c r="K18" i="66" s="1"/>
  <c r="P16" i="67"/>
  <c r="D16" i="67"/>
  <c r="I16" i="67" s="1"/>
  <c r="C16" i="67"/>
  <c r="P16" i="66"/>
  <c r="D16" i="66"/>
  <c r="I16" i="66" s="1"/>
  <c r="C16" i="66"/>
  <c r="K16" i="66" s="1"/>
  <c r="P15" i="67"/>
  <c r="D15" i="67"/>
  <c r="C15" i="67"/>
  <c r="P15" i="66"/>
  <c r="D15" i="66"/>
  <c r="C15" i="66"/>
  <c r="K15" i="66" s="1"/>
  <c r="P14" i="67"/>
  <c r="D14" i="67"/>
  <c r="O14" i="67" s="1"/>
  <c r="Q14" i="67" s="1"/>
  <c r="C14" i="67"/>
  <c r="P14" i="66"/>
  <c r="D14" i="66"/>
  <c r="I14" i="66" s="1"/>
  <c r="C14" i="66"/>
  <c r="C17" i="66" s="1"/>
  <c r="P13" i="67"/>
  <c r="D13" i="67"/>
  <c r="I13" i="67" s="1"/>
  <c r="C13" i="67"/>
  <c r="P13" i="66"/>
  <c r="D13" i="66"/>
  <c r="I13" i="66" s="1"/>
  <c r="C13" i="66"/>
  <c r="P11" i="67"/>
  <c r="D11" i="67"/>
  <c r="C11" i="67"/>
  <c r="P11" i="66"/>
  <c r="D11" i="66"/>
  <c r="I11" i="66" s="1"/>
  <c r="C11" i="66"/>
  <c r="P10" i="67"/>
  <c r="D10" i="67"/>
  <c r="I10" i="67" s="1"/>
  <c r="C10" i="67"/>
  <c r="P10" i="66"/>
  <c r="D10" i="66"/>
  <c r="C10" i="66"/>
  <c r="P9" i="67"/>
  <c r="D9" i="67"/>
  <c r="O9" i="67" s="1"/>
  <c r="C9" i="67"/>
  <c r="P9" i="66"/>
  <c r="D9" i="66"/>
  <c r="I9" i="66" s="1"/>
  <c r="C9" i="66"/>
  <c r="K9" i="66" s="1"/>
  <c r="P8" i="67"/>
  <c r="D8" i="67"/>
  <c r="C8" i="67"/>
  <c r="P8" i="66"/>
  <c r="D8" i="66"/>
  <c r="I8" i="66" s="1"/>
  <c r="C8" i="66"/>
  <c r="K8" i="66" s="1"/>
  <c r="P7" i="67"/>
  <c r="D7" i="67"/>
  <c r="C7" i="67"/>
  <c r="P7" i="66"/>
  <c r="D7" i="66"/>
  <c r="I7" i="66" s="1"/>
  <c r="C7" i="66"/>
  <c r="P6" i="67"/>
  <c r="D6" i="67"/>
  <c r="I6" i="67" s="1"/>
  <c r="C6" i="67"/>
  <c r="P6" i="66"/>
  <c r="D6" i="66"/>
  <c r="C6" i="66"/>
  <c r="P5" i="67"/>
  <c r="D5" i="67"/>
  <c r="O5" i="67" s="1"/>
  <c r="C5" i="67"/>
  <c r="P5" i="66"/>
  <c r="D5" i="66"/>
  <c r="I5" i="66" s="1"/>
  <c r="C5" i="66"/>
  <c r="K5" i="66" s="1"/>
  <c r="I20" i="67"/>
  <c r="F17" i="67"/>
  <c r="E17" i="67"/>
  <c r="O13" i="67"/>
  <c r="Q13" i="67" s="1"/>
  <c r="F12" i="67"/>
  <c r="E12" i="67"/>
  <c r="I11" i="67"/>
  <c r="O10" i="67"/>
  <c r="Q10" i="67" s="1"/>
  <c r="I7" i="67"/>
  <c r="O6" i="67"/>
  <c r="Q6" i="67" s="1"/>
  <c r="O22" i="66"/>
  <c r="F17" i="66"/>
  <c r="E17" i="66"/>
  <c r="O15" i="66"/>
  <c r="I15" i="66"/>
  <c r="G15" i="66"/>
  <c r="H15" i="66" s="1"/>
  <c r="J15" i="66"/>
  <c r="F12" i="66"/>
  <c r="E12" i="66"/>
  <c r="I10" i="66"/>
  <c r="O10" i="66"/>
  <c r="O8" i="66"/>
  <c r="G8" i="66"/>
  <c r="H8" i="66" s="1"/>
  <c r="I6" i="66"/>
  <c r="O5" i="66"/>
  <c r="C17" i="67" l="1"/>
  <c r="O16" i="66"/>
  <c r="K7" i="67"/>
  <c r="O9" i="66"/>
  <c r="K16" i="67"/>
  <c r="O20" i="66"/>
  <c r="Q20" i="66" s="1"/>
  <c r="G22" i="66"/>
  <c r="H22" i="66" s="1"/>
  <c r="O13" i="66"/>
  <c r="Q22" i="66"/>
  <c r="J22" i="66"/>
  <c r="Q20" i="67"/>
  <c r="K19" i="66"/>
  <c r="O19" i="66"/>
  <c r="Q19" i="66" s="1"/>
  <c r="K19" i="67"/>
  <c r="G16" i="67"/>
  <c r="H16" i="67" s="1"/>
  <c r="Q15" i="66"/>
  <c r="K15" i="67"/>
  <c r="I14" i="67"/>
  <c r="K11" i="67"/>
  <c r="Q9" i="67"/>
  <c r="I9" i="67"/>
  <c r="K9" i="67"/>
  <c r="Q10" i="66"/>
  <c r="Q8" i="66"/>
  <c r="D12" i="66"/>
  <c r="J8" i="66"/>
  <c r="K8" i="67"/>
  <c r="C12" i="67"/>
  <c r="C12" i="66"/>
  <c r="K12" i="66" s="1"/>
  <c r="Q5" i="67"/>
  <c r="G5" i="67"/>
  <c r="H5" i="67" s="1"/>
  <c r="K5" i="67"/>
  <c r="K21" i="67"/>
  <c r="J21" i="67"/>
  <c r="O21" i="67"/>
  <c r="Q21" i="67" s="1"/>
  <c r="K22" i="67"/>
  <c r="O19" i="67"/>
  <c r="Q19" i="67" s="1"/>
  <c r="I19" i="67"/>
  <c r="G18" i="66"/>
  <c r="H18" i="66" s="1"/>
  <c r="O18" i="66"/>
  <c r="Q18" i="66" s="1"/>
  <c r="K18" i="67"/>
  <c r="Q13" i="66"/>
  <c r="I5" i="67"/>
  <c r="G7" i="67"/>
  <c r="G9" i="67"/>
  <c r="G11" i="67"/>
  <c r="G14" i="67"/>
  <c r="O16" i="67"/>
  <c r="Q16" i="67" s="1"/>
  <c r="G19" i="67"/>
  <c r="H19" i="67" s="1"/>
  <c r="I21" i="67"/>
  <c r="Q5" i="66"/>
  <c r="Q9" i="66"/>
  <c r="Q16" i="66"/>
  <c r="J18" i="66"/>
  <c r="J5" i="67"/>
  <c r="O8" i="67"/>
  <c r="Q8" i="67" s="1"/>
  <c r="K14" i="67"/>
  <c r="O15" i="67"/>
  <c r="Q15" i="67" s="1"/>
  <c r="D17" i="67"/>
  <c r="O18" i="67"/>
  <c r="Q18" i="67" s="1"/>
  <c r="O22" i="67"/>
  <c r="Q22" i="67" s="1"/>
  <c r="G6" i="67"/>
  <c r="H6" i="67" s="1"/>
  <c r="K6" i="67"/>
  <c r="O7" i="67"/>
  <c r="Q7" i="67" s="1"/>
  <c r="I8" i="67"/>
  <c r="G10" i="67"/>
  <c r="H10" i="67" s="1"/>
  <c r="K10" i="67"/>
  <c r="O11" i="67"/>
  <c r="Q11" i="67" s="1"/>
  <c r="G13" i="67"/>
  <c r="H13" i="67" s="1"/>
  <c r="K13" i="67"/>
  <c r="I15" i="67"/>
  <c r="J16" i="67"/>
  <c r="I18" i="67"/>
  <c r="G20" i="67"/>
  <c r="H20" i="67" s="1"/>
  <c r="K20" i="67"/>
  <c r="I22" i="67"/>
  <c r="D12" i="67"/>
  <c r="G8" i="67"/>
  <c r="H8" i="67" s="1"/>
  <c r="G15" i="67"/>
  <c r="H15" i="67" s="1"/>
  <c r="G18" i="67"/>
  <c r="H18" i="67" s="1"/>
  <c r="G22" i="67"/>
  <c r="H22" i="67" s="1"/>
  <c r="I12" i="66"/>
  <c r="G12" i="66"/>
  <c r="J12" i="66" s="1"/>
  <c r="G11" i="66"/>
  <c r="H11" i="66" s="1"/>
  <c r="G14" i="66"/>
  <c r="H14" i="66" s="1"/>
  <c r="G21" i="66"/>
  <c r="H21" i="66" s="1"/>
  <c r="G6" i="66"/>
  <c r="H6" i="66" s="1"/>
  <c r="K6" i="66"/>
  <c r="O7" i="66"/>
  <c r="Q7" i="66" s="1"/>
  <c r="G10" i="66"/>
  <c r="H10" i="66" s="1"/>
  <c r="K10" i="66"/>
  <c r="O11" i="66"/>
  <c r="Q11" i="66" s="1"/>
  <c r="G13" i="66"/>
  <c r="H13" i="66" s="1"/>
  <c r="K13" i="66"/>
  <c r="O14" i="66"/>
  <c r="Q14" i="66" s="1"/>
  <c r="G20" i="66"/>
  <c r="H20" i="66" s="1"/>
  <c r="K20" i="66"/>
  <c r="O21" i="66"/>
  <c r="Q21" i="66" s="1"/>
  <c r="G7" i="66"/>
  <c r="H7" i="66" s="1"/>
  <c r="K7" i="66"/>
  <c r="K11" i="66"/>
  <c r="K14" i="66"/>
  <c r="D17" i="66"/>
  <c r="K21" i="66"/>
  <c r="G5" i="66"/>
  <c r="H5" i="66" s="1"/>
  <c r="O6" i="66"/>
  <c r="Q6" i="66" s="1"/>
  <c r="G9" i="66"/>
  <c r="H9" i="66" s="1"/>
  <c r="G16" i="66"/>
  <c r="H16" i="66" s="1"/>
  <c r="G19" i="66"/>
  <c r="H19" i="66" s="1"/>
  <c r="J19" i="67" l="1"/>
  <c r="Q17" i="67"/>
  <c r="J13" i="66"/>
  <c r="J21" i="66"/>
  <c r="J11" i="66"/>
  <c r="H7" i="67"/>
  <c r="J7" i="67"/>
  <c r="J13" i="67"/>
  <c r="H14" i="67"/>
  <c r="J14" i="67"/>
  <c r="H9" i="67"/>
  <c r="J9" i="67"/>
  <c r="Q17" i="66"/>
  <c r="Q12" i="66"/>
  <c r="H11" i="67"/>
  <c r="J11" i="67"/>
  <c r="J22" i="67"/>
  <c r="J8" i="67"/>
  <c r="K17" i="67"/>
  <c r="G17" i="67"/>
  <c r="H17" i="67" s="1"/>
  <c r="I17" i="67"/>
  <c r="J10" i="67"/>
  <c r="I12" i="67"/>
  <c r="K12" i="67"/>
  <c r="G12" i="67"/>
  <c r="H12" i="67" s="1"/>
  <c r="Q12" i="67"/>
  <c r="J18" i="67"/>
  <c r="J15" i="67"/>
  <c r="J20" i="67"/>
  <c r="J6" i="67"/>
  <c r="J6" i="66"/>
  <c r="J7" i="66"/>
  <c r="J19" i="66"/>
  <c r="J9" i="66"/>
  <c r="J5" i="66"/>
  <c r="J16" i="66"/>
  <c r="J10" i="66"/>
  <c r="K17" i="66"/>
  <c r="G17" i="66"/>
  <c r="H17" i="66" s="1"/>
  <c r="I17" i="66"/>
  <c r="J14" i="66"/>
  <c r="J20" i="66"/>
  <c r="H12" i="66"/>
  <c r="J17" i="66" l="1"/>
  <c r="J12" i="67"/>
  <c r="J17" i="67"/>
  <c r="P22" i="85" l="1"/>
  <c r="D22" i="85"/>
  <c r="C22" i="85"/>
  <c r="K22" i="85" s="1"/>
  <c r="P22" i="84"/>
  <c r="D22" i="84"/>
  <c r="C22" i="84"/>
  <c r="K22" i="84" s="1"/>
  <c r="P21" i="85"/>
  <c r="D21" i="85"/>
  <c r="I21" i="85" s="1"/>
  <c r="C21" i="85"/>
  <c r="P21" i="84"/>
  <c r="D21" i="84"/>
  <c r="O21" i="84" s="1"/>
  <c r="C21" i="84"/>
  <c r="P20" i="85"/>
  <c r="D20" i="85"/>
  <c r="C20" i="85"/>
  <c r="P20" i="84"/>
  <c r="D20" i="84"/>
  <c r="C20" i="84"/>
  <c r="P19" i="85"/>
  <c r="D19" i="85"/>
  <c r="G19" i="85" s="1"/>
  <c r="C19" i="85"/>
  <c r="P19" i="84"/>
  <c r="D19" i="84"/>
  <c r="I19" i="84" s="1"/>
  <c r="C19" i="84"/>
  <c r="P18" i="85"/>
  <c r="D18" i="85"/>
  <c r="C18" i="85"/>
  <c r="P18" i="84"/>
  <c r="D18" i="84"/>
  <c r="C18" i="84"/>
  <c r="K18" i="84" s="1"/>
  <c r="P16" i="85"/>
  <c r="D16" i="85"/>
  <c r="G16" i="85" s="1"/>
  <c r="C16" i="85"/>
  <c r="P16" i="84"/>
  <c r="D16" i="84"/>
  <c r="O16" i="84" s="1"/>
  <c r="C16" i="84"/>
  <c r="P15" i="85"/>
  <c r="D15" i="85"/>
  <c r="C15" i="85"/>
  <c r="P15" i="84"/>
  <c r="D15" i="84"/>
  <c r="C15" i="84"/>
  <c r="P14" i="85"/>
  <c r="D14" i="85"/>
  <c r="C14" i="85"/>
  <c r="P14" i="84"/>
  <c r="D14" i="84"/>
  <c r="C14" i="84"/>
  <c r="P13" i="85"/>
  <c r="D13" i="85"/>
  <c r="I13" i="85" s="1"/>
  <c r="C13" i="85"/>
  <c r="P13" i="84"/>
  <c r="D13" i="84"/>
  <c r="C13" i="84"/>
  <c r="P11" i="85"/>
  <c r="D11" i="85"/>
  <c r="I11" i="85" s="1"/>
  <c r="C11" i="85"/>
  <c r="P11" i="84"/>
  <c r="D11" i="84"/>
  <c r="O11" i="84" s="1"/>
  <c r="C11" i="84"/>
  <c r="P10" i="85"/>
  <c r="D10" i="85"/>
  <c r="O10" i="85" s="1"/>
  <c r="Q10" i="85" s="1"/>
  <c r="C10" i="85"/>
  <c r="P10" i="84"/>
  <c r="D10" i="84"/>
  <c r="C10" i="84"/>
  <c r="P9" i="85"/>
  <c r="D9" i="85"/>
  <c r="C9" i="85"/>
  <c r="P9" i="84"/>
  <c r="D9" i="84"/>
  <c r="I9" i="84" s="1"/>
  <c r="C9" i="84"/>
  <c r="P8" i="85"/>
  <c r="D8" i="85"/>
  <c r="C8" i="85"/>
  <c r="P8" i="84"/>
  <c r="D8" i="84"/>
  <c r="C8" i="84"/>
  <c r="K8" i="84" s="1"/>
  <c r="P7" i="85"/>
  <c r="D7" i="85"/>
  <c r="I7" i="85" s="1"/>
  <c r="C7" i="85"/>
  <c r="P7" i="84"/>
  <c r="D7" i="84"/>
  <c r="O7" i="84" s="1"/>
  <c r="C7" i="84"/>
  <c r="P6" i="85"/>
  <c r="D6" i="85"/>
  <c r="I6" i="85" s="1"/>
  <c r="C6" i="85"/>
  <c r="P6" i="84"/>
  <c r="D6" i="84"/>
  <c r="I6" i="84" s="1"/>
  <c r="C6" i="84"/>
  <c r="P5" i="85"/>
  <c r="D5" i="85"/>
  <c r="I5" i="85" s="1"/>
  <c r="C5" i="85"/>
  <c r="P5" i="84"/>
  <c r="D5" i="84"/>
  <c r="I5" i="84" s="1"/>
  <c r="C5" i="84"/>
  <c r="O20" i="85"/>
  <c r="Q20" i="85" s="1"/>
  <c r="I20" i="85"/>
  <c r="K20" i="85"/>
  <c r="F17" i="85"/>
  <c r="E17" i="85"/>
  <c r="I14" i="85"/>
  <c r="O13" i="85"/>
  <c r="F12" i="85"/>
  <c r="E12" i="85"/>
  <c r="I10" i="85"/>
  <c r="O22" i="84"/>
  <c r="I22" i="84"/>
  <c r="G22" i="84"/>
  <c r="J22" i="84" s="1"/>
  <c r="I20" i="84"/>
  <c r="O18" i="84"/>
  <c r="I18" i="84"/>
  <c r="G18" i="84"/>
  <c r="J18" i="84" s="1"/>
  <c r="F17" i="84"/>
  <c r="E17" i="84"/>
  <c r="O15" i="84"/>
  <c r="I15" i="84"/>
  <c r="H15" i="84"/>
  <c r="G15" i="84"/>
  <c r="J15" i="84" s="1"/>
  <c r="I13" i="84"/>
  <c r="F12" i="84"/>
  <c r="E12" i="84"/>
  <c r="I10" i="84"/>
  <c r="O8" i="84"/>
  <c r="I8" i="84"/>
  <c r="G8" i="84"/>
  <c r="J8" i="84" s="1"/>
  <c r="C17" i="84" l="1"/>
  <c r="O9" i="84"/>
  <c r="K9" i="85"/>
  <c r="I16" i="84"/>
  <c r="K11" i="84"/>
  <c r="C17" i="85"/>
  <c r="G21" i="84"/>
  <c r="H21" i="84" s="1"/>
  <c r="Q21" i="84"/>
  <c r="K21" i="84"/>
  <c r="O19" i="84"/>
  <c r="Q19" i="84" s="1"/>
  <c r="D17" i="84"/>
  <c r="I17" i="84" s="1"/>
  <c r="O16" i="85"/>
  <c r="Q16" i="85" s="1"/>
  <c r="I16" i="85"/>
  <c r="Q15" i="84"/>
  <c r="K15" i="85"/>
  <c r="G14" i="84"/>
  <c r="H14" i="84" s="1"/>
  <c r="O14" i="84"/>
  <c r="Q14" i="84" s="1"/>
  <c r="Q17" i="84" s="1"/>
  <c r="Q13" i="85"/>
  <c r="K13" i="85"/>
  <c r="O11" i="85"/>
  <c r="Q11" i="85" s="1"/>
  <c r="G11" i="84"/>
  <c r="H11" i="84" s="1"/>
  <c r="O9" i="85"/>
  <c r="Q9" i="85" s="1"/>
  <c r="I9" i="85"/>
  <c r="Q8" i="84"/>
  <c r="H8" i="84"/>
  <c r="K8" i="85"/>
  <c r="C12" i="85"/>
  <c r="Q7" i="84"/>
  <c r="G7" i="84"/>
  <c r="H7" i="84" s="1"/>
  <c r="K7" i="84"/>
  <c r="K6" i="85"/>
  <c r="O5" i="84"/>
  <c r="Q5" i="84" s="1"/>
  <c r="G5" i="85"/>
  <c r="H5" i="85" s="1"/>
  <c r="K5" i="85"/>
  <c r="H22" i="84"/>
  <c r="Q22" i="84"/>
  <c r="I19" i="85"/>
  <c r="O19" i="85"/>
  <c r="Q19" i="85" s="1"/>
  <c r="K18" i="85"/>
  <c r="H16" i="85"/>
  <c r="J16" i="85"/>
  <c r="H19" i="85"/>
  <c r="J19" i="85"/>
  <c r="Q9" i="84"/>
  <c r="K14" i="84"/>
  <c r="Q16" i="84"/>
  <c r="H18" i="84"/>
  <c r="J5" i="85"/>
  <c r="O5" i="85"/>
  <c r="Q5" i="85" s="1"/>
  <c r="O6" i="85"/>
  <c r="Q6" i="85" s="1"/>
  <c r="G9" i="85"/>
  <c r="K10" i="85"/>
  <c r="K16" i="85"/>
  <c r="K19" i="85"/>
  <c r="Q11" i="84"/>
  <c r="J14" i="84"/>
  <c r="Q18" i="84"/>
  <c r="J21" i="84"/>
  <c r="G15" i="85"/>
  <c r="H15" i="85" s="1"/>
  <c r="G18" i="85"/>
  <c r="H18" i="85" s="1"/>
  <c r="G7" i="85"/>
  <c r="H7" i="85" s="1"/>
  <c r="K7" i="85"/>
  <c r="O8" i="85"/>
  <c r="Q8" i="85" s="1"/>
  <c r="G11" i="85"/>
  <c r="H11" i="85" s="1"/>
  <c r="K11" i="85"/>
  <c r="G14" i="85"/>
  <c r="H14" i="85" s="1"/>
  <c r="K14" i="85"/>
  <c r="O15" i="85"/>
  <c r="Q15" i="85" s="1"/>
  <c r="D17" i="85"/>
  <c r="O18" i="85"/>
  <c r="Q18" i="85" s="1"/>
  <c r="G21" i="85"/>
  <c r="H21" i="85" s="1"/>
  <c r="K21" i="85"/>
  <c r="O22" i="85"/>
  <c r="Q22" i="85" s="1"/>
  <c r="G6" i="85"/>
  <c r="H6" i="85" s="1"/>
  <c r="O7" i="85"/>
  <c r="Q7" i="85" s="1"/>
  <c r="I8" i="85"/>
  <c r="G10" i="85"/>
  <c r="H10" i="85" s="1"/>
  <c r="G13" i="85"/>
  <c r="H13" i="85" s="1"/>
  <c r="O14" i="85"/>
  <c r="Q14" i="85" s="1"/>
  <c r="I15" i="85"/>
  <c r="I18" i="85"/>
  <c r="G20" i="85"/>
  <c r="H20" i="85" s="1"/>
  <c r="O21" i="85"/>
  <c r="Q21" i="85" s="1"/>
  <c r="I22" i="85"/>
  <c r="D12" i="85"/>
  <c r="G8" i="85"/>
  <c r="H8" i="85" s="1"/>
  <c r="G22" i="85"/>
  <c r="H22" i="85" s="1"/>
  <c r="C12" i="84"/>
  <c r="G13" i="84"/>
  <c r="H13" i="84" s="1"/>
  <c r="K13" i="84"/>
  <c r="G20" i="84"/>
  <c r="H20" i="84" s="1"/>
  <c r="K20" i="84"/>
  <c r="K6" i="84"/>
  <c r="G10" i="84"/>
  <c r="H10" i="84" s="1"/>
  <c r="G5" i="84"/>
  <c r="H5" i="84" s="1"/>
  <c r="K5" i="84"/>
  <c r="O6" i="84"/>
  <c r="Q6" i="84" s="1"/>
  <c r="I7" i="84"/>
  <c r="G9" i="84"/>
  <c r="H9" i="84" s="1"/>
  <c r="K9" i="84"/>
  <c r="O10" i="84"/>
  <c r="Q10" i="84" s="1"/>
  <c r="I11" i="84"/>
  <c r="D12" i="84"/>
  <c r="O13" i="84"/>
  <c r="Q13" i="84" s="1"/>
  <c r="I14" i="84"/>
  <c r="G16" i="84"/>
  <c r="H16" i="84" s="1"/>
  <c r="K16" i="84"/>
  <c r="G19" i="84"/>
  <c r="H19" i="84" s="1"/>
  <c r="K19" i="84"/>
  <c r="O20" i="84"/>
  <c r="Q20" i="84" s="1"/>
  <c r="I21" i="84"/>
  <c r="J10" i="84"/>
  <c r="G6" i="84"/>
  <c r="H6" i="84" s="1"/>
  <c r="K10" i="84"/>
  <c r="K15" i="84"/>
  <c r="G17" i="84"/>
  <c r="H17" i="84" s="1"/>
  <c r="J9" i="84" l="1"/>
  <c r="K17" i="84"/>
  <c r="J7" i="84"/>
  <c r="J18" i="85"/>
  <c r="J15" i="85"/>
  <c r="J17" i="84"/>
  <c r="J11" i="84"/>
  <c r="Q12" i="85"/>
  <c r="J6" i="85"/>
  <c r="J5" i="84"/>
  <c r="H9" i="85"/>
  <c r="J9" i="85"/>
  <c r="Q17" i="85"/>
  <c r="J13" i="84"/>
  <c r="J22" i="85"/>
  <c r="J8" i="85"/>
  <c r="J14" i="85"/>
  <c r="G17" i="85"/>
  <c r="H17" i="85" s="1"/>
  <c r="I17" i="85"/>
  <c r="K17" i="85"/>
  <c r="J13" i="85"/>
  <c r="J10" i="85"/>
  <c r="J21" i="85"/>
  <c r="K12" i="85"/>
  <c r="G12" i="85"/>
  <c r="H12" i="85" s="1"/>
  <c r="I12" i="85"/>
  <c r="J20" i="85"/>
  <c r="J11" i="85"/>
  <c r="J7" i="85"/>
  <c r="I12" i="84"/>
  <c r="K12" i="84"/>
  <c r="G12" i="84"/>
  <c r="H12" i="84" s="1"/>
  <c r="J20" i="84"/>
  <c r="J16" i="84"/>
  <c r="J19" i="84"/>
  <c r="J6" i="84"/>
  <c r="Q12" i="84"/>
  <c r="J12" i="84" l="1"/>
  <c r="J12" i="85"/>
  <c r="J17" i="85"/>
  <c r="P22" i="75" l="1"/>
  <c r="D22" i="75"/>
  <c r="C22" i="75"/>
  <c r="P22" i="74"/>
  <c r="D22" i="74"/>
  <c r="C22" i="74"/>
  <c r="P22" i="73"/>
  <c r="D22" i="73"/>
  <c r="O22" i="73" s="1"/>
  <c r="Q22" i="73" s="1"/>
  <c r="C22" i="73"/>
  <c r="P22" i="72"/>
  <c r="D22" i="72"/>
  <c r="C22" i="72"/>
  <c r="K22" i="72" s="1"/>
  <c r="P21" i="75"/>
  <c r="D21" i="75"/>
  <c r="C21" i="75"/>
  <c r="K21" i="75" s="1"/>
  <c r="P21" i="74"/>
  <c r="D21" i="74"/>
  <c r="C21" i="74"/>
  <c r="P21" i="73"/>
  <c r="D21" i="73"/>
  <c r="O21" i="73" s="1"/>
  <c r="Q21" i="73" s="1"/>
  <c r="C21" i="73"/>
  <c r="P21" i="72"/>
  <c r="D21" i="72"/>
  <c r="I21" i="72" s="1"/>
  <c r="C21" i="72"/>
  <c r="P20" i="75"/>
  <c r="D20" i="75"/>
  <c r="C20" i="75"/>
  <c r="P20" i="74"/>
  <c r="D20" i="74"/>
  <c r="C20" i="74"/>
  <c r="P20" i="73"/>
  <c r="D20" i="73"/>
  <c r="C20" i="73"/>
  <c r="P20" i="72"/>
  <c r="D20" i="72"/>
  <c r="I20" i="72" s="1"/>
  <c r="C20" i="72"/>
  <c r="P19" i="75"/>
  <c r="D19" i="75"/>
  <c r="C19" i="75"/>
  <c r="P19" i="74"/>
  <c r="D19" i="74"/>
  <c r="C19" i="74"/>
  <c r="P19" i="73"/>
  <c r="D19" i="73"/>
  <c r="C19" i="73"/>
  <c r="P19" i="72"/>
  <c r="D19" i="72"/>
  <c r="O19" i="72" s="1"/>
  <c r="Q19" i="72" s="1"/>
  <c r="C19" i="72"/>
  <c r="P18" i="75"/>
  <c r="D18" i="75"/>
  <c r="C18" i="75"/>
  <c r="P18" i="74"/>
  <c r="D18" i="74"/>
  <c r="C18" i="74"/>
  <c r="P18" i="73"/>
  <c r="D18" i="73"/>
  <c r="C18" i="73"/>
  <c r="P18" i="72"/>
  <c r="D18" i="72"/>
  <c r="O18" i="72" s="1"/>
  <c r="Q18" i="72" s="1"/>
  <c r="C18" i="72"/>
  <c r="P16" i="75"/>
  <c r="D16" i="75"/>
  <c r="C16" i="75"/>
  <c r="P16" i="74"/>
  <c r="D16" i="74"/>
  <c r="C16" i="74"/>
  <c r="P16" i="73"/>
  <c r="D16" i="73"/>
  <c r="O16" i="73" s="1"/>
  <c r="C16" i="73"/>
  <c r="P16" i="72"/>
  <c r="D16" i="72"/>
  <c r="O16" i="72" s="1"/>
  <c r="Q16" i="72" s="1"/>
  <c r="C16" i="72"/>
  <c r="P15" i="75"/>
  <c r="D15" i="75"/>
  <c r="C15" i="75"/>
  <c r="P15" i="74"/>
  <c r="D15" i="74"/>
  <c r="C15" i="74"/>
  <c r="P15" i="73"/>
  <c r="D15" i="73"/>
  <c r="C15" i="73"/>
  <c r="P15" i="72"/>
  <c r="D15" i="72"/>
  <c r="I15" i="72" s="1"/>
  <c r="C15" i="72"/>
  <c r="P14" i="75"/>
  <c r="D14" i="75"/>
  <c r="C14" i="75"/>
  <c r="C17" i="75" s="1"/>
  <c r="P14" i="74"/>
  <c r="D14" i="74"/>
  <c r="C14" i="74"/>
  <c r="C17" i="74" s="1"/>
  <c r="P14" i="73"/>
  <c r="D14" i="73"/>
  <c r="C14" i="73"/>
  <c r="C17" i="73" s="1"/>
  <c r="P14" i="72"/>
  <c r="D14" i="72"/>
  <c r="O14" i="72" s="1"/>
  <c r="Q14" i="72" s="1"/>
  <c r="C14" i="72"/>
  <c r="P13" i="75"/>
  <c r="D13" i="75"/>
  <c r="C13" i="75"/>
  <c r="P13" i="74"/>
  <c r="D13" i="74"/>
  <c r="C13" i="74"/>
  <c r="K13" i="74" s="1"/>
  <c r="P13" i="73"/>
  <c r="D13" i="73"/>
  <c r="C13" i="73"/>
  <c r="P13" i="72"/>
  <c r="D13" i="72"/>
  <c r="G13" i="72" s="1"/>
  <c r="J13" i="72" s="1"/>
  <c r="C13" i="72"/>
  <c r="K13" i="72" s="1"/>
  <c r="P11" i="75"/>
  <c r="D11" i="75"/>
  <c r="C11" i="75"/>
  <c r="P11" i="74"/>
  <c r="D11" i="74"/>
  <c r="C11" i="74"/>
  <c r="P11" i="73"/>
  <c r="D11" i="73"/>
  <c r="O11" i="73" s="1"/>
  <c r="C11" i="73"/>
  <c r="P11" i="72"/>
  <c r="D11" i="72"/>
  <c r="I11" i="72" s="1"/>
  <c r="C11" i="72"/>
  <c r="P10" i="75"/>
  <c r="D10" i="75"/>
  <c r="C10" i="75"/>
  <c r="P10" i="74"/>
  <c r="D10" i="74"/>
  <c r="C10" i="74"/>
  <c r="K10" i="74" s="1"/>
  <c r="P10" i="73"/>
  <c r="D10" i="73"/>
  <c r="C10" i="73"/>
  <c r="P10" i="72"/>
  <c r="D10" i="72"/>
  <c r="O10" i="72" s="1"/>
  <c r="Q10" i="72" s="1"/>
  <c r="C10" i="72"/>
  <c r="P9" i="75"/>
  <c r="D9" i="75"/>
  <c r="O9" i="75" s="1"/>
  <c r="C9" i="75"/>
  <c r="P9" i="74"/>
  <c r="D9" i="74"/>
  <c r="C9" i="74"/>
  <c r="P9" i="73"/>
  <c r="D9" i="73"/>
  <c r="C9" i="73"/>
  <c r="P9" i="72"/>
  <c r="D9" i="72"/>
  <c r="O9" i="72" s="1"/>
  <c r="Q9" i="72" s="1"/>
  <c r="C9" i="72"/>
  <c r="P8" i="75"/>
  <c r="D8" i="75"/>
  <c r="C8" i="75"/>
  <c r="P8" i="74"/>
  <c r="D8" i="74"/>
  <c r="C8" i="74"/>
  <c r="K8" i="74" s="1"/>
  <c r="P8" i="73"/>
  <c r="D8" i="73"/>
  <c r="C8" i="73"/>
  <c r="P8" i="72"/>
  <c r="D8" i="72"/>
  <c r="C8" i="72"/>
  <c r="K8" i="72" s="1"/>
  <c r="P7" i="75"/>
  <c r="D7" i="75"/>
  <c r="C7" i="75"/>
  <c r="P7" i="74"/>
  <c r="D7" i="74"/>
  <c r="C7" i="74"/>
  <c r="K7" i="74" s="1"/>
  <c r="P7" i="73"/>
  <c r="D7" i="73"/>
  <c r="C7" i="73"/>
  <c r="P7" i="72"/>
  <c r="D7" i="72"/>
  <c r="C7" i="72"/>
  <c r="K7" i="72" s="1"/>
  <c r="P6" i="75"/>
  <c r="D6" i="75"/>
  <c r="C6" i="75"/>
  <c r="C12" i="75" s="1"/>
  <c r="P6" i="74"/>
  <c r="D6" i="74"/>
  <c r="C6" i="74"/>
  <c r="K6" i="74" s="1"/>
  <c r="P6" i="73"/>
  <c r="D6" i="73"/>
  <c r="C6" i="73"/>
  <c r="C12" i="73" s="1"/>
  <c r="P6" i="72"/>
  <c r="D6" i="72"/>
  <c r="C6" i="72"/>
  <c r="P5" i="75"/>
  <c r="D5" i="75"/>
  <c r="C5" i="75"/>
  <c r="P5" i="74"/>
  <c r="D5" i="74"/>
  <c r="C5" i="74"/>
  <c r="P5" i="73"/>
  <c r="D5" i="73"/>
  <c r="C5" i="73"/>
  <c r="P5" i="72"/>
  <c r="D5" i="72"/>
  <c r="I5" i="72" s="1"/>
  <c r="C5" i="72"/>
  <c r="O22" i="75"/>
  <c r="Q22" i="75" s="1"/>
  <c r="F22" i="75"/>
  <c r="K22" i="75"/>
  <c r="F21" i="75"/>
  <c r="E21" i="75"/>
  <c r="E20" i="75"/>
  <c r="O20" i="75"/>
  <c r="Q20" i="75" s="1"/>
  <c r="F19" i="75"/>
  <c r="I19" i="75" s="1"/>
  <c r="E19" i="75"/>
  <c r="O19" i="75"/>
  <c r="Q19" i="75" s="1"/>
  <c r="K19" i="75"/>
  <c r="F18" i="75"/>
  <c r="E18" i="75"/>
  <c r="I18" i="75"/>
  <c r="E16" i="75"/>
  <c r="O16" i="75"/>
  <c r="Q16" i="75" s="1"/>
  <c r="E15" i="75"/>
  <c r="O15" i="75"/>
  <c r="Q15" i="75" s="1"/>
  <c r="F14" i="75"/>
  <c r="F17" i="75" s="1"/>
  <c r="E14" i="75"/>
  <c r="O14" i="75"/>
  <c r="Q14" i="75" s="1"/>
  <c r="F13" i="75"/>
  <c r="E13" i="75"/>
  <c r="I13" i="75"/>
  <c r="O11" i="75"/>
  <c r="Q11" i="75" s="1"/>
  <c r="I11" i="75"/>
  <c r="G11" i="75"/>
  <c r="H11" i="75" s="1"/>
  <c r="K11" i="75"/>
  <c r="F10" i="75"/>
  <c r="E10" i="75"/>
  <c r="K10" i="75"/>
  <c r="F9" i="75"/>
  <c r="I9" i="75" s="1"/>
  <c r="E9" i="75"/>
  <c r="K9" i="75"/>
  <c r="F8" i="75"/>
  <c r="E8" i="75"/>
  <c r="I7" i="75"/>
  <c r="G7" i="75"/>
  <c r="F7" i="75"/>
  <c r="E7" i="75"/>
  <c r="J7" i="75"/>
  <c r="F6" i="75"/>
  <c r="E6" i="75"/>
  <c r="E12" i="75" s="1"/>
  <c r="I5" i="75"/>
  <c r="F5" i="75"/>
  <c r="E5" i="75"/>
  <c r="O5" i="75"/>
  <c r="Q5" i="75" s="1"/>
  <c r="F22" i="74"/>
  <c r="E22" i="74"/>
  <c r="K22" i="74"/>
  <c r="I21" i="74"/>
  <c r="F21" i="74"/>
  <c r="E21" i="74"/>
  <c r="O21" i="74"/>
  <c r="K21" i="74"/>
  <c r="O20" i="74"/>
  <c r="Q20" i="74" s="1"/>
  <c r="E20" i="74"/>
  <c r="I20" i="74"/>
  <c r="F19" i="74"/>
  <c r="E19" i="74"/>
  <c r="I19" i="74"/>
  <c r="I18" i="74"/>
  <c r="F18" i="74"/>
  <c r="E18" i="74"/>
  <c r="G18" i="74" s="1"/>
  <c r="J18" i="74" s="1"/>
  <c r="K18" i="74"/>
  <c r="O16" i="74"/>
  <c r="F16" i="74"/>
  <c r="I16" i="74" s="1"/>
  <c r="O15" i="74"/>
  <c r="E15" i="74"/>
  <c r="I15" i="74"/>
  <c r="F14" i="74"/>
  <c r="F17" i="74" s="1"/>
  <c r="E14" i="74"/>
  <c r="D17" i="74"/>
  <c r="F13" i="74"/>
  <c r="I13" i="74" s="1"/>
  <c r="E13" i="74"/>
  <c r="G13" i="74" s="1"/>
  <c r="J13" i="74" s="1"/>
  <c r="O13" i="74"/>
  <c r="I11" i="74"/>
  <c r="F10" i="74"/>
  <c r="I10" i="74" s="1"/>
  <c r="E10" i="74"/>
  <c r="O10" i="74"/>
  <c r="Q10" i="74" s="1"/>
  <c r="F9" i="74"/>
  <c r="E9" i="74"/>
  <c r="I9" i="74"/>
  <c r="I8" i="74"/>
  <c r="F8" i="74"/>
  <c r="E8" i="74"/>
  <c r="G8" i="74" s="1"/>
  <c r="J8" i="74" s="1"/>
  <c r="O8" i="74"/>
  <c r="F7" i="74"/>
  <c r="E7" i="74"/>
  <c r="F6" i="74"/>
  <c r="F12" i="74" s="1"/>
  <c r="E6" i="74"/>
  <c r="D12" i="74"/>
  <c r="F5" i="74"/>
  <c r="I5" i="74" s="1"/>
  <c r="E5" i="74"/>
  <c r="F22" i="73"/>
  <c r="F21" i="73"/>
  <c r="F19" i="73"/>
  <c r="F18" i="73"/>
  <c r="F16" i="73"/>
  <c r="F15" i="73"/>
  <c r="E15" i="73"/>
  <c r="G15" i="73" s="1"/>
  <c r="J15" i="73" s="1"/>
  <c r="F14" i="73"/>
  <c r="E14" i="73"/>
  <c r="F13" i="73"/>
  <c r="E13" i="73"/>
  <c r="G10" i="73"/>
  <c r="F10" i="73"/>
  <c r="E10" i="73"/>
  <c r="F9" i="73"/>
  <c r="E9" i="73"/>
  <c r="F8" i="73"/>
  <c r="I8" i="73" s="1"/>
  <c r="E8" i="73"/>
  <c r="F7" i="73"/>
  <c r="E7" i="73"/>
  <c r="F6" i="73"/>
  <c r="E6" i="73"/>
  <c r="F5" i="73"/>
  <c r="E5" i="73"/>
  <c r="F22" i="72"/>
  <c r="E22" i="72"/>
  <c r="F21" i="72"/>
  <c r="E21" i="72"/>
  <c r="O21" i="72"/>
  <c r="Q21" i="72" s="1"/>
  <c r="F19" i="72"/>
  <c r="E19" i="72"/>
  <c r="F18" i="72"/>
  <c r="E18" i="72"/>
  <c r="F16" i="72"/>
  <c r="F15" i="72"/>
  <c r="E15" i="72"/>
  <c r="F14" i="72"/>
  <c r="I14" i="72" s="1"/>
  <c r="E14" i="72"/>
  <c r="F13" i="72"/>
  <c r="E13" i="72"/>
  <c r="F10" i="72"/>
  <c r="E10" i="72"/>
  <c r="F9" i="72"/>
  <c r="E9" i="72"/>
  <c r="F8" i="72"/>
  <c r="E8" i="72"/>
  <c r="O8" i="72"/>
  <c r="Q8" i="72" s="1"/>
  <c r="F7" i="72"/>
  <c r="E7" i="72"/>
  <c r="F6" i="72"/>
  <c r="E6" i="72"/>
  <c r="F5" i="72"/>
  <c r="E5" i="72"/>
  <c r="F12" i="75" l="1"/>
  <c r="I14" i="75"/>
  <c r="I5" i="73"/>
  <c r="I6" i="73"/>
  <c r="K8" i="73"/>
  <c r="I9" i="73"/>
  <c r="I10" i="73"/>
  <c r="I13" i="73"/>
  <c r="I14" i="73"/>
  <c r="I15" i="73"/>
  <c r="K20" i="73"/>
  <c r="G8" i="72"/>
  <c r="J8" i="72" s="1"/>
  <c r="I6" i="74"/>
  <c r="I18" i="72"/>
  <c r="F12" i="73"/>
  <c r="C17" i="72"/>
  <c r="O15" i="72"/>
  <c r="Q15" i="72" s="1"/>
  <c r="O13" i="72"/>
  <c r="Q13" i="72" s="1"/>
  <c r="F12" i="72"/>
  <c r="I13" i="72"/>
  <c r="E17" i="74"/>
  <c r="G17" i="74" s="1"/>
  <c r="J17" i="74" s="1"/>
  <c r="I8" i="75"/>
  <c r="H13" i="74"/>
  <c r="I8" i="72"/>
  <c r="I19" i="72"/>
  <c r="F17" i="73"/>
  <c r="Q16" i="74"/>
  <c r="Q16" i="73"/>
  <c r="G16" i="73"/>
  <c r="H16" i="73" s="1"/>
  <c r="Q15" i="74"/>
  <c r="Q17" i="75"/>
  <c r="K15" i="73"/>
  <c r="K13" i="73"/>
  <c r="Q11" i="73"/>
  <c r="Q9" i="75"/>
  <c r="I9" i="72"/>
  <c r="K10" i="73"/>
  <c r="I10" i="72"/>
  <c r="H8" i="74"/>
  <c r="H7" i="75"/>
  <c r="K7" i="75"/>
  <c r="D12" i="72"/>
  <c r="K7" i="73"/>
  <c r="C12" i="72"/>
  <c r="I6" i="72"/>
  <c r="G6" i="73"/>
  <c r="J6" i="73" s="1"/>
  <c r="K6" i="75"/>
  <c r="K5" i="75"/>
  <c r="K22" i="73"/>
  <c r="H18" i="74"/>
  <c r="H13" i="72"/>
  <c r="D12" i="73"/>
  <c r="I12" i="73" s="1"/>
  <c r="O10" i="73"/>
  <c r="Q10" i="73" s="1"/>
  <c r="O15" i="73"/>
  <c r="Q15" i="73" s="1"/>
  <c r="K16" i="73"/>
  <c r="K21" i="73"/>
  <c r="Q21" i="74"/>
  <c r="H6" i="73"/>
  <c r="H10" i="73"/>
  <c r="I11" i="73"/>
  <c r="H15" i="73"/>
  <c r="Q13" i="74"/>
  <c r="Q8" i="74"/>
  <c r="J11" i="75"/>
  <c r="O10" i="75"/>
  <c r="Q10" i="75" s="1"/>
  <c r="D12" i="75"/>
  <c r="I15" i="75"/>
  <c r="I16" i="75"/>
  <c r="D17" i="75"/>
  <c r="I20" i="75"/>
  <c r="O21" i="75"/>
  <c r="Q21" i="75" s="1"/>
  <c r="I6" i="75"/>
  <c r="O7" i="75"/>
  <c r="Q7" i="75" s="1"/>
  <c r="G8" i="75"/>
  <c r="K8" i="75"/>
  <c r="I10" i="75"/>
  <c r="G13" i="75"/>
  <c r="K13" i="75"/>
  <c r="E17" i="75"/>
  <c r="G18" i="75"/>
  <c r="K18" i="75"/>
  <c r="I21" i="75"/>
  <c r="I22" i="75"/>
  <c r="O6" i="75"/>
  <c r="Q6" i="75" s="1"/>
  <c r="G5" i="75"/>
  <c r="J5" i="75" s="1"/>
  <c r="O8" i="75"/>
  <c r="Q8" i="75" s="1"/>
  <c r="G9" i="75"/>
  <c r="H9" i="75" s="1"/>
  <c r="O13" i="75"/>
  <c r="Q13" i="75" s="1"/>
  <c r="G14" i="75"/>
  <c r="J14" i="75" s="1"/>
  <c r="K14" i="75"/>
  <c r="G15" i="75"/>
  <c r="H15" i="75" s="1"/>
  <c r="K15" i="75"/>
  <c r="G16" i="75"/>
  <c r="H16" i="75" s="1"/>
  <c r="K16" i="75"/>
  <c r="O18" i="75"/>
  <c r="Q18" i="75" s="1"/>
  <c r="G19" i="75"/>
  <c r="H19" i="75" s="1"/>
  <c r="G20" i="75"/>
  <c r="J20" i="75" s="1"/>
  <c r="K20" i="75"/>
  <c r="G6" i="75"/>
  <c r="H6" i="75" s="1"/>
  <c r="G10" i="75"/>
  <c r="H10" i="75" s="1"/>
  <c r="G21" i="75"/>
  <c r="H21" i="75" s="1"/>
  <c r="G22" i="75"/>
  <c r="G12" i="74"/>
  <c r="J12" i="74" s="1"/>
  <c r="I12" i="74"/>
  <c r="I17" i="74"/>
  <c r="K17" i="74"/>
  <c r="O7" i="74"/>
  <c r="Q7" i="74" s="1"/>
  <c r="E12" i="74"/>
  <c r="O22" i="74"/>
  <c r="Q22" i="74" s="1"/>
  <c r="G5" i="74"/>
  <c r="K5" i="74"/>
  <c r="I7" i="74"/>
  <c r="G9" i="74"/>
  <c r="K9" i="74"/>
  <c r="G11" i="74"/>
  <c r="H11" i="74" s="1"/>
  <c r="K11" i="74"/>
  <c r="G14" i="74"/>
  <c r="K14" i="74"/>
  <c r="G15" i="74"/>
  <c r="J15" i="74" s="1"/>
  <c r="K15" i="74"/>
  <c r="G16" i="74"/>
  <c r="K16" i="74"/>
  <c r="O18" i="74"/>
  <c r="Q18" i="74" s="1"/>
  <c r="G19" i="74"/>
  <c r="K19" i="74"/>
  <c r="G20" i="74"/>
  <c r="J20" i="74" s="1"/>
  <c r="K20" i="74"/>
  <c r="I22" i="74"/>
  <c r="O9" i="74"/>
  <c r="Q9" i="74" s="1"/>
  <c r="G10" i="74"/>
  <c r="H10" i="74" s="1"/>
  <c r="O11" i="74"/>
  <c r="Q11" i="74" s="1"/>
  <c r="C12" i="74"/>
  <c r="K12" i="74" s="1"/>
  <c r="O14" i="74"/>
  <c r="Q14" i="74" s="1"/>
  <c r="O19" i="74"/>
  <c r="Q19" i="74" s="1"/>
  <c r="G21" i="74"/>
  <c r="H21" i="74" s="1"/>
  <c r="O5" i="74"/>
  <c r="Q5" i="74" s="1"/>
  <c r="G6" i="74"/>
  <c r="J6" i="74" s="1"/>
  <c r="O6" i="74"/>
  <c r="Q6" i="74" s="1"/>
  <c r="G7" i="74"/>
  <c r="H7" i="74" s="1"/>
  <c r="I14" i="74"/>
  <c r="G22" i="74"/>
  <c r="H22" i="74" s="1"/>
  <c r="K12" i="73"/>
  <c r="O5" i="73"/>
  <c r="Q5" i="73" s="1"/>
  <c r="K6" i="73"/>
  <c r="O7" i="73"/>
  <c r="Q7" i="73" s="1"/>
  <c r="G8" i="73"/>
  <c r="J8" i="73" s="1"/>
  <c r="E12" i="73"/>
  <c r="G13" i="73"/>
  <c r="H13" i="73" s="1"/>
  <c r="I16" i="73"/>
  <c r="D17" i="73"/>
  <c r="G18" i="73"/>
  <c r="H18" i="73" s="1"/>
  <c r="K18" i="73"/>
  <c r="G19" i="73"/>
  <c r="H19" i="73" s="1"/>
  <c r="K19" i="73"/>
  <c r="O20" i="73"/>
  <c r="Q20" i="73" s="1"/>
  <c r="G5" i="73"/>
  <c r="H5" i="73" s="1"/>
  <c r="K5" i="73"/>
  <c r="I7" i="73"/>
  <c r="O8" i="73"/>
  <c r="Q8" i="73" s="1"/>
  <c r="G9" i="73"/>
  <c r="H9" i="73" s="1"/>
  <c r="K9" i="73"/>
  <c r="J10" i="73"/>
  <c r="G11" i="73"/>
  <c r="H11" i="73" s="1"/>
  <c r="K11" i="73"/>
  <c r="O13" i="73"/>
  <c r="Q13" i="73" s="1"/>
  <c r="G14" i="73"/>
  <c r="H14" i="73" s="1"/>
  <c r="K14" i="73"/>
  <c r="J16" i="73"/>
  <c r="E17" i="73"/>
  <c r="O18" i="73"/>
  <c r="Q18" i="73" s="1"/>
  <c r="O19" i="73"/>
  <c r="Q19" i="73" s="1"/>
  <c r="I20" i="73"/>
  <c r="I21" i="73"/>
  <c r="I22" i="73"/>
  <c r="O9" i="73"/>
  <c r="Q9" i="73" s="1"/>
  <c r="O14" i="73"/>
  <c r="Q14" i="73" s="1"/>
  <c r="I18" i="73"/>
  <c r="I19" i="73"/>
  <c r="O6" i="73"/>
  <c r="Q6" i="73" s="1"/>
  <c r="G7" i="73"/>
  <c r="G20" i="73"/>
  <c r="H20" i="73" s="1"/>
  <c r="G21" i="73"/>
  <c r="G22" i="73"/>
  <c r="Q17" i="72"/>
  <c r="O22" i="72"/>
  <c r="Q22" i="72" s="1"/>
  <c r="G5" i="72"/>
  <c r="J5" i="72" s="1"/>
  <c r="K5" i="72"/>
  <c r="I7" i="72"/>
  <c r="G9" i="72"/>
  <c r="J9" i="72" s="1"/>
  <c r="K9" i="72"/>
  <c r="G11" i="72"/>
  <c r="H11" i="72" s="1"/>
  <c r="K11" i="72"/>
  <c r="G14" i="72"/>
  <c r="J14" i="72" s="1"/>
  <c r="K14" i="72"/>
  <c r="E17" i="72"/>
  <c r="G18" i="72"/>
  <c r="J18" i="72" s="1"/>
  <c r="K18" i="72"/>
  <c r="G20" i="72"/>
  <c r="H20" i="72" s="1"/>
  <c r="K20" i="72"/>
  <c r="I22" i="72"/>
  <c r="I16" i="72"/>
  <c r="D17" i="72"/>
  <c r="O5" i="72"/>
  <c r="Q5" i="72" s="1"/>
  <c r="G6" i="72"/>
  <c r="H6" i="72" s="1"/>
  <c r="K6" i="72"/>
  <c r="G10" i="72"/>
  <c r="H10" i="72" s="1"/>
  <c r="K10" i="72"/>
  <c r="O11" i="72"/>
  <c r="Q11" i="72" s="1"/>
  <c r="G15" i="72"/>
  <c r="H15" i="72" s="1"/>
  <c r="K15" i="72"/>
  <c r="G16" i="72"/>
  <c r="H16" i="72" s="1"/>
  <c r="K16" i="72"/>
  <c r="F17" i="72"/>
  <c r="G19" i="72"/>
  <c r="J19" i="72" s="1"/>
  <c r="K19" i="72"/>
  <c r="O20" i="72"/>
  <c r="Q20" i="72" s="1"/>
  <c r="G21" i="72"/>
  <c r="J21" i="72" s="1"/>
  <c r="K21" i="72"/>
  <c r="O7" i="72"/>
  <c r="Q7" i="72" s="1"/>
  <c r="E12" i="72"/>
  <c r="O6" i="72"/>
  <c r="Q6" i="72" s="1"/>
  <c r="G7" i="72"/>
  <c r="H7" i="72" s="1"/>
  <c r="G22" i="72"/>
  <c r="H22" i="72" s="1"/>
  <c r="J15" i="75" l="1"/>
  <c r="G12" i="72"/>
  <c r="J12" i="72" s="1"/>
  <c r="Q17" i="74"/>
  <c r="H8" i="72"/>
  <c r="J20" i="73"/>
  <c r="H15" i="74"/>
  <c r="Q17" i="73"/>
  <c r="J14" i="73"/>
  <c r="J11" i="72"/>
  <c r="I12" i="72"/>
  <c r="K12" i="72"/>
  <c r="Q12" i="75"/>
  <c r="H5" i="72"/>
  <c r="J21" i="74"/>
  <c r="J19" i="75"/>
  <c r="J16" i="75"/>
  <c r="H5" i="75"/>
  <c r="H14" i="75"/>
  <c r="H19" i="72"/>
  <c r="J9" i="73"/>
  <c r="J15" i="72"/>
  <c r="H21" i="72"/>
  <c r="H18" i="72"/>
  <c r="J22" i="74"/>
  <c r="H17" i="74"/>
  <c r="J19" i="73"/>
  <c r="Q12" i="74"/>
  <c r="H13" i="75"/>
  <c r="J13" i="75"/>
  <c r="J6" i="75"/>
  <c r="H18" i="75"/>
  <c r="J18" i="75"/>
  <c r="J9" i="75"/>
  <c r="K17" i="75"/>
  <c r="G17" i="75"/>
  <c r="J17" i="75" s="1"/>
  <c r="I17" i="75"/>
  <c r="H20" i="75"/>
  <c r="H8" i="75"/>
  <c r="J8" i="75"/>
  <c r="K12" i="75"/>
  <c r="G12" i="75"/>
  <c r="H12" i="75" s="1"/>
  <c r="I12" i="75"/>
  <c r="J22" i="75"/>
  <c r="H22" i="75"/>
  <c r="J21" i="75"/>
  <c r="J10" i="75"/>
  <c r="H19" i="74"/>
  <c r="J19" i="74"/>
  <c r="H9" i="74"/>
  <c r="J9" i="74"/>
  <c r="H6" i="74"/>
  <c r="J7" i="74"/>
  <c r="J11" i="74"/>
  <c r="J10" i="74"/>
  <c r="H12" i="74"/>
  <c r="H5" i="74"/>
  <c r="J5" i="74"/>
  <c r="J16" i="74"/>
  <c r="H16" i="74"/>
  <c r="H14" i="74"/>
  <c r="J14" i="74"/>
  <c r="H20" i="74"/>
  <c r="J13" i="73"/>
  <c r="H7" i="73"/>
  <c r="J7" i="73"/>
  <c r="K17" i="73"/>
  <c r="G17" i="73"/>
  <c r="H17" i="73" s="1"/>
  <c r="I17" i="73"/>
  <c r="H8" i="73"/>
  <c r="G12" i="73"/>
  <c r="J12" i="73" s="1"/>
  <c r="J21" i="73"/>
  <c r="H21" i="73"/>
  <c r="J22" i="73"/>
  <c r="H22" i="73"/>
  <c r="Q12" i="73"/>
  <c r="J11" i="73"/>
  <c r="J5" i="73"/>
  <c r="J18" i="73"/>
  <c r="J22" i="72"/>
  <c r="J16" i="72"/>
  <c r="H14" i="72"/>
  <c r="Q12" i="72"/>
  <c r="H12" i="72"/>
  <c r="J7" i="72"/>
  <c r="K17" i="72"/>
  <c r="G17" i="72"/>
  <c r="H17" i="72" s="1"/>
  <c r="I17" i="72"/>
  <c r="J10" i="72"/>
  <c r="J6" i="72"/>
  <c r="J20" i="72"/>
  <c r="H9" i="72"/>
  <c r="J17" i="72" l="1"/>
  <c r="J12" i="75"/>
  <c r="H12" i="73"/>
  <c r="H17" i="75"/>
  <c r="J17" i="73"/>
  <c r="P22" i="71" l="1"/>
  <c r="D22" i="71"/>
  <c r="C22" i="71"/>
  <c r="P22" i="70"/>
  <c r="D22" i="70"/>
  <c r="C22" i="70"/>
  <c r="P22" i="69"/>
  <c r="D22" i="69"/>
  <c r="O22" i="69" s="1"/>
  <c r="Q22" i="69" s="1"/>
  <c r="C22" i="69"/>
  <c r="P22" i="68"/>
  <c r="D22" i="68"/>
  <c r="G22" i="68" s="1"/>
  <c r="C22" i="68"/>
  <c r="K22" i="68" s="1"/>
  <c r="P21" i="71"/>
  <c r="D21" i="71"/>
  <c r="C21" i="71"/>
  <c r="K21" i="71" s="1"/>
  <c r="P21" i="70"/>
  <c r="D21" i="70"/>
  <c r="C21" i="70"/>
  <c r="P21" i="69"/>
  <c r="D21" i="69"/>
  <c r="O21" i="69" s="1"/>
  <c r="Q21" i="69" s="1"/>
  <c r="C21" i="69"/>
  <c r="P21" i="68"/>
  <c r="D21" i="68"/>
  <c r="O21" i="68" s="1"/>
  <c r="Q21" i="68" s="1"/>
  <c r="C21" i="68"/>
  <c r="K21" i="68" s="1"/>
  <c r="P20" i="71"/>
  <c r="D20" i="71"/>
  <c r="C20" i="71"/>
  <c r="P20" i="70"/>
  <c r="D20" i="70"/>
  <c r="C20" i="70"/>
  <c r="P20" i="69"/>
  <c r="D20" i="69"/>
  <c r="I20" i="69" s="1"/>
  <c r="C20" i="69"/>
  <c r="P20" i="68"/>
  <c r="D20" i="68"/>
  <c r="C20" i="68"/>
  <c r="P19" i="71"/>
  <c r="D19" i="71"/>
  <c r="C19" i="71"/>
  <c r="P19" i="70"/>
  <c r="D19" i="70"/>
  <c r="C19" i="70"/>
  <c r="P19" i="69"/>
  <c r="D19" i="69"/>
  <c r="I19" i="69" s="1"/>
  <c r="C19" i="69"/>
  <c r="P19" i="68"/>
  <c r="D19" i="68"/>
  <c r="O19" i="68" s="1"/>
  <c r="Q19" i="68" s="1"/>
  <c r="C19" i="68"/>
  <c r="P18" i="71"/>
  <c r="D18" i="71"/>
  <c r="C18" i="71"/>
  <c r="P18" i="70"/>
  <c r="D18" i="70"/>
  <c r="C18" i="70"/>
  <c r="P18" i="69"/>
  <c r="D18" i="69"/>
  <c r="O18" i="69" s="1"/>
  <c r="Q18" i="69" s="1"/>
  <c r="C18" i="69"/>
  <c r="P18" i="68"/>
  <c r="D18" i="68"/>
  <c r="G18" i="68" s="1"/>
  <c r="H18" i="68" s="1"/>
  <c r="C18" i="68"/>
  <c r="P16" i="71"/>
  <c r="D16" i="71"/>
  <c r="C16" i="71"/>
  <c r="P16" i="70"/>
  <c r="D16" i="70"/>
  <c r="C16" i="70"/>
  <c r="P16" i="69"/>
  <c r="D16" i="69"/>
  <c r="I16" i="69" s="1"/>
  <c r="C16" i="69"/>
  <c r="P16" i="68"/>
  <c r="D16" i="68"/>
  <c r="O16" i="68" s="1"/>
  <c r="Q16" i="68" s="1"/>
  <c r="C16" i="68"/>
  <c r="P15" i="71"/>
  <c r="D15" i="71"/>
  <c r="C15" i="71"/>
  <c r="K15" i="71" s="1"/>
  <c r="P15" i="70"/>
  <c r="D15" i="70"/>
  <c r="C15" i="70"/>
  <c r="P15" i="69"/>
  <c r="D15" i="69"/>
  <c r="O15" i="69" s="1"/>
  <c r="Q15" i="69" s="1"/>
  <c r="C15" i="69"/>
  <c r="P15" i="68"/>
  <c r="D15" i="68"/>
  <c r="G15" i="68" s="1"/>
  <c r="C15" i="68"/>
  <c r="P14" i="71"/>
  <c r="D14" i="71"/>
  <c r="C14" i="71"/>
  <c r="P14" i="70"/>
  <c r="D14" i="70"/>
  <c r="C14" i="70"/>
  <c r="P14" i="69"/>
  <c r="D14" i="69"/>
  <c r="K14" i="69" s="1"/>
  <c r="C14" i="69"/>
  <c r="P14" i="68"/>
  <c r="D14" i="68"/>
  <c r="O14" i="68" s="1"/>
  <c r="Q14" i="68" s="1"/>
  <c r="C14" i="68"/>
  <c r="K14" i="68" s="1"/>
  <c r="P13" i="71"/>
  <c r="D13" i="71"/>
  <c r="C13" i="71"/>
  <c r="P13" i="70"/>
  <c r="D13" i="70"/>
  <c r="C13" i="70"/>
  <c r="P13" i="69"/>
  <c r="D13" i="69"/>
  <c r="I13" i="69" s="1"/>
  <c r="C13" i="69"/>
  <c r="P13" i="68"/>
  <c r="D13" i="68"/>
  <c r="I13" i="68" s="1"/>
  <c r="C13" i="68"/>
  <c r="P11" i="71"/>
  <c r="D11" i="71"/>
  <c r="C11" i="71"/>
  <c r="P11" i="70"/>
  <c r="D11" i="70"/>
  <c r="C11" i="70"/>
  <c r="P11" i="69"/>
  <c r="D11" i="69"/>
  <c r="O11" i="69" s="1"/>
  <c r="Q11" i="69" s="1"/>
  <c r="C11" i="69"/>
  <c r="P11" i="68"/>
  <c r="D11" i="68"/>
  <c r="C11" i="68"/>
  <c r="P10" i="71"/>
  <c r="D10" i="71"/>
  <c r="C10" i="71"/>
  <c r="P10" i="70"/>
  <c r="D10" i="70"/>
  <c r="C10" i="70"/>
  <c r="P10" i="69"/>
  <c r="D10" i="69"/>
  <c r="I10" i="69" s="1"/>
  <c r="C10" i="69"/>
  <c r="P10" i="68"/>
  <c r="D10" i="68"/>
  <c r="I10" i="68" s="1"/>
  <c r="C10" i="68"/>
  <c r="P9" i="71"/>
  <c r="D9" i="71"/>
  <c r="C9" i="71"/>
  <c r="P9" i="70"/>
  <c r="D9" i="70"/>
  <c r="C9" i="70"/>
  <c r="P9" i="69"/>
  <c r="D9" i="69"/>
  <c r="O9" i="69" s="1"/>
  <c r="Q9" i="69" s="1"/>
  <c r="C9" i="69"/>
  <c r="P9" i="68"/>
  <c r="D9" i="68"/>
  <c r="I9" i="68" s="1"/>
  <c r="C9" i="68"/>
  <c r="P8" i="71"/>
  <c r="D8" i="71"/>
  <c r="C8" i="71"/>
  <c r="P8" i="70"/>
  <c r="D8" i="70"/>
  <c r="O8" i="70" s="1"/>
  <c r="C8" i="70"/>
  <c r="K8" i="70" s="1"/>
  <c r="P8" i="69"/>
  <c r="D8" i="69"/>
  <c r="O8" i="69" s="1"/>
  <c r="Q8" i="69" s="1"/>
  <c r="C8" i="69"/>
  <c r="P8" i="68"/>
  <c r="D8" i="68"/>
  <c r="O8" i="68" s="1"/>
  <c r="Q8" i="68" s="1"/>
  <c r="C8" i="68"/>
  <c r="K8" i="68" s="1"/>
  <c r="P7" i="71"/>
  <c r="D7" i="71"/>
  <c r="C7" i="71"/>
  <c r="P7" i="70"/>
  <c r="D7" i="70"/>
  <c r="C7" i="70"/>
  <c r="P7" i="69"/>
  <c r="D7" i="69"/>
  <c r="O7" i="69" s="1"/>
  <c r="Q7" i="69" s="1"/>
  <c r="C7" i="69"/>
  <c r="P7" i="68"/>
  <c r="D7" i="68"/>
  <c r="G7" i="68" s="1"/>
  <c r="H7" i="68" s="1"/>
  <c r="C7" i="68"/>
  <c r="K7" i="68" s="1"/>
  <c r="P6" i="71"/>
  <c r="D6" i="71"/>
  <c r="I6" i="71" s="1"/>
  <c r="C6" i="71"/>
  <c r="C12" i="71" s="1"/>
  <c r="P6" i="70"/>
  <c r="D6" i="70"/>
  <c r="C6" i="70"/>
  <c r="P6" i="69"/>
  <c r="D6" i="69"/>
  <c r="I6" i="69" s="1"/>
  <c r="C6" i="69"/>
  <c r="P6" i="68"/>
  <c r="D6" i="68"/>
  <c r="I6" i="68" s="1"/>
  <c r="C6" i="68"/>
  <c r="P5" i="71"/>
  <c r="D5" i="71"/>
  <c r="C5" i="71"/>
  <c r="P5" i="70"/>
  <c r="D5" i="70"/>
  <c r="C5" i="70"/>
  <c r="P5" i="69"/>
  <c r="D5" i="69"/>
  <c r="O5" i="69" s="1"/>
  <c r="Q5" i="69" s="1"/>
  <c r="C5" i="69"/>
  <c r="P5" i="68"/>
  <c r="D5" i="68"/>
  <c r="I5" i="68" s="1"/>
  <c r="C5" i="68"/>
  <c r="O22" i="71"/>
  <c r="Q22" i="71" s="1"/>
  <c r="I22" i="71"/>
  <c r="K22" i="71"/>
  <c r="O21" i="71"/>
  <c r="Q21" i="71" s="1"/>
  <c r="I21" i="71"/>
  <c r="G21" i="71"/>
  <c r="H21" i="71" s="1"/>
  <c r="I20" i="71"/>
  <c r="I19" i="71"/>
  <c r="O19" i="71"/>
  <c r="O18" i="71"/>
  <c r="Q18" i="71" s="1"/>
  <c r="I18" i="71"/>
  <c r="F17" i="71"/>
  <c r="E17" i="71"/>
  <c r="D17" i="71"/>
  <c r="I16" i="71"/>
  <c r="O16" i="71"/>
  <c r="Q16" i="71" s="1"/>
  <c r="O15" i="71"/>
  <c r="Q15" i="71" s="1"/>
  <c r="I15" i="71"/>
  <c r="O14" i="71"/>
  <c r="Q14" i="71" s="1"/>
  <c r="I14" i="71"/>
  <c r="G14" i="71"/>
  <c r="H14" i="71" s="1"/>
  <c r="J14" i="71"/>
  <c r="I13" i="71"/>
  <c r="F12" i="71"/>
  <c r="E12" i="71"/>
  <c r="O11" i="71"/>
  <c r="Q11" i="71" s="1"/>
  <c r="I11" i="71"/>
  <c r="G11" i="71"/>
  <c r="H11" i="71" s="1"/>
  <c r="J11" i="71"/>
  <c r="I10" i="71"/>
  <c r="I9" i="71"/>
  <c r="G9" i="71"/>
  <c r="H9" i="71" s="1"/>
  <c r="O9" i="71"/>
  <c r="Q9" i="71" s="1"/>
  <c r="O8" i="71"/>
  <c r="Q8" i="71" s="1"/>
  <c r="K8" i="71"/>
  <c r="O7" i="71"/>
  <c r="I7" i="71"/>
  <c r="G7" i="71"/>
  <c r="H7" i="71" s="1"/>
  <c r="I5" i="71"/>
  <c r="G5" i="71"/>
  <c r="H5" i="71" s="1"/>
  <c r="O5" i="71"/>
  <c r="O22" i="70"/>
  <c r="I22" i="70"/>
  <c r="K22" i="70"/>
  <c r="O21" i="70"/>
  <c r="K21" i="70"/>
  <c r="I21" i="70"/>
  <c r="G21" i="70"/>
  <c r="H21" i="70" s="1"/>
  <c r="J21" i="70"/>
  <c r="I20" i="70"/>
  <c r="I19" i="70"/>
  <c r="O19" i="70"/>
  <c r="O18" i="70"/>
  <c r="I18" i="70"/>
  <c r="K18" i="70"/>
  <c r="F17" i="70"/>
  <c r="E17" i="70"/>
  <c r="D17" i="70"/>
  <c r="I16" i="70"/>
  <c r="O16" i="70"/>
  <c r="O15" i="70"/>
  <c r="I15" i="70"/>
  <c r="K15" i="70"/>
  <c r="O14" i="70"/>
  <c r="K14" i="70"/>
  <c r="I14" i="70"/>
  <c r="G14" i="70"/>
  <c r="H14" i="70" s="1"/>
  <c r="C17" i="70"/>
  <c r="I13" i="70"/>
  <c r="F12" i="70"/>
  <c r="E12" i="70"/>
  <c r="O11" i="70"/>
  <c r="K11" i="70"/>
  <c r="I11" i="70"/>
  <c r="G11" i="70"/>
  <c r="H11" i="70" s="1"/>
  <c r="I10" i="70"/>
  <c r="I9" i="70"/>
  <c r="O9" i="70"/>
  <c r="I8" i="70"/>
  <c r="O7" i="70"/>
  <c r="K7" i="70"/>
  <c r="I7" i="70"/>
  <c r="G7" i="70"/>
  <c r="H7" i="70" s="1"/>
  <c r="I6" i="70"/>
  <c r="I5" i="70"/>
  <c r="O5" i="70"/>
  <c r="F17" i="69"/>
  <c r="E17" i="69"/>
  <c r="O16" i="69"/>
  <c r="Q16" i="69" s="1"/>
  <c r="C17" i="69"/>
  <c r="F12" i="69"/>
  <c r="E12" i="69"/>
  <c r="G9" i="69"/>
  <c r="H9" i="69" s="1"/>
  <c r="I20" i="68"/>
  <c r="F17" i="68"/>
  <c r="E17" i="68"/>
  <c r="F12" i="68"/>
  <c r="E12" i="68"/>
  <c r="O11" i="68"/>
  <c r="Q11" i="68" s="1"/>
  <c r="K11" i="68" l="1"/>
  <c r="C12" i="69"/>
  <c r="G14" i="68"/>
  <c r="H14" i="68" s="1"/>
  <c r="J21" i="71"/>
  <c r="O5" i="68"/>
  <c r="Q5" i="68" s="1"/>
  <c r="I15" i="68"/>
  <c r="O7" i="68"/>
  <c r="Q7" i="68" s="1"/>
  <c r="I16" i="68"/>
  <c r="J11" i="70"/>
  <c r="G8" i="68"/>
  <c r="J8" i="68" s="1"/>
  <c r="I8" i="68"/>
  <c r="K18" i="68"/>
  <c r="I18" i="68"/>
  <c r="I22" i="68"/>
  <c r="O22" i="68"/>
  <c r="Q22" i="68" s="1"/>
  <c r="K22" i="69"/>
  <c r="Q19" i="71"/>
  <c r="I19" i="68"/>
  <c r="K18" i="71"/>
  <c r="O18" i="68"/>
  <c r="Q18" i="68" s="1"/>
  <c r="D17" i="68"/>
  <c r="J15" i="68"/>
  <c r="H15" i="68"/>
  <c r="O15" i="68"/>
  <c r="Q15" i="68" s="1"/>
  <c r="Q17" i="68" s="1"/>
  <c r="K14" i="71"/>
  <c r="J14" i="68"/>
  <c r="O14" i="69"/>
  <c r="Q14" i="69" s="1"/>
  <c r="Q17" i="69" s="1"/>
  <c r="C17" i="71"/>
  <c r="K17" i="71" s="1"/>
  <c r="K11" i="71"/>
  <c r="G11" i="69"/>
  <c r="H11" i="69" s="1"/>
  <c r="G11" i="68"/>
  <c r="K9" i="71"/>
  <c r="O9" i="68"/>
  <c r="Q9" i="68" s="1"/>
  <c r="H8" i="68"/>
  <c r="K8" i="69"/>
  <c r="Q7" i="71"/>
  <c r="K7" i="71"/>
  <c r="J7" i="71"/>
  <c r="J7" i="68"/>
  <c r="G7" i="69"/>
  <c r="H7" i="69" s="1"/>
  <c r="C12" i="70"/>
  <c r="C12" i="68"/>
  <c r="Q5" i="71"/>
  <c r="K5" i="71"/>
  <c r="I5" i="69"/>
  <c r="G21" i="68"/>
  <c r="G21" i="69"/>
  <c r="H21" i="69" s="1"/>
  <c r="H22" i="68"/>
  <c r="J22" i="68"/>
  <c r="O19" i="69"/>
  <c r="Q19" i="69" s="1"/>
  <c r="J18" i="68"/>
  <c r="G14" i="69"/>
  <c r="I22" i="69"/>
  <c r="I8" i="69"/>
  <c r="K15" i="69"/>
  <c r="I21" i="69"/>
  <c r="Q22" i="70"/>
  <c r="K7" i="69"/>
  <c r="K11" i="69"/>
  <c r="I14" i="69"/>
  <c r="I15" i="69"/>
  <c r="D17" i="69"/>
  <c r="I17" i="69" s="1"/>
  <c r="I18" i="69"/>
  <c r="K21" i="69"/>
  <c r="Q8" i="70"/>
  <c r="Q11" i="70"/>
  <c r="Q15" i="70"/>
  <c r="Q18" i="70"/>
  <c r="Q21" i="70"/>
  <c r="C17" i="68"/>
  <c r="K17" i="68" s="1"/>
  <c r="I7" i="69"/>
  <c r="I9" i="69"/>
  <c r="I11" i="69"/>
  <c r="K18" i="69"/>
  <c r="Q17" i="71"/>
  <c r="J7" i="69"/>
  <c r="J11" i="69"/>
  <c r="Q5" i="70"/>
  <c r="J7" i="70"/>
  <c r="Q7" i="70"/>
  <c r="Q9" i="70"/>
  <c r="J14" i="70"/>
  <c r="Q14" i="70"/>
  <c r="Q16" i="70"/>
  <c r="Q19" i="70"/>
  <c r="J5" i="71"/>
  <c r="G6" i="71"/>
  <c r="H6" i="71" s="1"/>
  <c r="K6" i="71"/>
  <c r="I8" i="71"/>
  <c r="J9" i="71"/>
  <c r="G10" i="71"/>
  <c r="H10" i="71" s="1"/>
  <c r="K10" i="71"/>
  <c r="G13" i="71"/>
  <c r="H13" i="71" s="1"/>
  <c r="K13" i="71"/>
  <c r="I17" i="71"/>
  <c r="G20" i="71"/>
  <c r="H20" i="71" s="1"/>
  <c r="K20" i="71"/>
  <c r="D12" i="71"/>
  <c r="O13" i="71"/>
  <c r="Q13" i="71" s="1"/>
  <c r="G16" i="71"/>
  <c r="H16" i="71" s="1"/>
  <c r="K16" i="71"/>
  <c r="G19" i="71"/>
  <c r="H19" i="71" s="1"/>
  <c r="K19" i="71"/>
  <c r="O20" i="71"/>
  <c r="Q20" i="71" s="1"/>
  <c r="J6" i="71"/>
  <c r="J20" i="71"/>
  <c r="O6" i="71"/>
  <c r="Q6" i="71" s="1"/>
  <c r="O10" i="71"/>
  <c r="Q10" i="71" s="1"/>
  <c r="G8" i="71"/>
  <c r="H8" i="71" s="1"/>
  <c r="G15" i="71"/>
  <c r="H15" i="71" s="1"/>
  <c r="G17" i="71"/>
  <c r="H17" i="71" s="1"/>
  <c r="G18" i="71"/>
  <c r="H18" i="71" s="1"/>
  <c r="G22" i="71"/>
  <c r="H22" i="71" s="1"/>
  <c r="K17" i="70"/>
  <c r="G6" i="70"/>
  <c r="H6" i="70" s="1"/>
  <c r="K6" i="70"/>
  <c r="G10" i="70"/>
  <c r="H10" i="70" s="1"/>
  <c r="K10" i="70"/>
  <c r="G13" i="70"/>
  <c r="H13" i="70" s="1"/>
  <c r="K13" i="70"/>
  <c r="I17" i="70"/>
  <c r="G20" i="70"/>
  <c r="H20" i="70" s="1"/>
  <c r="K20" i="70"/>
  <c r="G5" i="70"/>
  <c r="H5" i="70" s="1"/>
  <c r="K5" i="70"/>
  <c r="O6" i="70"/>
  <c r="Q6" i="70" s="1"/>
  <c r="G9" i="70"/>
  <c r="H9" i="70" s="1"/>
  <c r="K9" i="70"/>
  <c r="O10" i="70"/>
  <c r="Q10" i="70" s="1"/>
  <c r="D12" i="70"/>
  <c r="O13" i="70"/>
  <c r="Q13" i="70" s="1"/>
  <c r="G16" i="70"/>
  <c r="H16" i="70" s="1"/>
  <c r="K16" i="70"/>
  <c r="G19" i="70"/>
  <c r="H19" i="70" s="1"/>
  <c r="K19" i="70"/>
  <c r="O20" i="70"/>
  <c r="Q20" i="70" s="1"/>
  <c r="J20" i="70"/>
  <c r="G8" i="70"/>
  <c r="H8" i="70" s="1"/>
  <c r="G15" i="70"/>
  <c r="H15" i="70" s="1"/>
  <c r="G17" i="70"/>
  <c r="H17" i="70" s="1"/>
  <c r="G18" i="70"/>
  <c r="H18" i="70" s="1"/>
  <c r="G22" i="70"/>
  <c r="H22" i="70" s="1"/>
  <c r="G6" i="69"/>
  <c r="H6" i="69" s="1"/>
  <c r="K6" i="69"/>
  <c r="J9" i="69"/>
  <c r="G10" i="69"/>
  <c r="H10" i="69" s="1"/>
  <c r="K10" i="69"/>
  <c r="G13" i="69"/>
  <c r="H13" i="69" s="1"/>
  <c r="K13" i="69"/>
  <c r="G20" i="69"/>
  <c r="H20" i="69" s="1"/>
  <c r="K20" i="69"/>
  <c r="G5" i="69"/>
  <c r="H5" i="69" s="1"/>
  <c r="K5" i="69"/>
  <c r="O6" i="69"/>
  <c r="Q6" i="69" s="1"/>
  <c r="K9" i="69"/>
  <c r="O10" i="69"/>
  <c r="Q10" i="69" s="1"/>
  <c r="D12" i="69"/>
  <c r="O13" i="69"/>
  <c r="Q13" i="69" s="1"/>
  <c r="G16" i="69"/>
  <c r="H16" i="69" s="1"/>
  <c r="K16" i="69"/>
  <c r="G19" i="69"/>
  <c r="H19" i="69" s="1"/>
  <c r="K19" i="69"/>
  <c r="O20" i="69"/>
  <c r="Q20" i="69" s="1"/>
  <c r="J20" i="69"/>
  <c r="G8" i="69"/>
  <c r="H8" i="69" s="1"/>
  <c r="G15" i="69"/>
  <c r="H15" i="69" s="1"/>
  <c r="G18" i="69"/>
  <c r="H18" i="69" s="1"/>
  <c r="G22" i="69"/>
  <c r="H22" i="69" s="1"/>
  <c r="K6" i="68"/>
  <c r="G10" i="68"/>
  <c r="H10" i="68" s="1"/>
  <c r="K10" i="68"/>
  <c r="G13" i="68"/>
  <c r="H13" i="68" s="1"/>
  <c r="K13" i="68"/>
  <c r="J10" i="68"/>
  <c r="G6" i="68"/>
  <c r="H6" i="68" s="1"/>
  <c r="I17" i="68"/>
  <c r="G20" i="68"/>
  <c r="H20" i="68" s="1"/>
  <c r="K20" i="68"/>
  <c r="G5" i="68"/>
  <c r="H5" i="68" s="1"/>
  <c r="K5" i="68"/>
  <c r="O6" i="68"/>
  <c r="Q6" i="68" s="1"/>
  <c r="I7" i="68"/>
  <c r="G9" i="68"/>
  <c r="H9" i="68" s="1"/>
  <c r="K9" i="68"/>
  <c r="O10" i="68"/>
  <c r="Q10" i="68" s="1"/>
  <c r="I11" i="68"/>
  <c r="D12" i="68"/>
  <c r="O13" i="68"/>
  <c r="Q13" i="68" s="1"/>
  <c r="I14" i="68"/>
  <c r="G16" i="68"/>
  <c r="H16" i="68" s="1"/>
  <c r="K16" i="68"/>
  <c r="G19" i="68"/>
  <c r="H19" i="68" s="1"/>
  <c r="K19" i="68"/>
  <c r="O20" i="68"/>
  <c r="Q20" i="68" s="1"/>
  <c r="I21" i="68"/>
  <c r="K15" i="68"/>
  <c r="G17" i="68"/>
  <c r="H17" i="68" s="1"/>
  <c r="J10" i="70" l="1"/>
  <c r="J6" i="70"/>
  <c r="H11" i="68"/>
  <c r="J11" i="68"/>
  <c r="J10" i="71"/>
  <c r="J8" i="70"/>
  <c r="J6" i="69"/>
  <c r="J21" i="69"/>
  <c r="H21" i="68"/>
  <c r="J21" i="68"/>
  <c r="Q12" i="69"/>
  <c r="K17" i="69"/>
  <c r="J17" i="70"/>
  <c r="J17" i="68"/>
  <c r="J19" i="68"/>
  <c r="G17" i="69"/>
  <c r="H17" i="69" s="1"/>
  <c r="J13" i="69"/>
  <c r="J10" i="69"/>
  <c r="J8" i="71"/>
  <c r="J13" i="71"/>
  <c r="Q17" i="70"/>
  <c r="J22" i="69"/>
  <c r="J19" i="70"/>
  <c r="H14" i="69"/>
  <c r="J14" i="69"/>
  <c r="Q12" i="71"/>
  <c r="J22" i="71"/>
  <c r="J18" i="71"/>
  <c r="J15" i="71"/>
  <c r="J16" i="71"/>
  <c r="J17" i="71"/>
  <c r="I12" i="71"/>
  <c r="K12" i="71"/>
  <c r="G12" i="71"/>
  <c r="H12" i="71" s="1"/>
  <c r="J19" i="71"/>
  <c r="I12" i="70"/>
  <c r="K12" i="70"/>
  <c r="G12" i="70"/>
  <c r="H12" i="70" s="1"/>
  <c r="Q12" i="70"/>
  <c r="J16" i="70"/>
  <c r="J5" i="70"/>
  <c r="J13" i="70"/>
  <c r="J22" i="70"/>
  <c r="J18" i="70"/>
  <c r="J15" i="70"/>
  <c r="J9" i="70"/>
  <c r="J19" i="69"/>
  <c r="J18" i="69"/>
  <c r="J15" i="69"/>
  <c r="I12" i="69"/>
  <c r="K12" i="69"/>
  <c r="G12" i="69"/>
  <c r="H12" i="69" s="1"/>
  <c r="J17" i="69"/>
  <c r="J8" i="69"/>
  <c r="J16" i="69"/>
  <c r="J5" i="69"/>
  <c r="I12" i="68"/>
  <c r="K12" i="68"/>
  <c r="G12" i="68"/>
  <c r="H12" i="68" s="1"/>
  <c r="J5" i="68"/>
  <c r="J20" i="68"/>
  <c r="J16" i="68"/>
  <c r="J13" i="68"/>
  <c r="J6" i="68"/>
  <c r="Q12" i="68"/>
  <c r="J9" i="68"/>
  <c r="J12" i="69" l="1"/>
  <c r="J12" i="70"/>
  <c r="J12" i="71"/>
  <c r="J12" i="68"/>
  <c r="P22" i="93" l="1"/>
  <c r="D22" i="93"/>
  <c r="C22" i="93"/>
  <c r="K22" i="93" s="1"/>
  <c r="P22" i="92"/>
  <c r="D22" i="92"/>
  <c r="C22" i="92"/>
  <c r="K22" i="92" s="1"/>
  <c r="P21" i="93"/>
  <c r="D21" i="93"/>
  <c r="I21" i="93" s="1"/>
  <c r="C21" i="93"/>
  <c r="P21" i="92"/>
  <c r="D21" i="92"/>
  <c r="G21" i="92" s="1"/>
  <c r="H21" i="92" s="1"/>
  <c r="C21" i="92"/>
  <c r="K21" i="92" s="1"/>
  <c r="P20" i="93"/>
  <c r="D20" i="93"/>
  <c r="C20" i="93"/>
  <c r="P20" i="92"/>
  <c r="D20" i="92"/>
  <c r="C20" i="92"/>
  <c r="P19" i="93"/>
  <c r="D19" i="93"/>
  <c r="I19" i="93" s="1"/>
  <c r="C19" i="93"/>
  <c r="P19" i="92"/>
  <c r="D19" i="92"/>
  <c r="I19" i="92" s="1"/>
  <c r="C19" i="92"/>
  <c r="K19" i="92" s="1"/>
  <c r="P18" i="93"/>
  <c r="D18" i="93"/>
  <c r="C18" i="93"/>
  <c r="P18" i="92"/>
  <c r="D18" i="92"/>
  <c r="C18" i="92"/>
  <c r="K18" i="92" s="1"/>
  <c r="P16" i="93"/>
  <c r="D16" i="93"/>
  <c r="K16" i="93" s="1"/>
  <c r="C16" i="93"/>
  <c r="P16" i="92"/>
  <c r="D16" i="92"/>
  <c r="I16" i="92" s="1"/>
  <c r="C16" i="92"/>
  <c r="P15" i="93"/>
  <c r="D15" i="93"/>
  <c r="C15" i="93"/>
  <c r="P15" i="92"/>
  <c r="D15" i="92"/>
  <c r="C15" i="92"/>
  <c r="K15" i="92" s="1"/>
  <c r="P14" i="93"/>
  <c r="D14" i="93"/>
  <c r="C14" i="93"/>
  <c r="P14" i="92"/>
  <c r="D14" i="92"/>
  <c r="O14" i="92" s="1"/>
  <c r="Q14" i="92" s="1"/>
  <c r="C14" i="92"/>
  <c r="P13" i="93"/>
  <c r="D13" i="93"/>
  <c r="C13" i="93"/>
  <c r="P13" i="92"/>
  <c r="D13" i="92"/>
  <c r="C13" i="92"/>
  <c r="P11" i="93"/>
  <c r="D11" i="93"/>
  <c r="O11" i="93" s="1"/>
  <c r="Q11" i="93" s="1"/>
  <c r="C11" i="93"/>
  <c r="P11" i="92"/>
  <c r="D11" i="92"/>
  <c r="G11" i="92" s="1"/>
  <c r="H11" i="92" s="1"/>
  <c r="C11" i="92"/>
  <c r="K11" i="92" s="1"/>
  <c r="P10" i="93"/>
  <c r="D10" i="93"/>
  <c r="C10" i="93"/>
  <c r="P10" i="92"/>
  <c r="D10" i="92"/>
  <c r="C10" i="92"/>
  <c r="P9" i="93"/>
  <c r="D9" i="93"/>
  <c r="O9" i="93" s="1"/>
  <c r="Q9" i="93" s="1"/>
  <c r="C9" i="93"/>
  <c r="P9" i="92"/>
  <c r="D9" i="92"/>
  <c r="O9" i="92" s="1"/>
  <c r="Q9" i="92" s="1"/>
  <c r="C9" i="92"/>
  <c r="K9" i="92" s="1"/>
  <c r="P8" i="93"/>
  <c r="D8" i="93"/>
  <c r="C8" i="93"/>
  <c r="P8" i="92"/>
  <c r="D8" i="92"/>
  <c r="C8" i="92"/>
  <c r="P7" i="93"/>
  <c r="D7" i="93"/>
  <c r="O7" i="93" s="1"/>
  <c r="Q7" i="93" s="1"/>
  <c r="C7" i="93"/>
  <c r="P7" i="92"/>
  <c r="D7" i="92"/>
  <c r="C7" i="92"/>
  <c r="K7" i="92" s="1"/>
  <c r="P6" i="93"/>
  <c r="D6" i="93"/>
  <c r="C6" i="93"/>
  <c r="P6" i="92"/>
  <c r="D6" i="92"/>
  <c r="I6" i="92" s="1"/>
  <c r="C6" i="92"/>
  <c r="P5" i="93"/>
  <c r="D5" i="93"/>
  <c r="G5" i="93" s="1"/>
  <c r="H5" i="93" s="1"/>
  <c r="C5" i="93"/>
  <c r="P5" i="92"/>
  <c r="D5" i="92"/>
  <c r="I5" i="92" s="1"/>
  <c r="C5" i="92"/>
  <c r="K5" i="92" s="1"/>
  <c r="O22" i="93"/>
  <c r="Q22" i="93" s="1"/>
  <c r="I20" i="93"/>
  <c r="O18" i="93"/>
  <c r="K18" i="93"/>
  <c r="F17" i="93"/>
  <c r="E17" i="93"/>
  <c r="O15" i="93"/>
  <c r="Q15" i="93" s="1"/>
  <c r="K15" i="93"/>
  <c r="I13" i="93"/>
  <c r="F12" i="93"/>
  <c r="E12" i="93"/>
  <c r="I10" i="93"/>
  <c r="O8" i="93"/>
  <c r="I6" i="93"/>
  <c r="O22" i="92"/>
  <c r="I20" i="92"/>
  <c r="O18" i="92"/>
  <c r="F17" i="92"/>
  <c r="E17" i="92"/>
  <c r="O16" i="92"/>
  <c r="Q16" i="92" s="1"/>
  <c r="K16" i="92"/>
  <c r="O15" i="92"/>
  <c r="I13" i="92"/>
  <c r="F12" i="92"/>
  <c r="E12" i="92"/>
  <c r="I10" i="92"/>
  <c r="O8" i="92"/>
  <c r="K8" i="92"/>
  <c r="I7" i="92"/>
  <c r="P22" i="91"/>
  <c r="D22" i="91"/>
  <c r="O22" i="91" s="1"/>
  <c r="C22" i="91"/>
  <c r="P21" i="91"/>
  <c r="D21" i="91"/>
  <c r="G21" i="91" s="1"/>
  <c r="H21" i="91" s="1"/>
  <c r="C21" i="91"/>
  <c r="P20" i="91"/>
  <c r="D20" i="91"/>
  <c r="I20" i="91" s="1"/>
  <c r="C20" i="91"/>
  <c r="P19" i="91"/>
  <c r="D19" i="91"/>
  <c r="I19" i="91" s="1"/>
  <c r="C19" i="91"/>
  <c r="P18" i="91"/>
  <c r="D18" i="91"/>
  <c r="I18" i="91" s="1"/>
  <c r="C18" i="91"/>
  <c r="P16" i="91"/>
  <c r="D16" i="91"/>
  <c r="I16" i="91" s="1"/>
  <c r="C16" i="91"/>
  <c r="P15" i="91"/>
  <c r="D15" i="91"/>
  <c r="O15" i="91" s="1"/>
  <c r="Q15" i="91" s="1"/>
  <c r="C15" i="91"/>
  <c r="P14" i="91"/>
  <c r="D14" i="91"/>
  <c r="K14" i="91" s="1"/>
  <c r="C14" i="91"/>
  <c r="P13" i="91"/>
  <c r="D13" i="91"/>
  <c r="I13" i="91" s="1"/>
  <c r="C13" i="91"/>
  <c r="P11" i="91"/>
  <c r="D11" i="91"/>
  <c r="G11" i="91" s="1"/>
  <c r="H11" i="91" s="1"/>
  <c r="C11" i="91"/>
  <c r="P10" i="91"/>
  <c r="D10" i="91"/>
  <c r="I10" i="91" s="1"/>
  <c r="C10" i="91"/>
  <c r="P9" i="91"/>
  <c r="D9" i="91"/>
  <c r="O9" i="91" s="1"/>
  <c r="C9" i="91"/>
  <c r="P8" i="91"/>
  <c r="D8" i="91"/>
  <c r="I8" i="91" s="1"/>
  <c r="C8" i="91"/>
  <c r="P7" i="91"/>
  <c r="D7" i="91"/>
  <c r="I7" i="91" s="1"/>
  <c r="C7" i="91"/>
  <c r="P6" i="91"/>
  <c r="D6" i="91"/>
  <c r="I6" i="91" s="1"/>
  <c r="C6" i="91"/>
  <c r="P5" i="91"/>
  <c r="D5" i="91"/>
  <c r="I5" i="91" s="1"/>
  <c r="C5" i="91"/>
  <c r="I22" i="91"/>
  <c r="F17" i="91"/>
  <c r="E17" i="91"/>
  <c r="O16" i="91"/>
  <c r="O14" i="91"/>
  <c r="I14" i="91"/>
  <c r="G14" i="91"/>
  <c r="H14" i="91" s="1"/>
  <c r="F12" i="91"/>
  <c r="E12" i="91"/>
  <c r="I9" i="91"/>
  <c r="O8" i="91"/>
  <c r="O7" i="91"/>
  <c r="K7" i="91"/>
  <c r="O5" i="91"/>
  <c r="P22" i="90"/>
  <c r="D22" i="90"/>
  <c r="I22" i="90" s="1"/>
  <c r="C22" i="90"/>
  <c r="K22" i="90" s="1"/>
  <c r="P21" i="90"/>
  <c r="D21" i="90"/>
  <c r="G21" i="90" s="1"/>
  <c r="H21" i="90" s="1"/>
  <c r="C21" i="90"/>
  <c r="P20" i="90"/>
  <c r="D20" i="90"/>
  <c r="I20" i="90" s="1"/>
  <c r="C20" i="90"/>
  <c r="P19" i="90"/>
  <c r="D19" i="90"/>
  <c r="I19" i="90" s="1"/>
  <c r="C19" i="90"/>
  <c r="P18" i="90"/>
  <c r="D18" i="90"/>
  <c r="G18" i="90" s="1"/>
  <c r="H18" i="90" s="1"/>
  <c r="C18" i="90"/>
  <c r="P16" i="90"/>
  <c r="D16" i="90"/>
  <c r="C16" i="90"/>
  <c r="P15" i="90"/>
  <c r="D15" i="90"/>
  <c r="O15" i="90" s="1"/>
  <c r="Q15" i="90" s="1"/>
  <c r="C15" i="90"/>
  <c r="P14" i="90"/>
  <c r="D14" i="90"/>
  <c r="O14" i="90" s="1"/>
  <c r="C14" i="90"/>
  <c r="P13" i="90"/>
  <c r="D13" i="90"/>
  <c r="I13" i="90" s="1"/>
  <c r="C13" i="90"/>
  <c r="P11" i="90"/>
  <c r="D11" i="90"/>
  <c r="G11" i="90" s="1"/>
  <c r="H11" i="90" s="1"/>
  <c r="C11" i="90"/>
  <c r="P10" i="90"/>
  <c r="D10" i="90"/>
  <c r="I10" i="90" s="1"/>
  <c r="C10" i="90"/>
  <c r="P9" i="90"/>
  <c r="D9" i="90"/>
  <c r="O9" i="90" s="1"/>
  <c r="C9" i="90"/>
  <c r="P8" i="90"/>
  <c r="D8" i="90"/>
  <c r="G8" i="90" s="1"/>
  <c r="J8" i="90" s="1"/>
  <c r="C8" i="90"/>
  <c r="P7" i="90"/>
  <c r="D7" i="90"/>
  <c r="G7" i="90" s="1"/>
  <c r="H7" i="90" s="1"/>
  <c r="C7" i="90"/>
  <c r="P6" i="90"/>
  <c r="D6" i="90"/>
  <c r="I6" i="90" s="1"/>
  <c r="C6" i="90"/>
  <c r="P5" i="90"/>
  <c r="D5" i="90"/>
  <c r="I5" i="90" s="1"/>
  <c r="C5" i="90"/>
  <c r="F17" i="90"/>
  <c r="E17" i="90"/>
  <c r="I16" i="90"/>
  <c r="O16" i="90"/>
  <c r="F12" i="90"/>
  <c r="E12" i="90"/>
  <c r="O11" i="90"/>
  <c r="O8" i="90"/>
  <c r="Q8" i="90" s="1"/>
  <c r="I8" i="90"/>
  <c r="O7" i="90"/>
  <c r="K7" i="90"/>
  <c r="I9" i="90" l="1"/>
  <c r="G22" i="90"/>
  <c r="J22" i="90" s="1"/>
  <c r="I11" i="92"/>
  <c r="Q9" i="90"/>
  <c r="O11" i="92"/>
  <c r="Q11" i="92" s="1"/>
  <c r="O19" i="92"/>
  <c r="Q19" i="92" s="1"/>
  <c r="K8" i="91"/>
  <c r="I21" i="92"/>
  <c r="G14" i="90"/>
  <c r="H14" i="90" s="1"/>
  <c r="G14" i="92"/>
  <c r="H14" i="92" s="1"/>
  <c r="O5" i="90"/>
  <c r="Q5" i="90" s="1"/>
  <c r="J7" i="90"/>
  <c r="G15" i="90"/>
  <c r="H15" i="90" s="1"/>
  <c r="I11" i="91"/>
  <c r="O5" i="92"/>
  <c r="Q5" i="92" s="1"/>
  <c r="G7" i="93"/>
  <c r="H7" i="93" s="1"/>
  <c r="K8" i="93"/>
  <c r="Q16" i="90"/>
  <c r="G7" i="92"/>
  <c r="H7" i="92" s="1"/>
  <c r="Q22" i="91"/>
  <c r="O22" i="90"/>
  <c r="Q22" i="90" s="1"/>
  <c r="K22" i="91"/>
  <c r="O21" i="92"/>
  <c r="Q21" i="92" s="1"/>
  <c r="O21" i="90"/>
  <c r="G19" i="92"/>
  <c r="H19" i="92" s="1"/>
  <c r="O19" i="91"/>
  <c r="Q19" i="91" s="1"/>
  <c r="Q18" i="93"/>
  <c r="K18" i="90"/>
  <c r="I18" i="90"/>
  <c r="J18" i="90"/>
  <c r="O18" i="90"/>
  <c r="Q18" i="90" s="1"/>
  <c r="K18" i="91"/>
  <c r="D17" i="93"/>
  <c r="I17" i="93" s="1"/>
  <c r="O16" i="93"/>
  <c r="Q16" i="93" s="1"/>
  <c r="G16" i="92"/>
  <c r="H16" i="92" s="1"/>
  <c r="C17" i="91"/>
  <c r="C17" i="92"/>
  <c r="C17" i="93"/>
  <c r="C17" i="90"/>
  <c r="Q14" i="90"/>
  <c r="Q14" i="91"/>
  <c r="I14" i="92"/>
  <c r="D17" i="92"/>
  <c r="K17" i="92" s="1"/>
  <c r="O14" i="93"/>
  <c r="Q14" i="93" s="1"/>
  <c r="D17" i="91"/>
  <c r="K17" i="91" s="1"/>
  <c r="J14" i="90"/>
  <c r="K14" i="92"/>
  <c r="K14" i="90"/>
  <c r="G11" i="93"/>
  <c r="H11" i="93" s="1"/>
  <c r="J11" i="92"/>
  <c r="K11" i="91"/>
  <c r="K11" i="90"/>
  <c r="J11" i="91"/>
  <c r="O11" i="91"/>
  <c r="Q11" i="91" s="1"/>
  <c r="Q9" i="91"/>
  <c r="G9" i="92"/>
  <c r="H9" i="92" s="1"/>
  <c r="I9" i="92"/>
  <c r="G9" i="93"/>
  <c r="H9" i="93" s="1"/>
  <c r="Q8" i="93"/>
  <c r="Q8" i="91"/>
  <c r="K8" i="90"/>
  <c r="C12" i="93"/>
  <c r="C12" i="91"/>
  <c r="G7" i="91"/>
  <c r="H7" i="91" s="1"/>
  <c r="Q5" i="91"/>
  <c r="I5" i="93"/>
  <c r="G5" i="92"/>
  <c r="H5" i="92" s="1"/>
  <c r="I21" i="91"/>
  <c r="K21" i="90"/>
  <c r="K21" i="91"/>
  <c r="J21" i="90"/>
  <c r="J21" i="91"/>
  <c r="O21" i="91"/>
  <c r="Q21" i="91" s="1"/>
  <c r="J21" i="92"/>
  <c r="K21" i="93"/>
  <c r="Q22" i="92"/>
  <c r="O19" i="90"/>
  <c r="Q19" i="90" s="1"/>
  <c r="K19" i="93"/>
  <c r="O18" i="91"/>
  <c r="Q18" i="91" s="1"/>
  <c r="Q18" i="92"/>
  <c r="Q8" i="92"/>
  <c r="K5" i="93"/>
  <c r="I7" i="93"/>
  <c r="I9" i="93"/>
  <c r="I11" i="93"/>
  <c r="G14" i="93"/>
  <c r="G16" i="93"/>
  <c r="H16" i="93" s="1"/>
  <c r="O19" i="93"/>
  <c r="Q19" i="93" s="1"/>
  <c r="O21" i="93"/>
  <c r="Q21" i="93" s="1"/>
  <c r="O5" i="93"/>
  <c r="Q5" i="93" s="1"/>
  <c r="K7" i="93"/>
  <c r="K9" i="93"/>
  <c r="K11" i="93"/>
  <c r="I14" i="93"/>
  <c r="I16" i="93"/>
  <c r="G19" i="93"/>
  <c r="H19" i="93" s="1"/>
  <c r="G21" i="93"/>
  <c r="H21" i="93" s="1"/>
  <c r="C12" i="92"/>
  <c r="Q15" i="92"/>
  <c r="Q17" i="92" s="1"/>
  <c r="J7" i="93"/>
  <c r="J11" i="93"/>
  <c r="K14" i="93"/>
  <c r="K17" i="93"/>
  <c r="J5" i="93"/>
  <c r="G6" i="93"/>
  <c r="H6" i="93" s="1"/>
  <c r="K6" i="93"/>
  <c r="I8" i="93"/>
  <c r="G10" i="93"/>
  <c r="H10" i="93" s="1"/>
  <c r="K10" i="93"/>
  <c r="G13" i="93"/>
  <c r="H13" i="93" s="1"/>
  <c r="K13" i="93"/>
  <c r="I15" i="93"/>
  <c r="I18" i="93"/>
  <c r="G20" i="93"/>
  <c r="H20" i="93" s="1"/>
  <c r="K20" i="93"/>
  <c r="I22" i="93"/>
  <c r="O6" i="93"/>
  <c r="Q6" i="93" s="1"/>
  <c r="O10" i="93"/>
  <c r="Q10" i="93" s="1"/>
  <c r="O13" i="93"/>
  <c r="Q13" i="93" s="1"/>
  <c r="O20" i="93"/>
  <c r="Q20" i="93" s="1"/>
  <c r="D12" i="93"/>
  <c r="G8" i="93"/>
  <c r="H8" i="93" s="1"/>
  <c r="G15" i="93"/>
  <c r="H15" i="93" s="1"/>
  <c r="G17" i="93"/>
  <c r="H17" i="93" s="1"/>
  <c r="G18" i="93"/>
  <c r="H18" i="93" s="1"/>
  <c r="G22" i="93"/>
  <c r="H22" i="93" s="1"/>
  <c r="G6" i="92"/>
  <c r="H6" i="92" s="1"/>
  <c r="K6" i="92"/>
  <c r="O7" i="92"/>
  <c r="Q7" i="92" s="1"/>
  <c r="I8" i="92"/>
  <c r="G10" i="92"/>
  <c r="H10" i="92" s="1"/>
  <c r="K10" i="92"/>
  <c r="G13" i="92"/>
  <c r="H13" i="92" s="1"/>
  <c r="K13" i="92"/>
  <c r="I15" i="92"/>
  <c r="J16" i="92"/>
  <c r="I17" i="92"/>
  <c r="I18" i="92"/>
  <c r="J19" i="92"/>
  <c r="G20" i="92"/>
  <c r="H20" i="92" s="1"/>
  <c r="K20" i="92"/>
  <c r="I22" i="92"/>
  <c r="J6" i="92"/>
  <c r="J10" i="92"/>
  <c r="O10" i="92"/>
  <c r="Q10" i="92" s="1"/>
  <c r="O13" i="92"/>
  <c r="Q13" i="92" s="1"/>
  <c r="O20" i="92"/>
  <c r="Q20" i="92" s="1"/>
  <c r="O6" i="92"/>
  <c r="Q6" i="92" s="1"/>
  <c r="D12" i="92"/>
  <c r="G8" i="92"/>
  <c r="H8" i="92" s="1"/>
  <c r="G15" i="92"/>
  <c r="H15" i="92" s="1"/>
  <c r="G17" i="92"/>
  <c r="H17" i="92" s="1"/>
  <c r="G18" i="92"/>
  <c r="H18" i="92" s="1"/>
  <c r="G22" i="92"/>
  <c r="H22" i="92" s="1"/>
  <c r="J7" i="91"/>
  <c r="Q7" i="91"/>
  <c r="J14" i="91"/>
  <c r="Q16" i="91"/>
  <c r="Q17" i="91" s="1"/>
  <c r="K15" i="91"/>
  <c r="I15" i="91"/>
  <c r="G6" i="91"/>
  <c r="H6" i="91" s="1"/>
  <c r="G10" i="91"/>
  <c r="H10" i="91" s="1"/>
  <c r="K10" i="91"/>
  <c r="G13" i="91"/>
  <c r="H13" i="91" s="1"/>
  <c r="K13" i="91"/>
  <c r="G20" i="91"/>
  <c r="H20" i="91" s="1"/>
  <c r="K20" i="91"/>
  <c r="G5" i="91"/>
  <c r="H5" i="91" s="1"/>
  <c r="K5" i="91"/>
  <c r="O6" i="91"/>
  <c r="Q6" i="91" s="1"/>
  <c r="G9" i="91"/>
  <c r="H9" i="91" s="1"/>
  <c r="K9" i="91"/>
  <c r="O10" i="91"/>
  <c r="Q10" i="91" s="1"/>
  <c r="D12" i="91"/>
  <c r="O13" i="91"/>
  <c r="Q13" i="91" s="1"/>
  <c r="G16" i="91"/>
  <c r="H16" i="91" s="1"/>
  <c r="K16" i="91"/>
  <c r="G19" i="91"/>
  <c r="H19" i="91" s="1"/>
  <c r="K19" i="91"/>
  <c r="O20" i="91"/>
  <c r="Q20" i="91" s="1"/>
  <c r="K6" i="91"/>
  <c r="G8" i="91"/>
  <c r="H8" i="91" s="1"/>
  <c r="G15" i="91"/>
  <c r="H15" i="91" s="1"/>
  <c r="G18" i="91"/>
  <c r="H18" i="91" s="1"/>
  <c r="G22" i="91"/>
  <c r="H22" i="91" s="1"/>
  <c r="Q21" i="90"/>
  <c r="H22" i="90"/>
  <c r="Q7" i="90"/>
  <c r="H8" i="90"/>
  <c r="Q11" i="90"/>
  <c r="I15" i="90"/>
  <c r="D17" i="90"/>
  <c r="K17" i="90" s="1"/>
  <c r="J11" i="90"/>
  <c r="J15" i="90"/>
  <c r="Q17" i="90"/>
  <c r="J5" i="90"/>
  <c r="G6" i="90"/>
  <c r="H6" i="90" s="1"/>
  <c r="G10" i="90"/>
  <c r="H10" i="90" s="1"/>
  <c r="K13" i="90"/>
  <c r="J10" i="90"/>
  <c r="C12" i="90"/>
  <c r="G13" i="90"/>
  <c r="H13" i="90" s="1"/>
  <c r="G20" i="90"/>
  <c r="H20" i="90" s="1"/>
  <c r="K20" i="90"/>
  <c r="G5" i="90"/>
  <c r="H5" i="90" s="1"/>
  <c r="K5" i="90"/>
  <c r="O6" i="90"/>
  <c r="Q6" i="90" s="1"/>
  <c r="I7" i="90"/>
  <c r="G9" i="90"/>
  <c r="H9" i="90" s="1"/>
  <c r="K9" i="90"/>
  <c r="O10" i="90"/>
  <c r="Q10" i="90" s="1"/>
  <c r="I11" i="90"/>
  <c r="D12" i="90"/>
  <c r="O13" i="90"/>
  <c r="Q13" i="90" s="1"/>
  <c r="I14" i="90"/>
  <c r="G16" i="90"/>
  <c r="H16" i="90" s="1"/>
  <c r="K16" i="90"/>
  <c r="G19" i="90"/>
  <c r="H19" i="90" s="1"/>
  <c r="K19" i="90"/>
  <c r="O20" i="90"/>
  <c r="Q20" i="90" s="1"/>
  <c r="I21" i="90"/>
  <c r="K6" i="90"/>
  <c r="K10" i="90"/>
  <c r="K15" i="90"/>
  <c r="J13" i="92" l="1"/>
  <c r="I17" i="91"/>
  <c r="J9" i="92"/>
  <c r="G17" i="91"/>
  <c r="H17" i="91" s="1"/>
  <c r="J9" i="93"/>
  <c r="J5" i="92"/>
  <c r="J20" i="92"/>
  <c r="Q17" i="93"/>
  <c r="J5" i="91"/>
  <c r="J14" i="92"/>
  <c r="J7" i="92"/>
  <c r="J19" i="91"/>
  <c r="J15" i="91"/>
  <c r="J13" i="93"/>
  <c r="J10" i="93"/>
  <c r="J10" i="91"/>
  <c r="J22" i="92"/>
  <c r="J19" i="93"/>
  <c r="J8" i="93"/>
  <c r="J20" i="93"/>
  <c r="H14" i="93"/>
  <c r="J14" i="93"/>
  <c r="J16" i="93"/>
  <c r="J21" i="93"/>
  <c r="I12" i="93"/>
  <c r="K12" i="93"/>
  <c r="G12" i="93"/>
  <c r="H12" i="93" s="1"/>
  <c r="J18" i="93"/>
  <c r="J17" i="93"/>
  <c r="J22" i="93"/>
  <c r="J15" i="93"/>
  <c r="Q12" i="93"/>
  <c r="J6" i="93"/>
  <c r="J15" i="92"/>
  <c r="I12" i="92"/>
  <c r="K12" i="92"/>
  <c r="G12" i="92"/>
  <c r="H12" i="92" s="1"/>
  <c r="J18" i="92"/>
  <c r="Q12" i="92"/>
  <c r="J17" i="92"/>
  <c r="J8" i="92"/>
  <c r="J22" i="91"/>
  <c r="J17" i="91"/>
  <c r="J20" i="91"/>
  <c r="I12" i="91"/>
  <c r="K12" i="91"/>
  <c r="G12" i="91"/>
  <c r="H12" i="91" s="1"/>
  <c r="J8" i="91"/>
  <c r="J16" i="91"/>
  <c r="J13" i="91"/>
  <c r="J18" i="91"/>
  <c r="J6" i="91"/>
  <c r="Q12" i="91"/>
  <c r="J9" i="91"/>
  <c r="I17" i="90"/>
  <c r="Q12" i="90"/>
  <c r="G17" i="90"/>
  <c r="H17" i="90" s="1"/>
  <c r="J19" i="90"/>
  <c r="J20" i="90"/>
  <c r="I12" i="90"/>
  <c r="G12" i="90"/>
  <c r="H12" i="90" s="1"/>
  <c r="K12" i="90"/>
  <c r="J13" i="90"/>
  <c r="J9" i="90"/>
  <c r="J6" i="90"/>
  <c r="J16" i="90"/>
  <c r="J17" i="90" l="1"/>
  <c r="J12" i="92"/>
  <c r="J12" i="93"/>
  <c r="J12" i="91"/>
  <c r="J12" i="90"/>
  <c r="R7" i="2" l="1"/>
  <c r="S7" i="2"/>
  <c r="R8" i="2"/>
  <c r="S8" i="2"/>
  <c r="R9" i="2"/>
  <c r="S9" i="2"/>
  <c r="R10" i="2"/>
  <c r="S10" i="2"/>
  <c r="R11" i="2"/>
  <c r="S11" i="2"/>
  <c r="R12" i="2"/>
  <c r="S12" i="2"/>
  <c r="R13" i="2"/>
  <c r="S13" i="2"/>
  <c r="R14" i="2"/>
  <c r="S14" i="2"/>
  <c r="R15" i="2"/>
  <c r="S15" i="2"/>
  <c r="R16" i="2"/>
  <c r="S16" i="2"/>
  <c r="R17" i="2"/>
  <c r="S17" i="2"/>
  <c r="R18" i="2"/>
  <c r="S18" i="2"/>
  <c r="D19" i="2" l="1"/>
  <c r="E19" i="2"/>
  <c r="F19" i="2"/>
  <c r="G19" i="2"/>
  <c r="H19" i="2"/>
  <c r="I19" i="2"/>
  <c r="J19" i="2"/>
  <c r="K19" i="2"/>
  <c r="L19" i="2"/>
  <c r="S19" i="2" s="1"/>
  <c r="M19" i="2"/>
  <c r="N19" i="2"/>
  <c r="O19" i="2"/>
  <c r="P19" i="2"/>
  <c r="Q19" i="2"/>
  <c r="D30" i="2"/>
  <c r="E30" i="2"/>
  <c r="F30" i="2"/>
  <c r="G30" i="2"/>
  <c r="H30" i="2"/>
  <c r="I30" i="2"/>
  <c r="J30" i="2"/>
  <c r="K30" i="2"/>
  <c r="L30" i="2"/>
  <c r="M30" i="2"/>
  <c r="M35" i="2" s="1"/>
  <c r="N30" i="2"/>
  <c r="O30" i="2"/>
  <c r="P30" i="2"/>
  <c r="Q30" i="2"/>
  <c r="D34" i="2"/>
  <c r="E34" i="2"/>
  <c r="F34" i="2"/>
  <c r="G34" i="2"/>
  <c r="H34" i="2"/>
  <c r="I34" i="2"/>
  <c r="J34" i="2"/>
  <c r="K34" i="2"/>
  <c r="K35" i="2" s="1"/>
  <c r="L34" i="2"/>
  <c r="M34" i="2"/>
  <c r="N34" i="2"/>
  <c r="O34" i="2"/>
  <c r="P34" i="2"/>
  <c r="Q34" i="2"/>
  <c r="S34" i="2" s="1"/>
  <c r="R20" i="2"/>
  <c r="S20" i="2"/>
  <c r="R21" i="2"/>
  <c r="S21" i="2"/>
  <c r="R22" i="2"/>
  <c r="S22" i="2"/>
  <c r="R23" i="2"/>
  <c r="S23" i="2"/>
  <c r="R24" i="2"/>
  <c r="S24" i="2"/>
  <c r="R25" i="2"/>
  <c r="S25" i="2"/>
  <c r="R26" i="2"/>
  <c r="S26" i="2"/>
  <c r="R27" i="2"/>
  <c r="S27" i="2"/>
  <c r="R28" i="2"/>
  <c r="S28" i="2"/>
  <c r="R29" i="2"/>
  <c r="S29" i="2"/>
  <c r="R31" i="2"/>
  <c r="S31" i="2"/>
  <c r="R32" i="2"/>
  <c r="S32" i="2"/>
  <c r="R33" i="2"/>
  <c r="S33" i="2"/>
  <c r="D35" i="2"/>
  <c r="E35" i="2"/>
  <c r="R36" i="2"/>
  <c r="S36" i="2"/>
  <c r="R37" i="2"/>
  <c r="S37" i="2"/>
  <c r="R38" i="2"/>
  <c r="S38" i="2"/>
  <c r="R39" i="2"/>
  <c r="S39" i="2"/>
  <c r="R40" i="2"/>
  <c r="S40" i="2"/>
  <c r="R41" i="2"/>
  <c r="S41" i="2"/>
  <c r="R42" i="2"/>
  <c r="S42" i="2"/>
  <c r="R43" i="2"/>
  <c r="S43" i="2"/>
  <c r="R44" i="2"/>
  <c r="S44" i="2"/>
  <c r="R45" i="2"/>
  <c r="S45" i="2"/>
  <c r="R46" i="2"/>
  <c r="S46" i="2"/>
  <c r="R47" i="2"/>
  <c r="S47" i="2"/>
  <c r="D48" i="2"/>
  <c r="E48" i="2"/>
  <c r="F48" i="2"/>
  <c r="G48" i="2"/>
  <c r="H48" i="2"/>
  <c r="I48" i="2"/>
  <c r="J48" i="2"/>
  <c r="K48" i="2"/>
  <c r="L48" i="2"/>
  <c r="Q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D5" i="96"/>
  <c r="R57" i="2"/>
  <c r="J59" i="2"/>
  <c r="L59" i="2"/>
  <c r="M59" i="2"/>
  <c r="D5" i="99"/>
  <c r="D59" i="2"/>
  <c r="E59" i="2"/>
  <c r="F59" i="2"/>
  <c r="G59" i="2"/>
  <c r="H59" i="2"/>
  <c r="I59" i="2"/>
  <c r="K59" i="2"/>
  <c r="D5" i="101"/>
  <c r="D5" i="103"/>
  <c r="R61" i="2"/>
  <c r="R62" i="2"/>
  <c r="D63" i="2"/>
  <c r="E63" i="2"/>
  <c r="F63" i="2"/>
  <c r="G63" i="2"/>
  <c r="H63" i="2"/>
  <c r="I63" i="2"/>
  <c r="J63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Q93" i="2" s="1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D88" i="2"/>
  <c r="E88" i="2"/>
  <c r="F88" i="2"/>
  <c r="G88" i="2"/>
  <c r="H88" i="2"/>
  <c r="I88" i="2"/>
  <c r="J88" i="2"/>
  <c r="K88" i="2"/>
  <c r="L88" i="2"/>
  <c r="S88" i="2" s="1"/>
  <c r="M88" i="2"/>
  <c r="N88" i="2"/>
  <c r="O88" i="2"/>
  <c r="P88" i="2"/>
  <c r="Q88" i="2"/>
  <c r="R89" i="2"/>
  <c r="S89" i="2"/>
  <c r="R90" i="2"/>
  <c r="S90" i="2"/>
  <c r="R91" i="2"/>
  <c r="S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I35" i="2" l="1"/>
  <c r="Q35" i="2"/>
  <c r="R30" i="2"/>
  <c r="L35" i="2"/>
  <c r="P35" i="2"/>
  <c r="H35" i="2"/>
  <c r="M93" i="2"/>
  <c r="R92" i="2"/>
  <c r="I93" i="2"/>
  <c r="E93" i="2"/>
  <c r="S77" i="2"/>
  <c r="J93" i="2"/>
  <c r="S92" i="2"/>
  <c r="L93" i="2"/>
  <c r="S93" i="2" s="1"/>
  <c r="O93" i="2"/>
  <c r="K93" i="2"/>
  <c r="G93" i="2"/>
  <c r="N93" i="2"/>
  <c r="R60" i="2"/>
  <c r="D5" i="100"/>
  <c r="I5" i="103"/>
  <c r="O5" i="103"/>
  <c r="Q5" i="103" s="1"/>
  <c r="K5" i="103"/>
  <c r="G5" i="103"/>
  <c r="H5" i="103" s="1"/>
  <c r="I5" i="101"/>
  <c r="G5" i="101"/>
  <c r="H5" i="101" s="1"/>
  <c r="O5" i="101"/>
  <c r="Q5" i="101" s="1"/>
  <c r="K5" i="101"/>
  <c r="J5" i="101"/>
  <c r="O63" i="2"/>
  <c r="S60" i="2"/>
  <c r="S57" i="2"/>
  <c r="D5" i="97"/>
  <c r="O5" i="96"/>
  <c r="Q5" i="96" s="1"/>
  <c r="I5" i="96"/>
  <c r="K5" i="96"/>
  <c r="G5" i="96"/>
  <c r="H5" i="96" s="1"/>
  <c r="R58" i="2"/>
  <c r="D5" i="98"/>
  <c r="G5" i="99"/>
  <c r="H5" i="99" s="1"/>
  <c r="O5" i="99"/>
  <c r="Q5" i="99" s="1"/>
  <c r="I5" i="99"/>
  <c r="K5" i="99"/>
  <c r="J5" i="99"/>
  <c r="R48" i="2"/>
  <c r="P93" i="2"/>
  <c r="H93" i="2"/>
  <c r="D93" i="2"/>
  <c r="F93" i="2"/>
  <c r="R88" i="2"/>
  <c r="H64" i="2"/>
  <c r="D64" i="2"/>
  <c r="F64" i="2"/>
  <c r="I64" i="2"/>
  <c r="E64" i="2"/>
  <c r="G64" i="2"/>
  <c r="J64" i="2"/>
  <c r="P63" i="2"/>
  <c r="N35" i="2"/>
  <c r="J35" i="2"/>
  <c r="F35" i="2"/>
  <c r="Q59" i="2"/>
  <c r="O59" i="2"/>
  <c r="S58" i="2"/>
  <c r="P59" i="2"/>
  <c r="S61" i="2"/>
  <c r="R34" i="2"/>
  <c r="S62" i="2"/>
  <c r="Q63" i="2"/>
  <c r="M63" i="2"/>
  <c r="M64" i="2" s="1"/>
  <c r="S48" i="2"/>
  <c r="O35" i="2"/>
  <c r="G35" i="2"/>
  <c r="L63" i="2"/>
  <c r="K63" i="2"/>
  <c r="R63" i="2" s="1"/>
  <c r="N63" i="2"/>
  <c r="S30" i="2"/>
  <c r="S35" i="2"/>
  <c r="N59" i="2"/>
  <c r="R35" i="2"/>
  <c r="R77" i="2"/>
  <c r="S59" i="2"/>
  <c r="R19" i="2"/>
  <c r="R59" i="2"/>
  <c r="J5" i="103" l="1"/>
  <c r="R93" i="2"/>
  <c r="O64" i="2"/>
  <c r="J5" i="96"/>
  <c r="P64" i="2"/>
  <c r="K5" i="100"/>
  <c r="I5" i="100"/>
  <c r="G5" i="100"/>
  <c r="H5" i="100" s="1"/>
  <c r="O5" i="100"/>
  <c r="Q5" i="100" s="1"/>
  <c r="K64" i="2"/>
  <c r="R64" i="2" s="1"/>
  <c r="K5" i="97"/>
  <c r="O5" i="97"/>
  <c r="Q5" i="97" s="1"/>
  <c r="G5" i="97"/>
  <c r="H5" i="97" s="1"/>
  <c r="I5" i="97"/>
  <c r="I5" i="98"/>
  <c r="O5" i="98"/>
  <c r="Q5" i="98" s="1"/>
  <c r="G5" i="98"/>
  <c r="H5" i="98" s="1"/>
  <c r="K5" i="98"/>
  <c r="N64" i="2"/>
  <c r="Q64" i="2"/>
  <c r="S63" i="2"/>
  <c r="L64" i="2"/>
  <c r="J5" i="100" l="1"/>
  <c r="S64" i="2"/>
  <c r="J5" i="98"/>
  <c r="J5" i="97"/>
  <c r="L68" i="48" l="1"/>
  <c r="D68" i="48"/>
  <c r="E39" i="48"/>
  <c r="E10" i="48"/>
  <c r="D19" i="11" l="1"/>
  <c r="R45" i="14" l="1"/>
  <c r="R11" i="14"/>
  <c r="S11" i="14"/>
  <c r="D22" i="99" l="1"/>
  <c r="D22" i="97"/>
  <c r="D21" i="97"/>
  <c r="D20" i="97"/>
  <c r="D19" i="103"/>
  <c r="D19" i="101"/>
  <c r="D19" i="99"/>
  <c r="D19" i="97"/>
  <c r="D18" i="103"/>
  <c r="D18" i="99"/>
  <c r="D18" i="97"/>
  <c r="D15" i="97"/>
  <c r="D14" i="103"/>
  <c r="D14" i="101"/>
  <c r="D14" i="97"/>
  <c r="D13" i="103"/>
  <c r="D13" i="102"/>
  <c r="D13" i="101"/>
  <c r="D13" i="100"/>
  <c r="D13" i="99"/>
  <c r="D13" i="97"/>
  <c r="D9" i="97"/>
  <c r="D10" i="97"/>
  <c r="D7" i="103"/>
  <c r="D7" i="101"/>
  <c r="D7" i="99"/>
  <c r="D7" i="97"/>
  <c r="D6" i="103"/>
  <c r="D6" i="101"/>
  <c r="D6" i="99"/>
  <c r="D6" i="98"/>
  <c r="D6" i="97"/>
  <c r="D6" i="96"/>
  <c r="G22" i="97" l="1"/>
  <c r="H22" i="97" s="1"/>
  <c r="O22" i="97"/>
  <c r="Q22" i="97" s="1"/>
  <c r="I22" i="97"/>
  <c r="K22" i="97"/>
  <c r="J22" i="97"/>
  <c r="K22" i="99"/>
  <c r="I22" i="99"/>
  <c r="G22" i="99"/>
  <c r="H22" i="99" s="1"/>
  <c r="O22" i="99"/>
  <c r="Q22" i="99" s="1"/>
  <c r="K21" i="97"/>
  <c r="I21" i="97"/>
  <c r="O21" i="97"/>
  <c r="Q21" i="97" s="1"/>
  <c r="G21" i="97"/>
  <c r="H21" i="97" s="1"/>
  <c r="I20" i="97"/>
  <c r="K20" i="97"/>
  <c r="O20" i="97"/>
  <c r="Q20" i="97" s="1"/>
  <c r="G20" i="97"/>
  <c r="H20" i="97" s="1"/>
  <c r="O19" i="103"/>
  <c r="Q19" i="103" s="1"/>
  <c r="I19" i="103"/>
  <c r="K19" i="103"/>
  <c r="G19" i="103"/>
  <c r="H19" i="103" s="1"/>
  <c r="I19" i="101"/>
  <c r="O19" i="101"/>
  <c r="Q19" i="101" s="1"/>
  <c r="K19" i="101"/>
  <c r="G19" i="101"/>
  <c r="H19" i="101" s="1"/>
  <c r="I19" i="99"/>
  <c r="G19" i="99"/>
  <c r="H19" i="99" s="1"/>
  <c r="O19" i="99"/>
  <c r="Q19" i="99" s="1"/>
  <c r="K19" i="99"/>
  <c r="K19" i="97"/>
  <c r="O19" i="97"/>
  <c r="Q19" i="97" s="1"/>
  <c r="G19" i="97"/>
  <c r="H19" i="97" s="1"/>
  <c r="I19" i="97"/>
  <c r="I18" i="103"/>
  <c r="O18" i="103"/>
  <c r="Q18" i="103" s="1"/>
  <c r="G18" i="103"/>
  <c r="H18" i="103" s="1"/>
  <c r="K18" i="103"/>
  <c r="O18" i="97"/>
  <c r="Q18" i="97" s="1"/>
  <c r="K18" i="97"/>
  <c r="G18" i="97"/>
  <c r="H18" i="97" s="1"/>
  <c r="I18" i="97"/>
  <c r="K18" i="99"/>
  <c r="G18" i="99"/>
  <c r="H18" i="99" s="1"/>
  <c r="O18" i="99"/>
  <c r="Q18" i="99" s="1"/>
  <c r="I18" i="99"/>
  <c r="O15" i="97"/>
  <c r="Q15" i="97" s="1"/>
  <c r="K15" i="97"/>
  <c r="G15" i="97"/>
  <c r="H15" i="97" s="1"/>
  <c r="I15" i="97"/>
  <c r="I14" i="101"/>
  <c r="G14" i="101"/>
  <c r="H14" i="101" s="1"/>
  <c r="D17" i="101"/>
  <c r="K14" i="101"/>
  <c r="O14" i="101"/>
  <c r="Q14" i="101" s="1"/>
  <c r="Q17" i="101" s="1"/>
  <c r="J14" i="101"/>
  <c r="I14" i="103"/>
  <c r="O14" i="103"/>
  <c r="Q14" i="103" s="1"/>
  <c r="Q17" i="103" s="1"/>
  <c r="K14" i="103"/>
  <c r="D17" i="103"/>
  <c r="G14" i="103"/>
  <c r="H14" i="103" s="1"/>
  <c r="G14" i="97"/>
  <c r="H14" i="97" s="1"/>
  <c r="D17" i="97"/>
  <c r="I14" i="97"/>
  <c r="K14" i="97"/>
  <c r="O14" i="97"/>
  <c r="Q14" i="97" s="1"/>
  <c r="J14" i="97"/>
  <c r="I13" i="100"/>
  <c r="G13" i="100"/>
  <c r="H13" i="100" s="1"/>
  <c r="K13" i="100"/>
  <c r="O13" i="100"/>
  <c r="Q13" i="100" s="1"/>
  <c r="J13" i="100"/>
  <c r="I13" i="102"/>
  <c r="O13" i="102"/>
  <c r="Q13" i="102" s="1"/>
  <c r="G13" i="102"/>
  <c r="H13" i="102" s="1"/>
  <c r="K13" i="102"/>
  <c r="O13" i="101"/>
  <c r="Q13" i="101" s="1"/>
  <c r="K13" i="101"/>
  <c r="G13" i="101"/>
  <c r="H13" i="101" s="1"/>
  <c r="I13" i="101"/>
  <c r="O13" i="103"/>
  <c r="Q13" i="103" s="1"/>
  <c r="I13" i="103"/>
  <c r="G13" i="103"/>
  <c r="H13" i="103" s="1"/>
  <c r="K13" i="103"/>
  <c r="I13" i="97"/>
  <c r="K13" i="97"/>
  <c r="O13" i="97"/>
  <c r="Q13" i="97" s="1"/>
  <c r="G13" i="97"/>
  <c r="H13" i="97" s="1"/>
  <c r="O13" i="99"/>
  <c r="Q13" i="99" s="1"/>
  <c r="I13" i="99"/>
  <c r="G13" i="99"/>
  <c r="H13" i="99" s="1"/>
  <c r="K13" i="99"/>
  <c r="G9" i="97"/>
  <c r="H9" i="97" s="1"/>
  <c r="I9" i="97"/>
  <c r="K9" i="97"/>
  <c r="O9" i="97"/>
  <c r="Q9" i="97" s="1"/>
  <c r="J9" i="97"/>
  <c r="I10" i="97"/>
  <c r="K10" i="97"/>
  <c r="G10" i="97"/>
  <c r="H10" i="97" s="1"/>
  <c r="O10" i="97"/>
  <c r="Q10" i="97" s="1"/>
  <c r="I7" i="103"/>
  <c r="O7" i="103"/>
  <c r="Q7" i="103" s="1"/>
  <c r="G7" i="103"/>
  <c r="H7" i="103" s="1"/>
  <c r="K7" i="103"/>
  <c r="I7" i="101"/>
  <c r="G7" i="101"/>
  <c r="H7" i="101" s="1"/>
  <c r="K7" i="101"/>
  <c r="O7" i="101"/>
  <c r="Q7" i="101" s="1"/>
  <c r="I7" i="99"/>
  <c r="G7" i="99"/>
  <c r="H7" i="99" s="1"/>
  <c r="O7" i="99"/>
  <c r="Q7" i="99" s="1"/>
  <c r="K7" i="99"/>
  <c r="O7" i="97"/>
  <c r="Q7" i="97" s="1"/>
  <c r="I7" i="97"/>
  <c r="K7" i="97"/>
  <c r="G7" i="97"/>
  <c r="H7" i="97" s="1"/>
  <c r="I6" i="103"/>
  <c r="D12" i="103"/>
  <c r="G6" i="103"/>
  <c r="H6" i="103" s="1"/>
  <c r="K6" i="103"/>
  <c r="O6" i="103"/>
  <c r="Q6" i="103" s="1"/>
  <c r="I6" i="101"/>
  <c r="G6" i="101"/>
  <c r="H6" i="101" s="1"/>
  <c r="K6" i="101"/>
  <c r="O6" i="101"/>
  <c r="Q6" i="101" s="1"/>
  <c r="D12" i="101"/>
  <c r="O6" i="99"/>
  <c r="Q6" i="99" s="1"/>
  <c r="I6" i="99"/>
  <c r="G6" i="99"/>
  <c r="H6" i="99" s="1"/>
  <c r="K6" i="99"/>
  <c r="D12" i="99"/>
  <c r="I6" i="97"/>
  <c r="K6" i="97"/>
  <c r="O6" i="97"/>
  <c r="Q6" i="97" s="1"/>
  <c r="D12" i="97"/>
  <c r="G6" i="97"/>
  <c r="H6" i="97" s="1"/>
  <c r="I6" i="96"/>
  <c r="D12" i="96"/>
  <c r="K6" i="96"/>
  <c r="G6" i="96"/>
  <c r="H6" i="96" s="1"/>
  <c r="O6" i="96"/>
  <c r="Q6" i="96" s="1"/>
  <c r="Q12" i="96" s="1"/>
  <c r="I6" i="98"/>
  <c r="G6" i="98"/>
  <c r="H6" i="98" s="1"/>
  <c r="O6" i="98"/>
  <c r="Q6" i="98" s="1"/>
  <c r="Q12" i="98" s="1"/>
  <c r="D12" i="98"/>
  <c r="K6" i="98"/>
  <c r="Q88" i="18"/>
  <c r="J6" i="101" l="1"/>
  <c r="J6" i="99"/>
  <c r="Q17" i="97"/>
  <c r="J14" i="103"/>
  <c r="J10" i="97"/>
  <c r="Q12" i="103"/>
  <c r="J7" i="99"/>
  <c r="J19" i="99"/>
  <c r="J22" i="99"/>
  <c r="J21" i="97"/>
  <c r="J20" i="97"/>
  <c r="J19" i="101"/>
  <c r="J19" i="97"/>
  <c r="J19" i="103"/>
  <c r="J18" i="103"/>
  <c r="J18" i="99"/>
  <c r="J18" i="97"/>
  <c r="J15" i="97"/>
  <c r="K17" i="101"/>
  <c r="G17" i="101"/>
  <c r="H17" i="101" s="1"/>
  <c r="I17" i="101"/>
  <c r="K17" i="103"/>
  <c r="G17" i="103"/>
  <c r="H17" i="103" s="1"/>
  <c r="I17" i="103"/>
  <c r="I17" i="97"/>
  <c r="G17" i="97"/>
  <c r="H17" i="97" s="1"/>
  <c r="K17" i="97"/>
  <c r="J13" i="103"/>
  <c r="J13" i="101"/>
  <c r="J13" i="102"/>
  <c r="J13" i="99"/>
  <c r="J13" i="97"/>
  <c r="Q12" i="97"/>
  <c r="Q12" i="99"/>
  <c r="Q12" i="101"/>
  <c r="J7" i="101"/>
  <c r="J7" i="103"/>
  <c r="J7" i="97"/>
  <c r="I12" i="101"/>
  <c r="K12" i="101"/>
  <c r="G12" i="101"/>
  <c r="H12" i="101" s="1"/>
  <c r="J6" i="103"/>
  <c r="G12" i="103"/>
  <c r="H12" i="103" s="1"/>
  <c r="I12" i="103"/>
  <c r="K12" i="103"/>
  <c r="I12" i="97"/>
  <c r="K12" i="97"/>
  <c r="G12" i="97"/>
  <c r="H12" i="97" s="1"/>
  <c r="J6" i="96"/>
  <c r="I12" i="98"/>
  <c r="K12" i="98"/>
  <c r="G12" i="98"/>
  <c r="H12" i="98" s="1"/>
  <c r="G12" i="96"/>
  <c r="H12" i="96" s="1"/>
  <c r="K12" i="96"/>
  <c r="I12" i="96"/>
  <c r="J6" i="98"/>
  <c r="J6" i="97"/>
  <c r="K12" i="99"/>
  <c r="G12" i="99"/>
  <c r="H12" i="99" s="1"/>
  <c r="I12" i="99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K62" i="5"/>
  <c r="J62" i="5"/>
  <c r="I62" i="5"/>
  <c r="H62" i="5"/>
  <c r="G62" i="5"/>
  <c r="F62" i="5"/>
  <c r="E62" i="5"/>
  <c r="D62" i="5"/>
  <c r="K61" i="5"/>
  <c r="J61" i="5"/>
  <c r="I61" i="5"/>
  <c r="H61" i="5"/>
  <c r="G61" i="5"/>
  <c r="F61" i="5"/>
  <c r="E61" i="5"/>
  <c r="D61" i="5"/>
  <c r="K60" i="5"/>
  <c r="J60" i="5"/>
  <c r="I60" i="5"/>
  <c r="H60" i="5"/>
  <c r="G60" i="5"/>
  <c r="F60" i="5"/>
  <c r="E60" i="5"/>
  <c r="D60" i="5"/>
  <c r="J58" i="5"/>
  <c r="I58" i="5"/>
  <c r="H58" i="5"/>
  <c r="G58" i="5"/>
  <c r="F58" i="5"/>
  <c r="E58" i="5"/>
  <c r="D58" i="5"/>
  <c r="J57" i="5"/>
  <c r="I57" i="5"/>
  <c r="H57" i="5"/>
  <c r="G57" i="5"/>
  <c r="F57" i="5"/>
  <c r="E57" i="5"/>
  <c r="D57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J17" i="103" l="1"/>
  <c r="J17" i="101"/>
  <c r="J17" i="97"/>
  <c r="J12" i="101"/>
  <c r="J12" i="103"/>
  <c r="J12" i="99"/>
  <c r="J12" i="97"/>
  <c r="J12" i="96"/>
  <c r="J12" i="98"/>
  <c r="Q92" i="21"/>
  <c r="P92" i="21"/>
  <c r="O92" i="21"/>
  <c r="N92" i="21"/>
  <c r="M92" i="21"/>
  <c r="L92" i="21"/>
  <c r="K92" i="21"/>
  <c r="J92" i="21"/>
  <c r="I92" i="21"/>
  <c r="H92" i="21"/>
  <c r="G92" i="21"/>
  <c r="F92" i="21"/>
  <c r="E92" i="21"/>
  <c r="D92" i="21"/>
  <c r="S91" i="21"/>
  <c r="R91" i="21"/>
  <c r="S90" i="21"/>
  <c r="R90" i="21"/>
  <c r="S89" i="21"/>
  <c r="R89" i="21"/>
  <c r="Q88" i="21"/>
  <c r="P88" i="21"/>
  <c r="O88" i="21"/>
  <c r="N88" i="21"/>
  <c r="M88" i="21"/>
  <c r="L88" i="21"/>
  <c r="S88" i="21" s="1"/>
  <c r="K88" i="21"/>
  <c r="J88" i="21"/>
  <c r="I88" i="21"/>
  <c r="H88" i="21"/>
  <c r="G88" i="21"/>
  <c r="F88" i="21"/>
  <c r="E88" i="21"/>
  <c r="D88" i="21"/>
  <c r="S87" i="21"/>
  <c r="R87" i="21"/>
  <c r="S86" i="21"/>
  <c r="R86" i="21"/>
  <c r="S85" i="21"/>
  <c r="R85" i="21"/>
  <c r="S84" i="21"/>
  <c r="R84" i="21"/>
  <c r="S83" i="21"/>
  <c r="R83" i="21"/>
  <c r="S82" i="21"/>
  <c r="R82" i="21"/>
  <c r="S81" i="21"/>
  <c r="R81" i="21"/>
  <c r="S80" i="21"/>
  <c r="R80" i="21"/>
  <c r="S79" i="21"/>
  <c r="R79" i="21"/>
  <c r="S78" i="21"/>
  <c r="R78" i="21"/>
  <c r="Q77" i="21"/>
  <c r="P77" i="21"/>
  <c r="O77" i="21"/>
  <c r="N77" i="21"/>
  <c r="M77" i="21"/>
  <c r="L77" i="21"/>
  <c r="K77" i="21"/>
  <c r="J77" i="21"/>
  <c r="I77" i="21"/>
  <c r="H77" i="21"/>
  <c r="G77" i="21"/>
  <c r="F77" i="21"/>
  <c r="E77" i="21"/>
  <c r="D77" i="21"/>
  <c r="S76" i="21"/>
  <c r="R76" i="21"/>
  <c r="S75" i="21"/>
  <c r="R75" i="21"/>
  <c r="S74" i="21"/>
  <c r="R74" i="21"/>
  <c r="S73" i="21"/>
  <c r="R73" i="21"/>
  <c r="S72" i="21"/>
  <c r="R72" i="21"/>
  <c r="S71" i="21"/>
  <c r="R71" i="21"/>
  <c r="S70" i="21"/>
  <c r="R70" i="21"/>
  <c r="S69" i="21"/>
  <c r="R69" i="21"/>
  <c r="S68" i="21"/>
  <c r="R68" i="21"/>
  <c r="S67" i="21"/>
  <c r="R67" i="21"/>
  <c r="S66" i="21"/>
  <c r="R66" i="21"/>
  <c r="S65" i="21"/>
  <c r="R65" i="21"/>
  <c r="Q63" i="21"/>
  <c r="P63" i="21"/>
  <c r="O63" i="21"/>
  <c r="N63" i="21"/>
  <c r="M63" i="21"/>
  <c r="L63" i="21"/>
  <c r="S63" i="21" s="1"/>
  <c r="K63" i="21"/>
  <c r="J63" i="21"/>
  <c r="I63" i="21"/>
  <c r="H63" i="21"/>
  <c r="G63" i="21"/>
  <c r="F63" i="21"/>
  <c r="E63" i="21"/>
  <c r="D63" i="21"/>
  <c r="S62" i="21"/>
  <c r="R62" i="21"/>
  <c r="S61" i="21"/>
  <c r="R61" i="21"/>
  <c r="S60" i="21"/>
  <c r="R60" i="21"/>
  <c r="K59" i="21"/>
  <c r="J59" i="21"/>
  <c r="I59" i="21"/>
  <c r="H59" i="21"/>
  <c r="G59" i="21"/>
  <c r="F59" i="21"/>
  <c r="E59" i="21"/>
  <c r="D59" i="21"/>
  <c r="R58" i="21"/>
  <c r="R57" i="21"/>
  <c r="P59" i="21"/>
  <c r="N59" i="21"/>
  <c r="S57" i="21"/>
  <c r="S56" i="21"/>
  <c r="R56" i="21"/>
  <c r="S55" i="21"/>
  <c r="R55" i="21"/>
  <c r="S54" i="21"/>
  <c r="R54" i="21"/>
  <c r="S53" i="21"/>
  <c r="R53" i="21"/>
  <c r="S52" i="21"/>
  <c r="R52" i="21"/>
  <c r="S51" i="21"/>
  <c r="R51" i="21"/>
  <c r="S50" i="21"/>
  <c r="R50" i="21"/>
  <c r="S49" i="21"/>
  <c r="R49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S47" i="21"/>
  <c r="R47" i="21"/>
  <c r="S46" i="21"/>
  <c r="R46" i="21"/>
  <c r="S45" i="21"/>
  <c r="R45" i="21"/>
  <c r="S44" i="21"/>
  <c r="R44" i="21"/>
  <c r="S43" i="21"/>
  <c r="R43" i="21"/>
  <c r="S42" i="21"/>
  <c r="R42" i="21"/>
  <c r="S41" i="21"/>
  <c r="R41" i="21"/>
  <c r="S40" i="21"/>
  <c r="R40" i="21"/>
  <c r="S39" i="21"/>
  <c r="R39" i="21"/>
  <c r="S38" i="21"/>
  <c r="R38" i="21"/>
  <c r="S37" i="21"/>
  <c r="R37" i="21"/>
  <c r="S36" i="21"/>
  <c r="R36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S33" i="21"/>
  <c r="R33" i="21"/>
  <c r="S32" i="21"/>
  <c r="R32" i="21"/>
  <c r="S31" i="21"/>
  <c r="R31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S29" i="21"/>
  <c r="R29" i="21"/>
  <c r="S28" i="21"/>
  <c r="R28" i="21"/>
  <c r="S27" i="21"/>
  <c r="R27" i="21"/>
  <c r="S26" i="21"/>
  <c r="R26" i="21"/>
  <c r="S25" i="21"/>
  <c r="R25" i="21"/>
  <c r="S24" i="21"/>
  <c r="R24" i="21"/>
  <c r="S23" i="21"/>
  <c r="R23" i="21"/>
  <c r="S22" i="21"/>
  <c r="R22" i="21"/>
  <c r="S21" i="21"/>
  <c r="R21" i="21"/>
  <c r="S20" i="21"/>
  <c r="R20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S18" i="21"/>
  <c r="R18" i="21"/>
  <c r="S17" i="21"/>
  <c r="R17" i="21"/>
  <c r="S16" i="21"/>
  <c r="R16" i="21"/>
  <c r="S15" i="21"/>
  <c r="R15" i="21"/>
  <c r="S14" i="21"/>
  <c r="R14" i="21"/>
  <c r="S13" i="21"/>
  <c r="R13" i="21"/>
  <c r="S12" i="21"/>
  <c r="R12" i="21"/>
  <c r="S11" i="21"/>
  <c r="R11" i="21"/>
  <c r="S10" i="21"/>
  <c r="R10" i="21"/>
  <c r="S9" i="21"/>
  <c r="R9" i="21"/>
  <c r="S8" i="21"/>
  <c r="R8" i="21"/>
  <c r="S7" i="21"/>
  <c r="R7" i="21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S91" i="20"/>
  <c r="R91" i="20"/>
  <c r="S90" i="20"/>
  <c r="R90" i="20"/>
  <c r="S89" i="20"/>
  <c r="R89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S87" i="20"/>
  <c r="R87" i="20"/>
  <c r="S86" i="20"/>
  <c r="R86" i="20"/>
  <c r="S85" i="20"/>
  <c r="R85" i="20"/>
  <c r="S84" i="20"/>
  <c r="R84" i="20"/>
  <c r="S83" i="20"/>
  <c r="R83" i="20"/>
  <c r="S82" i="20"/>
  <c r="R82" i="20"/>
  <c r="S81" i="20"/>
  <c r="R81" i="20"/>
  <c r="S80" i="20"/>
  <c r="R80" i="20"/>
  <c r="S79" i="20"/>
  <c r="R79" i="20"/>
  <c r="S78" i="20"/>
  <c r="R78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S76" i="20"/>
  <c r="R76" i="20"/>
  <c r="S75" i="20"/>
  <c r="R75" i="20"/>
  <c r="S74" i="20"/>
  <c r="R74" i="20"/>
  <c r="S73" i="20"/>
  <c r="R73" i="20"/>
  <c r="S72" i="20"/>
  <c r="R72" i="20"/>
  <c r="S71" i="20"/>
  <c r="R71" i="20"/>
  <c r="S70" i="20"/>
  <c r="R70" i="20"/>
  <c r="S69" i="20"/>
  <c r="R69" i="20"/>
  <c r="S68" i="20"/>
  <c r="R68" i="20"/>
  <c r="S67" i="20"/>
  <c r="R67" i="20"/>
  <c r="S66" i="20"/>
  <c r="R66" i="20"/>
  <c r="S65" i="20"/>
  <c r="R65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S62" i="20"/>
  <c r="R62" i="20"/>
  <c r="S61" i="20"/>
  <c r="R61" i="20"/>
  <c r="S60" i="20"/>
  <c r="R60" i="20"/>
  <c r="K59" i="20"/>
  <c r="J59" i="20"/>
  <c r="I59" i="20"/>
  <c r="H59" i="20"/>
  <c r="G59" i="20"/>
  <c r="F59" i="20"/>
  <c r="E59" i="20"/>
  <c r="D59" i="20"/>
  <c r="S58" i="20"/>
  <c r="R58" i="20"/>
  <c r="S57" i="20"/>
  <c r="R57" i="20"/>
  <c r="Q59" i="20"/>
  <c r="P59" i="20"/>
  <c r="O59" i="20"/>
  <c r="N59" i="20"/>
  <c r="M59" i="20"/>
  <c r="L59" i="20"/>
  <c r="S56" i="20"/>
  <c r="R56" i="20"/>
  <c r="S55" i="20"/>
  <c r="R55" i="20"/>
  <c r="S54" i="20"/>
  <c r="R54" i="20"/>
  <c r="S53" i="20"/>
  <c r="R53" i="20"/>
  <c r="S52" i="20"/>
  <c r="R52" i="20"/>
  <c r="S51" i="20"/>
  <c r="R51" i="20"/>
  <c r="S50" i="20"/>
  <c r="R50" i="20"/>
  <c r="S49" i="20"/>
  <c r="R49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S47" i="20"/>
  <c r="R47" i="20"/>
  <c r="S46" i="20"/>
  <c r="R46" i="20"/>
  <c r="S45" i="20"/>
  <c r="R45" i="20"/>
  <c r="S44" i="20"/>
  <c r="R44" i="20"/>
  <c r="S43" i="20"/>
  <c r="R43" i="20"/>
  <c r="S42" i="20"/>
  <c r="R42" i="20"/>
  <c r="S41" i="20"/>
  <c r="R41" i="20"/>
  <c r="S40" i="20"/>
  <c r="R40" i="20"/>
  <c r="S39" i="20"/>
  <c r="R39" i="20"/>
  <c r="S38" i="20"/>
  <c r="R38" i="20"/>
  <c r="S37" i="20"/>
  <c r="R37" i="20"/>
  <c r="S36" i="20"/>
  <c r="R36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S33" i="20"/>
  <c r="R33" i="20"/>
  <c r="S32" i="20"/>
  <c r="R32" i="20"/>
  <c r="S31" i="20"/>
  <c r="R31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S29" i="20"/>
  <c r="R29" i="20"/>
  <c r="S28" i="20"/>
  <c r="R28" i="20"/>
  <c r="S27" i="20"/>
  <c r="R27" i="20"/>
  <c r="S26" i="20"/>
  <c r="R26" i="20"/>
  <c r="S25" i="20"/>
  <c r="R25" i="20"/>
  <c r="S24" i="20"/>
  <c r="R24" i="20"/>
  <c r="S23" i="20"/>
  <c r="R23" i="20"/>
  <c r="S22" i="20"/>
  <c r="R22" i="20"/>
  <c r="S21" i="20"/>
  <c r="R21" i="20"/>
  <c r="S20" i="20"/>
  <c r="R20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S18" i="20"/>
  <c r="R18" i="20"/>
  <c r="S17" i="20"/>
  <c r="R17" i="20"/>
  <c r="S16" i="20"/>
  <c r="R16" i="20"/>
  <c r="S15" i="20"/>
  <c r="R15" i="20"/>
  <c r="S14" i="20"/>
  <c r="R14" i="20"/>
  <c r="S13" i="20"/>
  <c r="R13" i="20"/>
  <c r="S12" i="20"/>
  <c r="R12" i="20"/>
  <c r="S11" i="20"/>
  <c r="R11" i="20"/>
  <c r="S10" i="20"/>
  <c r="R10" i="20"/>
  <c r="S9" i="20"/>
  <c r="R9" i="20"/>
  <c r="S8" i="20"/>
  <c r="R8" i="20"/>
  <c r="S7" i="20"/>
  <c r="R7" i="20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S91" i="19"/>
  <c r="R91" i="19"/>
  <c r="S90" i="19"/>
  <c r="R90" i="19"/>
  <c r="S89" i="19"/>
  <c r="R89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S87" i="19"/>
  <c r="R87" i="19"/>
  <c r="S86" i="19"/>
  <c r="R86" i="19"/>
  <c r="S85" i="19"/>
  <c r="R85" i="19"/>
  <c r="S84" i="19"/>
  <c r="R84" i="19"/>
  <c r="S83" i="19"/>
  <c r="R83" i="19"/>
  <c r="S82" i="19"/>
  <c r="R82" i="19"/>
  <c r="S81" i="19"/>
  <c r="R81" i="19"/>
  <c r="S80" i="19"/>
  <c r="R80" i="19"/>
  <c r="S79" i="19"/>
  <c r="R79" i="19"/>
  <c r="S78" i="19"/>
  <c r="R78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S76" i="19"/>
  <c r="R76" i="19"/>
  <c r="S75" i="19"/>
  <c r="R75" i="19"/>
  <c r="S74" i="19"/>
  <c r="R74" i="19"/>
  <c r="S73" i="19"/>
  <c r="R73" i="19"/>
  <c r="S72" i="19"/>
  <c r="R72" i="19"/>
  <c r="S71" i="19"/>
  <c r="R71" i="19"/>
  <c r="S70" i="19"/>
  <c r="R70" i="19"/>
  <c r="S69" i="19"/>
  <c r="R69" i="19"/>
  <c r="S68" i="19"/>
  <c r="R68" i="19"/>
  <c r="S67" i="19"/>
  <c r="R67" i="19"/>
  <c r="S66" i="19"/>
  <c r="R66" i="19"/>
  <c r="S65" i="19"/>
  <c r="R65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S62" i="19"/>
  <c r="R62" i="19"/>
  <c r="S61" i="19"/>
  <c r="R61" i="19"/>
  <c r="S60" i="19"/>
  <c r="R60" i="19"/>
  <c r="K59" i="19"/>
  <c r="J59" i="19"/>
  <c r="I59" i="19"/>
  <c r="H59" i="19"/>
  <c r="G59" i="19"/>
  <c r="F59" i="19"/>
  <c r="E59" i="19"/>
  <c r="D59" i="19"/>
  <c r="S58" i="19"/>
  <c r="R58" i="19"/>
  <c r="R57" i="19"/>
  <c r="S57" i="19"/>
  <c r="P59" i="19"/>
  <c r="O59" i="19"/>
  <c r="N59" i="19"/>
  <c r="M59" i="19"/>
  <c r="L59" i="19"/>
  <c r="S56" i="19"/>
  <c r="R56" i="19"/>
  <c r="S55" i="19"/>
  <c r="R55" i="19"/>
  <c r="S54" i="19"/>
  <c r="R54" i="19"/>
  <c r="S53" i="19"/>
  <c r="R53" i="19"/>
  <c r="S52" i="19"/>
  <c r="R52" i="19"/>
  <c r="S51" i="19"/>
  <c r="R51" i="19"/>
  <c r="S50" i="19"/>
  <c r="R50" i="19"/>
  <c r="S49" i="19"/>
  <c r="R49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S47" i="19"/>
  <c r="R47" i="19"/>
  <c r="S46" i="19"/>
  <c r="R46" i="19"/>
  <c r="S45" i="19"/>
  <c r="R45" i="19"/>
  <c r="S44" i="19"/>
  <c r="R44" i="19"/>
  <c r="S43" i="19"/>
  <c r="R43" i="19"/>
  <c r="S42" i="19"/>
  <c r="R42" i="19"/>
  <c r="S41" i="19"/>
  <c r="R41" i="19"/>
  <c r="S40" i="19"/>
  <c r="R40" i="19"/>
  <c r="S39" i="19"/>
  <c r="R39" i="19"/>
  <c r="S38" i="19"/>
  <c r="R38" i="19"/>
  <c r="S37" i="19"/>
  <c r="R37" i="19"/>
  <c r="S36" i="19"/>
  <c r="R36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S33" i="19"/>
  <c r="R33" i="19"/>
  <c r="S32" i="19"/>
  <c r="R32" i="19"/>
  <c r="S31" i="19"/>
  <c r="R31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S29" i="19"/>
  <c r="R29" i="19"/>
  <c r="S28" i="19"/>
  <c r="R28" i="19"/>
  <c r="S27" i="19"/>
  <c r="R27" i="19"/>
  <c r="S26" i="19"/>
  <c r="R26" i="19"/>
  <c r="S25" i="19"/>
  <c r="R25" i="19"/>
  <c r="S24" i="19"/>
  <c r="R24" i="19"/>
  <c r="S23" i="19"/>
  <c r="R23" i="19"/>
  <c r="S22" i="19"/>
  <c r="R22" i="19"/>
  <c r="S21" i="19"/>
  <c r="R21" i="19"/>
  <c r="S20" i="19"/>
  <c r="R20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S18" i="19"/>
  <c r="R18" i="19"/>
  <c r="S17" i="19"/>
  <c r="R17" i="19"/>
  <c r="S16" i="19"/>
  <c r="R16" i="19"/>
  <c r="S15" i="19"/>
  <c r="R15" i="19"/>
  <c r="S14" i="19"/>
  <c r="R14" i="19"/>
  <c r="S13" i="19"/>
  <c r="R13" i="19"/>
  <c r="S12" i="19"/>
  <c r="R12" i="19"/>
  <c r="S11" i="19"/>
  <c r="R11" i="19"/>
  <c r="S10" i="19"/>
  <c r="R10" i="19"/>
  <c r="S9" i="19"/>
  <c r="R9" i="19"/>
  <c r="S8" i="19"/>
  <c r="R8" i="19"/>
  <c r="S7" i="19"/>
  <c r="R7" i="19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S91" i="18"/>
  <c r="R91" i="18"/>
  <c r="S90" i="18"/>
  <c r="R90" i="18"/>
  <c r="S89" i="18"/>
  <c r="R89" i="18"/>
  <c r="P88" i="18"/>
  <c r="O88" i="18"/>
  <c r="N88" i="18"/>
  <c r="M88" i="18"/>
  <c r="L88" i="18"/>
  <c r="S88" i="18" s="1"/>
  <c r="K88" i="18"/>
  <c r="J88" i="18"/>
  <c r="I88" i="18"/>
  <c r="H88" i="18"/>
  <c r="G88" i="18"/>
  <c r="F88" i="18"/>
  <c r="E88" i="18"/>
  <c r="D88" i="18"/>
  <c r="S87" i="18"/>
  <c r="R87" i="18"/>
  <c r="S86" i="18"/>
  <c r="R86" i="18"/>
  <c r="S85" i="18"/>
  <c r="R85" i="18"/>
  <c r="S84" i="18"/>
  <c r="R84" i="18"/>
  <c r="S83" i="18"/>
  <c r="R83" i="18"/>
  <c r="S82" i="18"/>
  <c r="R82" i="18"/>
  <c r="S81" i="18"/>
  <c r="R81" i="18"/>
  <c r="S80" i="18"/>
  <c r="R80" i="18"/>
  <c r="S79" i="18"/>
  <c r="R79" i="18"/>
  <c r="S78" i="18"/>
  <c r="R78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S76" i="18"/>
  <c r="R76" i="18"/>
  <c r="S75" i="18"/>
  <c r="R75" i="18"/>
  <c r="S74" i="18"/>
  <c r="R74" i="18"/>
  <c r="S73" i="18"/>
  <c r="R73" i="18"/>
  <c r="S72" i="18"/>
  <c r="R72" i="18"/>
  <c r="S71" i="18"/>
  <c r="R71" i="18"/>
  <c r="S70" i="18"/>
  <c r="R70" i="18"/>
  <c r="S69" i="18"/>
  <c r="R69" i="18"/>
  <c r="S68" i="18"/>
  <c r="R68" i="18"/>
  <c r="S67" i="18"/>
  <c r="R67" i="18"/>
  <c r="S66" i="18"/>
  <c r="R66" i="18"/>
  <c r="S65" i="18"/>
  <c r="R65" i="18"/>
  <c r="K63" i="18"/>
  <c r="J63" i="18"/>
  <c r="I63" i="18"/>
  <c r="H63" i="18"/>
  <c r="G63" i="18"/>
  <c r="F63" i="18"/>
  <c r="E63" i="18"/>
  <c r="D63" i="18"/>
  <c r="R62" i="18"/>
  <c r="S62" i="18"/>
  <c r="R61" i="18"/>
  <c r="S61" i="18"/>
  <c r="R60" i="18"/>
  <c r="P63" i="18"/>
  <c r="L63" i="18"/>
  <c r="K59" i="18"/>
  <c r="J59" i="18"/>
  <c r="I59" i="18"/>
  <c r="H59" i="18"/>
  <c r="G59" i="18"/>
  <c r="F59" i="18"/>
  <c r="E59" i="18"/>
  <c r="D59" i="18"/>
  <c r="R58" i="18"/>
  <c r="S58" i="18"/>
  <c r="S57" i="18"/>
  <c r="R57" i="18"/>
  <c r="Q59" i="18"/>
  <c r="P59" i="18"/>
  <c r="O59" i="18"/>
  <c r="N59" i="18"/>
  <c r="M59" i="18"/>
  <c r="L59" i="18"/>
  <c r="S56" i="18"/>
  <c r="R56" i="18"/>
  <c r="S55" i="18"/>
  <c r="R55" i="18"/>
  <c r="S54" i="18"/>
  <c r="R54" i="18"/>
  <c r="S53" i="18"/>
  <c r="R53" i="18"/>
  <c r="S52" i="18"/>
  <c r="R52" i="18"/>
  <c r="S51" i="18"/>
  <c r="R51" i="18"/>
  <c r="S50" i="18"/>
  <c r="R50" i="18"/>
  <c r="S49" i="18"/>
  <c r="R49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S47" i="18"/>
  <c r="R47" i="18"/>
  <c r="S46" i="18"/>
  <c r="R46" i="18"/>
  <c r="S45" i="18"/>
  <c r="R45" i="18"/>
  <c r="S44" i="18"/>
  <c r="R44" i="18"/>
  <c r="S43" i="18"/>
  <c r="R43" i="18"/>
  <c r="S42" i="18"/>
  <c r="R42" i="18"/>
  <c r="S41" i="18"/>
  <c r="R41" i="18"/>
  <c r="S40" i="18"/>
  <c r="R40" i="18"/>
  <c r="S39" i="18"/>
  <c r="R39" i="18"/>
  <c r="S38" i="18"/>
  <c r="R38" i="18"/>
  <c r="S37" i="18"/>
  <c r="R37" i="18"/>
  <c r="S36" i="18"/>
  <c r="R36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S33" i="18"/>
  <c r="R33" i="18"/>
  <c r="S32" i="18"/>
  <c r="R32" i="18"/>
  <c r="S31" i="18"/>
  <c r="R31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S29" i="18"/>
  <c r="R29" i="18"/>
  <c r="S28" i="18"/>
  <c r="R28" i="18"/>
  <c r="S27" i="18"/>
  <c r="R27" i="18"/>
  <c r="S26" i="18"/>
  <c r="R26" i="18"/>
  <c r="S25" i="18"/>
  <c r="R25" i="18"/>
  <c r="S24" i="18"/>
  <c r="R24" i="18"/>
  <c r="S23" i="18"/>
  <c r="R23" i="18"/>
  <c r="S22" i="18"/>
  <c r="R22" i="18"/>
  <c r="S21" i="18"/>
  <c r="R21" i="18"/>
  <c r="S20" i="18"/>
  <c r="R20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S18" i="18"/>
  <c r="R18" i="18"/>
  <c r="S17" i="18"/>
  <c r="R17" i="18"/>
  <c r="S16" i="18"/>
  <c r="R16" i="18"/>
  <c r="S15" i="18"/>
  <c r="R15" i="18"/>
  <c r="S14" i="18"/>
  <c r="R14" i="18"/>
  <c r="S13" i="18"/>
  <c r="R13" i="18"/>
  <c r="S12" i="18"/>
  <c r="R12" i="18"/>
  <c r="S11" i="18"/>
  <c r="R11" i="18"/>
  <c r="S10" i="18"/>
  <c r="R10" i="18"/>
  <c r="S9" i="18"/>
  <c r="R9" i="18"/>
  <c r="S8" i="18"/>
  <c r="R8" i="18"/>
  <c r="S7" i="18"/>
  <c r="R7" i="18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S91" i="17"/>
  <c r="R91" i="17"/>
  <c r="S90" i="17"/>
  <c r="R90" i="17"/>
  <c r="S89" i="17"/>
  <c r="R89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S87" i="17"/>
  <c r="R87" i="17"/>
  <c r="S86" i="17"/>
  <c r="R86" i="17"/>
  <c r="S85" i="17"/>
  <c r="R85" i="17"/>
  <c r="S84" i="17"/>
  <c r="R84" i="17"/>
  <c r="S83" i="17"/>
  <c r="R83" i="17"/>
  <c r="S82" i="17"/>
  <c r="R82" i="17"/>
  <c r="S81" i="17"/>
  <c r="R81" i="17"/>
  <c r="S80" i="17"/>
  <c r="R80" i="17"/>
  <c r="S79" i="17"/>
  <c r="R79" i="17"/>
  <c r="S78" i="17"/>
  <c r="R78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S76" i="17"/>
  <c r="R76" i="17"/>
  <c r="S75" i="17"/>
  <c r="R75" i="17"/>
  <c r="S74" i="17"/>
  <c r="R74" i="17"/>
  <c r="S73" i="17"/>
  <c r="R73" i="17"/>
  <c r="S72" i="17"/>
  <c r="R72" i="17"/>
  <c r="S71" i="17"/>
  <c r="R71" i="17"/>
  <c r="S70" i="17"/>
  <c r="R70" i="17"/>
  <c r="S69" i="17"/>
  <c r="R69" i="17"/>
  <c r="S68" i="17"/>
  <c r="R68" i="17"/>
  <c r="S67" i="17"/>
  <c r="R67" i="17"/>
  <c r="S66" i="17"/>
  <c r="R66" i="17"/>
  <c r="S65" i="17"/>
  <c r="R65" i="17"/>
  <c r="K63" i="17"/>
  <c r="H63" i="17"/>
  <c r="D63" i="17"/>
  <c r="S62" i="17"/>
  <c r="R62" i="17"/>
  <c r="O63" i="17"/>
  <c r="J63" i="17"/>
  <c r="I63" i="17"/>
  <c r="G63" i="17"/>
  <c r="F63" i="17"/>
  <c r="E63" i="17"/>
  <c r="R61" i="17"/>
  <c r="P63" i="17"/>
  <c r="S61" i="17"/>
  <c r="S60" i="17"/>
  <c r="R60" i="17"/>
  <c r="K59" i="17"/>
  <c r="J59" i="17"/>
  <c r="I59" i="17"/>
  <c r="H59" i="17"/>
  <c r="G59" i="17"/>
  <c r="F59" i="17"/>
  <c r="E59" i="17"/>
  <c r="D59" i="17"/>
  <c r="S58" i="17"/>
  <c r="R58" i="17"/>
  <c r="S57" i="17"/>
  <c r="R57" i="17"/>
  <c r="Q59" i="17"/>
  <c r="P59" i="17"/>
  <c r="O59" i="17"/>
  <c r="N59" i="17"/>
  <c r="M59" i="17"/>
  <c r="L59" i="17"/>
  <c r="S56" i="17"/>
  <c r="R56" i="17"/>
  <c r="S55" i="17"/>
  <c r="R55" i="17"/>
  <c r="S54" i="17"/>
  <c r="R54" i="17"/>
  <c r="S53" i="17"/>
  <c r="R53" i="17"/>
  <c r="S52" i="17"/>
  <c r="R52" i="17"/>
  <c r="S51" i="17"/>
  <c r="R51" i="17"/>
  <c r="S50" i="17"/>
  <c r="R50" i="17"/>
  <c r="S49" i="17"/>
  <c r="R49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S47" i="17"/>
  <c r="R47" i="17"/>
  <c r="S46" i="17"/>
  <c r="R46" i="17"/>
  <c r="S45" i="17"/>
  <c r="R45" i="17"/>
  <c r="S44" i="17"/>
  <c r="R44" i="17"/>
  <c r="S43" i="17"/>
  <c r="R43" i="17"/>
  <c r="S42" i="17"/>
  <c r="R42" i="17"/>
  <c r="S41" i="17"/>
  <c r="R41" i="17"/>
  <c r="S40" i="17"/>
  <c r="R40" i="17"/>
  <c r="S39" i="17"/>
  <c r="R39" i="17"/>
  <c r="S38" i="17"/>
  <c r="R38" i="17"/>
  <c r="S37" i="17"/>
  <c r="R37" i="17"/>
  <c r="S36" i="17"/>
  <c r="R36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S33" i="17"/>
  <c r="R33" i="17"/>
  <c r="S32" i="17"/>
  <c r="R32" i="17"/>
  <c r="S31" i="17"/>
  <c r="R31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S29" i="17"/>
  <c r="R29" i="17"/>
  <c r="S28" i="17"/>
  <c r="R28" i="17"/>
  <c r="S27" i="17"/>
  <c r="R27" i="17"/>
  <c r="S26" i="17"/>
  <c r="R26" i="17"/>
  <c r="S25" i="17"/>
  <c r="R25" i="17"/>
  <c r="S24" i="17"/>
  <c r="R24" i="17"/>
  <c r="S23" i="17"/>
  <c r="R23" i="17"/>
  <c r="S22" i="17"/>
  <c r="R22" i="17"/>
  <c r="S21" i="17"/>
  <c r="R21" i="17"/>
  <c r="S20" i="17"/>
  <c r="R20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S18" i="17"/>
  <c r="R18" i="17"/>
  <c r="S17" i="17"/>
  <c r="R17" i="17"/>
  <c r="S16" i="17"/>
  <c r="R16" i="17"/>
  <c r="S15" i="17"/>
  <c r="R15" i="17"/>
  <c r="S14" i="17"/>
  <c r="R14" i="17"/>
  <c r="S13" i="17"/>
  <c r="R13" i="17"/>
  <c r="S12" i="17"/>
  <c r="R12" i="17"/>
  <c r="S11" i="17"/>
  <c r="R11" i="17"/>
  <c r="S10" i="17"/>
  <c r="R10" i="17"/>
  <c r="S9" i="17"/>
  <c r="R9" i="17"/>
  <c r="S8" i="17"/>
  <c r="R8" i="17"/>
  <c r="S7" i="17"/>
  <c r="R7" i="17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S91" i="16"/>
  <c r="R91" i="16"/>
  <c r="S90" i="16"/>
  <c r="R90" i="16"/>
  <c r="S89" i="16"/>
  <c r="R89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S87" i="16"/>
  <c r="R87" i="16"/>
  <c r="S86" i="16"/>
  <c r="R86" i="16"/>
  <c r="S85" i="16"/>
  <c r="R85" i="16"/>
  <c r="S84" i="16"/>
  <c r="R84" i="16"/>
  <c r="S83" i="16"/>
  <c r="R83" i="16"/>
  <c r="S82" i="16"/>
  <c r="R82" i="16"/>
  <c r="S81" i="16"/>
  <c r="R81" i="16"/>
  <c r="S80" i="16"/>
  <c r="R80" i="16"/>
  <c r="S79" i="16"/>
  <c r="R79" i="16"/>
  <c r="S78" i="16"/>
  <c r="R78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S76" i="16"/>
  <c r="R76" i="16"/>
  <c r="S75" i="16"/>
  <c r="R75" i="16"/>
  <c r="S74" i="16"/>
  <c r="R74" i="16"/>
  <c r="S73" i="16"/>
  <c r="R73" i="16"/>
  <c r="S72" i="16"/>
  <c r="R72" i="16"/>
  <c r="S71" i="16"/>
  <c r="R71" i="16"/>
  <c r="S70" i="16"/>
  <c r="R70" i="16"/>
  <c r="S69" i="16"/>
  <c r="R69" i="16"/>
  <c r="S68" i="16"/>
  <c r="R68" i="16"/>
  <c r="S67" i="16"/>
  <c r="R67" i="16"/>
  <c r="S66" i="16"/>
  <c r="R66" i="16"/>
  <c r="S65" i="16"/>
  <c r="R65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S62" i="16"/>
  <c r="R62" i="16"/>
  <c r="S61" i="16"/>
  <c r="R61" i="16"/>
  <c r="S60" i="16"/>
  <c r="R60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S58" i="16"/>
  <c r="R58" i="16"/>
  <c r="S57" i="16"/>
  <c r="R57" i="16"/>
  <c r="S56" i="16"/>
  <c r="R56" i="16"/>
  <c r="S55" i="16"/>
  <c r="R55" i="16"/>
  <c r="S54" i="16"/>
  <c r="R54" i="16"/>
  <c r="S53" i="16"/>
  <c r="R53" i="16"/>
  <c r="S52" i="16"/>
  <c r="R52" i="16"/>
  <c r="S51" i="16"/>
  <c r="R51" i="16"/>
  <c r="S50" i="16"/>
  <c r="R50" i="16"/>
  <c r="S49" i="16"/>
  <c r="R49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S47" i="16"/>
  <c r="R47" i="16"/>
  <c r="S46" i="16"/>
  <c r="R46" i="16"/>
  <c r="S45" i="16"/>
  <c r="R45" i="16"/>
  <c r="S44" i="16"/>
  <c r="R44" i="16"/>
  <c r="S43" i="16"/>
  <c r="R43" i="16"/>
  <c r="S42" i="16"/>
  <c r="R42" i="16"/>
  <c r="S41" i="16"/>
  <c r="R41" i="16"/>
  <c r="S40" i="16"/>
  <c r="R40" i="16"/>
  <c r="S39" i="16"/>
  <c r="R39" i="16"/>
  <c r="S38" i="16"/>
  <c r="R38" i="16"/>
  <c r="S37" i="16"/>
  <c r="R37" i="16"/>
  <c r="S36" i="16"/>
  <c r="R36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S33" i="16"/>
  <c r="R33" i="16"/>
  <c r="S32" i="16"/>
  <c r="R32" i="16"/>
  <c r="S31" i="16"/>
  <c r="R31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S29" i="16"/>
  <c r="R29" i="16"/>
  <c r="S28" i="16"/>
  <c r="R28" i="16"/>
  <c r="S27" i="16"/>
  <c r="R27" i="16"/>
  <c r="S26" i="16"/>
  <c r="R26" i="16"/>
  <c r="S25" i="16"/>
  <c r="R25" i="16"/>
  <c r="S24" i="16"/>
  <c r="R24" i="16"/>
  <c r="S23" i="16"/>
  <c r="R23" i="16"/>
  <c r="S22" i="16"/>
  <c r="R22" i="16"/>
  <c r="S21" i="16"/>
  <c r="R21" i="16"/>
  <c r="S20" i="16"/>
  <c r="R20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S18" i="16"/>
  <c r="R18" i="16"/>
  <c r="S17" i="16"/>
  <c r="R17" i="16"/>
  <c r="S16" i="16"/>
  <c r="R16" i="16"/>
  <c r="S15" i="16"/>
  <c r="R15" i="16"/>
  <c r="S14" i="16"/>
  <c r="R14" i="16"/>
  <c r="S13" i="16"/>
  <c r="R13" i="16"/>
  <c r="S12" i="16"/>
  <c r="R12" i="16"/>
  <c r="S11" i="16"/>
  <c r="R11" i="16"/>
  <c r="S10" i="16"/>
  <c r="R10" i="16"/>
  <c r="S9" i="16"/>
  <c r="R9" i="16"/>
  <c r="S8" i="16"/>
  <c r="R8" i="16"/>
  <c r="S7" i="16"/>
  <c r="R7" i="16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S91" i="15"/>
  <c r="R91" i="15"/>
  <c r="S90" i="15"/>
  <c r="R90" i="15"/>
  <c r="S89" i="15"/>
  <c r="R89" i="15"/>
  <c r="Q88" i="15"/>
  <c r="P88" i="15"/>
  <c r="O88" i="15"/>
  <c r="N88" i="15"/>
  <c r="M88" i="15"/>
  <c r="L88" i="15"/>
  <c r="S88" i="15" s="1"/>
  <c r="K88" i="15"/>
  <c r="J88" i="15"/>
  <c r="I88" i="15"/>
  <c r="H88" i="15"/>
  <c r="G88" i="15"/>
  <c r="F88" i="15"/>
  <c r="E88" i="15"/>
  <c r="D88" i="15"/>
  <c r="S87" i="15"/>
  <c r="R87" i="15"/>
  <c r="S86" i="15"/>
  <c r="R86" i="15"/>
  <c r="S85" i="15"/>
  <c r="R85" i="15"/>
  <c r="S84" i="15"/>
  <c r="R84" i="15"/>
  <c r="S83" i="15"/>
  <c r="R83" i="15"/>
  <c r="S82" i="15"/>
  <c r="R82" i="15"/>
  <c r="S81" i="15"/>
  <c r="R81" i="15"/>
  <c r="S80" i="15"/>
  <c r="R80" i="15"/>
  <c r="S79" i="15"/>
  <c r="R79" i="15"/>
  <c r="S78" i="15"/>
  <c r="R78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S76" i="15"/>
  <c r="R76" i="15"/>
  <c r="S75" i="15"/>
  <c r="R75" i="15"/>
  <c r="S74" i="15"/>
  <c r="R74" i="15"/>
  <c r="S73" i="15"/>
  <c r="R73" i="15"/>
  <c r="S72" i="15"/>
  <c r="R72" i="15"/>
  <c r="S71" i="15"/>
  <c r="R71" i="15"/>
  <c r="S70" i="15"/>
  <c r="R70" i="15"/>
  <c r="S69" i="15"/>
  <c r="R69" i="15"/>
  <c r="S68" i="15"/>
  <c r="R68" i="15"/>
  <c r="S67" i="15"/>
  <c r="R67" i="15"/>
  <c r="S66" i="15"/>
  <c r="R66" i="15"/>
  <c r="S65" i="15"/>
  <c r="R65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S62" i="15"/>
  <c r="R62" i="15"/>
  <c r="S61" i="15"/>
  <c r="R61" i="15"/>
  <c r="S60" i="15"/>
  <c r="R60" i="15"/>
  <c r="M59" i="15"/>
  <c r="K59" i="15"/>
  <c r="J59" i="15"/>
  <c r="I59" i="15"/>
  <c r="H59" i="15"/>
  <c r="G59" i="15"/>
  <c r="F59" i="15"/>
  <c r="E59" i="15"/>
  <c r="D59" i="15"/>
  <c r="S58" i="15"/>
  <c r="R58" i="15"/>
  <c r="S57" i="15"/>
  <c r="R57" i="15"/>
  <c r="Q59" i="15"/>
  <c r="P59" i="15"/>
  <c r="O59" i="15"/>
  <c r="N59" i="15"/>
  <c r="L59" i="15"/>
  <c r="S56" i="15"/>
  <c r="R56" i="15"/>
  <c r="S55" i="15"/>
  <c r="R55" i="15"/>
  <c r="S54" i="15"/>
  <c r="R54" i="15"/>
  <c r="S53" i="15"/>
  <c r="R53" i="15"/>
  <c r="S52" i="15"/>
  <c r="R52" i="15"/>
  <c r="S51" i="15"/>
  <c r="R51" i="15"/>
  <c r="S50" i="15"/>
  <c r="R50" i="15"/>
  <c r="S49" i="15"/>
  <c r="R49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S47" i="15"/>
  <c r="R47" i="15"/>
  <c r="S46" i="15"/>
  <c r="R46" i="15"/>
  <c r="S45" i="15"/>
  <c r="R45" i="15"/>
  <c r="S44" i="15"/>
  <c r="R44" i="15"/>
  <c r="S43" i="15"/>
  <c r="R43" i="15"/>
  <c r="S42" i="15"/>
  <c r="R42" i="15"/>
  <c r="S41" i="15"/>
  <c r="R41" i="15"/>
  <c r="S40" i="15"/>
  <c r="R40" i="15"/>
  <c r="S39" i="15"/>
  <c r="R39" i="15"/>
  <c r="S38" i="15"/>
  <c r="R38" i="15"/>
  <c r="S37" i="15"/>
  <c r="R37" i="15"/>
  <c r="S36" i="15"/>
  <c r="R36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S33" i="15"/>
  <c r="R33" i="15"/>
  <c r="S32" i="15"/>
  <c r="R32" i="15"/>
  <c r="S31" i="15"/>
  <c r="R31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S29" i="15"/>
  <c r="R29" i="15"/>
  <c r="S28" i="15"/>
  <c r="R28" i="15"/>
  <c r="S27" i="15"/>
  <c r="R27" i="15"/>
  <c r="S26" i="15"/>
  <c r="R26" i="15"/>
  <c r="S25" i="15"/>
  <c r="R25" i="15"/>
  <c r="S24" i="15"/>
  <c r="R24" i="15"/>
  <c r="S23" i="15"/>
  <c r="R23" i="15"/>
  <c r="S22" i="15"/>
  <c r="R22" i="15"/>
  <c r="S21" i="15"/>
  <c r="R21" i="15"/>
  <c r="S20" i="15"/>
  <c r="R20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S18" i="15"/>
  <c r="R18" i="15"/>
  <c r="S17" i="15"/>
  <c r="R17" i="15"/>
  <c r="S16" i="15"/>
  <c r="R16" i="15"/>
  <c r="S15" i="15"/>
  <c r="R15" i="15"/>
  <c r="S14" i="15"/>
  <c r="R14" i="15"/>
  <c r="S13" i="15"/>
  <c r="R13" i="15"/>
  <c r="S12" i="15"/>
  <c r="R12" i="15"/>
  <c r="S11" i="15"/>
  <c r="R11" i="15"/>
  <c r="S10" i="15"/>
  <c r="R10" i="15"/>
  <c r="S9" i="15"/>
  <c r="R9" i="15"/>
  <c r="S8" i="15"/>
  <c r="R8" i="15"/>
  <c r="S7" i="15"/>
  <c r="R7" i="15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S91" i="14"/>
  <c r="R91" i="14"/>
  <c r="S90" i="14"/>
  <c r="R90" i="14"/>
  <c r="S89" i="14"/>
  <c r="R89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S87" i="14"/>
  <c r="R87" i="14"/>
  <c r="S86" i="14"/>
  <c r="R86" i="14"/>
  <c r="S85" i="14"/>
  <c r="R85" i="14"/>
  <c r="S84" i="14"/>
  <c r="R84" i="14"/>
  <c r="S83" i="14"/>
  <c r="R83" i="14"/>
  <c r="S82" i="14"/>
  <c r="R82" i="14"/>
  <c r="S81" i="14"/>
  <c r="R81" i="14"/>
  <c r="S80" i="14"/>
  <c r="R80" i="14"/>
  <c r="S79" i="14"/>
  <c r="R79" i="14"/>
  <c r="S78" i="14"/>
  <c r="R78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S76" i="14"/>
  <c r="R76" i="14"/>
  <c r="S75" i="14"/>
  <c r="R75" i="14"/>
  <c r="S74" i="14"/>
  <c r="R74" i="14"/>
  <c r="S73" i="14"/>
  <c r="R73" i="14"/>
  <c r="S72" i="14"/>
  <c r="R72" i="14"/>
  <c r="S71" i="14"/>
  <c r="R71" i="14"/>
  <c r="S70" i="14"/>
  <c r="R70" i="14"/>
  <c r="S69" i="14"/>
  <c r="R69" i="14"/>
  <c r="S68" i="14"/>
  <c r="R68" i="14"/>
  <c r="S67" i="14"/>
  <c r="R67" i="14"/>
  <c r="S66" i="14"/>
  <c r="R66" i="14"/>
  <c r="S65" i="14"/>
  <c r="R65" i="14"/>
  <c r="K63" i="14"/>
  <c r="J63" i="14"/>
  <c r="I63" i="14"/>
  <c r="H63" i="14"/>
  <c r="G63" i="14"/>
  <c r="F63" i="14"/>
  <c r="E63" i="14"/>
  <c r="D63" i="14"/>
  <c r="R62" i="14"/>
  <c r="N63" i="14"/>
  <c r="S62" i="14"/>
  <c r="R61" i="14"/>
  <c r="S61" i="14"/>
  <c r="R60" i="14"/>
  <c r="O63" i="14"/>
  <c r="O59" i="14"/>
  <c r="K59" i="14"/>
  <c r="J59" i="14"/>
  <c r="I59" i="14"/>
  <c r="H59" i="14"/>
  <c r="G59" i="14"/>
  <c r="F59" i="14"/>
  <c r="E59" i="14"/>
  <c r="D59" i="14"/>
  <c r="S58" i="14"/>
  <c r="R58" i="14"/>
  <c r="R57" i="14"/>
  <c r="Q59" i="14"/>
  <c r="P59" i="14"/>
  <c r="N59" i="14"/>
  <c r="M59" i="14"/>
  <c r="S57" i="14"/>
  <c r="S56" i="14"/>
  <c r="R56" i="14"/>
  <c r="S55" i="14"/>
  <c r="R55" i="14"/>
  <c r="S54" i="14"/>
  <c r="R54" i="14"/>
  <c r="S53" i="14"/>
  <c r="R53" i="14"/>
  <c r="S52" i="14"/>
  <c r="R52" i="14"/>
  <c r="S51" i="14"/>
  <c r="R51" i="14"/>
  <c r="S50" i="14"/>
  <c r="R50" i="14"/>
  <c r="S49" i="14"/>
  <c r="R49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S47" i="14"/>
  <c r="R47" i="14"/>
  <c r="S46" i="14"/>
  <c r="R46" i="14"/>
  <c r="S45" i="14"/>
  <c r="S44" i="14"/>
  <c r="R44" i="14"/>
  <c r="S43" i="14"/>
  <c r="R43" i="14"/>
  <c r="S42" i="14"/>
  <c r="R42" i="14"/>
  <c r="S41" i="14"/>
  <c r="R41" i="14"/>
  <c r="S40" i="14"/>
  <c r="R40" i="14"/>
  <c r="S39" i="14"/>
  <c r="R39" i="14"/>
  <c r="S38" i="14"/>
  <c r="R38" i="14"/>
  <c r="S37" i="14"/>
  <c r="R37" i="14"/>
  <c r="S36" i="14"/>
  <c r="R36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S33" i="14"/>
  <c r="R33" i="14"/>
  <c r="S32" i="14"/>
  <c r="R32" i="14"/>
  <c r="S31" i="14"/>
  <c r="R31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S29" i="14"/>
  <c r="R29" i="14"/>
  <c r="S28" i="14"/>
  <c r="R28" i="14"/>
  <c r="S27" i="14"/>
  <c r="R27" i="14"/>
  <c r="S26" i="14"/>
  <c r="R26" i="14"/>
  <c r="S25" i="14"/>
  <c r="R25" i="14"/>
  <c r="S24" i="14"/>
  <c r="R24" i="14"/>
  <c r="S23" i="14"/>
  <c r="R23" i="14"/>
  <c r="S22" i="14"/>
  <c r="R22" i="14"/>
  <c r="S21" i="14"/>
  <c r="R21" i="14"/>
  <c r="S20" i="14"/>
  <c r="R20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S18" i="14"/>
  <c r="R18" i="14"/>
  <c r="S17" i="14"/>
  <c r="R17" i="14"/>
  <c r="S16" i="14"/>
  <c r="R16" i="14"/>
  <c r="S15" i="14"/>
  <c r="R15" i="14"/>
  <c r="S14" i="14"/>
  <c r="R14" i="14"/>
  <c r="S13" i="14"/>
  <c r="R13" i="14"/>
  <c r="S12" i="14"/>
  <c r="R12" i="14"/>
  <c r="S10" i="14"/>
  <c r="R10" i="14"/>
  <c r="S9" i="14"/>
  <c r="R9" i="14"/>
  <c r="S8" i="14"/>
  <c r="R8" i="14"/>
  <c r="S7" i="14"/>
  <c r="R7" i="14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S91" i="13"/>
  <c r="R91" i="13"/>
  <c r="S90" i="13"/>
  <c r="R90" i="13"/>
  <c r="S89" i="13"/>
  <c r="R89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S87" i="13"/>
  <c r="R87" i="13"/>
  <c r="S86" i="13"/>
  <c r="R86" i="13"/>
  <c r="S85" i="13"/>
  <c r="R85" i="13"/>
  <c r="S84" i="13"/>
  <c r="R84" i="13"/>
  <c r="S83" i="13"/>
  <c r="R83" i="13"/>
  <c r="S82" i="13"/>
  <c r="R82" i="13"/>
  <c r="S81" i="13"/>
  <c r="R81" i="13"/>
  <c r="S80" i="13"/>
  <c r="R80" i="13"/>
  <c r="S79" i="13"/>
  <c r="R79" i="13"/>
  <c r="S78" i="13"/>
  <c r="R78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S76" i="13"/>
  <c r="R76" i="13"/>
  <c r="S75" i="13"/>
  <c r="R75" i="13"/>
  <c r="S74" i="13"/>
  <c r="R74" i="13"/>
  <c r="S73" i="13"/>
  <c r="R73" i="13"/>
  <c r="S72" i="13"/>
  <c r="R72" i="13"/>
  <c r="S71" i="13"/>
  <c r="R71" i="13"/>
  <c r="S70" i="13"/>
  <c r="R70" i="13"/>
  <c r="S69" i="13"/>
  <c r="R69" i="13"/>
  <c r="S68" i="13"/>
  <c r="R68" i="13"/>
  <c r="S67" i="13"/>
  <c r="R67" i="13"/>
  <c r="S66" i="13"/>
  <c r="R66" i="13"/>
  <c r="S65" i="13"/>
  <c r="R65" i="13"/>
  <c r="H63" i="13"/>
  <c r="G63" i="13"/>
  <c r="F63" i="13"/>
  <c r="E63" i="13"/>
  <c r="D63" i="13"/>
  <c r="S62" i="13"/>
  <c r="R62" i="13"/>
  <c r="S61" i="13"/>
  <c r="R61" i="13"/>
  <c r="J63" i="13"/>
  <c r="I63" i="13"/>
  <c r="R60" i="13"/>
  <c r="K59" i="13"/>
  <c r="J59" i="13"/>
  <c r="I59" i="13"/>
  <c r="H59" i="13"/>
  <c r="G59" i="13"/>
  <c r="F59" i="13"/>
  <c r="E59" i="13"/>
  <c r="D59" i="13"/>
  <c r="S58" i="13"/>
  <c r="R58" i="13"/>
  <c r="S57" i="13"/>
  <c r="R57" i="13"/>
  <c r="Q59" i="13"/>
  <c r="P59" i="13"/>
  <c r="O59" i="13"/>
  <c r="N59" i="13"/>
  <c r="M59" i="13"/>
  <c r="L59" i="13"/>
  <c r="S56" i="13"/>
  <c r="R56" i="13"/>
  <c r="S55" i="13"/>
  <c r="R55" i="13"/>
  <c r="S54" i="13"/>
  <c r="R54" i="13"/>
  <c r="S53" i="13"/>
  <c r="R53" i="13"/>
  <c r="S52" i="13"/>
  <c r="R52" i="13"/>
  <c r="S51" i="13"/>
  <c r="R51" i="13"/>
  <c r="S50" i="13"/>
  <c r="R50" i="13"/>
  <c r="S49" i="13"/>
  <c r="R49" i="13"/>
  <c r="Q48" i="13"/>
  <c r="P48" i="13"/>
  <c r="O48" i="13"/>
  <c r="N48" i="13"/>
  <c r="M48" i="13"/>
  <c r="L48" i="13"/>
  <c r="K48" i="13"/>
  <c r="J48" i="13"/>
  <c r="J64" i="13" s="1"/>
  <c r="I48" i="13"/>
  <c r="H48" i="13"/>
  <c r="G48" i="13"/>
  <c r="F48" i="13"/>
  <c r="E48" i="13"/>
  <c r="D48" i="13"/>
  <c r="S47" i="13"/>
  <c r="R47" i="13"/>
  <c r="S46" i="13"/>
  <c r="R46" i="13"/>
  <c r="S45" i="13"/>
  <c r="R45" i="13"/>
  <c r="S44" i="13"/>
  <c r="R44" i="13"/>
  <c r="S43" i="13"/>
  <c r="R43" i="13"/>
  <c r="S42" i="13"/>
  <c r="R42" i="13"/>
  <c r="S41" i="13"/>
  <c r="R41" i="13"/>
  <c r="S40" i="13"/>
  <c r="R40" i="13"/>
  <c r="S39" i="13"/>
  <c r="R39" i="13"/>
  <c r="S38" i="13"/>
  <c r="R38" i="13"/>
  <c r="S37" i="13"/>
  <c r="R37" i="13"/>
  <c r="S36" i="13"/>
  <c r="R36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S33" i="13"/>
  <c r="R33" i="13"/>
  <c r="S32" i="13"/>
  <c r="R32" i="13"/>
  <c r="S31" i="13"/>
  <c r="R31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S29" i="13"/>
  <c r="R29" i="13"/>
  <c r="S28" i="13"/>
  <c r="R28" i="13"/>
  <c r="S27" i="13"/>
  <c r="R27" i="13"/>
  <c r="S26" i="13"/>
  <c r="R26" i="13"/>
  <c r="S25" i="13"/>
  <c r="R25" i="13"/>
  <c r="S24" i="13"/>
  <c r="R24" i="13"/>
  <c r="S23" i="13"/>
  <c r="R23" i="13"/>
  <c r="S22" i="13"/>
  <c r="R22" i="13"/>
  <c r="S21" i="13"/>
  <c r="R21" i="13"/>
  <c r="S20" i="13"/>
  <c r="R20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S18" i="13"/>
  <c r="R18" i="13"/>
  <c r="S17" i="13"/>
  <c r="R17" i="13"/>
  <c r="S16" i="13"/>
  <c r="R16" i="13"/>
  <c r="S15" i="13"/>
  <c r="R15" i="13"/>
  <c r="S14" i="13"/>
  <c r="R14" i="13"/>
  <c r="S13" i="13"/>
  <c r="R13" i="13"/>
  <c r="S12" i="13"/>
  <c r="R12" i="13"/>
  <c r="S11" i="13"/>
  <c r="R11" i="13"/>
  <c r="S10" i="13"/>
  <c r="R10" i="13"/>
  <c r="S9" i="13"/>
  <c r="R9" i="13"/>
  <c r="S8" i="13"/>
  <c r="R8" i="13"/>
  <c r="S7" i="13"/>
  <c r="R7" i="13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S91" i="12"/>
  <c r="R91" i="12"/>
  <c r="S90" i="12"/>
  <c r="R90" i="12"/>
  <c r="S89" i="12"/>
  <c r="R89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S87" i="12"/>
  <c r="R87" i="12"/>
  <c r="S86" i="12"/>
  <c r="R86" i="12"/>
  <c r="S85" i="12"/>
  <c r="R85" i="12"/>
  <c r="S84" i="12"/>
  <c r="R84" i="12"/>
  <c r="S83" i="12"/>
  <c r="R83" i="12"/>
  <c r="S82" i="12"/>
  <c r="R82" i="12"/>
  <c r="S81" i="12"/>
  <c r="R81" i="12"/>
  <c r="S80" i="12"/>
  <c r="R80" i="12"/>
  <c r="S79" i="12"/>
  <c r="R79" i="12"/>
  <c r="S78" i="12"/>
  <c r="R78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S76" i="12"/>
  <c r="R76" i="12"/>
  <c r="S75" i="12"/>
  <c r="R75" i="12"/>
  <c r="S74" i="12"/>
  <c r="R74" i="12"/>
  <c r="S73" i="12"/>
  <c r="R73" i="12"/>
  <c r="S72" i="12"/>
  <c r="R72" i="12"/>
  <c r="S71" i="12"/>
  <c r="R71" i="12"/>
  <c r="S70" i="12"/>
  <c r="R70" i="12"/>
  <c r="S69" i="12"/>
  <c r="R69" i="12"/>
  <c r="S68" i="12"/>
  <c r="R68" i="12"/>
  <c r="S67" i="12"/>
  <c r="R67" i="12"/>
  <c r="S66" i="12"/>
  <c r="R66" i="12"/>
  <c r="S65" i="12"/>
  <c r="R65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S62" i="12"/>
  <c r="R62" i="12"/>
  <c r="S61" i="12"/>
  <c r="R61" i="12"/>
  <c r="S60" i="12"/>
  <c r="R60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S58" i="12"/>
  <c r="R58" i="12"/>
  <c r="S57" i="12"/>
  <c r="R57" i="12"/>
  <c r="S56" i="12"/>
  <c r="R56" i="12"/>
  <c r="S55" i="12"/>
  <c r="R55" i="12"/>
  <c r="S54" i="12"/>
  <c r="R54" i="12"/>
  <c r="S53" i="12"/>
  <c r="R53" i="12"/>
  <c r="S52" i="12"/>
  <c r="R52" i="12"/>
  <c r="S51" i="12"/>
  <c r="R51" i="12"/>
  <c r="S50" i="12"/>
  <c r="R50" i="12"/>
  <c r="S49" i="12"/>
  <c r="R49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S47" i="12"/>
  <c r="R47" i="12"/>
  <c r="S46" i="12"/>
  <c r="R46" i="12"/>
  <c r="S45" i="12"/>
  <c r="R45" i="12"/>
  <c r="S44" i="12"/>
  <c r="R44" i="12"/>
  <c r="S43" i="12"/>
  <c r="R43" i="12"/>
  <c r="S42" i="12"/>
  <c r="R42" i="12"/>
  <c r="S41" i="12"/>
  <c r="R41" i="12"/>
  <c r="S40" i="12"/>
  <c r="R40" i="12"/>
  <c r="S39" i="12"/>
  <c r="R39" i="12"/>
  <c r="S38" i="12"/>
  <c r="R38" i="12"/>
  <c r="S37" i="12"/>
  <c r="R37" i="12"/>
  <c r="S36" i="12"/>
  <c r="R36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S33" i="12"/>
  <c r="R33" i="12"/>
  <c r="S32" i="12"/>
  <c r="R32" i="12"/>
  <c r="S31" i="12"/>
  <c r="R31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S29" i="12"/>
  <c r="R29" i="12"/>
  <c r="S28" i="12"/>
  <c r="R28" i="12"/>
  <c r="S27" i="12"/>
  <c r="R27" i="12"/>
  <c r="S26" i="12"/>
  <c r="R26" i="12"/>
  <c r="S25" i="12"/>
  <c r="R25" i="12"/>
  <c r="S24" i="12"/>
  <c r="R24" i="12"/>
  <c r="S23" i="12"/>
  <c r="R23" i="12"/>
  <c r="S22" i="12"/>
  <c r="R22" i="12"/>
  <c r="S21" i="12"/>
  <c r="R21" i="12"/>
  <c r="S20" i="12"/>
  <c r="R20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S18" i="12"/>
  <c r="R18" i="12"/>
  <c r="S17" i="12"/>
  <c r="R17" i="12"/>
  <c r="S16" i="12"/>
  <c r="R16" i="12"/>
  <c r="S15" i="12"/>
  <c r="R15" i="12"/>
  <c r="S14" i="12"/>
  <c r="R14" i="12"/>
  <c r="S13" i="12"/>
  <c r="R13" i="12"/>
  <c r="S12" i="12"/>
  <c r="R12" i="12"/>
  <c r="S11" i="12"/>
  <c r="R11" i="12"/>
  <c r="S10" i="12"/>
  <c r="R10" i="12"/>
  <c r="S9" i="12"/>
  <c r="R9" i="12"/>
  <c r="S8" i="12"/>
  <c r="R8" i="12"/>
  <c r="S7" i="12"/>
  <c r="R7" i="12"/>
  <c r="Q92" i="11"/>
  <c r="P92" i="11"/>
  <c r="O92" i="11"/>
  <c r="N92" i="11"/>
  <c r="M92" i="11"/>
  <c r="L92" i="11"/>
  <c r="S92" i="11" s="1"/>
  <c r="K92" i="11"/>
  <c r="J92" i="11"/>
  <c r="I92" i="11"/>
  <c r="H92" i="11"/>
  <c r="G92" i="11"/>
  <c r="F92" i="11"/>
  <c r="E92" i="11"/>
  <c r="D92" i="11"/>
  <c r="S91" i="11"/>
  <c r="R91" i="11"/>
  <c r="S90" i="11"/>
  <c r="R90" i="11"/>
  <c r="S89" i="11"/>
  <c r="R89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S87" i="11"/>
  <c r="R87" i="11"/>
  <c r="S86" i="11"/>
  <c r="R86" i="11"/>
  <c r="S85" i="11"/>
  <c r="R85" i="11"/>
  <c r="S84" i="11"/>
  <c r="R84" i="11"/>
  <c r="S83" i="11"/>
  <c r="R83" i="11"/>
  <c r="S82" i="11"/>
  <c r="R82" i="11"/>
  <c r="S81" i="11"/>
  <c r="R81" i="11"/>
  <c r="S80" i="11"/>
  <c r="R80" i="11"/>
  <c r="S79" i="11"/>
  <c r="R79" i="11"/>
  <c r="S78" i="11"/>
  <c r="R78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S76" i="11"/>
  <c r="R76" i="11"/>
  <c r="S75" i="11"/>
  <c r="R75" i="11"/>
  <c r="S74" i="11"/>
  <c r="R74" i="11"/>
  <c r="S73" i="11"/>
  <c r="R73" i="11"/>
  <c r="S72" i="11"/>
  <c r="R72" i="11"/>
  <c r="S71" i="11"/>
  <c r="R71" i="11"/>
  <c r="S70" i="11"/>
  <c r="R70" i="11"/>
  <c r="S69" i="11"/>
  <c r="R69" i="11"/>
  <c r="S68" i="11"/>
  <c r="R68" i="11"/>
  <c r="S67" i="11"/>
  <c r="R67" i="11"/>
  <c r="S66" i="11"/>
  <c r="R66" i="11"/>
  <c r="S65" i="11"/>
  <c r="R65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S62" i="11"/>
  <c r="R62" i="11"/>
  <c r="S61" i="11"/>
  <c r="R61" i="11"/>
  <c r="S60" i="11"/>
  <c r="R60" i="11"/>
  <c r="L59" i="11"/>
  <c r="K59" i="11"/>
  <c r="J59" i="11"/>
  <c r="I59" i="11"/>
  <c r="H59" i="11"/>
  <c r="G59" i="11"/>
  <c r="F59" i="11"/>
  <c r="E59" i="11"/>
  <c r="D59" i="11"/>
  <c r="S58" i="11"/>
  <c r="R58" i="11"/>
  <c r="S57" i="11"/>
  <c r="R57" i="11"/>
  <c r="Q59" i="11"/>
  <c r="P59" i="11"/>
  <c r="O59" i="11"/>
  <c r="N59" i="11"/>
  <c r="M59" i="11"/>
  <c r="S56" i="11"/>
  <c r="R56" i="11"/>
  <c r="S55" i="11"/>
  <c r="R55" i="11"/>
  <c r="S54" i="11"/>
  <c r="R54" i="11"/>
  <c r="S53" i="11"/>
  <c r="R53" i="11"/>
  <c r="S52" i="11"/>
  <c r="R52" i="11"/>
  <c r="S51" i="11"/>
  <c r="R51" i="11"/>
  <c r="S50" i="11"/>
  <c r="R50" i="11"/>
  <c r="S49" i="11"/>
  <c r="R49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S47" i="11"/>
  <c r="R47" i="11"/>
  <c r="S46" i="11"/>
  <c r="R46" i="11"/>
  <c r="S45" i="11"/>
  <c r="R45" i="11"/>
  <c r="S44" i="11"/>
  <c r="R44" i="11"/>
  <c r="S43" i="11"/>
  <c r="R43" i="11"/>
  <c r="S42" i="11"/>
  <c r="R42" i="11"/>
  <c r="S41" i="11"/>
  <c r="R41" i="11"/>
  <c r="S40" i="11"/>
  <c r="R40" i="11"/>
  <c r="S39" i="11"/>
  <c r="R39" i="11"/>
  <c r="S38" i="11"/>
  <c r="R38" i="11"/>
  <c r="S37" i="11"/>
  <c r="R37" i="11"/>
  <c r="S36" i="11"/>
  <c r="R36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S33" i="11"/>
  <c r="R33" i="11"/>
  <c r="S32" i="11"/>
  <c r="R32" i="11"/>
  <c r="S31" i="11"/>
  <c r="R31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S29" i="11"/>
  <c r="R29" i="11"/>
  <c r="S28" i="11"/>
  <c r="R28" i="11"/>
  <c r="S27" i="11"/>
  <c r="R27" i="11"/>
  <c r="S26" i="11"/>
  <c r="R26" i="11"/>
  <c r="S25" i="11"/>
  <c r="R25" i="11"/>
  <c r="S24" i="11"/>
  <c r="R24" i="11"/>
  <c r="S23" i="11"/>
  <c r="R23" i="11"/>
  <c r="S22" i="11"/>
  <c r="R22" i="11"/>
  <c r="S21" i="11"/>
  <c r="R21" i="11"/>
  <c r="S20" i="11"/>
  <c r="R20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S18" i="11"/>
  <c r="R18" i="11"/>
  <c r="S17" i="11"/>
  <c r="R17" i="11"/>
  <c r="S16" i="11"/>
  <c r="R16" i="11"/>
  <c r="S15" i="11"/>
  <c r="R15" i="11"/>
  <c r="S14" i="11"/>
  <c r="R14" i="11"/>
  <c r="S13" i="11"/>
  <c r="R13" i="11"/>
  <c r="S12" i="11"/>
  <c r="R12" i="11"/>
  <c r="S11" i="11"/>
  <c r="R11" i="11"/>
  <c r="S10" i="11"/>
  <c r="R10" i="11"/>
  <c r="S9" i="11"/>
  <c r="R9" i="11"/>
  <c r="S8" i="11"/>
  <c r="R8" i="11"/>
  <c r="S7" i="11"/>
  <c r="R7" i="11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S91" i="10"/>
  <c r="R91" i="10"/>
  <c r="S90" i="10"/>
  <c r="R90" i="10"/>
  <c r="S89" i="10"/>
  <c r="R89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S87" i="10"/>
  <c r="R87" i="10"/>
  <c r="S86" i="10"/>
  <c r="R86" i="10"/>
  <c r="S85" i="10"/>
  <c r="R85" i="10"/>
  <c r="S84" i="10"/>
  <c r="R84" i="10"/>
  <c r="S83" i="10"/>
  <c r="R83" i="10"/>
  <c r="S82" i="10"/>
  <c r="R82" i="10"/>
  <c r="S81" i="10"/>
  <c r="R81" i="10"/>
  <c r="S80" i="10"/>
  <c r="R80" i="10"/>
  <c r="S79" i="10"/>
  <c r="R79" i="10"/>
  <c r="S78" i="10"/>
  <c r="R78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S76" i="10"/>
  <c r="R76" i="10"/>
  <c r="S75" i="10"/>
  <c r="R75" i="10"/>
  <c r="S74" i="10"/>
  <c r="R74" i="10"/>
  <c r="S73" i="10"/>
  <c r="R73" i="10"/>
  <c r="S72" i="10"/>
  <c r="R72" i="10"/>
  <c r="S71" i="10"/>
  <c r="R71" i="10"/>
  <c r="S70" i="10"/>
  <c r="R70" i="10"/>
  <c r="S69" i="10"/>
  <c r="R69" i="10"/>
  <c r="S68" i="10"/>
  <c r="R68" i="10"/>
  <c r="S67" i="10"/>
  <c r="R67" i="10"/>
  <c r="S66" i="10"/>
  <c r="R66" i="10"/>
  <c r="S65" i="10"/>
  <c r="R65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S62" i="10"/>
  <c r="R62" i="10"/>
  <c r="S61" i="10"/>
  <c r="R61" i="10"/>
  <c r="S60" i="10"/>
  <c r="R60" i="10"/>
  <c r="K59" i="10"/>
  <c r="J59" i="10"/>
  <c r="I59" i="10"/>
  <c r="H59" i="10"/>
  <c r="G59" i="10"/>
  <c r="F59" i="10"/>
  <c r="E59" i="10"/>
  <c r="D59" i="10"/>
  <c r="S58" i="10"/>
  <c r="R58" i="10"/>
  <c r="R57" i="10"/>
  <c r="Q59" i="10"/>
  <c r="P59" i="10"/>
  <c r="O59" i="10"/>
  <c r="N59" i="10"/>
  <c r="M59" i="10"/>
  <c r="S57" i="10"/>
  <c r="S56" i="10"/>
  <c r="R56" i="10"/>
  <c r="S55" i="10"/>
  <c r="R55" i="10"/>
  <c r="S54" i="10"/>
  <c r="R54" i="10"/>
  <c r="S53" i="10"/>
  <c r="R53" i="10"/>
  <c r="S52" i="10"/>
  <c r="R52" i="10"/>
  <c r="S51" i="10"/>
  <c r="R51" i="10"/>
  <c r="S50" i="10"/>
  <c r="R50" i="10"/>
  <c r="S49" i="10"/>
  <c r="R49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S47" i="10"/>
  <c r="R47" i="10"/>
  <c r="S46" i="10"/>
  <c r="R46" i="10"/>
  <c r="S45" i="10"/>
  <c r="R45" i="10"/>
  <c r="S44" i="10"/>
  <c r="R44" i="10"/>
  <c r="S43" i="10"/>
  <c r="R43" i="10"/>
  <c r="S42" i="10"/>
  <c r="R42" i="10"/>
  <c r="S41" i="10"/>
  <c r="R41" i="10"/>
  <c r="S40" i="10"/>
  <c r="R40" i="10"/>
  <c r="S39" i="10"/>
  <c r="R39" i="10"/>
  <c r="S38" i="10"/>
  <c r="R38" i="10"/>
  <c r="S37" i="10"/>
  <c r="R37" i="10"/>
  <c r="S36" i="10"/>
  <c r="R36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S33" i="10"/>
  <c r="R33" i="10"/>
  <c r="S32" i="10"/>
  <c r="R32" i="10"/>
  <c r="S31" i="10"/>
  <c r="R31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S29" i="10"/>
  <c r="R29" i="10"/>
  <c r="S28" i="10"/>
  <c r="R28" i="10"/>
  <c r="S27" i="10"/>
  <c r="R27" i="10"/>
  <c r="S26" i="10"/>
  <c r="R26" i="10"/>
  <c r="S25" i="10"/>
  <c r="R25" i="10"/>
  <c r="S24" i="10"/>
  <c r="R24" i="10"/>
  <c r="S23" i="10"/>
  <c r="R23" i="10"/>
  <c r="S22" i="10"/>
  <c r="R22" i="10"/>
  <c r="S21" i="10"/>
  <c r="R21" i="10"/>
  <c r="S20" i="10"/>
  <c r="R20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S18" i="10"/>
  <c r="R18" i="10"/>
  <c r="S17" i="10"/>
  <c r="R17" i="10"/>
  <c r="S16" i="10"/>
  <c r="R16" i="10"/>
  <c r="S15" i="10"/>
  <c r="R15" i="10"/>
  <c r="S14" i="10"/>
  <c r="R14" i="10"/>
  <c r="S13" i="10"/>
  <c r="R13" i="10"/>
  <c r="S12" i="10"/>
  <c r="R12" i="10"/>
  <c r="S11" i="10"/>
  <c r="R11" i="10"/>
  <c r="S10" i="10"/>
  <c r="R10" i="10"/>
  <c r="S9" i="10"/>
  <c r="R9" i="10"/>
  <c r="S8" i="10"/>
  <c r="R8" i="10"/>
  <c r="S7" i="10"/>
  <c r="R7" i="10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S91" i="9"/>
  <c r="R91" i="9"/>
  <c r="S90" i="9"/>
  <c r="R90" i="9"/>
  <c r="S89" i="9"/>
  <c r="R89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S87" i="9"/>
  <c r="R87" i="9"/>
  <c r="S86" i="9"/>
  <c r="R86" i="9"/>
  <c r="S85" i="9"/>
  <c r="R85" i="9"/>
  <c r="S84" i="9"/>
  <c r="R84" i="9"/>
  <c r="S83" i="9"/>
  <c r="R83" i="9"/>
  <c r="S82" i="9"/>
  <c r="R82" i="9"/>
  <c r="S81" i="9"/>
  <c r="R81" i="9"/>
  <c r="S80" i="9"/>
  <c r="R80" i="9"/>
  <c r="S79" i="9"/>
  <c r="R79" i="9"/>
  <c r="S78" i="9"/>
  <c r="R78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S76" i="9"/>
  <c r="R76" i="9"/>
  <c r="S75" i="9"/>
  <c r="R75" i="9"/>
  <c r="S74" i="9"/>
  <c r="R74" i="9"/>
  <c r="S73" i="9"/>
  <c r="R73" i="9"/>
  <c r="S72" i="9"/>
  <c r="R72" i="9"/>
  <c r="S71" i="9"/>
  <c r="R71" i="9"/>
  <c r="S70" i="9"/>
  <c r="R70" i="9"/>
  <c r="S69" i="9"/>
  <c r="R69" i="9"/>
  <c r="S68" i="9"/>
  <c r="R68" i="9"/>
  <c r="S67" i="9"/>
  <c r="R67" i="9"/>
  <c r="S66" i="9"/>
  <c r="R66" i="9"/>
  <c r="S65" i="9"/>
  <c r="R65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S62" i="9"/>
  <c r="R62" i="9"/>
  <c r="S61" i="9"/>
  <c r="R61" i="9"/>
  <c r="S60" i="9"/>
  <c r="R60" i="9"/>
  <c r="K59" i="9"/>
  <c r="J59" i="9"/>
  <c r="I59" i="9"/>
  <c r="H59" i="9"/>
  <c r="G59" i="9"/>
  <c r="F59" i="9"/>
  <c r="E59" i="9"/>
  <c r="D59" i="9"/>
  <c r="S58" i="9"/>
  <c r="R58" i="9"/>
  <c r="R57" i="9"/>
  <c r="S57" i="9"/>
  <c r="P59" i="9"/>
  <c r="O59" i="9"/>
  <c r="N59" i="9"/>
  <c r="M59" i="9"/>
  <c r="L59" i="9"/>
  <c r="S56" i="9"/>
  <c r="R56" i="9"/>
  <c r="S55" i="9"/>
  <c r="R55" i="9"/>
  <c r="S54" i="9"/>
  <c r="R54" i="9"/>
  <c r="S53" i="9"/>
  <c r="R53" i="9"/>
  <c r="S52" i="9"/>
  <c r="R52" i="9"/>
  <c r="S51" i="9"/>
  <c r="R51" i="9"/>
  <c r="S50" i="9"/>
  <c r="R50" i="9"/>
  <c r="S49" i="9"/>
  <c r="R49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S47" i="9"/>
  <c r="R47" i="9"/>
  <c r="S46" i="9"/>
  <c r="R46" i="9"/>
  <c r="S45" i="9"/>
  <c r="R45" i="9"/>
  <c r="S44" i="9"/>
  <c r="R44" i="9"/>
  <c r="S43" i="9"/>
  <c r="R43" i="9"/>
  <c r="S42" i="9"/>
  <c r="R42" i="9"/>
  <c r="S41" i="9"/>
  <c r="R41" i="9"/>
  <c r="S40" i="9"/>
  <c r="R40" i="9"/>
  <c r="S39" i="9"/>
  <c r="R39" i="9"/>
  <c r="S38" i="9"/>
  <c r="R38" i="9"/>
  <c r="S37" i="9"/>
  <c r="R37" i="9"/>
  <c r="S36" i="9"/>
  <c r="R36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S33" i="9"/>
  <c r="R33" i="9"/>
  <c r="S32" i="9"/>
  <c r="R32" i="9"/>
  <c r="S31" i="9"/>
  <c r="R31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S29" i="9"/>
  <c r="R29" i="9"/>
  <c r="S28" i="9"/>
  <c r="R28" i="9"/>
  <c r="S27" i="9"/>
  <c r="R27" i="9"/>
  <c r="S26" i="9"/>
  <c r="R26" i="9"/>
  <c r="S25" i="9"/>
  <c r="R25" i="9"/>
  <c r="S24" i="9"/>
  <c r="R24" i="9"/>
  <c r="S23" i="9"/>
  <c r="R23" i="9"/>
  <c r="S22" i="9"/>
  <c r="R22" i="9"/>
  <c r="S21" i="9"/>
  <c r="R21" i="9"/>
  <c r="S20" i="9"/>
  <c r="R20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S18" i="9"/>
  <c r="R18" i="9"/>
  <c r="S17" i="9"/>
  <c r="R17" i="9"/>
  <c r="S16" i="9"/>
  <c r="R16" i="9"/>
  <c r="S15" i="9"/>
  <c r="R15" i="9"/>
  <c r="S14" i="9"/>
  <c r="R14" i="9"/>
  <c r="S13" i="9"/>
  <c r="R13" i="9"/>
  <c r="S12" i="9"/>
  <c r="R12" i="9"/>
  <c r="S11" i="9"/>
  <c r="R11" i="9"/>
  <c r="S10" i="9"/>
  <c r="R10" i="9"/>
  <c r="S9" i="9"/>
  <c r="R9" i="9"/>
  <c r="S8" i="9"/>
  <c r="R8" i="9"/>
  <c r="S7" i="9"/>
  <c r="R7" i="9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S91" i="8"/>
  <c r="R91" i="8"/>
  <c r="S90" i="8"/>
  <c r="R90" i="8"/>
  <c r="S89" i="8"/>
  <c r="R89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S87" i="8"/>
  <c r="R87" i="8"/>
  <c r="S86" i="8"/>
  <c r="R86" i="8"/>
  <c r="S85" i="8"/>
  <c r="R85" i="8"/>
  <c r="S84" i="8"/>
  <c r="R84" i="8"/>
  <c r="S83" i="8"/>
  <c r="R83" i="8"/>
  <c r="S82" i="8"/>
  <c r="R82" i="8"/>
  <c r="S81" i="8"/>
  <c r="R81" i="8"/>
  <c r="S80" i="8"/>
  <c r="R80" i="8"/>
  <c r="S79" i="8"/>
  <c r="R79" i="8"/>
  <c r="S78" i="8"/>
  <c r="R78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S76" i="8"/>
  <c r="R76" i="8"/>
  <c r="S75" i="8"/>
  <c r="R75" i="8"/>
  <c r="S74" i="8"/>
  <c r="R74" i="8"/>
  <c r="S73" i="8"/>
  <c r="R73" i="8"/>
  <c r="S72" i="8"/>
  <c r="R72" i="8"/>
  <c r="S71" i="8"/>
  <c r="R71" i="8"/>
  <c r="S70" i="8"/>
  <c r="R70" i="8"/>
  <c r="S69" i="8"/>
  <c r="R69" i="8"/>
  <c r="S68" i="8"/>
  <c r="R68" i="8"/>
  <c r="S67" i="8"/>
  <c r="R67" i="8"/>
  <c r="S66" i="8"/>
  <c r="R66" i="8"/>
  <c r="S65" i="8"/>
  <c r="R65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S62" i="8"/>
  <c r="R62" i="8"/>
  <c r="S61" i="8"/>
  <c r="R61" i="8"/>
  <c r="S60" i="8"/>
  <c r="R60" i="8"/>
  <c r="O59" i="8"/>
  <c r="L59" i="8"/>
  <c r="K59" i="8"/>
  <c r="J59" i="8"/>
  <c r="I59" i="8"/>
  <c r="H59" i="8"/>
  <c r="G59" i="8"/>
  <c r="F59" i="8"/>
  <c r="E59" i="8"/>
  <c r="D59" i="8"/>
  <c r="S58" i="8"/>
  <c r="R58" i="8"/>
  <c r="R57" i="8"/>
  <c r="P59" i="8"/>
  <c r="N59" i="8"/>
  <c r="M59" i="8"/>
  <c r="S56" i="8"/>
  <c r="R56" i="8"/>
  <c r="S55" i="8"/>
  <c r="R55" i="8"/>
  <c r="S54" i="8"/>
  <c r="R54" i="8"/>
  <c r="S53" i="8"/>
  <c r="R53" i="8"/>
  <c r="S52" i="8"/>
  <c r="R52" i="8"/>
  <c r="S51" i="8"/>
  <c r="R51" i="8"/>
  <c r="S50" i="8"/>
  <c r="R50" i="8"/>
  <c r="S49" i="8"/>
  <c r="R49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S47" i="8"/>
  <c r="R47" i="8"/>
  <c r="S46" i="8"/>
  <c r="R46" i="8"/>
  <c r="S45" i="8"/>
  <c r="R45" i="8"/>
  <c r="S44" i="8"/>
  <c r="R44" i="8"/>
  <c r="S43" i="8"/>
  <c r="R43" i="8"/>
  <c r="S42" i="8"/>
  <c r="R42" i="8"/>
  <c r="S41" i="8"/>
  <c r="R41" i="8"/>
  <c r="S40" i="8"/>
  <c r="R40" i="8"/>
  <c r="S39" i="8"/>
  <c r="R39" i="8"/>
  <c r="S38" i="8"/>
  <c r="R38" i="8"/>
  <c r="S37" i="8"/>
  <c r="R37" i="8"/>
  <c r="S36" i="8"/>
  <c r="R36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S33" i="8"/>
  <c r="R33" i="8"/>
  <c r="S32" i="8"/>
  <c r="R32" i="8"/>
  <c r="S31" i="8"/>
  <c r="R31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S29" i="8"/>
  <c r="R29" i="8"/>
  <c r="S28" i="8"/>
  <c r="R28" i="8"/>
  <c r="S27" i="8"/>
  <c r="R27" i="8"/>
  <c r="S26" i="8"/>
  <c r="R26" i="8"/>
  <c r="S25" i="8"/>
  <c r="R25" i="8"/>
  <c r="S24" i="8"/>
  <c r="R24" i="8"/>
  <c r="S23" i="8"/>
  <c r="R23" i="8"/>
  <c r="S22" i="8"/>
  <c r="R22" i="8"/>
  <c r="S21" i="8"/>
  <c r="R21" i="8"/>
  <c r="S20" i="8"/>
  <c r="R20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S18" i="8"/>
  <c r="R18" i="8"/>
  <c r="S17" i="8"/>
  <c r="R17" i="8"/>
  <c r="S16" i="8"/>
  <c r="R16" i="8"/>
  <c r="S15" i="8"/>
  <c r="R15" i="8"/>
  <c r="S14" i="8"/>
  <c r="R14" i="8"/>
  <c r="S13" i="8"/>
  <c r="R13" i="8"/>
  <c r="S12" i="8"/>
  <c r="R12" i="8"/>
  <c r="S11" i="8"/>
  <c r="R11" i="8"/>
  <c r="S10" i="8"/>
  <c r="R10" i="8"/>
  <c r="S9" i="8"/>
  <c r="R9" i="8"/>
  <c r="S8" i="8"/>
  <c r="R8" i="8"/>
  <c r="S7" i="8"/>
  <c r="R7" i="8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S91" i="7"/>
  <c r="R91" i="7"/>
  <c r="S90" i="7"/>
  <c r="R90" i="7"/>
  <c r="S89" i="7"/>
  <c r="R89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S87" i="7"/>
  <c r="R87" i="7"/>
  <c r="S86" i="7"/>
  <c r="R86" i="7"/>
  <c r="S85" i="7"/>
  <c r="R85" i="7"/>
  <c r="S84" i="7"/>
  <c r="R84" i="7"/>
  <c r="S83" i="7"/>
  <c r="R83" i="7"/>
  <c r="S82" i="7"/>
  <c r="R82" i="7"/>
  <c r="S81" i="7"/>
  <c r="R81" i="7"/>
  <c r="S80" i="7"/>
  <c r="R80" i="7"/>
  <c r="S79" i="7"/>
  <c r="R79" i="7"/>
  <c r="S78" i="7"/>
  <c r="R78" i="7"/>
  <c r="Q77" i="7"/>
  <c r="P77" i="7"/>
  <c r="O77" i="7"/>
  <c r="N77" i="7"/>
  <c r="M77" i="7"/>
  <c r="L77" i="7"/>
  <c r="S77" i="7" s="1"/>
  <c r="K77" i="7"/>
  <c r="J77" i="7"/>
  <c r="I77" i="7"/>
  <c r="H77" i="7"/>
  <c r="G77" i="7"/>
  <c r="F77" i="7"/>
  <c r="E77" i="7"/>
  <c r="D77" i="7"/>
  <c r="S76" i="7"/>
  <c r="R76" i="7"/>
  <c r="S75" i="7"/>
  <c r="R75" i="7"/>
  <c r="S74" i="7"/>
  <c r="R74" i="7"/>
  <c r="S73" i="7"/>
  <c r="R73" i="7"/>
  <c r="S72" i="7"/>
  <c r="R72" i="7"/>
  <c r="S71" i="7"/>
  <c r="R71" i="7"/>
  <c r="S70" i="7"/>
  <c r="R70" i="7"/>
  <c r="S69" i="7"/>
  <c r="R69" i="7"/>
  <c r="S68" i="7"/>
  <c r="R68" i="7"/>
  <c r="S67" i="7"/>
  <c r="R67" i="7"/>
  <c r="S66" i="7"/>
  <c r="R66" i="7"/>
  <c r="S65" i="7"/>
  <c r="R65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S62" i="7"/>
  <c r="R62" i="7"/>
  <c r="S61" i="7"/>
  <c r="R61" i="7"/>
  <c r="S60" i="7"/>
  <c r="R60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S58" i="7"/>
  <c r="R58" i="7"/>
  <c r="S57" i="7"/>
  <c r="R57" i="7"/>
  <c r="S56" i="7"/>
  <c r="R56" i="7"/>
  <c r="S55" i="7"/>
  <c r="R55" i="7"/>
  <c r="S54" i="7"/>
  <c r="R54" i="7"/>
  <c r="S53" i="7"/>
  <c r="R53" i="7"/>
  <c r="S52" i="7"/>
  <c r="R52" i="7"/>
  <c r="S51" i="7"/>
  <c r="R51" i="7"/>
  <c r="S50" i="7"/>
  <c r="R50" i="7"/>
  <c r="S49" i="7"/>
  <c r="R49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S47" i="7"/>
  <c r="R47" i="7"/>
  <c r="S46" i="7"/>
  <c r="R46" i="7"/>
  <c r="S45" i="7"/>
  <c r="R45" i="7"/>
  <c r="S44" i="7"/>
  <c r="R44" i="7"/>
  <c r="S43" i="7"/>
  <c r="R43" i="7"/>
  <c r="S42" i="7"/>
  <c r="R42" i="7"/>
  <c r="S41" i="7"/>
  <c r="R41" i="7"/>
  <c r="S40" i="7"/>
  <c r="R40" i="7"/>
  <c r="S39" i="7"/>
  <c r="R39" i="7"/>
  <c r="S38" i="7"/>
  <c r="R38" i="7"/>
  <c r="S37" i="7"/>
  <c r="R37" i="7"/>
  <c r="S36" i="7"/>
  <c r="R36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S33" i="7"/>
  <c r="R33" i="7"/>
  <c r="S32" i="7"/>
  <c r="R32" i="7"/>
  <c r="S31" i="7"/>
  <c r="R31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S29" i="7"/>
  <c r="R29" i="7"/>
  <c r="S28" i="7"/>
  <c r="R28" i="7"/>
  <c r="S27" i="7"/>
  <c r="R27" i="7"/>
  <c r="S26" i="7"/>
  <c r="R26" i="7"/>
  <c r="S25" i="7"/>
  <c r="R25" i="7"/>
  <c r="S24" i="7"/>
  <c r="R24" i="7"/>
  <c r="S23" i="7"/>
  <c r="R23" i="7"/>
  <c r="S22" i="7"/>
  <c r="R22" i="7"/>
  <c r="S21" i="7"/>
  <c r="R21" i="7"/>
  <c r="S20" i="7"/>
  <c r="R20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S18" i="7"/>
  <c r="R18" i="7"/>
  <c r="S17" i="7"/>
  <c r="R17" i="7"/>
  <c r="S16" i="7"/>
  <c r="R16" i="7"/>
  <c r="S15" i="7"/>
  <c r="R15" i="7"/>
  <c r="S14" i="7"/>
  <c r="R14" i="7"/>
  <c r="S13" i="7"/>
  <c r="R13" i="7"/>
  <c r="S12" i="7"/>
  <c r="R12" i="7"/>
  <c r="S11" i="7"/>
  <c r="R11" i="7"/>
  <c r="S10" i="7"/>
  <c r="R10" i="7"/>
  <c r="S9" i="7"/>
  <c r="R9" i="7"/>
  <c r="S8" i="7"/>
  <c r="R8" i="7"/>
  <c r="S7" i="7"/>
  <c r="R7" i="7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S91" i="6"/>
  <c r="R91" i="6"/>
  <c r="S90" i="6"/>
  <c r="R90" i="6"/>
  <c r="S89" i="6"/>
  <c r="R89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S87" i="6"/>
  <c r="R87" i="6"/>
  <c r="S86" i="6"/>
  <c r="R86" i="6"/>
  <c r="S85" i="6"/>
  <c r="R85" i="6"/>
  <c r="S84" i="6"/>
  <c r="R84" i="6"/>
  <c r="S83" i="6"/>
  <c r="R83" i="6"/>
  <c r="S82" i="6"/>
  <c r="R82" i="6"/>
  <c r="S81" i="6"/>
  <c r="R81" i="6"/>
  <c r="S80" i="6"/>
  <c r="R80" i="6"/>
  <c r="S79" i="6"/>
  <c r="R79" i="6"/>
  <c r="S78" i="6"/>
  <c r="R78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S76" i="6"/>
  <c r="R76" i="6"/>
  <c r="S75" i="6"/>
  <c r="R75" i="6"/>
  <c r="S74" i="6"/>
  <c r="R74" i="6"/>
  <c r="S73" i="6"/>
  <c r="R73" i="6"/>
  <c r="S72" i="6"/>
  <c r="R72" i="6"/>
  <c r="S71" i="6"/>
  <c r="R71" i="6"/>
  <c r="S70" i="6"/>
  <c r="R70" i="6"/>
  <c r="S69" i="6"/>
  <c r="R69" i="6"/>
  <c r="S68" i="6"/>
  <c r="R68" i="6"/>
  <c r="S67" i="6"/>
  <c r="R67" i="6"/>
  <c r="S66" i="6"/>
  <c r="R66" i="6"/>
  <c r="S65" i="6"/>
  <c r="R65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S62" i="6"/>
  <c r="R62" i="6"/>
  <c r="S61" i="6"/>
  <c r="R61" i="6"/>
  <c r="S60" i="6"/>
  <c r="R60" i="6"/>
  <c r="L59" i="6"/>
  <c r="K59" i="6"/>
  <c r="J59" i="6"/>
  <c r="I59" i="6"/>
  <c r="H59" i="6"/>
  <c r="G59" i="6"/>
  <c r="F59" i="6"/>
  <c r="E59" i="6"/>
  <c r="D59" i="6"/>
  <c r="S58" i="6"/>
  <c r="R58" i="6"/>
  <c r="R57" i="6"/>
  <c r="Q59" i="6"/>
  <c r="P59" i="6"/>
  <c r="O59" i="6"/>
  <c r="N59" i="6"/>
  <c r="M59" i="6"/>
  <c r="R56" i="6"/>
  <c r="S55" i="6"/>
  <c r="R55" i="6"/>
  <c r="S54" i="6"/>
  <c r="R54" i="6"/>
  <c r="S53" i="6"/>
  <c r="R53" i="6"/>
  <c r="S52" i="6"/>
  <c r="R52" i="6"/>
  <c r="S51" i="6"/>
  <c r="R51" i="6"/>
  <c r="S50" i="6"/>
  <c r="R50" i="6"/>
  <c r="S49" i="6"/>
  <c r="R49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S47" i="6"/>
  <c r="R47" i="6"/>
  <c r="S46" i="6"/>
  <c r="R46" i="6"/>
  <c r="S45" i="6"/>
  <c r="R45" i="6"/>
  <c r="S44" i="6"/>
  <c r="R44" i="6"/>
  <c r="S43" i="6"/>
  <c r="R43" i="6"/>
  <c r="S42" i="6"/>
  <c r="R42" i="6"/>
  <c r="S41" i="6"/>
  <c r="R41" i="6"/>
  <c r="S40" i="6"/>
  <c r="R40" i="6"/>
  <c r="S39" i="6"/>
  <c r="R39" i="6"/>
  <c r="S38" i="6"/>
  <c r="R38" i="6"/>
  <c r="S37" i="6"/>
  <c r="R37" i="6"/>
  <c r="S36" i="6"/>
  <c r="R36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S33" i="6"/>
  <c r="R33" i="6"/>
  <c r="S32" i="6"/>
  <c r="R32" i="6"/>
  <c r="S31" i="6"/>
  <c r="R31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S29" i="6"/>
  <c r="R29" i="6"/>
  <c r="S28" i="6"/>
  <c r="R28" i="6"/>
  <c r="S27" i="6"/>
  <c r="R27" i="6"/>
  <c r="S26" i="6"/>
  <c r="R26" i="6"/>
  <c r="S25" i="6"/>
  <c r="R25" i="6"/>
  <c r="S24" i="6"/>
  <c r="R24" i="6"/>
  <c r="S23" i="6"/>
  <c r="R23" i="6"/>
  <c r="S22" i="6"/>
  <c r="R22" i="6"/>
  <c r="S21" i="6"/>
  <c r="R21" i="6"/>
  <c r="S20" i="6"/>
  <c r="R20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S18" i="6"/>
  <c r="R18" i="6"/>
  <c r="S17" i="6"/>
  <c r="R17" i="6"/>
  <c r="S16" i="6"/>
  <c r="R16" i="6"/>
  <c r="S15" i="6"/>
  <c r="R15" i="6"/>
  <c r="S14" i="6"/>
  <c r="R14" i="6"/>
  <c r="S13" i="6"/>
  <c r="R13" i="6"/>
  <c r="S12" i="6"/>
  <c r="R12" i="6"/>
  <c r="S11" i="6"/>
  <c r="R11" i="6"/>
  <c r="S10" i="6"/>
  <c r="R10" i="6"/>
  <c r="S9" i="6"/>
  <c r="R9" i="6"/>
  <c r="S8" i="6"/>
  <c r="R8" i="6"/>
  <c r="S7" i="6"/>
  <c r="R7" i="6"/>
  <c r="S91" i="5"/>
  <c r="R91" i="5"/>
  <c r="R90" i="5"/>
  <c r="S90" i="5"/>
  <c r="R89" i="5"/>
  <c r="S87" i="5"/>
  <c r="R87" i="5"/>
  <c r="S86" i="5"/>
  <c r="R85" i="5"/>
  <c r="S85" i="5"/>
  <c r="R84" i="5"/>
  <c r="S83" i="5"/>
  <c r="R83" i="5"/>
  <c r="S82" i="5"/>
  <c r="R82" i="5"/>
  <c r="R81" i="5"/>
  <c r="S81" i="5"/>
  <c r="R80" i="5"/>
  <c r="S79" i="5"/>
  <c r="R79" i="5"/>
  <c r="S78" i="5"/>
  <c r="R78" i="5"/>
  <c r="R76" i="5"/>
  <c r="S76" i="5"/>
  <c r="R75" i="5"/>
  <c r="S74" i="5"/>
  <c r="R74" i="5"/>
  <c r="S73" i="5"/>
  <c r="R73" i="5"/>
  <c r="R72" i="5"/>
  <c r="S72" i="5"/>
  <c r="R71" i="5"/>
  <c r="S70" i="5"/>
  <c r="R70" i="5"/>
  <c r="S69" i="5"/>
  <c r="R69" i="5"/>
  <c r="R68" i="5"/>
  <c r="S68" i="5"/>
  <c r="R67" i="5"/>
  <c r="S66" i="5"/>
  <c r="R66" i="5"/>
  <c r="S65" i="5"/>
  <c r="R65" i="5"/>
  <c r="R62" i="5"/>
  <c r="R61" i="5"/>
  <c r="R60" i="5"/>
  <c r="S56" i="5"/>
  <c r="R56" i="5"/>
  <c r="S55" i="5"/>
  <c r="R55" i="5"/>
  <c r="R54" i="5"/>
  <c r="S54" i="5"/>
  <c r="R53" i="5"/>
  <c r="S52" i="5"/>
  <c r="R52" i="5"/>
  <c r="S51" i="5"/>
  <c r="R51" i="5"/>
  <c r="R50" i="5"/>
  <c r="S50" i="5"/>
  <c r="R49" i="5"/>
  <c r="S47" i="5"/>
  <c r="R47" i="5"/>
  <c r="S46" i="5"/>
  <c r="R46" i="5"/>
  <c r="R45" i="5"/>
  <c r="S45" i="5"/>
  <c r="R44" i="5"/>
  <c r="S43" i="5"/>
  <c r="R43" i="5"/>
  <c r="S42" i="5"/>
  <c r="R42" i="5"/>
  <c r="R41" i="5"/>
  <c r="S41" i="5"/>
  <c r="R40" i="5"/>
  <c r="S39" i="5"/>
  <c r="R39" i="5"/>
  <c r="S38" i="5"/>
  <c r="R38" i="5"/>
  <c r="R37" i="5"/>
  <c r="S37" i="5"/>
  <c r="R36" i="5"/>
  <c r="S33" i="5"/>
  <c r="S32" i="5"/>
  <c r="R32" i="5"/>
  <c r="S31" i="5"/>
  <c r="S29" i="5"/>
  <c r="S28" i="5"/>
  <c r="S27" i="5"/>
  <c r="R27" i="5"/>
  <c r="S26" i="5"/>
  <c r="S25" i="5"/>
  <c r="R25" i="5"/>
  <c r="S24" i="5"/>
  <c r="S23" i="5"/>
  <c r="R23" i="5"/>
  <c r="S22" i="5"/>
  <c r="S21" i="5"/>
  <c r="S20" i="5"/>
  <c r="S18" i="5"/>
  <c r="R18" i="5"/>
  <c r="S17" i="5"/>
  <c r="R17" i="5"/>
  <c r="S16" i="5"/>
  <c r="S15" i="5"/>
  <c r="S14" i="5"/>
  <c r="R14" i="5"/>
  <c r="S13" i="5"/>
  <c r="S12" i="5"/>
  <c r="S11" i="5"/>
  <c r="S10" i="5"/>
  <c r="R10" i="5"/>
  <c r="S9" i="5"/>
  <c r="S8" i="5"/>
  <c r="S7" i="5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S91" i="4"/>
  <c r="R91" i="4"/>
  <c r="S90" i="4"/>
  <c r="R90" i="4"/>
  <c r="S89" i="4"/>
  <c r="R89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S87" i="4"/>
  <c r="R87" i="4"/>
  <c r="S86" i="4"/>
  <c r="R86" i="4"/>
  <c r="S85" i="4"/>
  <c r="R85" i="4"/>
  <c r="S84" i="4"/>
  <c r="R84" i="4"/>
  <c r="S83" i="4"/>
  <c r="R83" i="4"/>
  <c r="S82" i="4"/>
  <c r="R82" i="4"/>
  <c r="S81" i="4"/>
  <c r="R81" i="4"/>
  <c r="S80" i="4"/>
  <c r="R80" i="4"/>
  <c r="S79" i="4"/>
  <c r="R79" i="4"/>
  <c r="S78" i="4"/>
  <c r="R78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S76" i="4"/>
  <c r="R76" i="4"/>
  <c r="S75" i="4"/>
  <c r="R75" i="4"/>
  <c r="S74" i="4"/>
  <c r="R74" i="4"/>
  <c r="S73" i="4"/>
  <c r="R73" i="4"/>
  <c r="S72" i="4"/>
  <c r="R72" i="4"/>
  <c r="S71" i="4"/>
  <c r="R71" i="4"/>
  <c r="S70" i="4"/>
  <c r="R70" i="4"/>
  <c r="S69" i="4"/>
  <c r="R69" i="4"/>
  <c r="S68" i="4"/>
  <c r="R68" i="4"/>
  <c r="S67" i="4"/>
  <c r="R67" i="4"/>
  <c r="S66" i="4"/>
  <c r="R66" i="4"/>
  <c r="S65" i="4"/>
  <c r="R65" i="4"/>
  <c r="K63" i="4"/>
  <c r="J63" i="4"/>
  <c r="I63" i="4"/>
  <c r="H63" i="4"/>
  <c r="G63" i="4"/>
  <c r="F63" i="4"/>
  <c r="E63" i="4"/>
  <c r="D63" i="4"/>
  <c r="R62" i="4"/>
  <c r="Q62" i="5"/>
  <c r="P62" i="5"/>
  <c r="O62" i="5"/>
  <c r="N62" i="5"/>
  <c r="M62" i="5"/>
  <c r="L62" i="5"/>
  <c r="R61" i="4"/>
  <c r="P61" i="5"/>
  <c r="S61" i="4"/>
  <c r="S60" i="4"/>
  <c r="R60" i="4"/>
  <c r="Q63" i="4"/>
  <c r="O63" i="4"/>
  <c r="M63" i="4"/>
  <c r="K59" i="4"/>
  <c r="J59" i="4"/>
  <c r="I59" i="4"/>
  <c r="H59" i="4"/>
  <c r="G59" i="4"/>
  <c r="F59" i="4"/>
  <c r="E59" i="4"/>
  <c r="D59" i="4"/>
  <c r="R58" i="4"/>
  <c r="Q58" i="5"/>
  <c r="M58" i="5"/>
  <c r="R57" i="4"/>
  <c r="P59" i="4"/>
  <c r="L59" i="4"/>
  <c r="S56" i="4"/>
  <c r="R56" i="4"/>
  <c r="S55" i="4"/>
  <c r="R55" i="4"/>
  <c r="S54" i="4"/>
  <c r="R54" i="4"/>
  <c r="S53" i="4"/>
  <c r="R53" i="4"/>
  <c r="S52" i="4"/>
  <c r="R52" i="4"/>
  <c r="S51" i="4"/>
  <c r="R51" i="4"/>
  <c r="S50" i="4"/>
  <c r="R50" i="4"/>
  <c r="S49" i="4"/>
  <c r="R49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S47" i="4"/>
  <c r="R47" i="4"/>
  <c r="S46" i="4"/>
  <c r="R46" i="4"/>
  <c r="S45" i="4"/>
  <c r="R45" i="4"/>
  <c r="S44" i="4"/>
  <c r="R44" i="4"/>
  <c r="S43" i="4"/>
  <c r="R43" i="4"/>
  <c r="S42" i="4"/>
  <c r="R42" i="4"/>
  <c r="S41" i="4"/>
  <c r="R41" i="4"/>
  <c r="S40" i="4"/>
  <c r="R40" i="4"/>
  <c r="S39" i="4"/>
  <c r="R39" i="4"/>
  <c r="S38" i="4"/>
  <c r="R38" i="4"/>
  <c r="S37" i="4"/>
  <c r="R37" i="4"/>
  <c r="S36" i="4"/>
  <c r="R36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S33" i="4"/>
  <c r="R33" i="4"/>
  <c r="S32" i="4"/>
  <c r="R32" i="4"/>
  <c r="S31" i="4"/>
  <c r="R31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S29" i="4"/>
  <c r="R29" i="4"/>
  <c r="S28" i="4"/>
  <c r="R28" i="4"/>
  <c r="S27" i="4"/>
  <c r="R27" i="4"/>
  <c r="S26" i="4"/>
  <c r="R26" i="4"/>
  <c r="S25" i="4"/>
  <c r="R25" i="4"/>
  <c r="S24" i="4"/>
  <c r="R24" i="4"/>
  <c r="S23" i="4"/>
  <c r="R23" i="4"/>
  <c r="S22" i="4"/>
  <c r="R22" i="4"/>
  <c r="S21" i="4"/>
  <c r="R21" i="4"/>
  <c r="S20" i="4"/>
  <c r="R20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S18" i="4"/>
  <c r="R18" i="4"/>
  <c r="S17" i="4"/>
  <c r="R17" i="4"/>
  <c r="S16" i="4"/>
  <c r="R16" i="4"/>
  <c r="S15" i="4"/>
  <c r="R15" i="4"/>
  <c r="S14" i="4"/>
  <c r="R14" i="4"/>
  <c r="S13" i="4"/>
  <c r="R13" i="4"/>
  <c r="S12" i="4"/>
  <c r="R12" i="4"/>
  <c r="S11" i="4"/>
  <c r="R11" i="4"/>
  <c r="S10" i="4"/>
  <c r="R10" i="4"/>
  <c r="S9" i="4"/>
  <c r="R9" i="4"/>
  <c r="S8" i="4"/>
  <c r="R8" i="4"/>
  <c r="S7" i="4"/>
  <c r="R7" i="4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S91" i="3"/>
  <c r="R91" i="3"/>
  <c r="S90" i="3"/>
  <c r="R90" i="3"/>
  <c r="S89" i="3"/>
  <c r="R89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S87" i="3"/>
  <c r="R87" i="3"/>
  <c r="S86" i="3"/>
  <c r="R86" i="3"/>
  <c r="S85" i="3"/>
  <c r="R85" i="3"/>
  <c r="S84" i="3"/>
  <c r="R84" i="3"/>
  <c r="S83" i="3"/>
  <c r="R83" i="3"/>
  <c r="S82" i="3"/>
  <c r="R82" i="3"/>
  <c r="S81" i="3"/>
  <c r="R81" i="3"/>
  <c r="S80" i="3"/>
  <c r="R80" i="3"/>
  <c r="S79" i="3"/>
  <c r="R79" i="3"/>
  <c r="S78" i="3"/>
  <c r="R78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S76" i="3"/>
  <c r="R76" i="3"/>
  <c r="S75" i="3"/>
  <c r="R75" i="3"/>
  <c r="S74" i="3"/>
  <c r="R74" i="3"/>
  <c r="S73" i="3"/>
  <c r="R73" i="3"/>
  <c r="S72" i="3"/>
  <c r="R72" i="3"/>
  <c r="S71" i="3"/>
  <c r="R71" i="3"/>
  <c r="S70" i="3"/>
  <c r="R70" i="3"/>
  <c r="S69" i="3"/>
  <c r="R69" i="3"/>
  <c r="S68" i="3"/>
  <c r="R68" i="3"/>
  <c r="S67" i="3"/>
  <c r="R67" i="3"/>
  <c r="S66" i="3"/>
  <c r="R66" i="3"/>
  <c r="S65" i="3"/>
  <c r="R65" i="3"/>
  <c r="K63" i="3"/>
  <c r="J63" i="3"/>
  <c r="I63" i="3"/>
  <c r="H63" i="3"/>
  <c r="G63" i="3"/>
  <c r="F63" i="3"/>
  <c r="E63" i="3"/>
  <c r="D63" i="3"/>
  <c r="S62" i="3"/>
  <c r="R62" i="3"/>
  <c r="R61" i="3"/>
  <c r="Q61" i="5"/>
  <c r="O61" i="5"/>
  <c r="M61" i="5"/>
  <c r="R60" i="3"/>
  <c r="P60" i="5"/>
  <c r="N60" i="5"/>
  <c r="J59" i="3"/>
  <c r="J59" i="5" s="1"/>
  <c r="I59" i="3"/>
  <c r="H59" i="3"/>
  <c r="G59" i="3"/>
  <c r="G59" i="5" s="1"/>
  <c r="F59" i="3"/>
  <c r="E59" i="3"/>
  <c r="E59" i="5" s="1"/>
  <c r="D59" i="3"/>
  <c r="D59" i="5" s="1"/>
  <c r="R58" i="3"/>
  <c r="P58" i="5"/>
  <c r="O58" i="5"/>
  <c r="N58" i="5"/>
  <c r="L58" i="5"/>
  <c r="K58" i="5"/>
  <c r="R58" i="5" s="1"/>
  <c r="Q57" i="5"/>
  <c r="N57" i="5"/>
  <c r="S56" i="3"/>
  <c r="R56" i="3"/>
  <c r="S55" i="3"/>
  <c r="R55" i="3"/>
  <c r="S54" i="3"/>
  <c r="R54" i="3"/>
  <c r="S53" i="3"/>
  <c r="R53" i="3"/>
  <c r="S52" i="3"/>
  <c r="R52" i="3"/>
  <c r="S51" i="3"/>
  <c r="R51" i="3"/>
  <c r="S50" i="3"/>
  <c r="R50" i="3"/>
  <c r="S49" i="3"/>
  <c r="R49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S47" i="3"/>
  <c r="R47" i="3"/>
  <c r="S46" i="3"/>
  <c r="R46" i="3"/>
  <c r="S45" i="3"/>
  <c r="R45" i="3"/>
  <c r="S44" i="3"/>
  <c r="R44" i="3"/>
  <c r="S43" i="3"/>
  <c r="R43" i="3"/>
  <c r="S42" i="3"/>
  <c r="R42" i="3"/>
  <c r="S41" i="3"/>
  <c r="R41" i="3"/>
  <c r="S40" i="3"/>
  <c r="R40" i="3"/>
  <c r="S39" i="3"/>
  <c r="R39" i="3"/>
  <c r="S38" i="3"/>
  <c r="R38" i="3"/>
  <c r="S37" i="3"/>
  <c r="R37" i="3"/>
  <c r="S36" i="3"/>
  <c r="R36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S33" i="3"/>
  <c r="R33" i="3"/>
  <c r="S32" i="3"/>
  <c r="R32" i="3"/>
  <c r="S31" i="3"/>
  <c r="R31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S29" i="3"/>
  <c r="R29" i="3"/>
  <c r="S28" i="3"/>
  <c r="R28" i="3"/>
  <c r="S27" i="3"/>
  <c r="R27" i="3"/>
  <c r="S26" i="3"/>
  <c r="R26" i="3"/>
  <c r="S25" i="3"/>
  <c r="R25" i="3"/>
  <c r="S24" i="3"/>
  <c r="R24" i="3"/>
  <c r="S23" i="3"/>
  <c r="R23" i="3"/>
  <c r="S22" i="3"/>
  <c r="R22" i="3"/>
  <c r="S21" i="3"/>
  <c r="R21" i="3"/>
  <c r="S20" i="3"/>
  <c r="R20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S18" i="3"/>
  <c r="R18" i="3"/>
  <c r="S17" i="3"/>
  <c r="R17" i="3"/>
  <c r="S16" i="3"/>
  <c r="R16" i="3"/>
  <c r="S15" i="3"/>
  <c r="R15" i="3"/>
  <c r="S14" i="3"/>
  <c r="R14" i="3"/>
  <c r="S13" i="3"/>
  <c r="R13" i="3"/>
  <c r="S12" i="3"/>
  <c r="R12" i="3"/>
  <c r="S11" i="3"/>
  <c r="R11" i="3"/>
  <c r="S10" i="3"/>
  <c r="R10" i="3"/>
  <c r="S9" i="3"/>
  <c r="R9" i="3"/>
  <c r="S8" i="3"/>
  <c r="R8" i="3"/>
  <c r="S7" i="3"/>
  <c r="R7" i="3"/>
  <c r="S19" i="7" l="1"/>
  <c r="S77" i="10"/>
  <c r="S92" i="15"/>
  <c r="F59" i="5"/>
  <c r="S92" i="21"/>
  <c r="H59" i="5"/>
  <c r="S88" i="11"/>
  <c r="I59" i="5"/>
  <c r="G93" i="20"/>
  <c r="K93" i="20"/>
  <c r="O93" i="20"/>
  <c r="S34" i="15"/>
  <c r="R88" i="13"/>
  <c r="S88" i="4"/>
  <c r="D34" i="5"/>
  <c r="H34" i="5"/>
  <c r="P34" i="5"/>
  <c r="L34" i="5"/>
  <c r="D30" i="5"/>
  <c r="P30" i="5"/>
  <c r="H30" i="5"/>
  <c r="S77" i="11"/>
  <c r="S19" i="12"/>
  <c r="D35" i="13"/>
  <c r="P35" i="13"/>
  <c r="S77" i="13"/>
  <c r="S19" i="16"/>
  <c r="S77" i="17"/>
  <c r="S19" i="18"/>
  <c r="R30" i="12"/>
  <c r="R34" i="13"/>
  <c r="S19" i="21"/>
  <c r="R63" i="10"/>
  <c r="R19" i="16"/>
  <c r="S19" i="13"/>
  <c r="S19" i="10"/>
  <c r="S48" i="19"/>
  <c r="R77" i="19"/>
  <c r="S77" i="21"/>
  <c r="S77" i="20"/>
  <c r="S77" i="18"/>
  <c r="S77" i="14"/>
  <c r="K64" i="14"/>
  <c r="S77" i="9"/>
  <c r="S19" i="6"/>
  <c r="N48" i="5"/>
  <c r="S48" i="15"/>
  <c r="I93" i="14"/>
  <c r="R19" i="12"/>
  <c r="R19" i="21"/>
  <c r="E64" i="21"/>
  <c r="I64" i="21"/>
  <c r="R63" i="21"/>
  <c r="R88" i="21"/>
  <c r="R30" i="21"/>
  <c r="S30" i="21"/>
  <c r="R48" i="20"/>
  <c r="S30" i="20"/>
  <c r="S30" i="19"/>
  <c r="S88" i="19"/>
  <c r="S92" i="19"/>
  <c r="R48" i="18"/>
  <c r="R88" i="18"/>
  <c r="G93" i="18"/>
  <c r="K93" i="18"/>
  <c r="O93" i="18"/>
  <c r="R77" i="17"/>
  <c r="S48" i="17"/>
  <c r="S30" i="17"/>
  <c r="S34" i="17"/>
  <c r="S30" i="16"/>
  <c r="S34" i="16"/>
  <c r="S59" i="16"/>
  <c r="S63" i="16"/>
  <c r="S88" i="16"/>
  <c r="S92" i="16"/>
  <c r="R34" i="15"/>
  <c r="S77" i="15"/>
  <c r="R88" i="15"/>
  <c r="R77" i="14"/>
  <c r="R88" i="14"/>
  <c r="S92" i="14"/>
  <c r="S88" i="13"/>
  <c r="S92" i="13"/>
  <c r="F35" i="12"/>
  <c r="J35" i="12"/>
  <c r="N35" i="12"/>
  <c r="R77" i="8"/>
  <c r="R48" i="8"/>
  <c r="H35" i="21"/>
  <c r="P35" i="21"/>
  <c r="R59" i="21"/>
  <c r="R77" i="21"/>
  <c r="S48" i="21"/>
  <c r="R77" i="20"/>
  <c r="R30" i="20"/>
  <c r="S63" i="20"/>
  <c r="R88" i="20"/>
  <c r="S88" i="20"/>
  <c r="S34" i="19"/>
  <c r="R92" i="19"/>
  <c r="S19" i="19"/>
  <c r="R63" i="18"/>
  <c r="R77" i="18"/>
  <c r="R92" i="18"/>
  <c r="R59" i="18"/>
  <c r="R30" i="18"/>
  <c r="R34" i="17"/>
  <c r="S19" i="17"/>
  <c r="R88" i="17"/>
  <c r="S88" i="17"/>
  <c r="G35" i="16"/>
  <c r="K35" i="16"/>
  <c r="O35" i="16"/>
  <c r="R30" i="16"/>
  <c r="R34" i="16"/>
  <c r="R59" i="16"/>
  <c r="R88" i="16"/>
  <c r="R92" i="16"/>
  <c r="S48" i="16"/>
  <c r="R77" i="16"/>
  <c r="S77" i="16"/>
  <c r="R63" i="15"/>
  <c r="M93" i="15"/>
  <c r="R19" i="14"/>
  <c r="S19" i="14"/>
  <c r="R59" i="13"/>
  <c r="R77" i="13"/>
  <c r="F64" i="13"/>
  <c r="S88" i="12"/>
  <c r="R88" i="12"/>
  <c r="S30" i="12"/>
  <c r="D64" i="11"/>
  <c r="H64" i="11"/>
  <c r="L64" i="11"/>
  <c r="G64" i="11"/>
  <c r="K64" i="11"/>
  <c r="S34" i="9"/>
  <c r="N64" i="9"/>
  <c r="R19" i="3"/>
  <c r="G19" i="5"/>
  <c r="K19" i="5"/>
  <c r="O19" i="5"/>
  <c r="G48" i="5"/>
  <c r="K48" i="5"/>
  <c r="S77" i="6"/>
  <c r="R92" i="6"/>
  <c r="R19" i="7"/>
  <c r="R77" i="7"/>
  <c r="R30" i="7"/>
  <c r="S30" i="7"/>
  <c r="S34" i="7"/>
  <c r="R59" i="7"/>
  <c r="S59" i="7"/>
  <c r="S63" i="7"/>
  <c r="R88" i="7"/>
  <c r="H93" i="7"/>
  <c r="S88" i="7"/>
  <c r="S19" i="11"/>
  <c r="R88" i="11"/>
  <c r="R92" i="11"/>
  <c r="S63" i="11"/>
  <c r="G93" i="11"/>
  <c r="K93" i="11"/>
  <c r="O93" i="11"/>
  <c r="D64" i="10"/>
  <c r="H64" i="10"/>
  <c r="S88" i="9"/>
  <c r="R77" i="11"/>
  <c r="R30" i="11"/>
  <c r="R34" i="11"/>
  <c r="R48" i="11"/>
  <c r="E35" i="11"/>
  <c r="S30" i="11"/>
  <c r="R59" i="10"/>
  <c r="R88" i="10"/>
  <c r="R77" i="10"/>
  <c r="S30" i="10"/>
  <c r="R34" i="10"/>
  <c r="R48" i="10"/>
  <c r="R34" i="9"/>
  <c r="F64" i="9"/>
  <c r="J64" i="9"/>
  <c r="R77" i="9"/>
  <c r="S19" i="9"/>
  <c r="S19" i="8"/>
  <c r="S48" i="8"/>
  <c r="R63" i="8"/>
  <c r="S30" i="8"/>
  <c r="R88" i="8"/>
  <c r="S92" i="8"/>
  <c r="L19" i="5"/>
  <c r="P19" i="5"/>
  <c r="E77" i="5"/>
  <c r="I77" i="5"/>
  <c r="M77" i="5"/>
  <c r="Q77" i="5"/>
  <c r="G92" i="5"/>
  <c r="K92" i="5"/>
  <c r="O92" i="5"/>
  <c r="F34" i="5"/>
  <c r="J34" i="5"/>
  <c r="N34" i="5"/>
  <c r="F77" i="5"/>
  <c r="J77" i="5"/>
  <c r="M93" i="4"/>
  <c r="G30" i="5"/>
  <c r="K30" i="5"/>
  <c r="R30" i="5" s="1"/>
  <c r="O30" i="5"/>
  <c r="M48" i="5"/>
  <c r="Q48" i="5"/>
  <c r="G63" i="5"/>
  <c r="E88" i="5"/>
  <c r="I88" i="5"/>
  <c r="M88" i="5"/>
  <c r="Q88" i="5"/>
  <c r="E92" i="5"/>
  <c r="I92" i="5"/>
  <c r="M92" i="5"/>
  <c r="Q92" i="5"/>
  <c r="G64" i="4"/>
  <c r="S77" i="4"/>
  <c r="S30" i="6"/>
  <c r="R48" i="6"/>
  <c r="S48" i="6"/>
  <c r="R77" i="12"/>
  <c r="S77" i="12"/>
  <c r="S48" i="12"/>
  <c r="R48" i="3"/>
  <c r="R92" i="21"/>
  <c r="F93" i="21"/>
  <c r="J93" i="21"/>
  <c r="N93" i="21"/>
  <c r="G93" i="21"/>
  <c r="K93" i="21"/>
  <c r="O93" i="21"/>
  <c r="D64" i="21"/>
  <c r="H64" i="21"/>
  <c r="R34" i="21"/>
  <c r="S34" i="21"/>
  <c r="O59" i="21"/>
  <c r="O64" i="21" s="1"/>
  <c r="S58" i="21"/>
  <c r="M59" i="21"/>
  <c r="M64" i="21" s="1"/>
  <c r="Q59" i="21"/>
  <c r="Q64" i="21" s="1"/>
  <c r="F35" i="21"/>
  <c r="J35" i="21"/>
  <c r="N35" i="21"/>
  <c r="G35" i="21"/>
  <c r="K35" i="21"/>
  <c r="O35" i="21"/>
  <c r="F93" i="20"/>
  <c r="J93" i="20"/>
  <c r="N93" i="20"/>
  <c r="R92" i="20"/>
  <c r="S92" i="20"/>
  <c r="R63" i="20"/>
  <c r="D64" i="20"/>
  <c r="H64" i="20"/>
  <c r="F64" i="20"/>
  <c r="J64" i="20"/>
  <c r="E64" i="20"/>
  <c r="I64" i="20"/>
  <c r="R59" i="20"/>
  <c r="N64" i="20"/>
  <c r="G64" i="20"/>
  <c r="K64" i="20"/>
  <c r="R34" i="20"/>
  <c r="S34" i="20"/>
  <c r="D35" i="20"/>
  <c r="H35" i="20"/>
  <c r="P35" i="20"/>
  <c r="E35" i="20"/>
  <c r="I35" i="20"/>
  <c r="M35" i="20"/>
  <c r="Q35" i="20"/>
  <c r="S59" i="20"/>
  <c r="L64" i="20"/>
  <c r="P64" i="20"/>
  <c r="M64" i="20"/>
  <c r="Q64" i="20"/>
  <c r="G35" i="20"/>
  <c r="O35" i="20"/>
  <c r="O64" i="20"/>
  <c r="M93" i="19"/>
  <c r="G93" i="19"/>
  <c r="K93" i="19"/>
  <c r="O93" i="19"/>
  <c r="R88" i="19"/>
  <c r="H93" i="19"/>
  <c r="P93" i="19"/>
  <c r="F93" i="19"/>
  <c r="J93" i="19"/>
  <c r="N93" i="19"/>
  <c r="L93" i="19"/>
  <c r="G64" i="19"/>
  <c r="K64" i="19"/>
  <c r="R63" i="19"/>
  <c r="S63" i="19"/>
  <c r="D64" i="19"/>
  <c r="H64" i="19"/>
  <c r="E64" i="19"/>
  <c r="I64" i="19"/>
  <c r="F64" i="19"/>
  <c r="J64" i="19"/>
  <c r="R59" i="19"/>
  <c r="N64" i="19"/>
  <c r="R34" i="19"/>
  <c r="E35" i="19"/>
  <c r="R30" i="19"/>
  <c r="M64" i="19"/>
  <c r="L64" i="19"/>
  <c r="P64" i="19"/>
  <c r="Q59" i="19"/>
  <c r="S59" i="19" s="1"/>
  <c r="D35" i="19"/>
  <c r="H35" i="19"/>
  <c r="P35" i="19"/>
  <c r="F35" i="19"/>
  <c r="J35" i="19"/>
  <c r="N35" i="19"/>
  <c r="I35" i="19"/>
  <c r="M35" i="19"/>
  <c r="Q35" i="19"/>
  <c r="O64" i="19"/>
  <c r="F93" i="18"/>
  <c r="J93" i="18"/>
  <c r="N93" i="18"/>
  <c r="E64" i="18"/>
  <c r="I64" i="18"/>
  <c r="F64" i="18"/>
  <c r="J64" i="18"/>
  <c r="G64" i="18"/>
  <c r="K64" i="18"/>
  <c r="D64" i="18"/>
  <c r="H64" i="18"/>
  <c r="N63" i="18"/>
  <c r="N64" i="18" s="1"/>
  <c r="L64" i="18"/>
  <c r="P64" i="18"/>
  <c r="M63" i="18"/>
  <c r="M64" i="18" s="1"/>
  <c r="Q63" i="18"/>
  <c r="S63" i="18" s="1"/>
  <c r="R34" i="18"/>
  <c r="S34" i="18"/>
  <c r="O63" i="18"/>
  <c r="O64" i="18" s="1"/>
  <c r="S60" i="18"/>
  <c r="D35" i="18"/>
  <c r="H35" i="18"/>
  <c r="P35" i="18"/>
  <c r="F35" i="18"/>
  <c r="N35" i="18"/>
  <c r="E35" i="18"/>
  <c r="I35" i="18"/>
  <c r="M35" i="18"/>
  <c r="Q35" i="18"/>
  <c r="S59" i="18"/>
  <c r="J35" i="18"/>
  <c r="S30" i="18"/>
  <c r="R92" i="17"/>
  <c r="S92" i="17"/>
  <c r="E93" i="17"/>
  <c r="I93" i="17"/>
  <c r="M93" i="17"/>
  <c r="Q93" i="17"/>
  <c r="F93" i="17"/>
  <c r="J93" i="17"/>
  <c r="N93" i="17"/>
  <c r="K93" i="17"/>
  <c r="G93" i="17"/>
  <c r="O93" i="17"/>
  <c r="R63" i="17"/>
  <c r="K64" i="17"/>
  <c r="R59" i="17"/>
  <c r="D64" i="17"/>
  <c r="E64" i="17"/>
  <c r="I64" i="17"/>
  <c r="H64" i="17"/>
  <c r="F64" i="17"/>
  <c r="J64" i="17"/>
  <c r="G64" i="17"/>
  <c r="M63" i="17"/>
  <c r="M64" i="17" s="1"/>
  <c r="Q63" i="17"/>
  <c r="Q64" i="17" s="1"/>
  <c r="N63" i="17"/>
  <c r="N64" i="17" s="1"/>
  <c r="D35" i="17"/>
  <c r="H35" i="17"/>
  <c r="P35" i="17"/>
  <c r="E35" i="17"/>
  <c r="I35" i="17"/>
  <c r="M35" i="17"/>
  <c r="Q35" i="17"/>
  <c r="S59" i="17"/>
  <c r="O64" i="17"/>
  <c r="R30" i="17"/>
  <c r="F93" i="16"/>
  <c r="J93" i="16"/>
  <c r="N93" i="16"/>
  <c r="G93" i="16"/>
  <c r="K93" i="16"/>
  <c r="O93" i="16"/>
  <c r="R63" i="16"/>
  <c r="D64" i="16"/>
  <c r="H64" i="16"/>
  <c r="E64" i="16"/>
  <c r="I64" i="16"/>
  <c r="M64" i="16"/>
  <c r="Q64" i="16"/>
  <c r="H35" i="16"/>
  <c r="P35" i="16"/>
  <c r="F35" i="16"/>
  <c r="J35" i="16"/>
  <c r="N35" i="16"/>
  <c r="G93" i="15"/>
  <c r="K93" i="15"/>
  <c r="O93" i="15"/>
  <c r="R92" i="15"/>
  <c r="D93" i="15"/>
  <c r="L93" i="15"/>
  <c r="E93" i="15"/>
  <c r="F93" i="15"/>
  <c r="J93" i="15"/>
  <c r="N93" i="15"/>
  <c r="I93" i="15"/>
  <c r="Q93" i="15"/>
  <c r="D64" i="15"/>
  <c r="H64" i="15"/>
  <c r="S63" i="15"/>
  <c r="E64" i="15"/>
  <c r="I64" i="15"/>
  <c r="F64" i="15"/>
  <c r="J64" i="15"/>
  <c r="G64" i="15"/>
  <c r="K64" i="15"/>
  <c r="R59" i="15"/>
  <c r="S30" i="15"/>
  <c r="F35" i="15"/>
  <c r="N35" i="15"/>
  <c r="R30" i="15"/>
  <c r="L64" i="15"/>
  <c r="P64" i="15"/>
  <c r="G35" i="15"/>
  <c r="O35" i="15"/>
  <c r="M64" i="15"/>
  <c r="Q64" i="15"/>
  <c r="R92" i="14"/>
  <c r="D93" i="14"/>
  <c r="H93" i="14"/>
  <c r="S88" i="14"/>
  <c r="F93" i="14"/>
  <c r="J93" i="14"/>
  <c r="N93" i="14"/>
  <c r="G93" i="14"/>
  <c r="K93" i="14"/>
  <c r="O93" i="14"/>
  <c r="E93" i="14"/>
  <c r="P93" i="14"/>
  <c r="O64" i="14"/>
  <c r="R63" i="14"/>
  <c r="R59" i="14"/>
  <c r="G64" i="14"/>
  <c r="D64" i="14"/>
  <c r="E64" i="14"/>
  <c r="I64" i="14"/>
  <c r="F64" i="14"/>
  <c r="J64" i="14"/>
  <c r="L63" i="14"/>
  <c r="P63" i="14"/>
  <c r="P64" i="14" s="1"/>
  <c r="M63" i="14"/>
  <c r="M64" i="14" s="1"/>
  <c r="Q63" i="14"/>
  <c r="Q64" i="14" s="1"/>
  <c r="S34" i="14"/>
  <c r="R34" i="14"/>
  <c r="G35" i="14"/>
  <c r="K35" i="14"/>
  <c r="O35" i="14"/>
  <c r="S60" i="14"/>
  <c r="F35" i="14"/>
  <c r="J35" i="14"/>
  <c r="N35" i="14"/>
  <c r="R30" i="14"/>
  <c r="S30" i="14"/>
  <c r="R92" i="13"/>
  <c r="F93" i="13"/>
  <c r="J93" i="13"/>
  <c r="N93" i="13"/>
  <c r="G93" i="13"/>
  <c r="K93" i="13"/>
  <c r="O93" i="13"/>
  <c r="E64" i="13"/>
  <c r="G64" i="13"/>
  <c r="D64" i="13"/>
  <c r="H64" i="13"/>
  <c r="S34" i="13"/>
  <c r="I64" i="13"/>
  <c r="M63" i="13"/>
  <c r="Q63" i="13"/>
  <c r="Q64" i="13" s="1"/>
  <c r="K63" i="13"/>
  <c r="R63" i="13" s="1"/>
  <c r="O63" i="13"/>
  <c r="O64" i="13" s="1"/>
  <c r="L63" i="13"/>
  <c r="L64" i="13" s="1"/>
  <c r="P63" i="13"/>
  <c r="K64" i="13"/>
  <c r="N63" i="13"/>
  <c r="N64" i="13" s="1"/>
  <c r="P64" i="13"/>
  <c r="H35" i="13"/>
  <c r="E35" i="13"/>
  <c r="I35" i="13"/>
  <c r="M35" i="13"/>
  <c r="Q35" i="13"/>
  <c r="R30" i="13"/>
  <c r="S30" i="13"/>
  <c r="G93" i="12"/>
  <c r="K93" i="12"/>
  <c r="O93" i="12"/>
  <c r="F93" i="12"/>
  <c r="J93" i="12"/>
  <c r="N93" i="12"/>
  <c r="R92" i="12"/>
  <c r="S92" i="12"/>
  <c r="R63" i="12"/>
  <c r="S63" i="12"/>
  <c r="D64" i="12"/>
  <c r="E64" i="12"/>
  <c r="I64" i="12"/>
  <c r="Q64" i="12"/>
  <c r="H64" i="12"/>
  <c r="R59" i="12"/>
  <c r="S59" i="12"/>
  <c r="S34" i="12"/>
  <c r="R34" i="12"/>
  <c r="H35" i="12"/>
  <c r="P35" i="12"/>
  <c r="G35" i="12"/>
  <c r="K35" i="12"/>
  <c r="O35" i="12"/>
  <c r="E93" i="11"/>
  <c r="I93" i="11"/>
  <c r="M93" i="11"/>
  <c r="F93" i="11"/>
  <c r="J93" i="11"/>
  <c r="N93" i="11"/>
  <c r="Q93" i="11"/>
  <c r="L93" i="11"/>
  <c r="E64" i="11"/>
  <c r="I64" i="11"/>
  <c r="O64" i="11"/>
  <c r="R63" i="11"/>
  <c r="R59" i="11"/>
  <c r="G35" i="11"/>
  <c r="K35" i="11"/>
  <c r="O35" i="11"/>
  <c r="S34" i="11"/>
  <c r="I35" i="11"/>
  <c r="D35" i="11"/>
  <c r="R35" i="11" s="1"/>
  <c r="H35" i="11"/>
  <c r="L35" i="11"/>
  <c r="P35" i="11"/>
  <c r="S59" i="11"/>
  <c r="Q64" i="11"/>
  <c r="R92" i="10"/>
  <c r="S92" i="10"/>
  <c r="S88" i="10"/>
  <c r="F93" i="10"/>
  <c r="J93" i="10"/>
  <c r="N93" i="10"/>
  <c r="E93" i="10"/>
  <c r="I93" i="10"/>
  <c r="M93" i="10"/>
  <c r="Q93" i="10"/>
  <c r="G93" i="10"/>
  <c r="K93" i="10"/>
  <c r="O93" i="10"/>
  <c r="E64" i="10"/>
  <c r="I64" i="10"/>
  <c r="S63" i="10"/>
  <c r="F64" i="10"/>
  <c r="J64" i="10"/>
  <c r="G64" i="10"/>
  <c r="K64" i="10"/>
  <c r="R64" i="10" s="1"/>
  <c r="O64" i="10"/>
  <c r="S34" i="10"/>
  <c r="E35" i="10"/>
  <c r="I35" i="10"/>
  <c r="M35" i="10"/>
  <c r="Q35" i="10"/>
  <c r="R30" i="10"/>
  <c r="P64" i="10"/>
  <c r="M64" i="10"/>
  <c r="Q64" i="10"/>
  <c r="L59" i="10"/>
  <c r="S59" i="10" s="1"/>
  <c r="D35" i="10"/>
  <c r="H35" i="10"/>
  <c r="P35" i="10"/>
  <c r="N64" i="10"/>
  <c r="M93" i="9"/>
  <c r="R92" i="9"/>
  <c r="S92" i="9"/>
  <c r="F93" i="9"/>
  <c r="J93" i="9"/>
  <c r="N93" i="9"/>
  <c r="R88" i="9"/>
  <c r="G93" i="9"/>
  <c r="K93" i="9"/>
  <c r="O93" i="9"/>
  <c r="R63" i="9"/>
  <c r="S63" i="9"/>
  <c r="O64" i="9"/>
  <c r="K64" i="9"/>
  <c r="R59" i="9"/>
  <c r="G64" i="9"/>
  <c r="D64" i="9"/>
  <c r="H64" i="9"/>
  <c r="E64" i="9"/>
  <c r="I64" i="9"/>
  <c r="E35" i="9"/>
  <c r="I35" i="9"/>
  <c r="M35" i="9"/>
  <c r="Q35" i="9"/>
  <c r="D35" i="9"/>
  <c r="H35" i="9"/>
  <c r="P35" i="9"/>
  <c r="R30" i="9"/>
  <c r="S30" i="9"/>
  <c r="L64" i="9"/>
  <c r="P64" i="9"/>
  <c r="Q59" i="9"/>
  <c r="S59" i="9" s="1"/>
  <c r="M64" i="9"/>
  <c r="F35" i="9"/>
  <c r="J35" i="9"/>
  <c r="N35" i="9"/>
  <c r="F93" i="8"/>
  <c r="J93" i="8"/>
  <c r="N93" i="8"/>
  <c r="L93" i="8"/>
  <c r="S88" i="8"/>
  <c r="D93" i="8"/>
  <c r="K93" i="8"/>
  <c r="D64" i="8"/>
  <c r="H64" i="8"/>
  <c r="L64" i="8"/>
  <c r="F64" i="8"/>
  <c r="S63" i="8"/>
  <c r="E64" i="8"/>
  <c r="G64" i="8"/>
  <c r="K64" i="8"/>
  <c r="R34" i="8"/>
  <c r="S34" i="8"/>
  <c r="E35" i="8"/>
  <c r="M35" i="8"/>
  <c r="P64" i="8"/>
  <c r="N64" i="8"/>
  <c r="F35" i="8"/>
  <c r="J35" i="8"/>
  <c r="N35" i="8"/>
  <c r="O64" i="8"/>
  <c r="R92" i="7"/>
  <c r="S92" i="7"/>
  <c r="F93" i="7"/>
  <c r="J93" i="7"/>
  <c r="N93" i="7"/>
  <c r="G93" i="7"/>
  <c r="K93" i="7"/>
  <c r="O93" i="7"/>
  <c r="R63" i="7"/>
  <c r="F64" i="7"/>
  <c r="J64" i="7"/>
  <c r="E64" i="7"/>
  <c r="I64" i="7"/>
  <c r="M64" i="7"/>
  <c r="Q64" i="7"/>
  <c r="G64" i="7"/>
  <c r="K64" i="7"/>
  <c r="O64" i="7"/>
  <c r="F35" i="7"/>
  <c r="J35" i="7"/>
  <c r="N35" i="7"/>
  <c r="R34" i="7"/>
  <c r="G35" i="7"/>
  <c r="K35" i="7"/>
  <c r="O35" i="7"/>
  <c r="S92" i="6"/>
  <c r="G93" i="6"/>
  <c r="K93" i="6"/>
  <c r="O93" i="6"/>
  <c r="R88" i="6"/>
  <c r="S88" i="6"/>
  <c r="D93" i="6"/>
  <c r="R93" i="6" s="1"/>
  <c r="H93" i="6"/>
  <c r="L93" i="6"/>
  <c r="P93" i="6"/>
  <c r="S63" i="6"/>
  <c r="E64" i="6"/>
  <c r="I64" i="6"/>
  <c r="R59" i="6"/>
  <c r="F64" i="6"/>
  <c r="J64" i="6"/>
  <c r="S34" i="6"/>
  <c r="R34" i="6"/>
  <c r="D35" i="6"/>
  <c r="H35" i="6"/>
  <c r="L35" i="6"/>
  <c r="P35" i="6"/>
  <c r="S57" i="6"/>
  <c r="G35" i="6"/>
  <c r="K35" i="6"/>
  <c r="O35" i="6"/>
  <c r="R30" i="6"/>
  <c r="M64" i="6"/>
  <c r="S59" i="6"/>
  <c r="F93" i="4"/>
  <c r="R92" i="4"/>
  <c r="E93" i="4"/>
  <c r="F92" i="5"/>
  <c r="J92" i="5"/>
  <c r="N92" i="5"/>
  <c r="H92" i="5"/>
  <c r="P92" i="5"/>
  <c r="G88" i="5"/>
  <c r="O88" i="5"/>
  <c r="G93" i="4"/>
  <c r="K93" i="4"/>
  <c r="O93" i="4"/>
  <c r="K88" i="5"/>
  <c r="J93" i="4"/>
  <c r="N93" i="4"/>
  <c r="D88" i="5"/>
  <c r="H88" i="5"/>
  <c r="P88" i="5"/>
  <c r="F88" i="5"/>
  <c r="N88" i="5"/>
  <c r="R88" i="4"/>
  <c r="D63" i="5"/>
  <c r="H63" i="5"/>
  <c r="D64" i="4"/>
  <c r="H64" i="4"/>
  <c r="E63" i="5"/>
  <c r="I63" i="5"/>
  <c r="E64" i="4"/>
  <c r="I64" i="4"/>
  <c r="F63" i="5"/>
  <c r="J63" i="5"/>
  <c r="F64" i="4"/>
  <c r="J64" i="4"/>
  <c r="R63" i="4"/>
  <c r="R59" i="4"/>
  <c r="S34" i="4"/>
  <c r="N63" i="4"/>
  <c r="S62" i="4"/>
  <c r="L63" i="4"/>
  <c r="S63" i="4" s="1"/>
  <c r="P63" i="4"/>
  <c r="P64" i="4" s="1"/>
  <c r="E34" i="5"/>
  <c r="I34" i="5"/>
  <c r="M34" i="5"/>
  <c r="Q34" i="5"/>
  <c r="S34" i="5" s="1"/>
  <c r="H35" i="4"/>
  <c r="P35" i="4"/>
  <c r="G34" i="5"/>
  <c r="K34" i="5"/>
  <c r="R34" i="5" s="1"/>
  <c r="O34" i="5"/>
  <c r="O60" i="5"/>
  <c r="R34" i="4"/>
  <c r="M60" i="5"/>
  <c r="Q60" i="5"/>
  <c r="M59" i="4"/>
  <c r="M64" i="4" s="1"/>
  <c r="Q59" i="4"/>
  <c r="Q64" i="4" s="1"/>
  <c r="N59" i="4"/>
  <c r="S58" i="4"/>
  <c r="R30" i="4"/>
  <c r="O59" i="4"/>
  <c r="O64" i="4" s="1"/>
  <c r="L57" i="5"/>
  <c r="S57" i="5" s="1"/>
  <c r="E30" i="5"/>
  <c r="I30" i="5"/>
  <c r="M30" i="5"/>
  <c r="Q30" i="5"/>
  <c r="E35" i="4"/>
  <c r="I35" i="4"/>
  <c r="M35" i="4"/>
  <c r="Q35" i="4"/>
  <c r="G35" i="4"/>
  <c r="O35" i="4"/>
  <c r="F30" i="5"/>
  <c r="J30" i="5"/>
  <c r="N30" i="5"/>
  <c r="P57" i="5"/>
  <c r="S57" i="4"/>
  <c r="R92" i="3"/>
  <c r="D92" i="5"/>
  <c r="S92" i="3"/>
  <c r="L92" i="5"/>
  <c r="S88" i="3"/>
  <c r="L88" i="5"/>
  <c r="J93" i="3"/>
  <c r="J88" i="5"/>
  <c r="R88" i="3"/>
  <c r="R63" i="3"/>
  <c r="K63" i="5"/>
  <c r="R63" i="5" s="1"/>
  <c r="S58" i="5"/>
  <c r="S34" i="3"/>
  <c r="N63" i="3"/>
  <c r="N61" i="5"/>
  <c r="S61" i="3"/>
  <c r="L61" i="5"/>
  <c r="S61" i="5" s="1"/>
  <c r="P63" i="3"/>
  <c r="R34" i="3"/>
  <c r="S60" i="3"/>
  <c r="L60" i="5"/>
  <c r="O63" i="3"/>
  <c r="O63" i="5" s="1"/>
  <c r="S30" i="3"/>
  <c r="L30" i="5"/>
  <c r="K59" i="3"/>
  <c r="R59" i="3" s="1"/>
  <c r="K57" i="5"/>
  <c r="R57" i="5" s="1"/>
  <c r="O59" i="3"/>
  <c r="O57" i="5"/>
  <c r="L35" i="3"/>
  <c r="P59" i="3"/>
  <c r="P59" i="5" s="1"/>
  <c r="R30" i="3"/>
  <c r="M59" i="3"/>
  <c r="M57" i="5"/>
  <c r="R57" i="3"/>
  <c r="N59" i="3"/>
  <c r="H93" i="21"/>
  <c r="P93" i="21"/>
  <c r="E93" i="21"/>
  <c r="I93" i="21"/>
  <c r="M93" i="21"/>
  <c r="Q93" i="21"/>
  <c r="N64" i="21"/>
  <c r="F64" i="21"/>
  <c r="J64" i="21"/>
  <c r="G64" i="21"/>
  <c r="K64" i="21"/>
  <c r="E35" i="21"/>
  <c r="I35" i="21"/>
  <c r="M35" i="21"/>
  <c r="Q35" i="21"/>
  <c r="H93" i="20"/>
  <c r="P93" i="20"/>
  <c r="E93" i="20"/>
  <c r="I93" i="20"/>
  <c r="M93" i="20"/>
  <c r="Q93" i="20"/>
  <c r="S48" i="20"/>
  <c r="S19" i="20"/>
  <c r="F35" i="20"/>
  <c r="J35" i="20"/>
  <c r="N35" i="20"/>
  <c r="K35" i="20"/>
  <c r="S77" i="19"/>
  <c r="E93" i="19"/>
  <c r="I93" i="19"/>
  <c r="Q93" i="19"/>
  <c r="R48" i="19"/>
  <c r="G35" i="19"/>
  <c r="K35" i="19"/>
  <c r="O35" i="19"/>
  <c r="H93" i="18"/>
  <c r="P93" i="18"/>
  <c r="E93" i="18"/>
  <c r="I93" i="18"/>
  <c r="M93" i="18"/>
  <c r="Q93" i="18"/>
  <c r="S48" i="18"/>
  <c r="G35" i="18"/>
  <c r="K35" i="18"/>
  <c r="R35" i="18" s="1"/>
  <c r="O35" i="18"/>
  <c r="H93" i="17"/>
  <c r="P93" i="17"/>
  <c r="R48" i="17"/>
  <c r="F35" i="17"/>
  <c r="J35" i="17"/>
  <c r="N35" i="17"/>
  <c r="G35" i="17"/>
  <c r="K35" i="17"/>
  <c r="O35" i="17"/>
  <c r="H93" i="16"/>
  <c r="P93" i="16"/>
  <c r="E93" i="16"/>
  <c r="I93" i="16"/>
  <c r="M93" i="16"/>
  <c r="Q93" i="16"/>
  <c r="F64" i="16"/>
  <c r="J64" i="16"/>
  <c r="N64" i="16"/>
  <c r="G64" i="16"/>
  <c r="K64" i="16"/>
  <c r="O64" i="16"/>
  <c r="E35" i="16"/>
  <c r="I35" i="16"/>
  <c r="M35" i="16"/>
  <c r="Q35" i="16"/>
  <c r="R77" i="15"/>
  <c r="H93" i="15"/>
  <c r="P93" i="15"/>
  <c r="O64" i="15"/>
  <c r="R48" i="15"/>
  <c r="N64" i="15"/>
  <c r="J35" i="15"/>
  <c r="K35" i="15"/>
  <c r="M93" i="14"/>
  <c r="Q93" i="14"/>
  <c r="R48" i="14"/>
  <c r="H64" i="14"/>
  <c r="P35" i="14"/>
  <c r="E35" i="14"/>
  <c r="I35" i="14"/>
  <c r="M35" i="14"/>
  <c r="Q35" i="14"/>
  <c r="H93" i="13"/>
  <c r="P93" i="13"/>
  <c r="E93" i="13"/>
  <c r="I93" i="13"/>
  <c r="M93" i="13"/>
  <c r="Q93" i="13"/>
  <c r="R48" i="13"/>
  <c r="S48" i="13"/>
  <c r="F35" i="13"/>
  <c r="J35" i="13"/>
  <c r="N35" i="13"/>
  <c r="G35" i="13"/>
  <c r="K35" i="13"/>
  <c r="O35" i="13"/>
  <c r="E93" i="12"/>
  <c r="I93" i="12"/>
  <c r="M93" i="12"/>
  <c r="Q93" i="12"/>
  <c r="H93" i="12"/>
  <c r="P93" i="12"/>
  <c r="G64" i="12"/>
  <c r="K64" i="12"/>
  <c r="O64" i="12"/>
  <c r="F64" i="12"/>
  <c r="J64" i="12"/>
  <c r="N64" i="12"/>
  <c r="E35" i="12"/>
  <c r="I35" i="12"/>
  <c r="M35" i="12"/>
  <c r="Q35" i="12"/>
  <c r="H93" i="11"/>
  <c r="P93" i="11"/>
  <c r="N64" i="11"/>
  <c r="F64" i="11"/>
  <c r="J64" i="11"/>
  <c r="F35" i="11"/>
  <c r="J35" i="11"/>
  <c r="N35" i="11"/>
  <c r="M35" i="11"/>
  <c r="Q35" i="11"/>
  <c r="H93" i="10"/>
  <c r="P93" i="10"/>
  <c r="S48" i="10"/>
  <c r="F35" i="10"/>
  <c r="J35" i="10"/>
  <c r="N35" i="10"/>
  <c r="G35" i="10"/>
  <c r="K35" i="10"/>
  <c r="O35" i="10"/>
  <c r="H93" i="9"/>
  <c r="P93" i="9"/>
  <c r="E93" i="9"/>
  <c r="I93" i="9"/>
  <c r="Q93" i="9"/>
  <c r="R48" i="9"/>
  <c r="S48" i="9"/>
  <c r="G35" i="9"/>
  <c r="K35" i="9"/>
  <c r="O35" i="9"/>
  <c r="G93" i="8"/>
  <c r="O93" i="8"/>
  <c r="H93" i="8"/>
  <c r="P93" i="8"/>
  <c r="J64" i="8"/>
  <c r="I64" i="8"/>
  <c r="I35" i="8"/>
  <c r="E93" i="7"/>
  <c r="I93" i="7"/>
  <c r="M93" i="7"/>
  <c r="Q93" i="7"/>
  <c r="D93" i="7"/>
  <c r="P93" i="7"/>
  <c r="N64" i="7"/>
  <c r="E35" i="7"/>
  <c r="I35" i="7"/>
  <c r="M35" i="7"/>
  <c r="Q35" i="7"/>
  <c r="H35" i="7"/>
  <c r="P35" i="7"/>
  <c r="N93" i="6"/>
  <c r="F93" i="6"/>
  <c r="J93" i="6"/>
  <c r="E93" i="6"/>
  <c r="I93" i="6"/>
  <c r="M93" i="6"/>
  <c r="Q93" i="6"/>
  <c r="G64" i="6"/>
  <c r="K64" i="6"/>
  <c r="D64" i="6"/>
  <c r="H64" i="6"/>
  <c r="L64" i="6"/>
  <c r="N35" i="6"/>
  <c r="J35" i="6"/>
  <c r="F35" i="6"/>
  <c r="E35" i="6"/>
  <c r="I35" i="6"/>
  <c r="M35" i="6"/>
  <c r="Q35" i="6"/>
  <c r="H93" i="4"/>
  <c r="P93" i="4"/>
  <c r="I93" i="4"/>
  <c r="Q93" i="4"/>
  <c r="L93" i="4"/>
  <c r="D77" i="5"/>
  <c r="P77" i="5"/>
  <c r="L48" i="5"/>
  <c r="P48" i="5"/>
  <c r="S48" i="4"/>
  <c r="R48" i="4"/>
  <c r="F35" i="4"/>
  <c r="J35" i="4"/>
  <c r="N35" i="4"/>
  <c r="M93" i="3"/>
  <c r="Q93" i="3"/>
  <c r="N93" i="3"/>
  <c r="N77" i="5"/>
  <c r="R77" i="3"/>
  <c r="E93" i="3"/>
  <c r="G93" i="3"/>
  <c r="G77" i="5"/>
  <c r="K93" i="3"/>
  <c r="K77" i="5"/>
  <c r="O93" i="3"/>
  <c r="O77" i="5"/>
  <c r="I93" i="3"/>
  <c r="I93" i="5" s="1"/>
  <c r="H93" i="3"/>
  <c r="H77" i="5"/>
  <c r="L93" i="3"/>
  <c r="L77" i="5"/>
  <c r="P93" i="3"/>
  <c r="H64" i="3"/>
  <c r="H48" i="5"/>
  <c r="E64" i="3"/>
  <c r="E48" i="5"/>
  <c r="F64" i="3"/>
  <c r="F48" i="5"/>
  <c r="J64" i="3"/>
  <c r="J48" i="5"/>
  <c r="D64" i="3"/>
  <c r="D48" i="5"/>
  <c r="I64" i="3"/>
  <c r="I48" i="5"/>
  <c r="O48" i="5"/>
  <c r="S48" i="3"/>
  <c r="G64" i="3"/>
  <c r="D35" i="3"/>
  <c r="D19" i="5"/>
  <c r="H35" i="3"/>
  <c r="H19" i="5"/>
  <c r="G35" i="3"/>
  <c r="F35" i="3"/>
  <c r="F19" i="5"/>
  <c r="J35" i="3"/>
  <c r="J19" i="5"/>
  <c r="N35" i="3"/>
  <c r="N19" i="5"/>
  <c r="E35" i="3"/>
  <c r="E19" i="5"/>
  <c r="I35" i="3"/>
  <c r="I19" i="5"/>
  <c r="M35" i="3"/>
  <c r="M19" i="5"/>
  <c r="Q35" i="3"/>
  <c r="Q19" i="5"/>
  <c r="K35" i="3"/>
  <c r="O35" i="3"/>
  <c r="P35" i="3"/>
  <c r="S92" i="18"/>
  <c r="N64" i="6"/>
  <c r="P64" i="11"/>
  <c r="P64" i="12"/>
  <c r="M64" i="8"/>
  <c r="M64" i="11"/>
  <c r="M64" i="12"/>
  <c r="M64" i="13"/>
  <c r="P64" i="16"/>
  <c r="P64" i="21"/>
  <c r="D35" i="21"/>
  <c r="L35" i="21"/>
  <c r="L59" i="21"/>
  <c r="L64" i="21" s="1"/>
  <c r="D93" i="21"/>
  <c r="L93" i="21"/>
  <c r="R48" i="21"/>
  <c r="D93" i="20"/>
  <c r="R93" i="20" s="1"/>
  <c r="L93" i="20"/>
  <c r="R19" i="20"/>
  <c r="L35" i="20"/>
  <c r="D93" i="19"/>
  <c r="R19" i="19"/>
  <c r="L35" i="19"/>
  <c r="D93" i="18"/>
  <c r="L93" i="18"/>
  <c r="R19" i="18"/>
  <c r="L35" i="18"/>
  <c r="P64" i="17"/>
  <c r="D93" i="17"/>
  <c r="L93" i="17"/>
  <c r="R19" i="17"/>
  <c r="L35" i="17"/>
  <c r="L63" i="17"/>
  <c r="D35" i="16"/>
  <c r="L35" i="16"/>
  <c r="D93" i="16"/>
  <c r="L93" i="16"/>
  <c r="R48" i="16"/>
  <c r="L64" i="16"/>
  <c r="D35" i="15"/>
  <c r="R19" i="15"/>
  <c r="H35" i="15"/>
  <c r="S19" i="15"/>
  <c r="L35" i="15"/>
  <c r="P35" i="15"/>
  <c r="S59" i="15"/>
  <c r="E35" i="15"/>
  <c r="I35" i="15"/>
  <c r="M35" i="15"/>
  <c r="Q35" i="15"/>
  <c r="L35" i="14"/>
  <c r="D35" i="14"/>
  <c r="H35" i="14"/>
  <c r="N64" i="14"/>
  <c r="L93" i="14"/>
  <c r="S48" i="14"/>
  <c r="L59" i="14"/>
  <c r="S59" i="13"/>
  <c r="D93" i="13"/>
  <c r="L93" i="13"/>
  <c r="R19" i="13"/>
  <c r="L35" i="13"/>
  <c r="S60" i="13"/>
  <c r="D35" i="12"/>
  <c r="L35" i="12"/>
  <c r="D93" i="12"/>
  <c r="L93" i="12"/>
  <c r="R48" i="12"/>
  <c r="L64" i="12"/>
  <c r="D93" i="11"/>
  <c r="S48" i="11"/>
  <c r="R19" i="11"/>
  <c r="D93" i="10"/>
  <c r="L93" i="10"/>
  <c r="R19" i="10"/>
  <c r="L35" i="10"/>
  <c r="D93" i="9"/>
  <c r="R19" i="9"/>
  <c r="L35" i="9"/>
  <c r="L93" i="9"/>
  <c r="G35" i="8"/>
  <c r="K35" i="8"/>
  <c r="O35" i="8"/>
  <c r="R30" i="8"/>
  <c r="Q59" i="8"/>
  <c r="S57" i="8"/>
  <c r="R59" i="8"/>
  <c r="D35" i="8"/>
  <c r="R19" i="8"/>
  <c r="H35" i="8"/>
  <c r="L35" i="8"/>
  <c r="P35" i="8"/>
  <c r="R92" i="8"/>
  <c r="Q35" i="8"/>
  <c r="E93" i="8"/>
  <c r="I93" i="8"/>
  <c r="M93" i="8"/>
  <c r="Q93" i="8"/>
  <c r="S77" i="8"/>
  <c r="D35" i="7"/>
  <c r="D64" i="7"/>
  <c r="R48" i="7"/>
  <c r="H64" i="7"/>
  <c r="S48" i="7"/>
  <c r="L64" i="7"/>
  <c r="P64" i="7"/>
  <c r="L93" i="7"/>
  <c r="L35" i="7"/>
  <c r="O64" i="6"/>
  <c r="R19" i="6"/>
  <c r="R63" i="6"/>
  <c r="R77" i="6"/>
  <c r="R9" i="5"/>
  <c r="R13" i="5"/>
  <c r="R22" i="5"/>
  <c r="R26" i="5"/>
  <c r="R31" i="5"/>
  <c r="R8" i="5"/>
  <c r="R12" i="5"/>
  <c r="R16" i="5"/>
  <c r="R21" i="5"/>
  <c r="R29" i="5"/>
  <c r="R7" i="5"/>
  <c r="R11" i="5"/>
  <c r="R15" i="5"/>
  <c r="R20" i="5"/>
  <c r="R24" i="5"/>
  <c r="R28" i="5"/>
  <c r="R33" i="5"/>
  <c r="S36" i="5"/>
  <c r="S40" i="5"/>
  <c r="S44" i="5"/>
  <c r="S49" i="5"/>
  <c r="S53" i="5"/>
  <c r="S62" i="5"/>
  <c r="S67" i="5"/>
  <c r="S71" i="5"/>
  <c r="S75" i="5"/>
  <c r="S80" i="5"/>
  <c r="S84" i="5"/>
  <c r="R86" i="5"/>
  <c r="S89" i="5"/>
  <c r="K35" i="4"/>
  <c r="K64" i="4"/>
  <c r="S30" i="4"/>
  <c r="D93" i="4"/>
  <c r="D35" i="4"/>
  <c r="R35" i="4" s="1"/>
  <c r="R19" i="4"/>
  <c r="S19" i="4"/>
  <c r="L35" i="4"/>
  <c r="R77" i="4"/>
  <c r="S92" i="4"/>
  <c r="Q59" i="3"/>
  <c r="S57" i="3"/>
  <c r="L63" i="3"/>
  <c r="F93" i="3"/>
  <c r="D93" i="3"/>
  <c r="S58" i="3"/>
  <c r="L59" i="3"/>
  <c r="L59" i="5" s="1"/>
  <c r="M63" i="3"/>
  <c r="Q63" i="3"/>
  <c r="S77" i="3"/>
  <c r="S19" i="3"/>
  <c r="R35" i="13" l="1"/>
  <c r="S92" i="5"/>
  <c r="R64" i="14"/>
  <c r="R93" i="16"/>
  <c r="R93" i="11"/>
  <c r="J93" i="5"/>
  <c r="R64" i="15"/>
  <c r="Q93" i="5"/>
  <c r="R64" i="11"/>
  <c r="R93" i="18"/>
  <c r="R35" i="9"/>
  <c r="R93" i="21"/>
  <c r="S93" i="18"/>
  <c r="S93" i="17"/>
  <c r="R35" i="17"/>
  <c r="R64" i="8"/>
  <c r="S35" i="6"/>
  <c r="R64" i="16"/>
  <c r="R64" i="21"/>
  <c r="R35" i="20"/>
  <c r="S35" i="18"/>
  <c r="Q64" i="18"/>
  <c r="S64" i="18" s="1"/>
  <c r="S64" i="7"/>
  <c r="I64" i="5"/>
  <c r="J64" i="5"/>
  <c r="M93" i="5"/>
  <c r="F93" i="5"/>
  <c r="R64" i="4"/>
  <c r="R48" i="5"/>
  <c r="S93" i="7"/>
  <c r="R35" i="21"/>
  <c r="R93" i="19"/>
  <c r="S93" i="19"/>
  <c r="R35" i="16"/>
  <c r="S93" i="16"/>
  <c r="R35" i="14"/>
  <c r="S93" i="14"/>
  <c r="S64" i="11"/>
  <c r="S93" i="11"/>
  <c r="D64" i="5"/>
  <c r="H35" i="5"/>
  <c r="S60" i="5"/>
  <c r="F64" i="5"/>
  <c r="H64" i="5"/>
  <c r="N59" i="5"/>
  <c r="S35" i="7"/>
  <c r="S35" i="9"/>
  <c r="S93" i="10"/>
  <c r="R35" i="10"/>
  <c r="R93" i="7"/>
  <c r="R92" i="5"/>
  <c r="E35" i="5"/>
  <c r="S30" i="5"/>
  <c r="M35" i="5"/>
  <c r="S19" i="5"/>
  <c r="G64" i="5"/>
  <c r="E64" i="5"/>
  <c r="K93" i="5"/>
  <c r="P63" i="5"/>
  <c r="S88" i="5"/>
  <c r="Q59" i="5"/>
  <c r="S59" i="5" s="1"/>
  <c r="R88" i="5"/>
  <c r="R35" i="6"/>
  <c r="S93" i="21"/>
  <c r="S59" i="21"/>
  <c r="S35" i="21"/>
  <c r="S93" i="20"/>
  <c r="R64" i="20"/>
  <c r="S35" i="20"/>
  <c r="S64" i="20"/>
  <c r="R64" i="19"/>
  <c r="S35" i="19"/>
  <c r="R35" i="19"/>
  <c r="Q64" i="19"/>
  <c r="S64" i="19" s="1"/>
  <c r="R64" i="18"/>
  <c r="R93" i="17"/>
  <c r="R64" i="17"/>
  <c r="S63" i="17"/>
  <c r="S35" i="17"/>
  <c r="S64" i="16"/>
  <c r="S93" i="15"/>
  <c r="R93" i="15"/>
  <c r="S64" i="15"/>
  <c r="R35" i="15"/>
  <c r="R93" i="14"/>
  <c r="S63" i="14"/>
  <c r="S35" i="14"/>
  <c r="S93" i="13"/>
  <c r="R93" i="13"/>
  <c r="R64" i="13"/>
  <c r="S64" i="13"/>
  <c r="S63" i="13"/>
  <c r="S35" i="13"/>
  <c r="R93" i="12"/>
  <c r="R64" i="12"/>
  <c r="S64" i="12"/>
  <c r="S35" i="12"/>
  <c r="R35" i="12"/>
  <c r="S35" i="11"/>
  <c r="R93" i="10"/>
  <c r="S35" i="10"/>
  <c r="L64" i="10"/>
  <c r="S64" i="10" s="1"/>
  <c r="R93" i="9"/>
  <c r="S93" i="9"/>
  <c r="R64" i="9"/>
  <c r="Q64" i="9"/>
  <c r="S64" i="9" s="1"/>
  <c r="R93" i="8"/>
  <c r="S93" i="8"/>
  <c r="S35" i="8"/>
  <c r="R64" i="7"/>
  <c r="R35" i="7"/>
  <c r="S93" i="6"/>
  <c r="R64" i="6"/>
  <c r="E93" i="5"/>
  <c r="O93" i="5"/>
  <c r="G93" i="5"/>
  <c r="S93" i="4"/>
  <c r="R93" i="4"/>
  <c r="L93" i="5"/>
  <c r="N93" i="5"/>
  <c r="P93" i="5"/>
  <c r="H93" i="5"/>
  <c r="N63" i="5"/>
  <c r="L63" i="5"/>
  <c r="N64" i="4"/>
  <c r="M59" i="5"/>
  <c r="S59" i="4"/>
  <c r="O59" i="5"/>
  <c r="I35" i="5"/>
  <c r="L64" i="4"/>
  <c r="S64" i="4" s="1"/>
  <c r="P35" i="5"/>
  <c r="N35" i="5"/>
  <c r="F35" i="5"/>
  <c r="O35" i="5"/>
  <c r="J35" i="5"/>
  <c r="S35" i="4"/>
  <c r="G35" i="5"/>
  <c r="S93" i="3"/>
  <c r="K35" i="5"/>
  <c r="R35" i="3"/>
  <c r="M64" i="3"/>
  <c r="M64" i="5" s="1"/>
  <c r="M63" i="5"/>
  <c r="Q64" i="3"/>
  <c r="Q64" i="5" s="1"/>
  <c r="Q63" i="5"/>
  <c r="S35" i="3"/>
  <c r="N64" i="3"/>
  <c r="O64" i="3"/>
  <c r="O64" i="5" s="1"/>
  <c r="P64" i="3"/>
  <c r="P64" i="5" s="1"/>
  <c r="K59" i="5"/>
  <c r="R59" i="5" s="1"/>
  <c r="K64" i="3"/>
  <c r="K64" i="5" s="1"/>
  <c r="S35" i="16"/>
  <c r="S93" i="12"/>
  <c r="Q35" i="5"/>
  <c r="R35" i="8"/>
  <c r="L35" i="5"/>
  <c r="D35" i="5"/>
  <c r="R93" i="3"/>
  <c r="D93" i="5"/>
  <c r="S64" i="21"/>
  <c r="L64" i="17"/>
  <c r="S64" i="17" s="1"/>
  <c r="S35" i="15"/>
  <c r="L64" i="14"/>
  <c r="S64" i="14" s="1"/>
  <c r="S59" i="14"/>
  <c r="Q64" i="8"/>
  <c r="S64" i="8" s="1"/>
  <c r="S59" i="8"/>
  <c r="P64" i="6"/>
  <c r="S48" i="5"/>
  <c r="R77" i="5"/>
  <c r="R19" i="5"/>
  <c r="S77" i="5"/>
  <c r="S59" i="3"/>
  <c r="L64" i="3"/>
  <c r="S63" i="3"/>
  <c r="N64" i="5" l="1"/>
  <c r="S93" i="5"/>
  <c r="R64" i="5"/>
  <c r="R93" i="5"/>
  <c r="S63" i="5"/>
  <c r="R35" i="5"/>
  <c r="R64" i="3"/>
  <c r="S35" i="5"/>
  <c r="S64" i="3"/>
  <c r="L64" i="5"/>
  <c r="S64" i="5" s="1"/>
  <c r="S56" i="6"/>
  <c r="Q64" i="6"/>
  <c r="S64" i="6" s="1"/>
  <c r="F33" i="26" l="1"/>
  <c r="L32" i="26"/>
  <c r="P31" i="26"/>
  <c r="H29" i="26"/>
  <c r="F29" i="26"/>
  <c r="D29" i="26"/>
  <c r="L28" i="26"/>
  <c r="J27" i="26"/>
  <c r="F27" i="26"/>
  <c r="P26" i="26"/>
  <c r="H26" i="26"/>
  <c r="N25" i="26"/>
  <c r="J25" i="26"/>
  <c r="F25" i="26"/>
  <c r="P24" i="26"/>
  <c r="H24" i="26"/>
  <c r="D24" i="26"/>
  <c r="N23" i="26"/>
  <c r="J23" i="26"/>
  <c r="F23" i="26"/>
  <c r="J22" i="26"/>
  <c r="F22" i="26"/>
  <c r="P21" i="26"/>
  <c r="N20" i="26"/>
  <c r="J20" i="26"/>
  <c r="F20" i="26"/>
  <c r="O33" i="26"/>
  <c r="I33" i="26"/>
  <c r="E33" i="26"/>
  <c r="M32" i="26"/>
  <c r="G32" i="26"/>
  <c r="I31" i="26"/>
  <c r="O18" i="26"/>
  <c r="Q13" i="26"/>
  <c r="M49" i="26"/>
  <c r="K43" i="26"/>
  <c r="N65" i="26"/>
  <c r="J65" i="26"/>
  <c r="F65" i="26"/>
  <c r="P64" i="26"/>
  <c r="F64" i="26"/>
  <c r="D88" i="51"/>
  <c r="D92" i="51"/>
  <c r="G66" i="42"/>
  <c r="O66" i="41"/>
  <c r="K66" i="41"/>
  <c r="I66" i="41"/>
  <c r="F66" i="41"/>
  <c r="Q66" i="40"/>
  <c r="J66" i="40"/>
  <c r="O66" i="40"/>
  <c r="K66" i="40"/>
  <c r="O66" i="39"/>
  <c r="K66" i="39"/>
  <c r="G66" i="39"/>
  <c r="D66" i="39"/>
  <c r="I66" i="39"/>
  <c r="E66" i="39"/>
  <c r="Q66" i="38"/>
  <c r="N66" i="38"/>
  <c r="F66" i="38"/>
  <c r="O66" i="38"/>
  <c r="M30" i="37"/>
  <c r="I30" i="37"/>
  <c r="F30" i="37"/>
  <c r="E30" i="37"/>
  <c r="O66" i="37"/>
  <c r="K30" i="37"/>
  <c r="H66" i="37"/>
  <c r="D30" i="37"/>
  <c r="N66" i="37"/>
  <c r="O88" i="52"/>
  <c r="N88" i="52"/>
  <c r="K88" i="52"/>
  <c r="J88" i="52"/>
  <c r="H88" i="52"/>
  <c r="Q59" i="52"/>
  <c r="N59" i="52"/>
  <c r="M66" i="36"/>
  <c r="J59" i="52"/>
  <c r="E59" i="52"/>
  <c r="P66" i="36"/>
  <c r="O30" i="52"/>
  <c r="K30" i="52"/>
  <c r="H30" i="52"/>
  <c r="G66" i="36"/>
  <c r="D66" i="36"/>
  <c r="N88" i="51"/>
  <c r="M88" i="51"/>
  <c r="L88" i="51"/>
  <c r="K88" i="51"/>
  <c r="J88" i="51"/>
  <c r="I88" i="51"/>
  <c r="Q59" i="51"/>
  <c r="N66" i="35"/>
  <c r="G59" i="51"/>
  <c r="P66" i="35"/>
  <c r="Q30" i="34"/>
  <c r="M30" i="34"/>
  <c r="P30" i="34"/>
  <c r="H30" i="34"/>
  <c r="N66" i="33"/>
  <c r="Q88" i="49"/>
  <c r="N88" i="49"/>
  <c r="J88" i="49"/>
  <c r="G88" i="49"/>
  <c r="Q59" i="49"/>
  <c r="P66" i="32"/>
  <c r="L59" i="49"/>
  <c r="E59" i="49"/>
  <c r="P30" i="49"/>
  <c r="L30" i="49"/>
  <c r="J30" i="49"/>
  <c r="H30" i="49"/>
  <c r="Q66" i="31"/>
  <c r="M66" i="31"/>
  <c r="E66" i="31"/>
  <c r="O70" i="30"/>
  <c r="H66" i="30"/>
  <c r="Q88" i="48"/>
  <c r="P88" i="48"/>
  <c r="M88" i="48"/>
  <c r="J88" i="48"/>
  <c r="H88" i="48"/>
  <c r="G88" i="48"/>
  <c r="D88" i="48"/>
  <c r="Q59" i="48"/>
  <c r="P66" i="29"/>
  <c r="M59" i="48"/>
  <c r="I59" i="48"/>
  <c r="H66" i="29"/>
  <c r="E59" i="48"/>
  <c r="E63" i="48"/>
  <c r="F70" i="29"/>
  <c r="H63" i="48"/>
  <c r="I63" i="48"/>
  <c r="J70" i="29"/>
  <c r="L70" i="29"/>
  <c r="M63" i="48"/>
  <c r="O63" i="48"/>
  <c r="P63" i="48"/>
  <c r="O66" i="29"/>
  <c r="K30" i="48"/>
  <c r="G30" i="48"/>
  <c r="Q88" i="47"/>
  <c r="P88" i="47"/>
  <c r="O88" i="47"/>
  <c r="L88" i="47"/>
  <c r="S88" i="47" s="1"/>
  <c r="K88" i="47"/>
  <c r="I88" i="47"/>
  <c r="H88" i="47"/>
  <c r="G88" i="47"/>
  <c r="F88" i="47"/>
  <c r="E88" i="47"/>
  <c r="D88" i="47"/>
  <c r="O59" i="47"/>
  <c r="M59" i="47"/>
  <c r="G59" i="47"/>
  <c r="E59" i="47"/>
  <c r="M30" i="47"/>
  <c r="I30" i="47"/>
  <c r="G30" i="47"/>
  <c r="M66" i="27"/>
  <c r="I66" i="27"/>
  <c r="E66" i="27"/>
  <c r="K66" i="27"/>
  <c r="H66" i="27"/>
  <c r="N88" i="46"/>
  <c r="P66" i="25"/>
  <c r="O59" i="46"/>
  <c r="M30" i="46"/>
  <c r="J66" i="25"/>
  <c r="I66" i="25"/>
  <c r="F30" i="46"/>
  <c r="E66" i="25"/>
  <c r="J59" i="45"/>
  <c r="D66" i="23"/>
  <c r="P92" i="45"/>
  <c r="N92" i="45"/>
  <c r="J92" i="45"/>
  <c r="E92" i="45"/>
  <c r="M92" i="46"/>
  <c r="G92" i="46"/>
  <c r="P92" i="47"/>
  <c r="N92" i="47"/>
  <c r="L92" i="47"/>
  <c r="J92" i="47"/>
  <c r="F92" i="47"/>
  <c r="D92" i="47"/>
  <c r="P92" i="48"/>
  <c r="N92" i="48"/>
  <c r="M92" i="48"/>
  <c r="L92" i="48"/>
  <c r="J92" i="48"/>
  <c r="I92" i="48"/>
  <c r="H92" i="48"/>
  <c r="F92" i="48"/>
  <c r="D92" i="48"/>
  <c r="P92" i="49"/>
  <c r="H92" i="49"/>
  <c r="E92" i="49"/>
  <c r="O92" i="51"/>
  <c r="N92" i="51"/>
  <c r="M92" i="51"/>
  <c r="J92" i="51"/>
  <c r="I92" i="51"/>
  <c r="O92" i="52"/>
  <c r="K92" i="52"/>
  <c r="I92" i="52"/>
  <c r="G92" i="52"/>
  <c r="E92" i="52"/>
  <c r="O63" i="46"/>
  <c r="K63" i="46"/>
  <c r="I63" i="46"/>
  <c r="G63" i="46"/>
  <c r="E63" i="46"/>
  <c r="K63" i="47"/>
  <c r="J63" i="47"/>
  <c r="H63" i="47"/>
  <c r="M63" i="49"/>
  <c r="E63" i="49"/>
  <c r="I34" i="34"/>
  <c r="G34" i="34"/>
  <c r="L63" i="51"/>
  <c r="N63" i="52"/>
  <c r="D63" i="52"/>
  <c r="G70" i="40"/>
  <c r="G70" i="41"/>
  <c r="M70" i="42"/>
  <c r="I70" i="42"/>
  <c r="G70" i="23"/>
  <c r="M34" i="46"/>
  <c r="K34" i="46"/>
  <c r="I34" i="46"/>
  <c r="K70" i="27"/>
  <c r="G70" i="27"/>
  <c r="N34" i="47"/>
  <c r="J34" i="47"/>
  <c r="I34" i="47"/>
  <c r="F34" i="47"/>
  <c r="E34" i="47"/>
  <c r="O34" i="48"/>
  <c r="L34" i="48"/>
  <c r="H34" i="48"/>
  <c r="N70" i="30"/>
  <c r="J70" i="30"/>
  <c r="M70" i="31"/>
  <c r="G70" i="31"/>
  <c r="E70" i="31"/>
  <c r="O70" i="32"/>
  <c r="I34" i="49"/>
  <c r="G70" i="32"/>
  <c r="E70" i="32"/>
  <c r="L70" i="33"/>
  <c r="D70" i="33"/>
  <c r="F70" i="34"/>
  <c r="N70" i="35"/>
  <c r="L34" i="51"/>
  <c r="F70" i="35"/>
  <c r="K70" i="36"/>
  <c r="I34" i="52"/>
  <c r="G34" i="52"/>
  <c r="M70" i="37"/>
  <c r="I70" i="37"/>
  <c r="E70" i="37"/>
  <c r="J70" i="39"/>
  <c r="F70" i="42"/>
  <c r="M34" i="45"/>
  <c r="H34" i="45"/>
  <c r="M55" i="34"/>
  <c r="N19" i="51"/>
  <c r="P70" i="23"/>
  <c r="O19" i="46"/>
  <c r="L31" i="45"/>
  <c r="P18" i="26"/>
  <c r="M28" i="41"/>
  <c r="M28" i="40"/>
  <c r="M28" i="48"/>
  <c r="M57" i="47"/>
  <c r="M57" i="45"/>
  <c r="N15" i="34"/>
  <c r="M15" i="34"/>
  <c r="N15" i="23"/>
  <c r="Q58" i="34"/>
  <c r="Q22" i="46"/>
  <c r="Q58" i="23"/>
  <c r="O13" i="42"/>
  <c r="N13" i="42"/>
  <c r="Q13" i="42"/>
  <c r="O13" i="34"/>
  <c r="N13" i="34"/>
  <c r="L13" i="34"/>
  <c r="Q13" i="32"/>
  <c r="P42" i="49"/>
  <c r="O13" i="32"/>
  <c r="N42" i="49"/>
  <c r="L55" i="31"/>
  <c r="O13" i="30"/>
  <c r="P42" i="48"/>
  <c r="O13" i="29"/>
  <c r="L55" i="29"/>
  <c r="P13" i="27"/>
  <c r="O49" i="27"/>
  <c r="N13" i="27"/>
  <c r="M55" i="27"/>
  <c r="L13" i="26"/>
  <c r="P49" i="26"/>
  <c r="N13" i="25"/>
  <c r="Q49" i="25"/>
  <c r="Q71" i="45"/>
  <c r="P13" i="24"/>
  <c r="O13" i="24"/>
  <c r="N48" i="45"/>
  <c r="Q46" i="45"/>
  <c r="Q44" i="45"/>
  <c r="Q40" i="45"/>
  <c r="Q39" i="46"/>
  <c r="Q37" i="46"/>
  <c r="Q46" i="47"/>
  <c r="Q44" i="47"/>
  <c r="Q42" i="47"/>
  <c r="Q40" i="47"/>
  <c r="Q39" i="48"/>
  <c r="Q37" i="48"/>
  <c r="Q11" i="30"/>
  <c r="Q18" i="31"/>
  <c r="Q16" i="31"/>
  <c r="Q14" i="31"/>
  <c r="Q12" i="31"/>
  <c r="Q10" i="31"/>
  <c r="Q46" i="49"/>
  <c r="Q44" i="49"/>
  <c r="Q42" i="49"/>
  <c r="Q40" i="49"/>
  <c r="Q47" i="51"/>
  <c r="Q41" i="51"/>
  <c r="Q39" i="51"/>
  <c r="Q37" i="51"/>
  <c r="Q46" i="52"/>
  <c r="Q38" i="52"/>
  <c r="Q36" i="46"/>
  <c r="Q7" i="30"/>
  <c r="Q43" i="32"/>
  <c r="Q43" i="34"/>
  <c r="Q36" i="51"/>
  <c r="Q55" i="37"/>
  <c r="K32" i="24"/>
  <c r="K61" i="47"/>
  <c r="K31" i="31"/>
  <c r="K61" i="49"/>
  <c r="K62" i="51"/>
  <c r="K36" i="45"/>
  <c r="K36" i="47"/>
  <c r="K36" i="49"/>
  <c r="K55" i="34"/>
  <c r="K7" i="40"/>
  <c r="E41" i="42"/>
  <c r="F41" i="42" s="1"/>
  <c r="G41" i="42" s="1"/>
  <c r="H41" i="42" s="1"/>
  <c r="I41" i="42" s="1"/>
  <c r="J41" i="42" s="1"/>
  <c r="K41" i="42" s="1"/>
  <c r="L41" i="42" s="1"/>
  <c r="M41" i="42" s="1"/>
  <c r="N41" i="42" s="1"/>
  <c r="O41" i="42" s="1"/>
  <c r="P41" i="42" s="1"/>
  <c r="Q41" i="42" s="1"/>
  <c r="E41" i="41"/>
  <c r="F41" i="41" s="1"/>
  <c r="G41" i="41" s="1"/>
  <c r="H41" i="41" s="1"/>
  <c r="I41" i="41" s="1"/>
  <c r="J41" i="41" s="1"/>
  <c r="K41" i="41" s="1"/>
  <c r="L41" i="41" s="1"/>
  <c r="M41" i="41" s="1"/>
  <c r="N41" i="41" s="1"/>
  <c r="O41" i="41" s="1"/>
  <c r="P41" i="41" s="1"/>
  <c r="Q41" i="41" s="1"/>
  <c r="E41" i="40"/>
  <c r="F41" i="40" s="1"/>
  <c r="G41" i="40" s="1"/>
  <c r="H41" i="40" s="1"/>
  <c r="I41" i="40" s="1"/>
  <c r="J41" i="40" s="1"/>
  <c r="K41" i="40" s="1"/>
  <c r="L41" i="40" s="1"/>
  <c r="M41" i="40" s="1"/>
  <c r="N41" i="40" s="1"/>
  <c r="O41" i="40" s="1"/>
  <c r="P41" i="40" s="1"/>
  <c r="Q41" i="40" s="1"/>
  <c r="E41" i="39"/>
  <c r="F41" i="39" s="1"/>
  <c r="G41" i="39" s="1"/>
  <c r="H41" i="39" s="1"/>
  <c r="I41" i="39" s="1"/>
  <c r="J41" i="39" s="1"/>
  <c r="K41" i="39" s="1"/>
  <c r="L41" i="39" s="1"/>
  <c r="M41" i="39" s="1"/>
  <c r="N41" i="39" s="1"/>
  <c r="O41" i="39" s="1"/>
  <c r="P41" i="39" s="1"/>
  <c r="Q41" i="39" s="1"/>
  <c r="E41" i="38"/>
  <c r="F41" i="38" s="1"/>
  <c r="G41" i="38" s="1"/>
  <c r="H41" i="38" s="1"/>
  <c r="I41" i="38" s="1"/>
  <c r="J41" i="38" s="1"/>
  <c r="K41" i="38" s="1"/>
  <c r="L41" i="38" s="1"/>
  <c r="M41" i="38" s="1"/>
  <c r="N41" i="38" s="1"/>
  <c r="O41" i="38" s="1"/>
  <c r="P41" i="38" s="1"/>
  <c r="Q41" i="38" s="1"/>
  <c r="E41" i="37"/>
  <c r="F41" i="37" s="1"/>
  <c r="G41" i="37" s="1"/>
  <c r="H41" i="37" s="1"/>
  <c r="I41" i="37" s="1"/>
  <c r="J41" i="37" s="1"/>
  <c r="K41" i="37" s="1"/>
  <c r="L41" i="37" s="1"/>
  <c r="M41" i="37" s="1"/>
  <c r="N41" i="37" s="1"/>
  <c r="O41" i="37" s="1"/>
  <c r="P41" i="37" s="1"/>
  <c r="Q41" i="37" s="1"/>
  <c r="E41" i="36"/>
  <c r="F41" i="36" s="1"/>
  <c r="G41" i="36" s="1"/>
  <c r="H41" i="36" s="1"/>
  <c r="I41" i="36" s="1"/>
  <c r="J41" i="36" s="1"/>
  <c r="K41" i="36" s="1"/>
  <c r="L41" i="36" s="1"/>
  <c r="M41" i="36" s="1"/>
  <c r="N41" i="36" s="1"/>
  <c r="O41" i="36" s="1"/>
  <c r="P41" i="36" s="1"/>
  <c r="Q41" i="36" s="1"/>
  <c r="E41" i="35"/>
  <c r="F41" i="35" s="1"/>
  <c r="G41" i="35" s="1"/>
  <c r="H41" i="35" s="1"/>
  <c r="I41" i="35" s="1"/>
  <c r="J41" i="35" s="1"/>
  <c r="K41" i="35" s="1"/>
  <c r="L41" i="35" s="1"/>
  <c r="M41" i="35" s="1"/>
  <c r="N41" i="35" s="1"/>
  <c r="O41" i="35" s="1"/>
  <c r="P41" i="35" s="1"/>
  <c r="Q41" i="35" s="1"/>
  <c r="E41" i="34"/>
  <c r="F41" i="34" s="1"/>
  <c r="G41" i="34" s="1"/>
  <c r="H41" i="34" s="1"/>
  <c r="I41" i="34" s="1"/>
  <c r="J41" i="34" s="1"/>
  <c r="K41" i="34" s="1"/>
  <c r="L41" i="34" s="1"/>
  <c r="M41" i="34" s="1"/>
  <c r="N41" i="34" s="1"/>
  <c r="O41" i="34" s="1"/>
  <c r="P41" i="34" s="1"/>
  <c r="Q41" i="34" s="1"/>
  <c r="E41" i="33"/>
  <c r="F41" i="33" s="1"/>
  <c r="G41" i="33" s="1"/>
  <c r="H41" i="33" s="1"/>
  <c r="I41" i="33" s="1"/>
  <c r="J41" i="33" s="1"/>
  <c r="K41" i="33" s="1"/>
  <c r="L41" i="33" s="1"/>
  <c r="M41" i="33" s="1"/>
  <c r="N41" i="33" s="1"/>
  <c r="O41" i="33" s="1"/>
  <c r="P41" i="33" s="1"/>
  <c r="Q41" i="33" s="1"/>
  <c r="E41" i="32"/>
  <c r="F41" i="32"/>
  <c r="G41" i="32" s="1"/>
  <c r="H41" i="32" s="1"/>
  <c r="I41" i="32" s="1"/>
  <c r="J41" i="32" s="1"/>
  <c r="K41" i="32" s="1"/>
  <c r="L41" i="32" s="1"/>
  <c r="M41" i="32" s="1"/>
  <c r="N41" i="32" s="1"/>
  <c r="O41" i="32" s="1"/>
  <c r="P41" i="32" s="1"/>
  <c r="Q41" i="32" s="1"/>
  <c r="E41" i="31"/>
  <c r="F41" i="31" s="1"/>
  <c r="G41" i="31" s="1"/>
  <c r="H41" i="31" s="1"/>
  <c r="I41" i="31" s="1"/>
  <c r="J41" i="31" s="1"/>
  <c r="K41" i="31"/>
  <c r="L41" i="31" s="1"/>
  <c r="M41" i="31" s="1"/>
  <c r="N41" i="31" s="1"/>
  <c r="O41" i="31" s="1"/>
  <c r="P41" i="31" s="1"/>
  <c r="Q41" i="31" s="1"/>
  <c r="E41" i="30"/>
  <c r="F41" i="30" s="1"/>
  <c r="G41" i="30" s="1"/>
  <c r="H41" i="30" s="1"/>
  <c r="I41" i="30" s="1"/>
  <c r="J41" i="30" s="1"/>
  <c r="K41" i="30" s="1"/>
  <c r="L41" i="30" s="1"/>
  <c r="M41" i="30" s="1"/>
  <c r="N41" i="30" s="1"/>
  <c r="O41" i="30" s="1"/>
  <c r="P41" i="30" s="1"/>
  <c r="Q41" i="30" s="1"/>
  <c r="E41" i="29"/>
  <c r="F41" i="29" s="1"/>
  <c r="G41" i="29" s="1"/>
  <c r="H41" i="29" s="1"/>
  <c r="I41" i="29" s="1"/>
  <c r="J41" i="29" s="1"/>
  <c r="K41" i="29" s="1"/>
  <c r="L41" i="29" s="1"/>
  <c r="M41" i="29" s="1"/>
  <c r="N41" i="29" s="1"/>
  <c r="O41" i="29" s="1"/>
  <c r="P41" i="29" s="1"/>
  <c r="Q41" i="29" s="1"/>
  <c r="E41" i="28"/>
  <c r="F41" i="28" s="1"/>
  <c r="G41" i="28" s="1"/>
  <c r="H41" i="28" s="1"/>
  <c r="I41" i="28" s="1"/>
  <c r="J41" i="28" s="1"/>
  <c r="K41" i="28" s="1"/>
  <c r="L41" i="28" s="1"/>
  <c r="M41" i="28" s="1"/>
  <c r="N41" i="28" s="1"/>
  <c r="O41" i="28" s="1"/>
  <c r="P41" i="28" s="1"/>
  <c r="Q41" i="28" s="1"/>
  <c r="E41" i="27"/>
  <c r="F41" i="27" s="1"/>
  <c r="G41" i="27" s="1"/>
  <c r="H41" i="27" s="1"/>
  <c r="I41" i="27" s="1"/>
  <c r="J41" i="27" s="1"/>
  <c r="K41" i="27" s="1"/>
  <c r="L41" i="27" s="1"/>
  <c r="M41" i="27" s="1"/>
  <c r="N41" i="27" s="1"/>
  <c r="O41" i="27" s="1"/>
  <c r="P41" i="27" s="1"/>
  <c r="Q41" i="27" s="1"/>
  <c r="E41" i="26"/>
  <c r="F41" i="26"/>
  <c r="G41" i="26" s="1"/>
  <c r="H41" i="26" s="1"/>
  <c r="I41" i="26" s="1"/>
  <c r="J41" i="26" s="1"/>
  <c r="K41" i="26" s="1"/>
  <c r="L41" i="26" s="1"/>
  <c r="M41" i="26" s="1"/>
  <c r="N41" i="26" s="1"/>
  <c r="O41" i="26" s="1"/>
  <c r="P41" i="26" s="1"/>
  <c r="Q41" i="26" s="1"/>
  <c r="E41" i="25"/>
  <c r="F41" i="25" s="1"/>
  <c r="G41" i="25" s="1"/>
  <c r="H41" i="25" s="1"/>
  <c r="I41" i="25" s="1"/>
  <c r="J41" i="25" s="1"/>
  <c r="K41" i="25" s="1"/>
  <c r="L41" i="25" s="1"/>
  <c r="M41" i="25" s="1"/>
  <c r="N41" i="25" s="1"/>
  <c r="O41" i="25" s="1"/>
  <c r="P41" i="25" s="1"/>
  <c r="Q41" i="25" s="1"/>
  <c r="E41" i="24"/>
  <c r="F41" i="24" s="1"/>
  <c r="G41" i="24" s="1"/>
  <c r="H41" i="24" s="1"/>
  <c r="I41" i="24" s="1"/>
  <c r="J41" i="24" s="1"/>
  <c r="K41" i="24" s="1"/>
  <c r="L41" i="24" s="1"/>
  <c r="M41" i="24" s="1"/>
  <c r="N41" i="24" s="1"/>
  <c r="O41" i="24" s="1"/>
  <c r="P41" i="24" s="1"/>
  <c r="Q41" i="24" s="1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Q67" i="23"/>
  <c r="L67" i="23"/>
  <c r="K67" i="23"/>
  <c r="J67" i="23"/>
  <c r="I67" i="23"/>
  <c r="H67" i="23"/>
  <c r="G67" i="23"/>
  <c r="F67" i="23"/>
  <c r="E67" i="23"/>
  <c r="D67" i="23"/>
  <c r="Q65" i="23"/>
  <c r="K65" i="23"/>
  <c r="J65" i="23"/>
  <c r="I65" i="23"/>
  <c r="H65" i="23"/>
  <c r="G65" i="23"/>
  <c r="F65" i="23"/>
  <c r="E65" i="23"/>
  <c r="D65" i="23"/>
  <c r="Q64" i="23"/>
  <c r="L64" i="23"/>
  <c r="K64" i="23"/>
  <c r="J64" i="23"/>
  <c r="I64" i="23"/>
  <c r="H64" i="23"/>
  <c r="G64" i="23"/>
  <c r="F64" i="23"/>
  <c r="E64" i="23"/>
  <c r="D64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M48" i="23"/>
  <c r="L48" i="23"/>
  <c r="K48" i="23"/>
  <c r="J48" i="23"/>
  <c r="I48" i="23"/>
  <c r="H48" i="23"/>
  <c r="G48" i="23"/>
  <c r="F48" i="23"/>
  <c r="E48" i="23"/>
  <c r="D48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Q46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Q44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Q43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L31" i="23"/>
  <c r="K31" i="23"/>
  <c r="J31" i="23"/>
  <c r="I31" i="23"/>
  <c r="H31" i="23"/>
  <c r="G31" i="23"/>
  <c r="F31" i="23"/>
  <c r="E31" i="23"/>
  <c r="D31" i="23"/>
  <c r="L29" i="23"/>
  <c r="K29" i="23"/>
  <c r="J29" i="23"/>
  <c r="I29" i="23"/>
  <c r="H29" i="23"/>
  <c r="G29" i="23"/>
  <c r="F29" i="23"/>
  <c r="E29" i="23"/>
  <c r="D29" i="23"/>
  <c r="Q28" i="23"/>
  <c r="L28" i="23"/>
  <c r="K28" i="23"/>
  <c r="J28" i="23"/>
  <c r="I28" i="23"/>
  <c r="H28" i="23"/>
  <c r="G28" i="23"/>
  <c r="F28" i="23"/>
  <c r="E28" i="23"/>
  <c r="D28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Q15" i="23"/>
  <c r="P15" i="23"/>
  <c r="O15" i="23"/>
  <c r="M15" i="23"/>
  <c r="L15" i="23"/>
  <c r="K15" i="23"/>
  <c r="J15" i="23"/>
  <c r="I15" i="23"/>
  <c r="H15" i="23"/>
  <c r="G15" i="23"/>
  <c r="F15" i="23"/>
  <c r="E15" i="23"/>
  <c r="D15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Q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L12" i="23"/>
  <c r="K12" i="23"/>
  <c r="J12" i="23"/>
  <c r="I12" i="23"/>
  <c r="H12" i="23"/>
  <c r="G12" i="23"/>
  <c r="F12" i="23"/>
  <c r="E12" i="23"/>
  <c r="D12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D12" i="24"/>
  <c r="E12" i="24"/>
  <c r="F12" i="24"/>
  <c r="G12" i="24"/>
  <c r="H12" i="24"/>
  <c r="I12" i="24"/>
  <c r="J12" i="24"/>
  <c r="K12" i="24"/>
  <c r="L12" i="24"/>
  <c r="M12" i="24"/>
  <c r="D13" i="24"/>
  <c r="E13" i="24"/>
  <c r="F13" i="24"/>
  <c r="G13" i="24"/>
  <c r="H13" i="24"/>
  <c r="I13" i="24"/>
  <c r="J13" i="24"/>
  <c r="K13" i="24"/>
  <c r="L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D28" i="24"/>
  <c r="E28" i="24"/>
  <c r="F28" i="24"/>
  <c r="G28" i="24"/>
  <c r="H28" i="24"/>
  <c r="I28" i="24"/>
  <c r="J28" i="24"/>
  <c r="K28" i="24"/>
  <c r="L28" i="24"/>
  <c r="M28" i="24"/>
  <c r="Q28" i="24"/>
  <c r="D29" i="24"/>
  <c r="E29" i="24"/>
  <c r="F29" i="24"/>
  <c r="G29" i="24"/>
  <c r="H29" i="24"/>
  <c r="I29" i="24"/>
  <c r="J29" i="24"/>
  <c r="K29" i="24"/>
  <c r="L29" i="24"/>
  <c r="Q29" i="24"/>
  <c r="D31" i="24"/>
  <c r="E31" i="24"/>
  <c r="F31" i="24"/>
  <c r="G31" i="24"/>
  <c r="H31" i="24"/>
  <c r="I31" i="24"/>
  <c r="J31" i="24"/>
  <c r="K31" i="24"/>
  <c r="L31" i="24"/>
  <c r="Q31" i="24"/>
  <c r="D32" i="24"/>
  <c r="E32" i="24"/>
  <c r="F32" i="24"/>
  <c r="G32" i="24"/>
  <c r="H32" i="24"/>
  <c r="I32" i="24"/>
  <c r="J32" i="24"/>
  <c r="L32" i="24"/>
  <c r="M32" i="24"/>
  <c r="N32" i="24"/>
  <c r="O32" i="24"/>
  <c r="P32" i="24"/>
  <c r="Q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E41" i="23"/>
  <c r="F41" i="23" s="1"/>
  <c r="G41" i="23" s="1"/>
  <c r="H41" i="23" s="1"/>
  <c r="I41" i="23" s="1"/>
  <c r="J41" i="23" s="1"/>
  <c r="K41" i="23" s="1"/>
  <c r="L41" i="23" s="1"/>
  <c r="M41" i="23" s="1"/>
  <c r="N41" i="23" s="1"/>
  <c r="O41" i="23" s="1"/>
  <c r="P41" i="23" s="1"/>
  <c r="Q41" i="23" s="1"/>
  <c r="Q70" i="23"/>
  <c r="E19" i="45"/>
  <c r="J19" i="45"/>
  <c r="L19" i="45"/>
  <c r="N19" i="45"/>
  <c r="D30" i="45"/>
  <c r="F30" i="45"/>
  <c r="K30" i="45"/>
  <c r="F34" i="45"/>
  <c r="L34" i="45"/>
  <c r="E48" i="45"/>
  <c r="F55" i="24"/>
  <c r="G48" i="45"/>
  <c r="H55" i="24"/>
  <c r="I55" i="24"/>
  <c r="J48" i="45"/>
  <c r="L55" i="24"/>
  <c r="D66" i="24"/>
  <c r="K66" i="24"/>
  <c r="D70" i="24"/>
  <c r="H63" i="45"/>
  <c r="I63" i="45"/>
  <c r="J63" i="45"/>
  <c r="L63" i="45"/>
  <c r="D77" i="45"/>
  <c r="E77" i="45"/>
  <c r="G77" i="45"/>
  <c r="H77" i="45"/>
  <c r="I77" i="45"/>
  <c r="J77" i="45"/>
  <c r="L77" i="45"/>
  <c r="M77" i="45"/>
  <c r="N77" i="45"/>
  <c r="P77" i="45"/>
  <c r="H88" i="45"/>
  <c r="M88" i="45"/>
  <c r="N88" i="45"/>
  <c r="G92" i="45"/>
  <c r="I92" i="45"/>
  <c r="K92" i="45"/>
  <c r="L92" i="45"/>
  <c r="M92" i="45"/>
  <c r="D19" i="46"/>
  <c r="D34" i="46"/>
  <c r="R34" i="46" s="1"/>
  <c r="D55" i="25"/>
  <c r="D63" i="46"/>
  <c r="R63" i="46" s="1"/>
  <c r="D92" i="46"/>
  <c r="D50" i="26"/>
  <c r="D53" i="26"/>
  <c r="D55" i="27"/>
  <c r="D19" i="47"/>
  <c r="D59" i="47"/>
  <c r="D77" i="47"/>
  <c r="D59" i="48"/>
  <c r="D70" i="29"/>
  <c r="D55" i="31"/>
  <c r="D19" i="49"/>
  <c r="D34" i="49"/>
  <c r="D63" i="49"/>
  <c r="D66" i="33"/>
  <c r="D48" i="51"/>
  <c r="D59" i="51"/>
  <c r="D63" i="51"/>
  <c r="D77" i="51"/>
  <c r="D55" i="36"/>
  <c r="D59" i="52"/>
  <c r="D77" i="52"/>
  <c r="D92" i="52"/>
  <c r="R92" i="52" s="1"/>
  <c r="D55" i="37"/>
  <c r="D55" i="39"/>
  <c r="D55" i="40"/>
  <c r="D55" i="41"/>
  <c r="P83" i="45"/>
  <c r="P83" i="46"/>
  <c r="P83" i="47"/>
  <c r="P83" i="48"/>
  <c r="P83" i="49"/>
  <c r="J83" i="45"/>
  <c r="J83" i="46"/>
  <c r="J83" i="47"/>
  <c r="J83" i="48"/>
  <c r="J83" i="49"/>
  <c r="P79" i="45"/>
  <c r="P79" i="46"/>
  <c r="P79" i="47"/>
  <c r="P79" i="48"/>
  <c r="P79" i="49"/>
  <c r="J79" i="45"/>
  <c r="J79" i="46"/>
  <c r="J79" i="47"/>
  <c r="J79" i="48"/>
  <c r="J79" i="49"/>
  <c r="P80" i="45"/>
  <c r="P80" i="46"/>
  <c r="P80" i="47"/>
  <c r="P80" i="48"/>
  <c r="P80" i="49"/>
  <c r="J80" i="45"/>
  <c r="J80" i="46"/>
  <c r="J80" i="47"/>
  <c r="J80" i="48"/>
  <c r="J80" i="49"/>
  <c r="P25" i="45"/>
  <c r="P25" i="46"/>
  <c r="P25" i="47"/>
  <c r="P25" i="48"/>
  <c r="P25" i="49"/>
  <c r="J25" i="45"/>
  <c r="J25" i="46"/>
  <c r="J25" i="47"/>
  <c r="J25" i="48"/>
  <c r="J25" i="49"/>
  <c r="P21" i="45"/>
  <c r="P21" i="46"/>
  <c r="P21" i="47"/>
  <c r="P21" i="48"/>
  <c r="P21" i="49"/>
  <c r="J21" i="45"/>
  <c r="J21" i="46"/>
  <c r="J21" i="47"/>
  <c r="J21" i="48"/>
  <c r="J21" i="49"/>
  <c r="P22" i="45"/>
  <c r="P22" i="46"/>
  <c r="P22" i="47"/>
  <c r="P22" i="48"/>
  <c r="P22" i="49"/>
  <c r="J22" i="45"/>
  <c r="J22" i="46"/>
  <c r="J22" i="47"/>
  <c r="J22" i="48"/>
  <c r="J22" i="49"/>
  <c r="P54" i="45"/>
  <c r="P54" i="46"/>
  <c r="P54" i="47"/>
  <c r="P25" i="57" s="1"/>
  <c r="P54" i="48"/>
  <c r="P54" i="49"/>
  <c r="P25" i="30"/>
  <c r="P25" i="31"/>
  <c r="J54" i="45"/>
  <c r="J54" i="46"/>
  <c r="J54" i="47"/>
  <c r="J54" i="48"/>
  <c r="J54" i="49"/>
  <c r="J25" i="30"/>
  <c r="J25" i="31"/>
  <c r="P50" i="45"/>
  <c r="P50" i="46"/>
  <c r="P50" i="47"/>
  <c r="P50" i="48"/>
  <c r="P50" i="49"/>
  <c r="P21" i="30"/>
  <c r="P21" i="31"/>
  <c r="J50" i="45"/>
  <c r="J50" i="46"/>
  <c r="J50" i="47"/>
  <c r="J50" i="48"/>
  <c r="J50" i="49"/>
  <c r="J21" i="30"/>
  <c r="J21" i="31"/>
  <c r="P51" i="45"/>
  <c r="P22" i="55" s="1"/>
  <c r="P51" i="46"/>
  <c r="P51" i="47"/>
  <c r="P51" i="48"/>
  <c r="P51" i="49"/>
  <c r="P22" i="30"/>
  <c r="P22" i="31"/>
  <c r="J51" i="45"/>
  <c r="J51" i="46"/>
  <c r="J51" i="47"/>
  <c r="J51" i="48"/>
  <c r="J51" i="49"/>
  <c r="J22" i="30"/>
  <c r="J22" i="31"/>
  <c r="Q17" i="45"/>
  <c r="Q17" i="46"/>
  <c r="Q17" i="47"/>
  <c r="Q17" i="48"/>
  <c r="Q17" i="49"/>
  <c r="K17" i="45"/>
  <c r="K17" i="46"/>
  <c r="K17" i="47"/>
  <c r="K17" i="48"/>
  <c r="K17" i="49"/>
  <c r="Q18" i="45"/>
  <c r="Q18" i="46"/>
  <c r="Q18" i="47"/>
  <c r="Q18" i="48"/>
  <c r="Q18" i="49"/>
  <c r="K18" i="45"/>
  <c r="K18" i="46"/>
  <c r="K18" i="47"/>
  <c r="K18" i="48"/>
  <c r="K18" i="49"/>
  <c r="Q7" i="45"/>
  <c r="Q7" i="46"/>
  <c r="Q7" i="47"/>
  <c r="Q7" i="48"/>
  <c r="Q7" i="49"/>
  <c r="Q8" i="45"/>
  <c r="Q8" i="46"/>
  <c r="Q8" i="47"/>
  <c r="Q8" i="48"/>
  <c r="Q8" i="49"/>
  <c r="Q9" i="45"/>
  <c r="Q9" i="46"/>
  <c r="Q9" i="47"/>
  <c r="Q9" i="48"/>
  <c r="Q9" i="49"/>
  <c r="Q10" i="45"/>
  <c r="Q10" i="46"/>
  <c r="Q10" i="47"/>
  <c r="Q10" i="48"/>
  <c r="Q10" i="49"/>
  <c r="Q11" i="45"/>
  <c r="Q11" i="46"/>
  <c r="Q11" i="47"/>
  <c r="Q11" i="48"/>
  <c r="Q11" i="49"/>
  <c r="Q12" i="46"/>
  <c r="Q12" i="47"/>
  <c r="Q12" i="48"/>
  <c r="Q12" i="49"/>
  <c r="Q13" i="48"/>
  <c r="Q13" i="49"/>
  <c r="Q14" i="45"/>
  <c r="Q14" i="46"/>
  <c r="Q14" i="47"/>
  <c r="Q14" i="48"/>
  <c r="Q14" i="49"/>
  <c r="Q15" i="45"/>
  <c r="Q15" i="46"/>
  <c r="Q15" i="47"/>
  <c r="Q15" i="48"/>
  <c r="Q15" i="49"/>
  <c r="Q16" i="45"/>
  <c r="Q16" i="46"/>
  <c r="Q16" i="47"/>
  <c r="Q16" i="48"/>
  <c r="Q16" i="49"/>
  <c r="K7" i="45"/>
  <c r="K7" i="46"/>
  <c r="K7" i="47"/>
  <c r="K7" i="48"/>
  <c r="K7" i="49"/>
  <c r="K8" i="45"/>
  <c r="K8" i="46"/>
  <c r="K8" i="47"/>
  <c r="K8" i="48"/>
  <c r="K8" i="49"/>
  <c r="K9" i="45"/>
  <c r="K9" i="46"/>
  <c r="K9" i="47"/>
  <c r="K9" i="48"/>
  <c r="K9" i="49"/>
  <c r="K10" i="45"/>
  <c r="K10" i="46"/>
  <c r="K10" i="47"/>
  <c r="K10" i="48"/>
  <c r="K10" i="49"/>
  <c r="K11" i="45"/>
  <c r="K11" i="46"/>
  <c r="K11" i="47"/>
  <c r="K11" i="48"/>
  <c r="K11" i="49"/>
  <c r="K12" i="45"/>
  <c r="K12" i="46"/>
  <c r="K12" i="47"/>
  <c r="K12" i="48"/>
  <c r="K12" i="49"/>
  <c r="K13" i="45"/>
  <c r="K13" i="46"/>
  <c r="K13" i="47"/>
  <c r="K13" i="48"/>
  <c r="K13" i="49"/>
  <c r="K14" i="45"/>
  <c r="K14" i="46"/>
  <c r="K14" i="47"/>
  <c r="K14" i="48"/>
  <c r="K14" i="49"/>
  <c r="K15" i="45"/>
  <c r="K15" i="46"/>
  <c r="K15" i="47"/>
  <c r="K15" i="48"/>
  <c r="K15" i="49"/>
  <c r="K16" i="45"/>
  <c r="K16" i="46"/>
  <c r="K16" i="47"/>
  <c r="K16" i="48"/>
  <c r="K16" i="49"/>
  <c r="Q20" i="45"/>
  <c r="Q20" i="46"/>
  <c r="Q20" i="47"/>
  <c r="Q20" i="48"/>
  <c r="Q20" i="49"/>
  <c r="K20" i="45"/>
  <c r="K20" i="46"/>
  <c r="K20" i="47"/>
  <c r="K20" i="48"/>
  <c r="K20" i="49"/>
  <c r="Q21" i="45"/>
  <c r="Q21" i="46"/>
  <c r="Q21" i="47"/>
  <c r="Q21" i="48"/>
  <c r="Q21" i="49"/>
  <c r="K21" i="45"/>
  <c r="K21" i="46"/>
  <c r="K21" i="47"/>
  <c r="K21" i="48"/>
  <c r="K21" i="49"/>
  <c r="Q22" i="45"/>
  <c r="Q22" i="47"/>
  <c r="Q22" i="48"/>
  <c r="Q22" i="49"/>
  <c r="K22" i="45"/>
  <c r="K22" i="46"/>
  <c r="K22" i="47"/>
  <c r="K22" i="48"/>
  <c r="K22" i="49"/>
  <c r="Q23" i="45"/>
  <c r="Q23" i="46"/>
  <c r="Q23" i="47"/>
  <c r="Q23" i="48"/>
  <c r="Q23" i="49"/>
  <c r="K23" i="45"/>
  <c r="K23" i="46"/>
  <c r="K23" i="47"/>
  <c r="K23" i="48"/>
  <c r="K23" i="49"/>
  <c r="Q24" i="45"/>
  <c r="Q24" i="46"/>
  <c r="Q24" i="47"/>
  <c r="Q24" i="48"/>
  <c r="Q24" i="49"/>
  <c r="K24" i="45"/>
  <c r="K24" i="46"/>
  <c r="K24" i="47"/>
  <c r="K24" i="48"/>
  <c r="K24" i="49"/>
  <c r="Q25" i="45"/>
  <c r="Q25" i="46"/>
  <c r="Q25" i="47"/>
  <c r="Q25" i="48"/>
  <c r="Q25" i="49"/>
  <c r="K25" i="45"/>
  <c r="K25" i="46"/>
  <c r="K25" i="47"/>
  <c r="K25" i="48"/>
  <c r="K25" i="49"/>
  <c r="Q26" i="45"/>
  <c r="Q26" i="46"/>
  <c r="Q26" i="47"/>
  <c r="Q26" i="48"/>
  <c r="Q26" i="49"/>
  <c r="K26" i="45"/>
  <c r="K26" i="46"/>
  <c r="K26" i="47"/>
  <c r="K26" i="48"/>
  <c r="K26" i="49"/>
  <c r="Q27" i="45"/>
  <c r="Q27" i="46"/>
  <c r="Q27" i="47"/>
  <c r="Q27" i="48"/>
  <c r="Q27" i="49"/>
  <c r="K27" i="45"/>
  <c r="K27" i="46"/>
  <c r="K27" i="47"/>
  <c r="K27" i="48"/>
  <c r="K27" i="49"/>
  <c r="Q28" i="45"/>
  <c r="Q28" i="46"/>
  <c r="Q28" i="47"/>
  <c r="Q28" i="48"/>
  <c r="Q28" i="49"/>
  <c r="K28" i="45"/>
  <c r="K28" i="46"/>
  <c r="K28" i="47"/>
  <c r="K28" i="48"/>
  <c r="K28" i="49"/>
  <c r="Q29" i="45"/>
  <c r="Q29" i="46"/>
  <c r="Q29" i="47"/>
  <c r="Q29" i="48"/>
  <c r="Q29" i="49"/>
  <c r="K29" i="45"/>
  <c r="K29" i="46"/>
  <c r="K29" i="47"/>
  <c r="K29" i="48"/>
  <c r="K29" i="49"/>
  <c r="Q31" i="45"/>
  <c r="Q31" i="46"/>
  <c r="Q31" i="47"/>
  <c r="Q31" i="48"/>
  <c r="Q31" i="49"/>
  <c r="K31" i="45"/>
  <c r="K31" i="46"/>
  <c r="K31" i="47"/>
  <c r="K31" i="48"/>
  <c r="K31" i="49"/>
  <c r="Q32" i="45"/>
  <c r="Q32" i="46"/>
  <c r="Q32" i="47"/>
  <c r="Q32" i="48"/>
  <c r="Q32" i="49"/>
  <c r="K32" i="45"/>
  <c r="K32" i="46"/>
  <c r="K32" i="47"/>
  <c r="K32" i="48"/>
  <c r="K32" i="49"/>
  <c r="Q33" i="45"/>
  <c r="Q33" i="46"/>
  <c r="Q33" i="47"/>
  <c r="Q33" i="48"/>
  <c r="Q33" i="49"/>
  <c r="K33" i="45"/>
  <c r="K33" i="46"/>
  <c r="K33" i="47"/>
  <c r="K33" i="48"/>
  <c r="K33" i="49"/>
  <c r="Q36" i="45"/>
  <c r="Q36" i="47"/>
  <c r="Q36" i="49"/>
  <c r="K36" i="46"/>
  <c r="K36" i="48"/>
  <c r="K7" i="30"/>
  <c r="K7" i="31"/>
  <c r="Q37" i="45"/>
  <c r="Q37" i="47"/>
  <c r="Q37" i="49"/>
  <c r="Q8" i="30"/>
  <c r="Q8" i="31"/>
  <c r="K37" i="45"/>
  <c r="K37" i="46"/>
  <c r="K37" i="47"/>
  <c r="K37" i="48"/>
  <c r="K37" i="49"/>
  <c r="K8" i="30"/>
  <c r="K8" i="31"/>
  <c r="Q38" i="45"/>
  <c r="Q38" i="46"/>
  <c r="Q38" i="47"/>
  <c r="Q38" i="48"/>
  <c r="Q38" i="49"/>
  <c r="Q9" i="31"/>
  <c r="K38" i="45"/>
  <c r="K38" i="46"/>
  <c r="K38" i="47"/>
  <c r="K38" i="48"/>
  <c r="K38" i="49"/>
  <c r="K9" i="30"/>
  <c r="K9" i="31"/>
  <c r="Q39" i="45"/>
  <c r="Q39" i="47"/>
  <c r="Q39" i="49"/>
  <c r="Q10" i="30"/>
  <c r="K39" i="45"/>
  <c r="K39" i="46"/>
  <c r="K39" i="47"/>
  <c r="K39" i="48"/>
  <c r="K39" i="49"/>
  <c r="K10" i="30"/>
  <c r="K10" i="31"/>
  <c r="Q40" i="46"/>
  <c r="Q40" i="48"/>
  <c r="Q11" i="31"/>
  <c r="K40" i="45"/>
  <c r="K40" i="46"/>
  <c r="K40" i="47"/>
  <c r="K40" i="48"/>
  <c r="K40" i="49"/>
  <c r="K11" i="30"/>
  <c r="K11" i="31"/>
  <c r="Q41" i="46"/>
  <c r="Q41" i="47"/>
  <c r="Q41" i="48"/>
  <c r="Q41" i="49"/>
  <c r="Q12" i="30"/>
  <c r="K41" i="45"/>
  <c r="K41" i="46"/>
  <c r="K41" i="47"/>
  <c r="K41" i="48"/>
  <c r="K41" i="49"/>
  <c r="K12" i="30"/>
  <c r="K12" i="31"/>
  <c r="Q42" i="48"/>
  <c r="K42" i="45"/>
  <c r="K42" i="46"/>
  <c r="K42" i="47"/>
  <c r="K42" i="48"/>
  <c r="K42" i="49"/>
  <c r="K13" i="30"/>
  <c r="Q43" i="45"/>
  <c r="Q43" i="46"/>
  <c r="Q43" i="47"/>
  <c r="Q43" i="48"/>
  <c r="Q43" i="49"/>
  <c r="Q14" i="30"/>
  <c r="K43" i="45"/>
  <c r="K43" i="46"/>
  <c r="K43" i="47"/>
  <c r="K43" i="48"/>
  <c r="K43" i="49"/>
  <c r="K14" i="30"/>
  <c r="K14" i="31"/>
  <c r="Q44" i="46"/>
  <c r="Q44" i="48"/>
  <c r="Q15" i="30"/>
  <c r="Q15" i="31"/>
  <c r="K44" i="45"/>
  <c r="K44" i="46"/>
  <c r="K44" i="47"/>
  <c r="K44" i="48"/>
  <c r="K44" i="49"/>
  <c r="K15" i="30"/>
  <c r="K15" i="31"/>
  <c r="Q45" i="45"/>
  <c r="Q45" i="46"/>
  <c r="Q45" i="47"/>
  <c r="Q45" i="48"/>
  <c r="Q45" i="49"/>
  <c r="Q16" i="30"/>
  <c r="K45" i="45"/>
  <c r="K45" i="46"/>
  <c r="K45" i="47"/>
  <c r="K45" i="48"/>
  <c r="K45" i="49"/>
  <c r="K16" i="30"/>
  <c r="K16" i="31"/>
  <c r="Q46" i="46"/>
  <c r="Q46" i="48"/>
  <c r="Q17" i="30"/>
  <c r="Q17" i="31"/>
  <c r="K46" i="45"/>
  <c r="K46" i="46"/>
  <c r="K46" i="47"/>
  <c r="K46" i="48"/>
  <c r="K46" i="49"/>
  <c r="K17" i="30"/>
  <c r="K17" i="31"/>
  <c r="Q47" i="45"/>
  <c r="Q47" i="46"/>
  <c r="Q47" i="47"/>
  <c r="Q47" i="48"/>
  <c r="Q47" i="49"/>
  <c r="Q18" i="30"/>
  <c r="K47" i="45"/>
  <c r="K47" i="46"/>
  <c r="K47" i="47"/>
  <c r="K47" i="48"/>
  <c r="K47" i="49"/>
  <c r="K18" i="30"/>
  <c r="K18" i="31"/>
  <c r="Q49" i="45"/>
  <c r="Q49" i="46"/>
  <c r="Q49" i="47"/>
  <c r="Q49" i="48"/>
  <c r="Q49" i="49"/>
  <c r="Q20" i="30"/>
  <c r="Q20" i="31"/>
  <c r="K49" i="45"/>
  <c r="K49" i="46"/>
  <c r="K49" i="47"/>
  <c r="K49" i="48"/>
  <c r="K49" i="49"/>
  <c r="K20" i="30"/>
  <c r="K20" i="31"/>
  <c r="Q50" i="45"/>
  <c r="Q50" i="46"/>
  <c r="Q50" i="47"/>
  <c r="Q50" i="48"/>
  <c r="Q50" i="49"/>
  <c r="Q21" i="30"/>
  <c r="Q21" i="31"/>
  <c r="K50" i="45"/>
  <c r="K50" i="46"/>
  <c r="K50" i="47"/>
  <c r="K50" i="48"/>
  <c r="K50" i="49"/>
  <c r="K21" i="30"/>
  <c r="K21" i="31"/>
  <c r="Q51" i="45"/>
  <c r="Q51" i="46"/>
  <c r="Q51" i="47"/>
  <c r="Q51" i="48"/>
  <c r="Q51" i="49"/>
  <c r="Q22" i="30"/>
  <c r="Q22" i="31"/>
  <c r="K51" i="45"/>
  <c r="K51" i="46"/>
  <c r="K51" i="47"/>
  <c r="K51" i="48"/>
  <c r="K51" i="49"/>
  <c r="K22" i="30"/>
  <c r="K22" i="31"/>
  <c r="Q52" i="45"/>
  <c r="Q52" i="46"/>
  <c r="Q52" i="47"/>
  <c r="Q52" i="48"/>
  <c r="Q52" i="49"/>
  <c r="Q23" i="30"/>
  <c r="Q23" i="31"/>
  <c r="K52" i="45"/>
  <c r="K52" i="46"/>
  <c r="K52" i="47"/>
  <c r="K52" i="48"/>
  <c r="K52" i="49"/>
  <c r="K23" i="30"/>
  <c r="K23" i="31"/>
  <c r="Q53" i="45"/>
  <c r="Q53" i="46"/>
  <c r="Q53" i="47"/>
  <c r="Q53" i="48"/>
  <c r="Q53" i="49"/>
  <c r="Q24" i="30"/>
  <c r="Q24" i="31"/>
  <c r="K53" i="45"/>
  <c r="K53" i="46"/>
  <c r="K53" i="47"/>
  <c r="K53" i="48"/>
  <c r="K53" i="49"/>
  <c r="K24" i="30"/>
  <c r="K24" i="31"/>
  <c r="Q54" i="45"/>
  <c r="Q54" i="46"/>
  <c r="Q54" i="47"/>
  <c r="Q54" i="48"/>
  <c r="Q54" i="49"/>
  <c r="Q25" i="30"/>
  <c r="Q25" i="31"/>
  <c r="K54" i="45"/>
  <c r="K54" i="46"/>
  <c r="K54" i="47"/>
  <c r="K54" i="48"/>
  <c r="K54" i="49"/>
  <c r="K25" i="30"/>
  <c r="K25" i="31"/>
  <c r="Q55" i="45"/>
  <c r="Q55" i="46"/>
  <c r="Q55" i="47"/>
  <c r="Q55" i="48"/>
  <c r="Q55" i="49"/>
  <c r="Q26" i="30"/>
  <c r="Q26" i="31"/>
  <c r="K55" i="45"/>
  <c r="K55" i="46"/>
  <c r="K55" i="47"/>
  <c r="K55" i="48"/>
  <c r="K55" i="49"/>
  <c r="K26" i="30"/>
  <c r="K26" i="31"/>
  <c r="Q56" i="45"/>
  <c r="Q56" i="46"/>
  <c r="Q56" i="47"/>
  <c r="Q56" i="48"/>
  <c r="Q56" i="49"/>
  <c r="Q27" i="30"/>
  <c r="Q27" i="31"/>
  <c r="K56" i="45"/>
  <c r="K56" i="46"/>
  <c r="K56" i="47"/>
  <c r="K56" i="48"/>
  <c r="K56" i="49"/>
  <c r="K27" i="30"/>
  <c r="K27" i="31"/>
  <c r="Q57" i="45"/>
  <c r="Q57" i="46"/>
  <c r="Q57" i="47"/>
  <c r="Q57" i="48"/>
  <c r="Q57" i="49"/>
  <c r="Q28" i="30"/>
  <c r="K57" i="45"/>
  <c r="K57" i="46"/>
  <c r="K57" i="47"/>
  <c r="K57" i="48"/>
  <c r="K57" i="49"/>
  <c r="K28" i="30"/>
  <c r="K28" i="31"/>
  <c r="Q58" i="45"/>
  <c r="Q58" i="46"/>
  <c r="Q58" i="47"/>
  <c r="Q58" i="48"/>
  <c r="Q58" i="49"/>
  <c r="Q29" i="30"/>
  <c r="Q29" i="31"/>
  <c r="K58" i="45"/>
  <c r="K58" i="46"/>
  <c r="K58" i="47"/>
  <c r="K58" i="48"/>
  <c r="K58" i="49"/>
  <c r="K29" i="30"/>
  <c r="K29" i="31"/>
  <c r="Q60" i="45"/>
  <c r="Q60" i="46"/>
  <c r="Q60" i="47"/>
  <c r="Q60" i="48"/>
  <c r="Q60" i="49"/>
  <c r="Q31" i="30"/>
  <c r="Q31" i="31"/>
  <c r="K60" i="45"/>
  <c r="K60" i="46"/>
  <c r="K60" i="47"/>
  <c r="K60" i="48"/>
  <c r="K60" i="49"/>
  <c r="K31" i="30"/>
  <c r="Q61" i="45"/>
  <c r="Q61" i="46"/>
  <c r="Q61" i="47"/>
  <c r="Q61" i="48"/>
  <c r="Q61" i="49"/>
  <c r="Q32" i="30"/>
  <c r="Q32" i="31"/>
  <c r="K61" i="46"/>
  <c r="K61" i="48"/>
  <c r="K32" i="30"/>
  <c r="K32" i="31"/>
  <c r="Q62" i="45"/>
  <c r="Q62" i="46"/>
  <c r="Q62" i="47"/>
  <c r="Q62" i="48"/>
  <c r="Q62" i="49"/>
  <c r="Q33" i="30"/>
  <c r="Q33" i="31"/>
  <c r="K62" i="45"/>
  <c r="K62" i="46"/>
  <c r="K62" i="47"/>
  <c r="K62" i="48"/>
  <c r="K62" i="49"/>
  <c r="K33" i="30"/>
  <c r="K33" i="31"/>
  <c r="Q65" i="45"/>
  <c r="Q65" i="46"/>
  <c r="Q7" i="56" s="1"/>
  <c r="Q65" i="47"/>
  <c r="Q65" i="48"/>
  <c r="Q65" i="49"/>
  <c r="Q7" i="59" s="1"/>
  <c r="K65" i="45"/>
  <c r="K65" i="46"/>
  <c r="K65" i="47"/>
  <c r="K65" i="48"/>
  <c r="K65" i="49"/>
  <c r="Q66" i="45"/>
  <c r="Q66" i="46"/>
  <c r="Q66" i="47"/>
  <c r="Q66" i="48"/>
  <c r="Q66" i="49"/>
  <c r="K66" i="45"/>
  <c r="K66" i="46"/>
  <c r="K66" i="47"/>
  <c r="K66" i="48"/>
  <c r="K66" i="49"/>
  <c r="K8" i="59" s="1"/>
  <c r="Q67" i="45"/>
  <c r="Q67" i="46"/>
  <c r="Q67" i="47"/>
  <c r="Q67" i="48"/>
  <c r="Q67" i="49"/>
  <c r="K67" i="45"/>
  <c r="K67" i="46"/>
  <c r="K67" i="47"/>
  <c r="K67" i="48"/>
  <c r="K67" i="49"/>
  <c r="Q68" i="45"/>
  <c r="Q10" i="55" s="1"/>
  <c r="Q68" i="46"/>
  <c r="Q68" i="47"/>
  <c r="Q68" i="48"/>
  <c r="Q68" i="49"/>
  <c r="K68" i="45"/>
  <c r="K68" i="46"/>
  <c r="K68" i="47"/>
  <c r="K68" i="48"/>
  <c r="R68" i="48" s="1"/>
  <c r="K68" i="49"/>
  <c r="Q69" i="45"/>
  <c r="Q69" i="46"/>
  <c r="Q69" i="47"/>
  <c r="Q69" i="48"/>
  <c r="Q11" i="58" s="1"/>
  <c r="Q69" i="49"/>
  <c r="K69" i="45"/>
  <c r="K69" i="46"/>
  <c r="K69" i="47"/>
  <c r="K69" i="48"/>
  <c r="K69" i="49"/>
  <c r="Q70" i="45"/>
  <c r="Q70" i="46"/>
  <c r="Q70" i="48"/>
  <c r="Q70" i="49"/>
  <c r="K70" i="45"/>
  <c r="K70" i="46"/>
  <c r="K70" i="47"/>
  <c r="K70" i="48"/>
  <c r="K70" i="49"/>
  <c r="Q71" i="46"/>
  <c r="Q71" i="49"/>
  <c r="K71" i="45"/>
  <c r="K71" i="46"/>
  <c r="K71" i="47"/>
  <c r="K71" i="48"/>
  <c r="K71" i="49"/>
  <c r="Q72" i="45"/>
  <c r="Q72" i="46"/>
  <c r="Q72" i="47"/>
  <c r="Q72" i="48"/>
  <c r="Q72" i="49"/>
  <c r="Q14" i="59" s="1"/>
  <c r="K72" i="45"/>
  <c r="K72" i="46"/>
  <c r="K14" i="56" s="1"/>
  <c r="K72" i="47"/>
  <c r="K14" i="57" s="1"/>
  <c r="K72" i="48"/>
  <c r="K14" i="58" s="1"/>
  <c r="K72" i="49"/>
  <c r="Q73" i="45"/>
  <c r="Q15" i="55" s="1"/>
  <c r="Q73" i="46"/>
  <c r="Q73" i="47"/>
  <c r="Q73" i="48"/>
  <c r="Q73" i="49"/>
  <c r="K73" i="45"/>
  <c r="K73" i="46"/>
  <c r="K73" i="47"/>
  <c r="K73" i="48"/>
  <c r="K73" i="49"/>
  <c r="Q74" i="45"/>
  <c r="Q74" i="46"/>
  <c r="Q16" i="56" s="1"/>
  <c r="Q74" i="47"/>
  <c r="Q16" i="57" s="1"/>
  <c r="Q74" i="48"/>
  <c r="Q74" i="49"/>
  <c r="K74" i="45"/>
  <c r="K74" i="46"/>
  <c r="K74" i="47"/>
  <c r="K16" i="57" s="1"/>
  <c r="K74" i="48"/>
  <c r="K74" i="49"/>
  <c r="Q75" i="45"/>
  <c r="Q75" i="46"/>
  <c r="Q17" i="56" s="1"/>
  <c r="Q75" i="47"/>
  <c r="Q75" i="48"/>
  <c r="Q75" i="49"/>
  <c r="K75" i="45"/>
  <c r="K75" i="46"/>
  <c r="K75" i="47"/>
  <c r="K75" i="48"/>
  <c r="K75" i="49"/>
  <c r="Q76" i="45"/>
  <c r="Q76" i="46"/>
  <c r="Q18" i="56" s="1"/>
  <c r="Q76" i="47"/>
  <c r="Q18" i="57" s="1"/>
  <c r="Q76" i="48"/>
  <c r="Q76" i="49"/>
  <c r="K76" i="45"/>
  <c r="K76" i="46"/>
  <c r="K76" i="47"/>
  <c r="K76" i="48"/>
  <c r="K76" i="49"/>
  <c r="Q78" i="45"/>
  <c r="Q78" i="46"/>
  <c r="Q78" i="47"/>
  <c r="Q78" i="48"/>
  <c r="Q78" i="49"/>
  <c r="K78" i="45"/>
  <c r="K78" i="46"/>
  <c r="K78" i="47"/>
  <c r="K78" i="48"/>
  <c r="K78" i="49"/>
  <c r="Q79" i="45"/>
  <c r="Q79" i="46"/>
  <c r="Q79" i="47"/>
  <c r="Q79" i="48"/>
  <c r="Q79" i="49"/>
  <c r="K79" i="45"/>
  <c r="K79" i="46"/>
  <c r="K79" i="47"/>
  <c r="K79" i="48"/>
  <c r="K79" i="49"/>
  <c r="Q80" i="45"/>
  <c r="Q80" i="46"/>
  <c r="Q80" i="47"/>
  <c r="Q80" i="48"/>
  <c r="Q80" i="49"/>
  <c r="K80" i="45"/>
  <c r="K80" i="46"/>
  <c r="K80" i="47"/>
  <c r="K80" i="48"/>
  <c r="K80" i="49"/>
  <c r="Q81" i="45"/>
  <c r="Q81" i="46"/>
  <c r="Q81" i="47"/>
  <c r="Q81" i="48"/>
  <c r="Q81" i="49"/>
  <c r="K81" i="45"/>
  <c r="K81" i="46"/>
  <c r="K81" i="47"/>
  <c r="K81" i="48"/>
  <c r="K81" i="49"/>
  <c r="Q82" i="45"/>
  <c r="Q82" i="46"/>
  <c r="Q82" i="47"/>
  <c r="Q82" i="48"/>
  <c r="Q82" i="49"/>
  <c r="K82" i="45"/>
  <c r="K82" i="46"/>
  <c r="K82" i="47"/>
  <c r="K82" i="48"/>
  <c r="K82" i="49"/>
  <c r="Q83" i="45"/>
  <c r="Q83" i="46"/>
  <c r="Q83" i="47"/>
  <c r="Q83" i="48"/>
  <c r="Q83" i="49"/>
  <c r="K83" i="45"/>
  <c r="K83" i="46"/>
  <c r="K83" i="47"/>
  <c r="K25" i="57" s="1"/>
  <c r="K83" i="48"/>
  <c r="K83" i="49"/>
  <c r="Q84" i="45"/>
  <c r="Q84" i="46"/>
  <c r="Q84" i="47"/>
  <c r="Q84" i="48"/>
  <c r="Q84" i="49"/>
  <c r="K84" i="45"/>
  <c r="K84" i="46"/>
  <c r="K84" i="47"/>
  <c r="K84" i="48"/>
  <c r="K84" i="49"/>
  <c r="Q85" i="45"/>
  <c r="Q85" i="46"/>
  <c r="Q27" i="56" s="1"/>
  <c r="Q85" i="47"/>
  <c r="Q27" i="57" s="1"/>
  <c r="Q85" i="48"/>
  <c r="Q85" i="49"/>
  <c r="K85" i="45"/>
  <c r="K85" i="46"/>
  <c r="K85" i="47"/>
  <c r="K85" i="48"/>
  <c r="K85" i="49"/>
  <c r="Q86" i="45"/>
  <c r="Q86" i="46"/>
  <c r="Q86" i="47"/>
  <c r="Q86" i="48"/>
  <c r="Q86" i="49"/>
  <c r="K86" i="45"/>
  <c r="K86" i="46"/>
  <c r="K86" i="47"/>
  <c r="K86" i="48"/>
  <c r="K86" i="49"/>
  <c r="Q87" i="45"/>
  <c r="Q87" i="46"/>
  <c r="Q87" i="47"/>
  <c r="Q87" i="48"/>
  <c r="Q87" i="49"/>
  <c r="K87" i="45"/>
  <c r="K87" i="46"/>
  <c r="K29" i="56" s="1"/>
  <c r="K87" i="47"/>
  <c r="K87" i="48"/>
  <c r="K87" i="49"/>
  <c r="Q89" i="45"/>
  <c r="Q89" i="46"/>
  <c r="Q89" i="47"/>
  <c r="Q89" i="48"/>
  <c r="Q89" i="49"/>
  <c r="K89" i="45"/>
  <c r="K89" i="46"/>
  <c r="K89" i="47"/>
  <c r="K89" i="48"/>
  <c r="K89" i="49"/>
  <c r="Q90" i="45"/>
  <c r="Q90" i="46"/>
  <c r="Q90" i="47"/>
  <c r="Q90" i="48"/>
  <c r="Q90" i="49"/>
  <c r="K90" i="45"/>
  <c r="K90" i="46"/>
  <c r="K90" i="47"/>
  <c r="K90" i="48"/>
  <c r="K90" i="49"/>
  <c r="Q91" i="45"/>
  <c r="Q91" i="46"/>
  <c r="Q91" i="47"/>
  <c r="Q91" i="48"/>
  <c r="Q91" i="49"/>
  <c r="K91" i="45"/>
  <c r="K91" i="46"/>
  <c r="K91" i="47"/>
  <c r="K91" i="48"/>
  <c r="K91" i="49"/>
  <c r="O8" i="45"/>
  <c r="O8" i="46"/>
  <c r="O8" i="47"/>
  <c r="O8" i="48"/>
  <c r="O8" i="49"/>
  <c r="I8" i="45"/>
  <c r="I8" i="46"/>
  <c r="I8" i="47"/>
  <c r="I8" i="48"/>
  <c r="I8" i="49"/>
  <c r="O9" i="45"/>
  <c r="O9" i="46"/>
  <c r="O9" i="47"/>
  <c r="O9" i="48"/>
  <c r="O9" i="49"/>
  <c r="I9" i="45"/>
  <c r="I9" i="46"/>
  <c r="I9" i="47"/>
  <c r="I9" i="48"/>
  <c r="I9" i="49"/>
  <c r="O10" i="45"/>
  <c r="O10" i="46"/>
  <c r="O10" i="47"/>
  <c r="O10" i="48"/>
  <c r="O10" i="49"/>
  <c r="I10" i="45"/>
  <c r="I10" i="46"/>
  <c r="I10" i="47"/>
  <c r="I10" i="48"/>
  <c r="I10" i="49"/>
  <c r="O11" i="45"/>
  <c r="O11" i="46"/>
  <c r="O11" i="47"/>
  <c r="O11" i="48"/>
  <c r="O11" i="49"/>
  <c r="I11" i="45"/>
  <c r="I11" i="46"/>
  <c r="I11" i="47"/>
  <c r="I11" i="48"/>
  <c r="I11" i="49"/>
  <c r="O12" i="45"/>
  <c r="O12" i="46"/>
  <c r="O12" i="47"/>
  <c r="O12" i="48"/>
  <c r="O12" i="49"/>
  <c r="I12" i="45"/>
  <c r="I12" i="46"/>
  <c r="I12" i="47"/>
  <c r="I12" i="48"/>
  <c r="I12" i="49"/>
  <c r="O13" i="45"/>
  <c r="O13" i="46"/>
  <c r="O13" i="47"/>
  <c r="O13" i="48"/>
  <c r="O13" i="49"/>
  <c r="I13" i="45"/>
  <c r="I13" i="46"/>
  <c r="I13" i="47"/>
  <c r="I13" i="48"/>
  <c r="I13" i="49"/>
  <c r="O14" i="45"/>
  <c r="O14" i="46"/>
  <c r="O14" i="47"/>
  <c r="O14" i="48"/>
  <c r="O14" i="49"/>
  <c r="I14" i="45"/>
  <c r="I14" i="46"/>
  <c r="I14" i="47"/>
  <c r="I14" i="48"/>
  <c r="I14" i="49"/>
  <c r="O15" i="45"/>
  <c r="O15" i="46"/>
  <c r="O15" i="47"/>
  <c r="O15" i="48"/>
  <c r="O15" i="49"/>
  <c r="I15" i="45"/>
  <c r="I15" i="46"/>
  <c r="I15" i="47"/>
  <c r="I15" i="48"/>
  <c r="I15" i="49"/>
  <c r="O16" i="45"/>
  <c r="O16" i="46"/>
  <c r="O16" i="47"/>
  <c r="O16" i="48"/>
  <c r="O16" i="49"/>
  <c r="I16" i="45"/>
  <c r="I16" i="46"/>
  <c r="I16" i="47"/>
  <c r="I16" i="48"/>
  <c r="I16" i="49"/>
  <c r="O17" i="45"/>
  <c r="O17" i="46"/>
  <c r="O17" i="47"/>
  <c r="O17" i="48"/>
  <c r="O17" i="49"/>
  <c r="I17" i="45"/>
  <c r="I17" i="46"/>
  <c r="I17" i="47"/>
  <c r="I17" i="48"/>
  <c r="I17" i="49"/>
  <c r="O18" i="45"/>
  <c r="O18" i="46"/>
  <c r="O18" i="47"/>
  <c r="O18" i="48"/>
  <c r="O18" i="49"/>
  <c r="I18" i="45"/>
  <c r="I18" i="46"/>
  <c r="I18" i="47"/>
  <c r="I18" i="48"/>
  <c r="I18" i="49"/>
  <c r="O7" i="45"/>
  <c r="O7" i="46"/>
  <c r="O7" i="47"/>
  <c r="O7" i="48"/>
  <c r="O7" i="49"/>
  <c r="I7" i="45"/>
  <c r="I7" i="46"/>
  <c r="I7" i="47"/>
  <c r="I7" i="48"/>
  <c r="I7" i="49"/>
  <c r="O20" i="45"/>
  <c r="O20" i="46"/>
  <c r="O20" i="47"/>
  <c r="O20" i="48"/>
  <c r="O20" i="49"/>
  <c r="I20" i="45"/>
  <c r="I20" i="46"/>
  <c r="I20" i="47"/>
  <c r="I20" i="48"/>
  <c r="I20" i="49"/>
  <c r="O21" i="45"/>
  <c r="O21" i="46"/>
  <c r="O21" i="47"/>
  <c r="O21" i="48"/>
  <c r="O21" i="49"/>
  <c r="I21" i="45"/>
  <c r="I21" i="46"/>
  <c r="I21" i="47"/>
  <c r="I21" i="48"/>
  <c r="I21" i="49"/>
  <c r="O22" i="45"/>
  <c r="O22" i="46"/>
  <c r="O22" i="47"/>
  <c r="O22" i="48"/>
  <c r="O22" i="49"/>
  <c r="I22" i="45"/>
  <c r="I22" i="46"/>
  <c r="I22" i="47"/>
  <c r="I22" i="48"/>
  <c r="I22" i="49"/>
  <c r="O23" i="45"/>
  <c r="O23" i="46"/>
  <c r="O23" i="47"/>
  <c r="O23" i="48"/>
  <c r="O23" i="49"/>
  <c r="I23" i="45"/>
  <c r="I23" i="46"/>
  <c r="I23" i="47"/>
  <c r="I23" i="48"/>
  <c r="I23" i="49"/>
  <c r="O24" i="45"/>
  <c r="O24" i="46"/>
  <c r="O24" i="47"/>
  <c r="O24" i="48"/>
  <c r="O24" i="49"/>
  <c r="I24" i="45"/>
  <c r="I24" i="46"/>
  <c r="I24" i="47"/>
  <c r="I24" i="48"/>
  <c r="I24" i="49"/>
  <c r="O25" i="45"/>
  <c r="O25" i="46"/>
  <c r="O25" i="47"/>
  <c r="O25" i="48"/>
  <c r="O25" i="49"/>
  <c r="I25" i="45"/>
  <c r="I25" i="46"/>
  <c r="I25" i="47"/>
  <c r="I25" i="48"/>
  <c r="I25" i="49"/>
  <c r="O26" i="45"/>
  <c r="O26" i="46"/>
  <c r="O26" i="47"/>
  <c r="O26" i="48"/>
  <c r="O26" i="49"/>
  <c r="I26" i="45"/>
  <c r="I26" i="46"/>
  <c r="I26" i="47"/>
  <c r="I26" i="48"/>
  <c r="I26" i="49"/>
  <c r="O27" i="45"/>
  <c r="O27" i="46"/>
  <c r="O27" i="47"/>
  <c r="O27" i="48"/>
  <c r="O27" i="49"/>
  <c r="I27" i="45"/>
  <c r="I27" i="46"/>
  <c r="I27" i="47"/>
  <c r="I27" i="48"/>
  <c r="I27" i="49"/>
  <c r="I28" i="45"/>
  <c r="I28" i="46"/>
  <c r="I28" i="47"/>
  <c r="I28" i="48"/>
  <c r="I28" i="49"/>
  <c r="I29" i="45"/>
  <c r="I29" i="46"/>
  <c r="I29" i="47"/>
  <c r="I29" i="48"/>
  <c r="I29" i="49"/>
  <c r="I31" i="45"/>
  <c r="I31" i="46"/>
  <c r="I31" i="47"/>
  <c r="I31" i="48"/>
  <c r="I31" i="49"/>
  <c r="O32" i="45"/>
  <c r="O32" i="46"/>
  <c r="O32" i="47"/>
  <c r="O32" i="48"/>
  <c r="O32" i="49"/>
  <c r="I32" i="45"/>
  <c r="I32" i="46"/>
  <c r="I32" i="47"/>
  <c r="I32" i="48"/>
  <c r="I32" i="49"/>
  <c r="O33" i="45"/>
  <c r="O33" i="46"/>
  <c r="O33" i="47"/>
  <c r="O33" i="48"/>
  <c r="O33" i="49"/>
  <c r="I33" i="45"/>
  <c r="I33" i="46"/>
  <c r="I33" i="47"/>
  <c r="I33" i="48"/>
  <c r="I33" i="49"/>
  <c r="O36" i="45"/>
  <c r="O36" i="46"/>
  <c r="O36" i="47"/>
  <c r="O36" i="48"/>
  <c r="O36" i="49"/>
  <c r="O7" i="30"/>
  <c r="O7" i="31"/>
  <c r="I36" i="45"/>
  <c r="I36" i="46"/>
  <c r="I36" i="47"/>
  <c r="I36" i="48"/>
  <c r="I36" i="49"/>
  <c r="I7" i="30"/>
  <c r="I7" i="31"/>
  <c r="O37" i="45"/>
  <c r="O37" i="46"/>
  <c r="O37" i="47"/>
  <c r="O37" i="48"/>
  <c r="O37" i="49"/>
  <c r="O8" i="30"/>
  <c r="O8" i="31"/>
  <c r="I37" i="45"/>
  <c r="I37" i="46"/>
  <c r="I37" i="47"/>
  <c r="I37" i="48"/>
  <c r="I37" i="49"/>
  <c r="I8" i="30"/>
  <c r="I8" i="31"/>
  <c r="O38" i="45"/>
  <c r="O38" i="46"/>
  <c r="O38" i="47"/>
  <c r="O38" i="48"/>
  <c r="O38" i="49"/>
  <c r="O9" i="30"/>
  <c r="O9" i="31"/>
  <c r="I38" i="45"/>
  <c r="I38" i="46"/>
  <c r="I38" i="47"/>
  <c r="I38" i="48"/>
  <c r="I38" i="49"/>
  <c r="I9" i="30"/>
  <c r="I9" i="31"/>
  <c r="O39" i="45"/>
  <c r="O39" i="46"/>
  <c r="O39" i="47"/>
  <c r="O39" i="48"/>
  <c r="O39" i="49"/>
  <c r="O10" i="30"/>
  <c r="O10" i="31"/>
  <c r="I39" i="45"/>
  <c r="I10" i="55" s="1"/>
  <c r="I39" i="46"/>
  <c r="I39" i="47"/>
  <c r="I39" i="48"/>
  <c r="I39" i="49"/>
  <c r="I10" i="30"/>
  <c r="I10" i="31"/>
  <c r="O40" i="45"/>
  <c r="O40" i="46"/>
  <c r="O40" i="47"/>
  <c r="O40" i="48"/>
  <c r="O40" i="49"/>
  <c r="O11" i="30"/>
  <c r="O11" i="31"/>
  <c r="I40" i="45"/>
  <c r="I40" i="46"/>
  <c r="I40" i="47"/>
  <c r="I40" i="48"/>
  <c r="I40" i="49"/>
  <c r="I11" i="30"/>
  <c r="I11" i="31"/>
  <c r="O41" i="46"/>
  <c r="O41" i="47"/>
  <c r="O41" i="48"/>
  <c r="O41" i="49"/>
  <c r="O12" i="30"/>
  <c r="O12" i="31"/>
  <c r="I41" i="45"/>
  <c r="I41" i="46"/>
  <c r="I41" i="47"/>
  <c r="I41" i="48"/>
  <c r="I41" i="49"/>
  <c r="I12" i="30"/>
  <c r="I12" i="31"/>
  <c r="O42" i="47"/>
  <c r="I42" i="45"/>
  <c r="I42" i="46"/>
  <c r="I42" i="47"/>
  <c r="I42" i="48"/>
  <c r="I42" i="49"/>
  <c r="I13" i="30"/>
  <c r="I13" i="31"/>
  <c r="O43" i="45"/>
  <c r="O43" i="46"/>
  <c r="O43" i="47"/>
  <c r="O43" i="48"/>
  <c r="O43" i="49"/>
  <c r="O14" i="30"/>
  <c r="O14" i="31"/>
  <c r="I43" i="45"/>
  <c r="I43" i="46"/>
  <c r="I43" i="47"/>
  <c r="I43" i="48"/>
  <c r="I43" i="49"/>
  <c r="I14" i="30"/>
  <c r="I14" i="31"/>
  <c r="O44" i="45"/>
  <c r="O44" i="46"/>
  <c r="O44" i="47"/>
  <c r="O44" i="48"/>
  <c r="O44" i="49"/>
  <c r="O15" i="30"/>
  <c r="O15" i="31"/>
  <c r="I44" i="45"/>
  <c r="I44" i="46"/>
  <c r="I44" i="47"/>
  <c r="I44" i="48"/>
  <c r="I44" i="49"/>
  <c r="I15" i="30"/>
  <c r="I15" i="31"/>
  <c r="O45" i="45"/>
  <c r="O45" i="46"/>
  <c r="O45" i="47"/>
  <c r="O45" i="48"/>
  <c r="O45" i="49"/>
  <c r="O16" i="30"/>
  <c r="O16" i="31"/>
  <c r="I45" i="45"/>
  <c r="I45" i="46"/>
  <c r="I45" i="47"/>
  <c r="I45" i="48"/>
  <c r="I45" i="49"/>
  <c r="I16" i="30"/>
  <c r="I16" i="31"/>
  <c r="O46" i="45"/>
  <c r="O46" i="46"/>
  <c r="O46" i="47"/>
  <c r="O46" i="48"/>
  <c r="O46" i="49"/>
  <c r="O17" i="30"/>
  <c r="O17" i="31"/>
  <c r="I46" i="45"/>
  <c r="I46" i="46"/>
  <c r="I46" i="47"/>
  <c r="I46" i="48"/>
  <c r="I46" i="49"/>
  <c r="I17" i="30"/>
  <c r="I17" i="31"/>
  <c r="O47" i="45"/>
  <c r="O47" i="46"/>
  <c r="O47" i="47"/>
  <c r="O47" i="48"/>
  <c r="O47" i="49"/>
  <c r="O18" i="30"/>
  <c r="O18" i="31"/>
  <c r="I47" i="45"/>
  <c r="I47" i="46"/>
  <c r="I47" i="47"/>
  <c r="I47" i="48"/>
  <c r="I47" i="49"/>
  <c r="I18" i="30"/>
  <c r="I18" i="31"/>
  <c r="O49" i="45"/>
  <c r="O49" i="46"/>
  <c r="O49" i="47"/>
  <c r="O49" i="48"/>
  <c r="O49" i="49"/>
  <c r="O20" i="30"/>
  <c r="O20" i="31"/>
  <c r="I49" i="45"/>
  <c r="I49" i="46"/>
  <c r="I49" i="47"/>
  <c r="I49" i="48"/>
  <c r="I49" i="49"/>
  <c r="I20" i="30"/>
  <c r="I20" i="31"/>
  <c r="O50" i="45"/>
  <c r="O50" i="46"/>
  <c r="O50" i="47"/>
  <c r="O50" i="48"/>
  <c r="O50" i="49"/>
  <c r="O21" i="30"/>
  <c r="O21" i="31"/>
  <c r="I50" i="45"/>
  <c r="I50" i="46"/>
  <c r="I50" i="47"/>
  <c r="I50" i="48"/>
  <c r="I50" i="49"/>
  <c r="I21" i="30"/>
  <c r="I21" i="31"/>
  <c r="O51" i="45"/>
  <c r="O51" i="46"/>
  <c r="O51" i="47"/>
  <c r="O51" i="48"/>
  <c r="O51" i="49"/>
  <c r="O22" i="30"/>
  <c r="O22" i="31"/>
  <c r="I51" i="45"/>
  <c r="I51" i="46"/>
  <c r="I51" i="47"/>
  <c r="I51" i="48"/>
  <c r="I51" i="49"/>
  <c r="I22" i="30"/>
  <c r="I22" i="31"/>
  <c r="O52" i="45"/>
  <c r="O52" i="46"/>
  <c r="O52" i="47"/>
  <c r="O52" i="48"/>
  <c r="O52" i="49"/>
  <c r="O23" i="30"/>
  <c r="O23" i="31"/>
  <c r="I52" i="45"/>
  <c r="I52" i="46"/>
  <c r="I52" i="47"/>
  <c r="I52" i="48"/>
  <c r="I52" i="49"/>
  <c r="I23" i="30"/>
  <c r="I23" i="31"/>
  <c r="O53" i="45"/>
  <c r="O53" i="46"/>
  <c r="O53" i="47"/>
  <c r="O53" i="48"/>
  <c r="O53" i="49"/>
  <c r="O24" i="30"/>
  <c r="O24" i="31"/>
  <c r="I53" i="45"/>
  <c r="I53" i="46"/>
  <c r="I53" i="47"/>
  <c r="I53" i="48"/>
  <c r="I53" i="49"/>
  <c r="I24" i="30"/>
  <c r="I24" i="31"/>
  <c r="O54" i="45"/>
  <c r="O54" i="46"/>
  <c r="O54" i="47"/>
  <c r="O54" i="48"/>
  <c r="O54" i="49"/>
  <c r="O25" i="30"/>
  <c r="O25" i="31"/>
  <c r="I54" i="45"/>
  <c r="I54" i="46"/>
  <c r="I54" i="47"/>
  <c r="I54" i="48"/>
  <c r="I54" i="49"/>
  <c r="I25" i="30"/>
  <c r="I25" i="31"/>
  <c r="O55" i="45"/>
  <c r="O55" i="46"/>
  <c r="O55" i="47"/>
  <c r="O55" i="48"/>
  <c r="O55" i="49"/>
  <c r="O26" i="30"/>
  <c r="O26" i="31"/>
  <c r="I55" i="45"/>
  <c r="I55" i="46"/>
  <c r="I55" i="47"/>
  <c r="I55" i="48"/>
  <c r="I55" i="49"/>
  <c r="I26" i="30"/>
  <c r="I26" i="31"/>
  <c r="O56" i="45"/>
  <c r="O56" i="46"/>
  <c r="O56" i="47"/>
  <c r="O56" i="48"/>
  <c r="O56" i="49"/>
  <c r="O27" i="30"/>
  <c r="O27" i="31"/>
  <c r="I56" i="45"/>
  <c r="I56" i="46"/>
  <c r="I56" i="47"/>
  <c r="I56" i="48"/>
  <c r="I56" i="49"/>
  <c r="I27" i="30"/>
  <c r="I27" i="31"/>
  <c r="I57" i="45"/>
  <c r="I57" i="46"/>
  <c r="I57" i="47"/>
  <c r="I57" i="48"/>
  <c r="I57" i="49"/>
  <c r="I28" i="30"/>
  <c r="I28" i="31"/>
  <c r="I58" i="45"/>
  <c r="I58" i="46"/>
  <c r="I58" i="47"/>
  <c r="I58" i="48"/>
  <c r="I58" i="49"/>
  <c r="I29" i="30"/>
  <c r="I29" i="31"/>
  <c r="I60" i="45"/>
  <c r="I60" i="46"/>
  <c r="I60" i="47"/>
  <c r="I60" i="48"/>
  <c r="I60" i="49"/>
  <c r="I31" i="30"/>
  <c r="I31" i="31"/>
  <c r="O61" i="45"/>
  <c r="O61" i="46"/>
  <c r="O61" i="47"/>
  <c r="O61" i="48"/>
  <c r="O61" i="49"/>
  <c r="O32" i="30"/>
  <c r="O32" i="31"/>
  <c r="I61" i="45"/>
  <c r="I61" i="46"/>
  <c r="I61" i="47"/>
  <c r="I61" i="48"/>
  <c r="I61" i="49"/>
  <c r="I32" i="30"/>
  <c r="I32" i="31"/>
  <c r="O62" i="45"/>
  <c r="O62" i="46"/>
  <c r="O62" i="47"/>
  <c r="O62" i="48"/>
  <c r="O62" i="49"/>
  <c r="O33" i="30"/>
  <c r="O33" i="31"/>
  <c r="I62" i="45"/>
  <c r="I62" i="46"/>
  <c r="I62" i="47"/>
  <c r="I62" i="48"/>
  <c r="I62" i="49"/>
  <c r="I33" i="30"/>
  <c r="I33" i="31"/>
  <c r="O65" i="45"/>
  <c r="O65" i="46"/>
  <c r="O65" i="47"/>
  <c r="O65" i="48"/>
  <c r="O65" i="49"/>
  <c r="I65" i="45"/>
  <c r="I65" i="46"/>
  <c r="I65" i="47"/>
  <c r="I65" i="48"/>
  <c r="I65" i="49"/>
  <c r="O66" i="45"/>
  <c r="O66" i="46"/>
  <c r="O66" i="47"/>
  <c r="O66" i="48"/>
  <c r="O66" i="49"/>
  <c r="I66" i="45"/>
  <c r="I66" i="46"/>
  <c r="I66" i="47"/>
  <c r="I66" i="48"/>
  <c r="I66" i="49"/>
  <c r="O67" i="45"/>
  <c r="O67" i="46"/>
  <c r="O67" i="47"/>
  <c r="O67" i="48"/>
  <c r="O67" i="49"/>
  <c r="I67" i="45"/>
  <c r="I67" i="46"/>
  <c r="I67" i="47"/>
  <c r="I67" i="48"/>
  <c r="I9" i="58" s="1"/>
  <c r="I67" i="49"/>
  <c r="O68" i="45"/>
  <c r="O68" i="46"/>
  <c r="O68" i="47"/>
  <c r="O68" i="48"/>
  <c r="O68" i="49"/>
  <c r="I68" i="45"/>
  <c r="I68" i="46"/>
  <c r="I68" i="47"/>
  <c r="I10" i="57" s="1"/>
  <c r="I68" i="48"/>
  <c r="I68" i="49"/>
  <c r="O69" i="45"/>
  <c r="O69" i="46"/>
  <c r="O69" i="47"/>
  <c r="O69" i="48"/>
  <c r="O69" i="49"/>
  <c r="I69" i="45"/>
  <c r="I69" i="46"/>
  <c r="I69" i="47"/>
  <c r="I69" i="48"/>
  <c r="I11" i="58" s="1"/>
  <c r="I69" i="49"/>
  <c r="O70" i="45"/>
  <c r="O70" i="46"/>
  <c r="O70" i="48"/>
  <c r="O70" i="49"/>
  <c r="I70" i="45"/>
  <c r="I70" i="46"/>
  <c r="I70" i="47"/>
  <c r="I70" i="48"/>
  <c r="I70" i="49"/>
  <c r="O71" i="45"/>
  <c r="O71" i="46"/>
  <c r="O71" i="47"/>
  <c r="O71" i="48"/>
  <c r="O71" i="49"/>
  <c r="I71" i="45"/>
  <c r="I71" i="46"/>
  <c r="I71" i="47"/>
  <c r="I71" i="48"/>
  <c r="I71" i="49"/>
  <c r="O72" i="45"/>
  <c r="O72" i="46"/>
  <c r="O72" i="47"/>
  <c r="O72" i="48"/>
  <c r="O72" i="49"/>
  <c r="O14" i="59" s="1"/>
  <c r="I72" i="45"/>
  <c r="I72" i="46"/>
  <c r="I72" i="47"/>
  <c r="I72" i="48"/>
  <c r="I14" i="58" s="1"/>
  <c r="I72" i="49"/>
  <c r="O73" i="45"/>
  <c r="O73" i="46"/>
  <c r="O73" i="47"/>
  <c r="O15" i="57" s="1"/>
  <c r="O73" i="48"/>
  <c r="O73" i="49"/>
  <c r="I73" i="45"/>
  <c r="I73" i="46"/>
  <c r="I73" i="47"/>
  <c r="I73" i="48"/>
  <c r="I73" i="49"/>
  <c r="O74" i="45"/>
  <c r="O74" i="46"/>
  <c r="O74" i="47"/>
  <c r="O74" i="48"/>
  <c r="O74" i="49"/>
  <c r="I74" i="45"/>
  <c r="I74" i="46"/>
  <c r="I74" i="47"/>
  <c r="I74" i="48"/>
  <c r="I74" i="49"/>
  <c r="O75" i="45"/>
  <c r="O75" i="46"/>
  <c r="O17" i="56" s="1"/>
  <c r="O75" i="47"/>
  <c r="O75" i="48"/>
  <c r="O75" i="49"/>
  <c r="I75" i="45"/>
  <c r="I75" i="46"/>
  <c r="I75" i="47"/>
  <c r="I75" i="48"/>
  <c r="I75" i="49"/>
  <c r="O76" i="45"/>
  <c r="O76" i="46"/>
  <c r="O76" i="47"/>
  <c r="O18" i="57" s="1"/>
  <c r="O76" i="48"/>
  <c r="O76" i="49"/>
  <c r="I76" i="45"/>
  <c r="I76" i="46"/>
  <c r="I76" i="47"/>
  <c r="I76" i="48"/>
  <c r="I76" i="49"/>
  <c r="O78" i="45"/>
  <c r="O78" i="46"/>
  <c r="O78" i="47"/>
  <c r="O78" i="48"/>
  <c r="O20" i="58" s="1"/>
  <c r="O78" i="49"/>
  <c r="I78" i="45"/>
  <c r="I78" i="46"/>
  <c r="I78" i="47"/>
  <c r="I78" i="48"/>
  <c r="I78" i="49"/>
  <c r="O79" i="45"/>
  <c r="O79" i="46"/>
  <c r="O79" i="47"/>
  <c r="O79" i="48"/>
  <c r="O79" i="49"/>
  <c r="I79" i="45"/>
  <c r="I79" i="46"/>
  <c r="I79" i="47"/>
  <c r="I79" i="48"/>
  <c r="I79" i="49"/>
  <c r="O80" i="45"/>
  <c r="O22" i="55" s="1"/>
  <c r="O80" i="46"/>
  <c r="O22" i="56" s="1"/>
  <c r="O80" i="47"/>
  <c r="O80" i="48"/>
  <c r="O80" i="49"/>
  <c r="I80" i="45"/>
  <c r="I80" i="46"/>
  <c r="I80" i="47"/>
  <c r="I80" i="48"/>
  <c r="I80" i="49"/>
  <c r="O81" i="45"/>
  <c r="O23" i="55" s="1"/>
  <c r="O81" i="46"/>
  <c r="O81" i="47"/>
  <c r="O81" i="48"/>
  <c r="O81" i="49"/>
  <c r="O23" i="59" s="1"/>
  <c r="I81" i="45"/>
  <c r="I81" i="46"/>
  <c r="I81" i="47"/>
  <c r="I81" i="48"/>
  <c r="I81" i="49"/>
  <c r="O82" i="45"/>
  <c r="O82" i="46"/>
  <c r="O24" i="56" s="1"/>
  <c r="O82" i="47"/>
  <c r="O82" i="48"/>
  <c r="O82" i="49"/>
  <c r="I82" i="45"/>
  <c r="I82" i="46"/>
  <c r="I82" i="47"/>
  <c r="I82" i="48"/>
  <c r="I82" i="49"/>
  <c r="O83" i="45"/>
  <c r="O83" i="46"/>
  <c r="O83" i="47"/>
  <c r="O83" i="48"/>
  <c r="O83" i="49"/>
  <c r="I83" i="45"/>
  <c r="I83" i="46"/>
  <c r="I83" i="47"/>
  <c r="I83" i="48"/>
  <c r="I83" i="49"/>
  <c r="O84" i="45"/>
  <c r="O84" i="46"/>
  <c r="O26" i="56" s="1"/>
  <c r="O84" i="47"/>
  <c r="O84" i="48"/>
  <c r="O84" i="49"/>
  <c r="I84" i="45"/>
  <c r="I84" i="46"/>
  <c r="I84" i="47"/>
  <c r="I84" i="48"/>
  <c r="I84" i="49"/>
  <c r="O85" i="45"/>
  <c r="O27" i="55" s="1"/>
  <c r="O85" i="46"/>
  <c r="O85" i="47"/>
  <c r="O85" i="48"/>
  <c r="O85" i="49"/>
  <c r="I85" i="45"/>
  <c r="I85" i="46"/>
  <c r="I85" i="47"/>
  <c r="I85" i="48"/>
  <c r="I85" i="49"/>
  <c r="O86" i="45"/>
  <c r="O86" i="46"/>
  <c r="O86" i="47"/>
  <c r="O86" i="48"/>
  <c r="O86" i="49"/>
  <c r="I86" i="45"/>
  <c r="I86" i="46"/>
  <c r="I86" i="47"/>
  <c r="I86" i="48"/>
  <c r="I86" i="49"/>
  <c r="O87" i="45"/>
  <c r="O87" i="46"/>
  <c r="O87" i="47"/>
  <c r="O87" i="48"/>
  <c r="O87" i="49"/>
  <c r="I87" i="45"/>
  <c r="I87" i="46"/>
  <c r="I87" i="47"/>
  <c r="I87" i="48"/>
  <c r="I29" i="58" s="1"/>
  <c r="I87" i="49"/>
  <c r="O89" i="45"/>
  <c r="O89" i="46"/>
  <c r="O89" i="47"/>
  <c r="O89" i="48"/>
  <c r="O89" i="49"/>
  <c r="I89" i="45"/>
  <c r="I89" i="46"/>
  <c r="I89" i="47"/>
  <c r="I89" i="48"/>
  <c r="I89" i="49"/>
  <c r="O90" i="45"/>
  <c r="O90" i="46"/>
  <c r="O90" i="47"/>
  <c r="O90" i="48"/>
  <c r="O90" i="49"/>
  <c r="I90" i="45"/>
  <c r="I90" i="46"/>
  <c r="I90" i="47"/>
  <c r="I90" i="48"/>
  <c r="I90" i="49"/>
  <c r="O91" i="45"/>
  <c r="O91" i="46"/>
  <c r="O91" i="47"/>
  <c r="O91" i="48"/>
  <c r="O91" i="49"/>
  <c r="I91" i="45"/>
  <c r="I91" i="46"/>
  <c r="I91" i="47"/>
  <c r="I91" i="48"/>
  <c r="I91" i="49"/>
  <c r="E47" i="45"/>
  <c r="E47" i="46"/>
  <c r="E47" i="47"/>
  <c r="E47" i="48"/>
  <c r="E47" i="49"/>
  <c r="E18" i="30"/>
  <c r="E18" i="31"/>
  <c r="E76" i="45"/>
  <c r="E76" i="46"/>
  <c r="E76" i="47"/>
  <c r="E76" i="48"/>
  <c r="E76" i="49"/>
  <c r="D47" i="45"/>
  <c r="D47" i="46"/>
  <c r="D47" i="47"/>
  <c r="R47" i="47" s="1"/>
  <c r="D47" i="48"/>
  <c r="D47" i="49"/>
  <c r="D18" i="30"/>
  <c r="D18" i="31"/>
  <c r="D76" i="45"/>
  <c r="D76" i="46"/>
  <c r="D76" i="47"/>
  <c r="D76" i="48"/>
  <c r="D76" i="49"/>
  <c r="E39" i="45"/>
  <c r="E39" i="46"/>
  <c r="E39" i="47"/>
  <c r="E39" i="49"/>
  <c r="E10" i="30"/>
  <c r="E10" i="31"/>
  <c r="E68" i="45"/>
  <c r="E68" i="46"/>
  <c r="E68" i="47"/>
  <c r="E68" i="48"/>
  <c r="E68" i="49"/>
  <c r="D39" i="45"/>
  <c r="D39" i="46"/>
  <c r="D39" i="47"/>
  <c r="D39" i="48"/>
  <c r="D39" i="49"/>
  <c r="D10" i="30"/>
  <c r="D10" i="31"/>
  <c r="D68" i="45"/>
  <c r="D68" i="46"/>
  <c r="D68" i="47"/>
  <c r="D68" i="49"/>
  <c r="E36" i="45"/>
  <c r="E36" i="46"/>
  <c r="E36" i="47"/>
  <c r="E36" i="48"/>
  <c r="E36" i="49"/>
  <c r="E7" i="30"/>
  <c r="E7" i="31"/>
  <c r="E65" i="45"/>
  <c r="E65" i="46"/>
  <c r="E65" i="47"/>
  <c r="E65" i="48"/>
  <c r="E65" i="49"/>
  <c r="D36" i="45"/>
  <c r="D36" i="46"/>
  <c r="D36" i="47"/>
  <c r="D36" i="48"/>
  <c r="R36" i="48" s="1"/>
  <c r="D36" i="49"/>
  <c r="D7" i="30"/>
  <c r="D7" i="31"/>
  <c r="D65" i="45"/>
  <c r="D65" i="46"/>
  <c r="D65" i="47"/>
  <c r="D65" i="48"/>
  <c r="D65" i="49"/>
  <c r="E42" i="45"/>
  <c r="E42" i="46"/>
  <c r="E42" i="47"/>
  <c r="E42" i="48"/>
  <c r="E42" i="49"/>
  <c r="E13" i="30"/>
  <c r="E13" i="31"/>
  <c r="E71" i="45"/>
  <c r="E71" i="46"/>
  <c r="E71" i="47"/>
  <c r="E71" i="48"/>
  <c r="E71" i="49"/>
  <c r="D42" i="45"/>
  <c r="D42" i="46"/>
  <c r="D42" i="47"/>
  <c r="R42" i="47" s="1"/>
  <c r="D42" i="48"/>
  <c r="D42" i="49"/>
  <c r="D13" i="30"/>
  <c r="D13" i="31"/>
  <c r="D71" i="45"/>
  <c r="D71" i="46"/>
  <c r="R71" i="46" s="1"/>
  <c r="D71" i="47"/>
  <c r="D71" i="48"/>
  <c r="D71" i="49"/>
  <c r="E37" i="45"/>
  <c r="E37" i="46"/>
  <c r="E37" i="47"/>
  <c r="E37" i="48"/>
  <c r="E37" i="49"/>
  <c r="E8" i="30"/>
  <c r="E8" i="31"/>
  <c r="E66" i="45"/>
  <c r="E66" i="46"/>
  <c r="E66" i="47"/>
  <c r="E66" i="48"/>
  <c r="E66" i="49"/>
  <c r="E38" i="45"/>
  <c r="E38" i="46"/>
  <c r="E38" i="47"/>
  <c r="E38" i="48"/>
  <c r="E38" i="49"/>
  <c r="E9" i="30"/>
  <c r="E9" i="31"/>
  <c r="E67" i="45"/>
  <c r="E67" i="46"/>
  <c r="E67" i="47"/>
  <c r="E67" i="48"/>
  <c r="E67" i="49"/>
  <c r="E40" i="45"/>
  <c r="E40" i="46"/>
  <c r="E40" i="47"/>
  <c r="E40" i="48"/>
  <c r="E40" i="49"/>
  <c r="E11" i="30"/>
  <c r="E11" i="31"/>
  <c r="E69" i="45"/>
  <c r="E69" i="46"/>
  <c r="E69" i="47"/>
  <c r="E69" i="48"/>
  <c r="E69" i="49"/>
  <c r="E41" i="45"/>
  <c r="E41" i="46"/>
  <c r="E41" i="47"/>
  <c r="E41" i="48"/>
  <c r="E41" i="49"/>
  <c r="E12" i="30"/>
  <c r="E12" i="31"/>
  <c r="E70" i="45"/>
  <c r="E70" i="46"/>
  <c r="E70" i="47"/>
  <c r="E70" i="48"/>
  <c r="E70" i="49"/>
  <c r="E43" i="45"/>
  <c r="E43" i="46"/>
  <c r="E43" i="47"/>
  <c r="E43" i="48"/>
  <c r="E43" i="49"/>
  <c r="E14" i="30"/>
  <c r="E14" i="31"/>
  <c r="E72" i="45"/>
  <c r="E72" i="46"/>
  <c r="E72" i="47"/>
  <c r="E72" i="48"/>
  <c r="E72" i="49"/>
  <c r="E44" i="45"/>
  <c r="E44" i="46"/>
  <c r="E44" i="47"/>
  <c r="E44" i="48"/>
  <c r="E44" i="49"/>
  <c r="E15" i="30"/>
  <c r="E15" i="31"/>
  <c r="E73" i="45"/>
  <c r="E73" i="46"/>
  <c r="E73" i="47"/>
  <c r="E73" i="48"/>
  <c r="E73" i="49"/>
  <c r="E45" i="45"/>
  <c r="E45" i="46"/>
  <c r="E45" i="47"/>
  <c r="E45" i="48"/>
  <c r="E45" i="49"/>
  <c r="E16" i="30"/>
  <c r="E16" i="31"/>
  <c r="E74" i="45"/>
  <c r="E74" i="46"/>
  <c r="E74" i="47"/>
  <c r="E74" i="48"/>
  <c r="E74" i="49"/>
  <c r="E46" i="45"/>
  <c r="E46" i="46"/>
  <c r="E46" i="47"/>
  <c r="E46" i="48"/>
  <c r="E46" i="49"/>
  <c r="E17" i="30"/>
  <c r="E17" i="31"/>
  <c r="E75" i="45"/>
  <c r="E75" i="46"/>
  <c r="E75" i="47"/>
  <c r="E75" i="48"/>
  <c r="E75" i="49"/>
  <c r="D37" i="45"/>
  <c r="D37" i="46"/>
  <c r="D37" i="47"/>
  <c r="D37" i="48"/>
  <c r="D37" i="49"/>
  <c r="D8" i="30"/>
  <c r="D8" i="31"/>
  <c r="D66" i="45"/>
  <c r="D66" i="46"/>
  <c r="D66" i="47"/>
  <c r="D66" i="48"/>
  <c r="R66" i="48" s="1"/>
  <c r="D66" i="49"/>
  <c r="D38" i="45"/>
  <c r="D38" i="46"/>
  <c r="D38" i="47"/>
  <c r="D38" i="48"/>
  <c r="D38" i="49"/>
  <c r="D9" i="30"/>
  <c r="D9" i="31"/>
  <c r="D67" i="45"/>
  <c r="D67" i="46"/>
  <c r="D67" i="47"/>
  <c r="D67" i="48"/>
  <c r="D67" i="49"/>
  <c r="D40" i="45"/>
  <c r="D40" i="46"/>
  <c r="D40" i="47"/>
  <c r="D40" i="48"/>
  <c r="D40" i="49"/>
  <c r="D11" i="30"/>
  <c r="D11" i="31"/>
  <c r="D69" i="45"/>
  <c r="D69" i="46"/>
  <c r="D69" i="47"/>
  <c r="D69" i="48"/>
  <c r="D69" i="49"/>
  <c r="D41" i="45"/>
  <c r="D41" i="46"/>
  <c r="D41" i="47"/>
  <c r="D41" i="48"/>
  <c r="R41" i="48" s="1"/>
  <c r="D41" i="49"/>
  <c r="D12" i="30"/>
  <c r="D12" i="31"/>
  <c r="D70" i="45"/>
  <c r="D70" i="46"/>
  <c r="D70" i="47"/>
  <c r="D70" i="48"/>
  <c r="D70" i="49"/>
  <c r="D43" i="45"/>
  <c r="R43" i="45" s="1"/>
  <c r="D43" i="46"/>
  <c r="R43" i="46" s="1"/>
  <c r="D43" i="47"/>
  <c r="D43" i="48"/>
  <c r="R43" i="48" s="1"/>
  <c r="D43" i="49"/>
  <c r="R43" i="49" s="1"/>
  <c r="D14" i="30"/>
  <c r="D14" i="31"/>
  <c r="D72" i="45"/>
  <c r="R72" i="45" s="1"/>
  <c r="D72" i="46"/>
  <c r="R72" i="46" s="1"/>
  <c r="D72" i="47"/>
  <c r="R72" i="47" s="1"/>
  <c r="D72" i="48"/>
  <c r="R72" i="48" s="1"/>
  <c r="D72" i="49"/>
  <c r="R72" i="49" s="1"/>
  <c r="D44" i="45"/>
  <c r="D44" i="46"/>
  <c r="D44" i="47"/>
  <c r="D44" i="48"/>
  <c r="D44" i="49"/>
  <c r="R44" i="49" s="1"/>
  <c r="D15" i="30"/>
  <c r="D15" i="31"/>
  <c r="D73" i="45"/>
  <c r="D73" i="46"/>
  <c r="D73" i="47"/>
  <c r="D73" i="48"/>
  <c r="D73" i="49"/>
  <c r="D45" i="45"/>
  <c r="D45" i="46"/>
  <c r="D45" i="47"/>
  <c r="D45" i="48"/>
  <c r="D45" i="49"/>
  <c r="D16" i="30"/>
  <c r="D16" i="31"/>
  <c r="D74" i="45"/>
  <c r="D74" i="46"/>
  <c r="D74" i="47"/>
  <c r="D74" i="48"/>
  <c r="D74" i="49"/>
  <c r="D46" i="45"/>
  <c r="R46" i="45" s="1"/>
  <c r="D46" i="46"/>
  <c r="R46" i="46" s="1"/>
  <c r="D46" i="47"/>
  <c r="D46" i="48"/>
  <c r="D46" i="49"/>
  <c r="R46" i="49" s="1"/>
  <c r="D17" i="30"/>
  <c r="D17" i="31"/>
  <c r="D75" i="45"/>
  <c r="D75" i="46"/>
  <c r="D75" i="47"/>
  <c r="D75" i="48"/>
  <c r="D75" i="49"/>
  <c r="E58" i="45"/>
  <c r="E58" i="46"/>
  <c r="E58" i="47"/>
  <c r="E58" i="48"/>
  <c r="E58" i="49"/>
  <c r="E29" i="30"/>
  <c r="E29" i="31"/>
  <c r="E87" i="45"/>
  <c r="E87" i="46"/>
  <c r="E87" i="47"/>
  <c r="E87" i="48"/>
  <c r="E87" i="49"/>
  <c r="E57" i="45"/>
  <c r="E57" i="46"/>
  <c r="E57" i="47"/>
  <c r="E57" i="48"/>
  <c r="E57" i="49"/>
  <c r="E28" i="30"/>
  <c r="E30" i="30" s="1"/>
  <c r="E28" i="31"/>
  <c r="E30" i="31" s="1"/>
  <c r="E86" i="45"/>
  <c r="E86" i="46"/>
  <c r="E86" i="47"/>
  <c r="E86" i="48"/>
  <c r="E86" i="49"/>
  <c r="E62" i="45"/>
  <c r="E62" i="46"/>
  <c r="E62" i="47"/>
  <c r="E62" i="48"/>
  <c r="E62" i="49"/>
  <c r="E33" i="30"/>
  <c r="E33" i="31"/>
  <c r="E91" i="45"/>
  <c r="E91" i="46"/>
  <c r="E91" i="47"/>
  <c r="E91" i="48"/>
  <c r="E91" i="49"/>
  <c r="E61" i="45"/>
  <c r="E61" i="46"/>
  <c r="E61" i="47"/>
  <c r="E61" i="48"/>
  <c r="E61" i="49"/>
  <c r="E32" i="30"/>
  <c r="E32" i="31"/>
  <c r="E90" i="45"/>
  <c r="E90" i="46"/>
  <c r="E90" i="47"/>
  <c r="E90" i="48"/>
  <c r="E90" i="49"/>
  <c r="E60" i="45"/>
  <c r="E60" i="46"/>
  <c r="E60" i="47"/>
  <c r="E60" i="48"/>
  <c r="E60" i="49"/>
  <c r="E31" i="30"/>
  <c r="E31" i="31"/>
  <c r="E34" i="31" s="1"/>
  <c r="E89" i="45"/>
  <c r="E89" i="46"/>
  <c r="E89" i="47"/>
  <c r="E89" i="48"/>
  <c r="E89" i="49"/>
  <c r="D58" i="45"/>
  <c r="D58" i="46"/>
  <c r="D58" i="47"/>
  <c r="D58" i="48"/>
  <c r="R58" i="48" s="1"/>
  <c r="D58" i="49"/>
  <c r="D29" i="30"/>
  <c r="D29" i="31"/>
  <c r="D87" i="45"/>
  <c r="D87" i="46"/>
  <c r="R87" i="46" s="1"/>
  <c r="D87" i="47"/>
  <c r="D87" i="48"/>
  <c r="D87" i="49"/>
  <c r="R87" i="49" s="1"/>
  <c r="D57" i="45"/>
  <c r="D57" i="46"/>
  <c r="D57" i="47"/>
  <c r="D57" i="48"/>
  <c r="D57" i="49"/>
  <c r="D28" i="30"/>
  <c r="D28" i="31"/>
  <c r="D86" i="45"/>
  <c r="D86" i="46"/>
  <c r="D86" i="47"/>
  <c r="D86" i="48"/>
  <c r="D86" i="49"/>
  <c r="D62" i="45"/>
  <c r="D62" i="46"/>
  <c r="D62" i="47"/>
  <c r="D62" i="48"/>
  <c r="D62" i="49"/>
  <c r="D33" i="30"/>
  <c r="D33" i="31"/>
  <c r="D91" i="45"/>
  <c r="D91" i="46"/>
  <c r="D91" i="47"/>
  <c r="D91" i="48"/>
  <c r="D91" i="49"/>
  <c r="D61" i="45"/>
  <c r="D61" i="46"/>
  <c r="D61" i="47"/>
  <c r="D61" i="48"/>
  <c r="D61" i="49"/>
  <c r="D32" i="30"/>
  <c r="D32" i="31"/>
  <c r="D90" i="45"/>
  <c r="D90" i="46"/>
  <c r="R90" i="46" s="1"/>
  <c r="D90" i="47"/>
  <c r="D90" i="48"/>
  <c r="D90" i="49"/>
  <c r="D60" i="45"/>
  <c r="D60" i="46"/>
  <c r="D60" i="47"/>
  <c r="D60" i="48"/>
  <c r="D60" i="49"/>
  <c r="D31" i="30"/>
  <c r="D31" i="31"/>
  <c r="D34" i="31" s="1"/>
  <c r="D89" i="45"/>
  <c r="D89" i="46"/>
  <c r="D89" i="47"/>
  <c r="D89" i="48"/>
  <c r="D89" i="49"/>
  <c r="E51" i="45"/>
  <c r="E51" i="46"/>
  <c r="E51" i="47"/>
  <c r="E51" i="48"/>
  <c r="E51" i="49"/>
  <c r="E22" i="30"/>
  <c r="E22" i="31"/>
  <c r="E80" i="45"/>
  <c r="E80" i="46"/>
  <c r="E80" i="47"/>
  <c r="E80" i="48"/>
  <c r="E80" i="49"/>
  <c r="D51" i="45"/>
  <c r="D51" i="46"/>
  <c r="D51" i="47"/>
  <c r="D51" i="48"/>
  <c r="D51" i="49"/>
  <c r="D22" i="30"/>
  <c r="D22" i="31"/>
  <c r="D80" i="45"/>
  <c r="D80" i="46"/>
  <c r="D80" i="47"/>
  <c r="D80" i="48"/>
  <c r="D80" i="49"/>
  <c r="E53" i="45"/>
  <c r="E53" i="46"/>
  <c r="E53" i="47"/>
  <c r="E53" i="48"/>
  <c r="E53" i="49"/>
  <c r="E24" i="30"/>
  <c r="E24" i="31"/>
  <c r="E82" i="45"/>
  <c r="E82" i="46"/>
  <c r="E82" i="47"/>
  <c r="E82" i="48"/>
  <c r="E82" i="49"/>
  <c r="D53" i="45"/>
  <c r="D53" i="46"/>
  <c r="D53" i="47"/>
  <c r="D53" i="48"/>
  <c r="D53" i="49"/>
  <c r="D24" i="30"/>
  <c r="D24" i="31"/>
  <c r="D82" i="45"/>
  <c r="D82" i="46"/>
  <c r="R82" i="46" s="1"/>
  <c r="D82" i="47"/>
  <c r="R82" i="47" s="1"/>
  <c r="D82" i="48"/>
  <c r="D82" i="49"/>
  <c r="E49" i="45"/>
  <c r="E49" i="46"/>
  <c r="E49" i="47"/>
  <c r="E49" i="48"/>
  <c r="E49" i="49"/>
  <c r="E20" i="30"/>
  <c r="E20" i="31"/>
  <c r="E78" i="45"/>
  <c r="E78" i="46"/>
  <c r="E78" i="47"/>
  <c r="E78" i="48"/>
  <c r="E78" i="49"/>
  <c r="E55" i="45"/>
  <c r="E55" i="46"/>
  <c r="E55" i="47"/>
  <c r="E55" i="48"/>
  <c r="E55" i="49"/>
  <c r="E26" i="30"/>
  <c r="E26" i="31"/>
  <c r="E84" i="45"/>
  <c r="E84" i="46"/>
  <c r="E84" i="47"/>
  <c r="E84" i="48"/>
  <c r="E84" i="49"/>
  <c r="E56" i="45"/>
  <c r="E56" i="46"/>
  <c r="E56" i="47"/>
  <c r="E56" i="48"/>
  <c r="E56" i="49"/>
  <c r="E27" i="30"/>
  <c r="E27" i="31"/>
  <c r="E85" i="45"/>
  <c r="E85" i="46"/>
  <c r="E85" i="47"/>
  <c r="E85" i="48"/>
  <c r="E85" i="49"/>
  <c r="D49" i="45"/>
  <c r="D49" i="46"/>
  <c r="D49" i="47"/>
  <c r="D49" i="48"/>
  <c r="D20" i="58" s="1"/>
  <c r="D49" i="49"/>
  <c r="D20" i="30"/>
  <c r="D20" i="31"/>
  <c r="D78" i="45"/>
  <c r="D78" i="46"/>
  <c r="D78" i="47"/>
  <c r="D78" i="48"/>
  <c r="D78" i="49"/>
  <c r="D55" i="45"/>
  <c r="D55" i="46"/>
  <c r="D55" i="47"/>
  <c r="D55" i="48"/>
  <c r="D55" i="49"/>
  <c r="D26" i="30"/>
  <c r="D26" i="31"/>
  <c r="D84" i="45"/>
  <c r="D84" i="46"/>
  <c r="D84" i="47"/>
  <c r="D84" i="48"/>
  <c r="D84" i="49"/>
  <c r="D56" i="45"/>
  <c r="D56" i="46"/>
  <c r="D56" i="47"/>
  <c r="D56" i="48"/>
  <c r="D56" i="49"/>
  <c r="D27" i="30"/>
  <c r="D27" i="31"/>
  <c r="D85" i="45"/>
  <c r="D85" i="46"/>
  <c r="D85" i="47"/>
  <c r="D85" i="48"/>
  <c r="D85" i="49"/>
  <c r="F47" i="45"/>
  <c r="F47" i="46"/>
  <c r="F47" i="47"/>
  <c r="F47" i="48"/>
  <c r="F47" i="49"/>
  <c r="F18" i="30"/>
  <c r="F18" i="31"/>
  <c r="F76" i="45"/>
  <c r="F76" i="46"/>
  <c r="F76" i="47"/>
  <c r="F76" i="48"/>
  <c r="F76" i="49"/>
  <c r="F39" i="45"/>
  <c r="F39" i="46"/>
  <c r="F39" i="47"/>
  <c r="F39" i="48"/>
  <c r="F39" i="49"/>
  <c r="F10" i="30"/>
  <c r="F10" i="31"/>
  <c r="F68" i="45"/>
  <c r="F68" i="46"/>
  <c r="F68" i="47"/>
  <c r="F68" i="48"/>
  <c r="F68" i="49"/>
  <c r="F36" i="45"/>
  <c r="F36" i="46"/>
  <c r="F36" i="47"/>
  <c r="F36" i="48"/>
  <c r="F36" i="49"/>
  <c r="F7" i="30"/>
  <c r="F7" i="31"/>
  <c r="F65" i="45"/>
  <c r="F65" i="46"/>
  <c r="F65" i="47"/>
  <c r="F65" i="48"/>
  <c r="F65" i="49"/>
  <c r="F42" i="45"/>
  <c r="F42" i="46"/>
  <c r="F42" i="47"/>
  <c r="F42" i="48"/>
  <c r="F42" i="49"/>
  <c r="F13" i="30"/>
  <c r="F13" i="31"/>
  <c r="F71" i="45"/>
  <c r="F71" i="46"/>
  <c r="F71" i="47"/>
  <c r="F71" i="48"/>
  <c r="F71" i="49"/>
  <c r="F37" i="45"/>
  <c r="F37" i="46"/>
  <c r="F37" i="47"/>
  <c r="F37" i="48"/>
  <c r="F37" i="49"/>
  <c r="F8" i="30"/>
  <c r="F8" i="31"/>
  <c r="F66" i="45"/>
  <c r="F66" i="46"/>
  <c r="F66" i="47"/>
  <c r="F66" i="48"/>
  <c r="F66" i="49"/>
  <c r="F38" i="45"/>
  <c r="F38" i="46"/>
  <c r="F38" i="47"/>
  <c r="F38" i="48"/>
  <c r="F38" i="49"/>
  <c r="F9" i="30"/>
  <c r="F9" i="31"/>
  <c r="F67" i="45"/>
  <c r="F67" i="46"/>
  <c r="F67" i="47"/>
  <c r="F67" i="48"/>
  <c r="F67" i="49"/>
  <c r="F40" i="45"/>
  <c r="F40" i="46"/>
  <c r="F40" i="47"/>
  <c r="F40" i="48"/>
  <c r="F40" i="49"/>
  <c r="F11" i="30"/>
  <c r="F11" i="31"/>
  <c r="F69" i="45"/>
  <c r="F69" i="46"/>
  <c r="F69" i="47"/>
  <c r="F69" i="48"/>
  <c r="F69" i="49"/>
  <c r="F41" i="45"/>
  <c r="F41" i="46"/>
  <c r="F41" i="47"/>
  <c r="F41" i="48"/>
  <c r="F41" i="49"/>
  <c r="F12" i="30"/>
  <c r="F12" i="31"/>
  <c r="F70" i="45"/>
  <c r="F70" i="46"/>
  <c r="F70" i="47"/>
  <c r="F70" i="48"/>
  <c r="F70" i="49"/>
  <c r="F43" i="45"/>
  <c r="F43" i="46"/>
  <c r="F43" i="47"/>
  <c r="F43" i="48"/>
  <c r="F43" i="49"/>
  <c r="F14" i="30"/>
  <c r="F14" i="31"/>
  <c r="F72" i="45"/>
  <c r="F72" i="46"/>
  <c r="F72" i="47"/>
  <c r="F72" i="48"/>
  <c r="F72" i="49"/>
  <c r="F44" i="45"/>
  <c r="F44" i="46"/>
  <c r="F44" i="47"/>
  <c r="F44" i="48"/>
  <c r="F44" i="49"/>
  <c r="F15" i="30"/>
  <c r="F15" i="31"/>
  <c r="F73" i="45"/>
  <c r="F73" i="46"/>
  <c r="F73" i="47"/>
  <c r="F73" i="48"/>
  <c r="F73" i="49"/>
  <c r="F45" i="45"/>
  <c r="F45" i="46"/>
  <c r="F45" i="47"/>
  <c r="F45" i="48"/>
  <c r="F45" i="49"/>
  <c r="F16" i="30"/>
  <c r="F16" i="31"/>
  <c r="F74" i="45"/>
  <c r="F74" i="46"/>
  <c r="F74" i="47"/>
  <c r="F74" i="48"/>
  <c r="F74" i="49"/>
  <c r="F46" i="45"/>
  <c r="F46" i="46"/>
  <c r="F46" i="47"/>
  <c r="F46" i="48"/>
  <c r="F46" i="49"/>
  <c r="F17" i="30"/>
  <c r="F17" i="31"/>
  <c r="F75" i="45"/>
  <c r="F75" i="46"/>
  <c r="F75" i="47"/>
  <c r="F75" i="48"/>
  <c r="F75" i="49"/>
  <c r="F58" i="45"/>
  <c r="F58" i="46"/>
  <c r="F58" i="47"/>
  <c r="F58" i="48"/>
  <c r="F58" i="49"/>
  <c r="F29" i="30"/>
  <c r="F29" i="31"/>
  <c r="F87" i="45"/>
  <c r="F87" i="46"/>
  <c r="F87" i="47"/>
  <c r="F87" i="48"/>
  <c r="F87" i="49"/>
  <c r="F57" i="45"/>
  <c r="F57" i="46"/>
  <c r="F57" i="47"/>
  <c r="F57" i="48"/>
  <c r="F57" i="49"/>
  <c r="F28" i="30"/>
  <c r="F28" i="31"/>
  <c r="F86" i="45"/>
  <c r="F86" i="46"/>
  <c r="F86" i="47"/>
  <c r="F86" i="48"/>
  <c r="F86" i="49"/>
  <c r="F62" i="45"/>
  <c r="F62" i="46"/>
  <c r="F62" i="47"/>
  <c r="F62" i="48"/>
  <c r="F62" i="49"/>
  <c r="F33" i="30"/>
  <c r="F33" i="31"/>
  <c r="F91" i="45"/>
  <c r="F91" i="46"/>
  <c r="F91" i="47"/>
  <c r="F91" i="48"/>
  <c r="F91" i="49"/>
  <c r="F61" i="45"/>
  <c r="F61" i="46"/>
  <c r="F61" i="47"/>
  <c r="F61" i="48"/>
  <c r="F61" i="49"/>
  <c r="F32" i="30"/>
  <c r="F32" i="31"/>
  <c r="F90" i="45"/>
  <c r="F90" i="46"/>
  <c r="F90" i="47"/>
  <c r="F90" i="48"/>
  <c r="F90" i="49"/>
  <c r="F60" i="45"/>
  <c r="F60" i="46"/>
  <c r="F60" i="47"/>
  <c r="F60" i="48"/>
  <c r="F60" i="49"/>
  <c r="F31" i="30"/>
  <c r="F34" i="30" s="1"/>
  <c r="F31" i="31"/>
  <c r="F34" i="31" s="1"/>
  <c r="F89" i="45"/>
  <c r="F89" i="46"/>
  <c r="F89" i="47"/>
  <c r="F89" i="48"/>
  <c r="F89" i="49"/>
  <c r="F51" i="45"/>
  <c r="F51" i="46"/>
  <c r="F51" i="47"/>
  <c r="F51" i="48"/>
  <c r="F51" i="49"/>
  <c r="F22" i="30"/>
  <c r="F22" i="31"/>
  <c r="F80" i="45"/>
  <c r="F80" i="46"/>
  <c r="F80" i="47"/>
  <c r="F80" i="48"/>
  <c r="F80" i="49"/>
  <c r="F53" i="45"/>
  <c r="F53" i="46"/>
  <c r="F53" i="47"/>
  <c r="F53" i="48"/>
  <c r="F53" i="49"/>
  <c r="F24" i="30"/>
  <c r="F24" i="31"/>
  <c r="F82" i="45"/>
  <c r="F82" i="46"/>
  <c r="F82" i="47"/>
  <c r="F82" i="48"/>
  <c r="F82" i="49"/>
  <c r="F49" i="45"/>
  <c r="F49" i="46"/>
  <c r="F49" i="47"/>
  <c r="F49" i="48"/>
  <c r="F49" i="49"/>
  <c r="F20" i="30"/>
  <c r="F20" i="31"/>
  <c r="F78" i="45"/>
  <c r="F78" i="46"/>
  <c r="F78" i="47"/>
  <c r="F78" i="48"/>
  <c r="F78" i="49"/>
  <c r="F55" i="45"/>
  <c r="F55" i="46"/>
  <c r="F55" i="47"/>
  <c r="F55" i="48"/>
  <c r="F55" i="49"/>
  <c r="F26" i="30"/>
  <c r="F26" i="31"/>
  <c r="F84" i="45"/>
  <c r="F84" i="46"/>
  <c r="F84" i="47"/>
  <c r="F84" i="48"/>
  <c r="F84" i="49"/>
  <c r="F56" i="45"/>
  <c r="F56" i="46"/>
  <c r="F56" i="47"/>
  <c r="F56" i="48"/>
  <c r="F56" i="49"/>
  <c r="F27" i="30"/>
  <c r="F27" i="31"/>
  <c r="F85" i="45"/>
  <c r="F85" i="46"/>
  <c r="F85" i="47"/>
  <c r="F85" i="48"/>
  <c r="F85" i="49"/>
  <c r="G47" i="45"/>
  <c r="G47" i="46"/>
  <c r="G47" i="47"/>
  <c r="G47" i="48"/>
  <c r="G47" i="49"/>
  <c r="G18" i="30"/>
  <c r="G18" i="31"/>
  <c r="G76" i="45"/>
  <c r="G76" i="46"/>
  <c r="G76" i="47"/>
  <c r="G76" i="48"/>
  <c r="G76" i="49"/>
  <c r="G39" i="45"/>
  <c r="G39" i="46"/>
  <c r="G39" i="47"/>
  <c r="G39" i="48"/>
  <c r="G39" i="49"/>
  <c r="G10" i="30"/>
  <c r="G10" i="31"/>
  <c r="G68" i="45"/>
  <c r="G68" i="46"/>
  <c r="G68" i="47"/>
  <c r="G68" i="48"/>
  <c r="G68" i="49"/>
  <c r="G36" i="45"/>
  <c r="G36" i="46"/>
  <c r="G36" i="47"/>
  <c r="G36" i="48"/>
  <c r="G36" i="49"/>
  <c r="G7" i="30"/>
  <c r="G7" i="31"/>
  <c r="G65" i="45"/>
  <c r="G65" i="46"/>
  <c r="G65" i="47"/>
  <c r="G65" i="48"/>
  <c r="G65" i="49"/>
  <c r="G42" i="45"/>
  <c r="G42" i="46"/>
  <c r="G42" i="47"/>
  <c r="G42" i="48"/>
  <c r="G42" i="49"/>
  <c r="G13" i="30"/>
  <c r="G13" i="31"/>
  <c r="G71" i="45"/>
  <c r="G71" i="46"/>
  <c r="G71" i="47"/>
  <c r="G71" i="48"/>
  <c r="G71" i="49"/>
  <c r="G37" i="45"/>
  <c r="G37" i="46"/>
  <c r="G37" i="47"/>
  <c r="G37" i="48"/>
  <c r="G37" i="49"/>
  <c r="G8" i="30"/>
  <c r="G8" i="31"/>
  <c r="G66" i="45"/>
  <c r="G66" i="46"/>
  <c r="G66" i="47"/>
  <c r="G66" i="48"/>
  <c r="G66" i="49"/>
  <c r="G38" i="45"/>
  <c r="G38" i="46"/>
  <c r="G38" i="47"/>
  <c r="G38" i="48"/>
  <c r="G38" i="49"/>
  <c r="G9" i="30"/>
  <c r="G9" i="31"/>
  <c r="G67" i="45"/>
  <c r="G67" i="46"/>
  <c r="G67" i="47"/>
  <c r="G67" i="48"/>
  <c r="G67" i="49"/>
  <c r="G40" i="45"/>
  <c r="G40" i="46"/>
  <c r="G40" i="47"/>
  <c r="G40" i="48"/>
  <c r="G40" i="49"/>
  <c r="G11" i="30"/>
  <c r="G11" i="31"/>
  <c r="G69" i="45"/>
  <c r="G69" i="46"/>
  <c r="G69" i="47"/>
  <c r="G69" i="48"/>
  <c r="G69" i="49"/>
  <c r="G41" i="45"/>
  <c r="G41" i="46"/>
  <c r="G41" i="47"/>
  <c r="G41" i="48"/>
  <c r="G41" i="49"/>
  <c r="G12" i="30"/>
  <c r="G12" i="31"/>
  <c r="G70" i="45"/>
  <c r="G70" i="46"/>
  <c r="G70" i="47"/>
  <c r="G70" i="48"/>
  <c r="G70" i="49"/>
  <c r="G43" i="45"/>
  <c r="G43" i="46"/>
  <c r="G43" i="47"/>
  <c r="G43" i="48"/>
  <c r="G43" i="49"/>
  <c r="G14" i="30"/>
  <c r="G14" i="31"/>
  <c r="G72" i="45"/>
  <c r="G72" i="46"/>
  <c r="G72" i="47"/>
  <c r="G72" i="48"/>
  <c r="G72" i="49"/>
  <c r="G44" i="45"/>
  <c r="G44" i="46"/>
  <c r="G44" i="47"/>
  <c r="G44" i="48"/>
  <c r="G44" i="49"/>
  <c r="G15" i="30"/>
  <c r="G15" i="31"/>
  <c r="G73" i="45"/>
  <c r="G73" i="46"/>
  <c r="G73" i="47"/>
  <c r="G73" i="48"/>
  <c r="G73" i="49"/>
  <c r="G45" i="45"/>
  <c r="G45" i="46"/>
  <c r="G45" i="47"/>
  <c r="G45" i="48"/>
  <c r="G45" i="49"/>
  <c r="G16" i="30"/>
  <c r="G16" i="31"/>
  <c r="G74" i="45"/>
  <c r="G74" i="46"/>
  <c r="G74" i="47"/>
  <c r="G74" i="48"/>
  <c r="G74" i="49"/>
  <c r="G46" i="45"/>
  <c r="G46" i="46"/>
  <c r="G46" i="47"/>
  <c r="G46" i="48"/>
  <c r="G46" i="49"/>
  <c r="G17" i="30"/>
  <c r="G17" i="31"/>
  <c r="G75" i="45"/>
  <c r="G75" i="46"/>
  <c r="G75" i="47"/>
  <c r="G75" i="48"/>
  <c r="G75" i="49"/>
  <c r="G58" i="45"/>
  <c r="G58" i="46"/>
  <c r="G58" i="47"/>
  <c r="G58" i="48"/>
  <c r="G58" i="49"/>
  <c r="G29" i="30"/>
  <c r="G29" i="31"/>
  <c r="G87" i="45"/>
  <c r="G87" i="46"/>
  <c r="G87" i="47"/>
  <c r="G87" i="48"/>
  <c r="G87" i="49"/>
  <c r="G57" i="45"/>
  <c r="G57" i="46"/>
  <c r="G57" i="47"/>
  <c r="G57" i="48"/>
  <c r="G57" i="49"/>
  <c r="G28" i="30"/>
  <c r="G28" i="31"/>
  <c r="G86" i="45"/>
  <c r="G86" i="46"/>
  <c r="G86" i="47"/>
  <c r="G86" i="48"/>
  <c r="G86" i="49"/>
  <c r="G62" i="45"/>
  <c r="G62" i="46"/>
  <c r="G62" i="47"/>
  <c r="G62" i="48"/>
  <c r="G62" i="49"/>
  <c r="G33" i="30"/>
  <c r="G33" i="31"/>
  <c r="G91" i="45"/>
  <c r="G91" i="46"/>
  <c r="G91" i="47"/>
  <c r="G91" i="48"/>
  <c r="G91" i="49"/>
  <c r="G61" i="45"/>
  <c r="G61" i="46"/>
  <c r="G61" i="47"/>
  <c r="G61" i="48"/>
  <c r="G61" i="49"/>
  <c r="G32" i="30"/>
  <c r="G32" i="31"/>
  <c r="G90" i="45"/>
  <c r="G90" i="46"/>
  <c r="G90" i="47"/>
  <c r="G90" i="48"/>
  <c r="G90" i="49"/>
  <c r="G60" i="45"/>
  <c r="G60" i="46"/>
  <c r="G60" i="47"/>
  <c r="G60" i="48"/>
  <c r="G60" i="49"/>
  <c r="G31" i="30"/>
  <c r="G34" i="30" s="1"/>
  <c r="G31" i="31"/>
  <c r="G89" i="45"/>
  <c r="G89" i="46"/>
  <c r="G89" i="47"/>
  <c r="G89" i="48"/>
  <c r="G89" i="49"/>
  <c r="G51" i="45"/>
  <c r="G51" i="46"/>
  <c r="G51" i="47"/>
  <c r="G51" i="48"/>
  <c r="G51" i="49"/>
  <c r="G22" i="30"/>
  <c r="G22" i="31"/>
  <c r="G80" i="45"/>
  <c r="G80" i="46"/>
  <c r="G80" i="47"/>
  <c r="G80" i="48"/>
  <c r="G80" i="49"/>
  <c r="G53" i="45"/>
  <c r="G53" i="46"/>
  <c r="G53" i="47"/>
  <c r="G53" i="48"/>
  <c r="G53" i="49"/>
  <c r="G24" i="30"/>
  <c r="G24" i="31"/>
  <c r="G82" i="45"/>
  <c r="G82" i="46"/>
  <c r="G82" i="47"/>
  <c r="G82" i="48"/>
  <c r="G82" i="49"/>
  <c r="G49" i="45"/>
  <c r="G49" i="46"/>
  <c r="G49" i="47"/>
  <c r="G49" i="48"/>
  <c r="G49" i="49"/>
  <c r="G20" i="30"/>
  <c r="G20" i="31"/>
  <c r="G78" i="45"/>
  <c r="G78" i="46"/>
  <c r="G78" i="47"/>
  <c r="G78" i="48"/>
  <c r="G78" i="49"/>
  <c r="G55" i="45"/>
  <c r="G55" i="46"/>
  <c r="G55" i="47"/>
  <c r="G55" i="48"/>
  <c r="G55" i="49"/>
  <c r="G26" i="30"/>
  <c r="G26" i="31"/>
  <c r="G84" i="45"/>
  <c r="G84" i="46"/>
  <c r="G84" i="47"/>
  <c r="G84" i="48"/>
  <c r="G84" i="49"/>
  <c r="G56" i="45"/>
  <c r="G56" i="46"/>
  <c r="G56" i="47"/>
  <c r="G56" i="48"/>
  <c r="G56" i="49"/>
  <c r="G27" i="30"/>
  <c r="G27" i="31"/>
  <c r="G85" i="45"/>
  <c r="G85" i="46"/>
  <c r="G85" i="47"/>
  <c r="G85" i="48"/>
  <c r="G85" i="49"/>
  <c r="H47" i="45"/>
  <c r="H47" i="46"/>
  <c r="H47" i="47"/>
  <c r="H47" i="48"/>
  <c r="H47" i="49"/>
  <c r="H18" i="30"/>
  <c r="H18" i="31"/>
  <c r="H76" i="45"/>
  <c r="H76" i="46"/>
  <c r="H76" i="47"/>
  <c r="H76" i="48"/>
  <c r="H76" i="49"/>
  <c r="H39" i="45"/>
  <c r="H39" i="46"/>
  <c r="H39" i="47"/>
  <c r="H39" i="48"/>
  <c r="H39" i="49"/>
  <c r="H10" i="30"/>
  <c r="H10" i="31"/>
  <c r="H68" i="45"/>
  <c r="H68" i="46"/>
  <c r="H68" i="47"/>
  <c r="H68" i="48"/>
  <c r="H68" i="49"/>
  <c r="H36" i="45"/>
  <c r="H36" i="46"/>
  <c r="H36" i="47"/>
  <c r="H36" i="48"/>
  <c r="H36" i="49"/>
  <c r="H7" i="30"/>
  <c r="H7" i="31"/>
  <c r="H65" i="45"/>
  <c r="H65" i="46"/>
  <c r="H65" i="47"/>
  <c r="H65" i="48"/>
  <c r="H65" i="49"/>
  <c r="H42" i="45"/>
  <c r="H42" i="46"/>
  <c r="H42" i="47"/>
  <c r="H42" i="48"/>
  <c r="H42" i="49"/>
  <c r="H13" i="30"/>
  <c r="H13" i="31"/>
  <c r="H71" i="45"/>
  <c r="H71" i="46"/>
  <c r="H13" i="56" s="1"/>
  <c r="H71" i="47"/>
  <c r="H71" i="48"/>
  <c r="H71" i="49"/>
  <c r="H37" i="45"/>
  <c r="H37" i="46"/>
  <c r="H37" i="47"/>
  <c r="H37" i="48"/>
  <c r="H37" i="49"/>
  <c r="H8" i="30"/>
  <c r="H8" i="31"/>
  <c r="H66" i="45"/>
  <c r="H66" i="46"/>
  <c r="H66" i="47"/>
  <c r="H66" i="48"/>
  <c r="H66" i="49"/>
  <c r="H38" i="45"/>
  <c r="H38" i="46"/>
  <c r="H38" i="47"/>
  <c r="H38" i="48"/>
  <c r="H38" i="49"/>
  <c r="H9" i="30"/>
  <c r="H9" i="31"/>
  <c r="H67" i="45"/>
  <c r="H67" i="46"/>
  <c r="H67" i="47"/>
  <c r="H67" i="48"/>
  <c r="H67" i="49"/>
  <c r="H40" i="45"/>
  <c r="H40" i="46"/>
  <c r="H40" i="47"/>
  <c r="H40" i="48"/>
  <c r="H40" i="49"/>
  <c r="H11" i="30"/>
  <c r="H11" i="31"/>
  <c r="H69" i="45"/>
  <c r="H69" i="46"/>
  <c r="H69" i="47"/>
  <c r="H69" i="48"/>
  <c r="H69" i="49"/>
  <c r="H41" i="45"/>
  <c r="H41" i="46"/>
  <c r="H41" i="47"/>
  <c r="H41" i="48"/>
  <c r="H41" i="49"/>
  <c r="H12" i="30"/>
  <c r="H12" i="31"/>
  <c r="H70" i="45"/>
  <c r="H70" i="46"/>
  <c r="H70" i="47"/>
  <c r="H70" i="48"/>
  <c r="H70" i="49"/>
  <c r="H43" i="45"/>
  <c r="H43" i="46"/>
  <c r="H43" i="47"/>
  <c r="H43" i="48"/>
  <c r="H43" i="49"/>
  <c r="H14" i="30"/>
  <c r="H14" i="31"/>
  <c r="H72" i="45"/>
  <c r="H72" i="46"/>
  <c r="H72" i="47"/>
  <c r="H72" i="48"/>
  <c r="H72" i="49"/>
  <c r="H44" i="45"/>
  <c r="H44" i="46"/>
  <c r="H44" i="47"/>
  <c r="H44" i="48"/>
  <c r="H44" i="49"/>
  <c r="H15" i="30"/>
  <c r="H15" i="31"/>
  <c r="H73" i="45"/>
  <c r="H73" i="46"/>
  <c r="H73" i="47"/>
  <c r="H73" i="48"/>
  <c r="H73" i="49"/>
  <c r="H45" i="45"/>
  <c r="H45" i="46"/>
  <c r="H45" i="47"/>
  <c r="H45" i="48"/>
  <c r="H45" i="49"/>
  <c r="H16" i="30"/>
  <c r="H16" i="31"/>
  <c r="H74" i="45"/>
  <c r="H74" i="46"/>
  <c r="H74" i="47"/>
  <c r="H74" i="48"/>
  <c r="H74" i="49"/>
  <c r="H46" i="45"/>
  <c r="H46" i="46"/>
  <c r="H46" i="47"/>
  <c r="H46" i="48"/>
  <c r="H46" i="49"/>
  <c r="H17" i="30"/>
  <c r="H17" i="31"/>
  <c r="H75" i="45"/>
  <c r="H75" i="46"/>
  <c r="H75" i="47"/>
  <c r="H75" i="48"/>
  <c r="H75" i="49"/>
  <c r="H58" i="45"/>
  <c r="H58" i="46"/>
  <c r="H58" i="47"/>
  <c r="H58" i="48"/>
  <c r="H58" i="49"/>
  <c r="H29" i="30"/>
  <c r="H29" i="31"/>
  <c r="H87" i="45"/>
  <c r="H87" i="46"/>
  <c r="H87" i="47"/>
  <c r="H87" i="48"/>
  <c r="H87" i="49"/>
  <c r="H57" i="45"/>
  <c r="H57" i="46"/>
  <c r="H57" i="47"/>
  <c r="H57" i="48"/>
  <c r="H57" i="49"/>
  <c r="H28" i="30"/>
  <c r="H28" i="31"/>
  <c r="H86" i="45"/>
  <c r="H86" i="46"/>
  <c r="H86" i="47"/>
  <c r="H86" i="48"/>
  <c r="H86" i="49"/>
  <c r="H62" i="45"/>
  <c r="H62" i="46"/>
  <c r="H62" i="47"/>
  <c r="H62" i="48"/>
  <c r="H62" i="49"/>
  <c r="H33" i="30"/>
  <c r="H33" i="31"/>
  <c r="H91" i="45"/>
  <c r="H91" i="46"/>
  <c r="H91" i="47"/>
  <c r="H91" i="48"/>
  <c r="H91" i="49"/>
  <c r="H61" i="45"/>
  <c r="H61" i="46"/>
  <c r="H61" i="47"/>
  <c r="H61" i="48"/>
  <c r="H61" i="49"/>
  <c r="H32" i="30"/>
  <c r="H32" i="31"/>
  <c r="H90" i="45"/>
  <c r="H90" i="46"/>
  <c r="H90" i="47"/>
  <c r="H90" i="48"/>
  <c r="H90" i="49"/>
  <c r="H60" i="45"/>
  <c r="H60" i="46"/>
  <c r="H60" i="47"/>
  <c r="H60" i="48"/>
  <c r="H60" i="49"/>
  <c r="H31" i="30"/>
  <c r="H34" i="30" s="1"/>
  <c r="H31" i="31"/>
  <c r="H89" i="45"/>
  <c r="H89" i="46"/>
  <c r="H89" i="47"/>
  <c r="H89" i="48"/>
  <c r="H89" i="49"/>
  <c r="H51" i="45"/>
  <c r="H51" i="46"/>
  <c r="H51" i="47"/>
  <c r="H51" i="48"/>
  <c r="H51" i="49"/>
  <c r="H22" i="30"/>
  <c r="H22" i="31"/>
  <c r="H80" i="45"/>
  <c r="H80" i="46"/>
  <c r="H80" i="47"/>
  <c r="H80" i="48"/>
  <c r="H80" i="49"/>
  <c r="H53" i="45"/>
  <c r="H53" i="46"/>
  <c r="H53" i="47"/>
  <c r="H53" i="48"/>
  <c r="H53" i="49"/>
  <c r="H24" i="30"/>
  <c r="H24" i="31"/>
  <c r="H82" i="45"/>
  <c r="H82" i="46"/>
  <c r="H82" i="47"/>
  <c r="H82" i="48"/>
  <c r="H82" i="49"/>
  <c r="H49" i="45"/>
  <c r="H49" i="46"/>
  <c r="H49" i="47"/>
  <c r="H49" i="48"/>
  <c r="H49" i="49"/>
  <c r="H20" i="30"/>
  <c r="H20" i="31"/>
  <c r="H78" i="45"/>
  <c r="H78" i="46"/>
  <c r="H78" i="47"/>
  <c r="H78" i="48"/>
  <c r="H78" i="49"/>
  <c r="H55" i="45"/>
  <c r="H55" i="46"/>
  <c r="H55" i="47"/>
  <c r="H55" i="48"/>
  <c r="H55" i="49"/>
  <c r="H26" i="30"/>
  <c r="H26" i="31"/>
  <c r="H84" i="45"/>
  <c r="H84" i="46"/>
  <c r="H84" i="47"/>
  <c r="H84" i="48"/>
  <c r="H84" i="49"/>
  <c r="H56" i="45"/>
  <c r="H56" i="46"/>
  <c r="H56" i="47"/>
  <c r="H56" i="48"/>
  <c r="H56" i="49"/>
  <c r="H27" i="30"/>
  <c r="H27" i="31"/>
  <c r="H85" i="45"/>
  <c r="H85" i="46"/>
  <c r="H85" i="47"/>
  <c r="H85" i="48"/>
  <c r="H85" i="49"/>
  <c r="J47" i="45"/>
  <c r="J47" i="46"/>
  <c r="J47" i="47"/>
  <c r="J47" i="48"/>
  <c r="J47" i="49"/>
  <c r="J18" i="30"/>
  <c r="J18" i="31"/>
  <c r="J76" i="45"/>
  <c r="J76" i="46"/>
  <c r="J76" i="47"/>
  <c r="J76" i="48"/>
  <c r="J76" i="49"/>
  <c r="J39" i="45"/>
  <c r="J39" i="46"/>
  <c r="J39" i="47"/>
  <c r="J39" i="48"/>
  <c r="J39" i="49"/>
  <c r="J10" i="30"/>
  <c r="J10" i="31"/>
  <c r="J68" i="45"/>
  <c r="J68" i="46"/>
  <c r="J68" i="47"/>
  <c r="J68" i="48"/>
  <c r="J68" i="49"/>
  <c r="J36" i="45"/>
  <c r="J36" i="46"/>
  <c r="J36" i="47"/>
  <c r="J36" i="48"/>
  <c r="J36" i="49"/>
  <c r="J7" i="30"/>
  <c r="J7" i="31"/>
  <c r="J65" i="45"/>
  <c r="J65" i="46"/>
  <c r="J65" i="47"/>
  <c r="J65" i="48"/>
  <c r="J65" i="49"/>
  <c r="J42" i="45"/>
  <c r="J42" i="46"/>
  <c r="J42" i="47"/>
  <c r="J42" i="48"/>
  <c r="J42" i="49"/>
  <c r="J13" i="30"/>
  <c r="J13" i="31"/>
  <c r="J71" i="45"/>
  <c r="J71" i="46"/>
  <c r="J71" i="47"/>
  <c r="J71" i="48"/>
  <c r="J71" i="49"/>
  <c r="J37" i="45"/>
  <c r="J37" i="46"/>
  <c r="J37" i="47"/>
  <c r="J37" i="48"/>
  <c r="J37" i="49"/>
  <c r="J8" i="30"/>
  <c r="J8" i="31"/>
  <c r="J66" i="45"/>
  <c r="J66" i="46"/>
  <c r="J66" i="47"/>
  <c r="J66" i="48"/>
  <c r="J66" i="49"/>
  <c r="J38" i="45"/>
  <c r="J38" i="46"/>
  <c r="J38" i="47"/>
  <c r="J38" i="48"/>
  <c r="J38" i="49"/>
  <c r="J9" i="30"/>
  <c r="J9" i="31"/>
  <c r="J67" i="45"/>
  <c r="J67" i="46"/>
  <c r="J67" i="47"/>
  <c r="J67" i="48"/>
  <c r="J67" i="49"/>
  <c r="J40" i="45"/>
  <c r="J40" i="46"/>
  <c r="J40" i="47"/>
  <c r="J40" i="48"/>
  <c r="J40" i="49"/>
  <c r="J11" i="30"/>
  <c r="J11" i="31"/>
  <c r="J69" i="45"/>
  <c r="J69" i="46"/>
  <c r="J69" i="47"/>
  <c r="J69" i="48"/>
  <c r="J69" i="49"/>
  <c r="J41" i="45"/>
  <c r="J41" i="46"/>
  <c r="J41" i="47"/>
  <c r="J41" i="48"/>
  <c r="J41" i="49"/>
  <c r="J12" i="30"/>
  <c r="J12" i="31"/>
  <c r="J70" i="45"/>
  <c r="J70" i="46"/>
  <c r="J70" i="47"/>
  <c r="J70" i="48"/>
  <c r="J70" i="49"/>
  <c r="J43" i="45"/>
  <c r="J43" i="46"/>
  <c r="J43" i="47"/>
  <c r="J43" i="48"/>
  <c r="J43" i="49"/>
  <c r="J14" i="30"/>
  <c r="J14" i="31"/>
  <c r="J72" i="45"/>
  <c r="J72" i="46"/>
  <c r="J72" i="47"/>
  <c r="J72" i="48"/>
  <c r="J72" i="49"/>
  <c r="J44" i="45"/>
  <c r="J44" i="46"/>
  <c r="J44" i="47"/>
  <c r="J44" i="48"/>
  <c r="J44" i="49"/>
  <c r="J15" i="30"/>
  <c r="J15" i="31"/>
  <c r="J73" i="45"/>
  <c r="J73" i="46"/>
  <c r="J73" i="47"/>
  <c r="J73" i="48"/>
  <c r="J73" i="49"/>
  <c r="J45" i="45"/>
  <c r="J45" i="46"/>
  <c r="J45" i="47"/>
  <c r="J45" i="48"/>
  <c r="J45" i="49"/>
  <c r="J16" i="30"/>
  <c r="J16" i="31"/>
  <c r="J74" i="45"/>
  <c r="J74" i="46"/>
  <c r="J74" i="47"/>
  <c r="J74" i="48"/>
  <c r="J74" i="49"/>
  <c r="J46" i="45"/>
  <c r="J46" i="46"/>
  <c r="J46" i="47"/>
  <c r="J46" i="48"/>
  <c r="J46" i="49"/>
  <c r="J17" i="30"/>
  <c r="J17" i="31"/>
  <c r="J75" i="45"/>
  <c r="J75" i="46"/>
  <c r="J75" i="47"/>
  <c r="J75" i="48"/>
  <c r="J75" i="49"/>
  <c r="J58" i="45"/>
  <c r="J58" i="46"/>
  <c r="J58" i="47"/>
  <c r="J58" i="48"/>
  <c r="J58" i="49"/>
  <c r="J29" i="30"/>
  <c r="J29" i="31"/>
  <c r="J87" i="45"/>
  <c r="J87" i="46"/>
  <c r="J87" i="47"/>
  <c r="J87" i="48"/>
  <c r="J87" i="49"/>
  <c r="J57" i="45"/>
  <c r="J57" i="46"/>
  <c r="J57" i="47"/>
  <c r="J57" i="48"/>
  <c r="J57" i="49"/>
  <c r="J28" i="30"/>
  <c r="J28" i="31"/>
  <c r="J86" i="45"/>
  <c r="J86" i="46"/>
  <c r="J86" i="47"/>
  <c r="J86" i="48"/>
  <c r="J86" i="49"/>
  <c r="J62" i="45"/>
  <c r="J62" i="46"/>
  <c r="J62" i="47"/>
  <c r="J62" i="48"/>
  <c r="J62" i="49"/>
  <c r="J33" i="30"/>
  <c r="J33" i="31"/>
  <c r="J91" i="45"/>
  <c r="J91" i="46"/>
  <c r="J91" i="47"/>
  <c r="J91" i="48"/>
  <c r="J91" i="49"/>
  <c r="J61" i="45"/>
  <c r="J61" i="46"/>
  <c r="J61" i="47"/>
  <c r="J61" i="48"/>
  <c r="J61" i="49"/>
  <c r="J32" i="30"/>
  <c r="J32" i="31"/>
  <c r="J90" i="45"/>
  <c r="J90" i="46"/>
  <c r="J90" i="47"/>
  <c r="J90" i="48"/>
  <c r="J90" i="49"/>
  <c r="J60" i="45"/>
  <c r="J60" i="46"/>
  <c r="J60" i="47"/>
  <c r="J60" i="48"/>
  <c r="J60" i="49"/>
  <c r="J31" i="30"/>
  <c r="J34" i="30" s="1"/>
  <c r="J31" i="31"/>
  <c r="J89" i="45"/>
  <c r="J89" i="46"/>
  <c r="J89" i="47"/>
  <c r="J89" i="48"/>
  <c r="J89" i="49"/>
  <c r="J53" i="45"/>
  <c r="J53" i="46"/>
  <c r="J53" i="47"/>
  <c r="J53" i="48"/>
  <c r="J53" i="49"/>
  <c r="J24" i="30"/>
  <c r="J24" i="31"/>
  <c r="J82" i="45"/>
  <c r="J82" i="46"/>
  <c r="J82" i="47"/>
  <c r="J82" i="48"/>
  <c r="J82" i="49"/>
  <c r="J49" i="45"/>
  <c r="J49" i="46"/>
  <c r="J49" i="47"/>
  <c r="J49" i="48"/>
  <c r="J49" i="49"/>
  <c r="J20" i="30"/>
  <c r="J20" i="31"/>
  <c r="J78" i="45"/>
  <c r="J78" i="46"/>
  <c r="J78" i="47"/>
  <c r="J78" i="48"/>
  <c r="J78" i="49"/>
  <c r="J55" i="45"/>
  <c r="J55" i="46"/>
  <c r="J55" i="47"/>
  <c r="J55" i="48"/>
  <c r="J55" i="49"/>
  <c r="J26" i="30"/>
  <c r="J26" i="31"/>
  <c r="J84" i="45"/>
  <c r="J84" i="46"/>
  <c r="J84" i="47"/>
  <c r="J84" i="48"/>
  <c r="J84" i="49"/>
  <c r="J56" i="45"/>
  <c r="J56" i="46"/>
  <c r="J56" i="47"/>
  <c r="J56" i="48"/>
  <c r="J56" i="49"/>
  <c r="J27" i="30"/>
  <c r="J27" i="31"/>
  <c r="J85" i="45"/>
  <c r="J85" i="46"/>
  <c r="J85" i="47"/>
  <c r="J85" i="48"/>
  <c r="J85" i="49"/>
  <c r="L47" i="45"/>
  <c r="L47" i="46"/>
  <c r="S47" i="46" s="1"/>
  <c r="L47" i="47"/>
  <c r="L47" i="48"/>
  <c r="L47" i="49"/>
  <c r="L18" i="30"/>
  <c r="L18" i="31"/>
  <c r="L76" i="45"/>
  <c r="L76" i="46"/>
  <c r="L76" i="47"/>
  <c r="L76" i="48"/>
  <c r="L76" i="49"/>
  <c r="L39" i="45"/>
  <c r="L39" i="46"/>
  <c r="L39" i="47"/>
  <c r="L39" i="48"/>
  <c r="L39" i="49"/>
  <c r="L10" i="30"/>
  <c r="L10" i="31"/>
  <c r="L68" i="45"/>
  <c r="S68" i="45" s="1"/>
  <c r="L68" i="46"/>
  <c r="L68" i="47"/>
  <c r="L68" i="49"/>
  <c r="L36" i="45"/>
  <c r="L36" i="46"/>
  <c r="S36" i="46" s="1"/>
  <c r="L36" i="47"/>
  <c r="L36" i="48"/>
  <c r="L36" i="49"/>
  <c r="L7" i="30"/>
  <c r="L7" i="31"/>
  <c r="L65" i="45"/>
  <c r="L65" i="46"/>
  <c r="L65" i="47"/>
  <c r="S65" i="47" s="1"/>
  <c r="L65" i="48"/>
  <c r="L65" i="49"/>
  <c r="L42" i="45"/>
  <c r="L42" i="46"/>
  <c r="L42" i="47"/>
  <c r="S42" i="47" s="1"/>
  <c r="L42" i="49"/>
  <c r="L71" i="45"/>
  <c r="L71" i="46"/>
  <c r="L71" i="47"/>
  <c r="L71" i="48"/>
  <c r="L71" i="49"/>
  <c r="S71" i="49" s="1"/>
  <c r="L37" i="45"/>
  <c r="L37" i="46"/>
  <c r="L37" i="47"/>
  <c r="L37" i="48"/>
  <c r="L37" i="49"/>
  <c r="L8" i="30"/>
  <c r="L8" i="31"/>
  <c r="L66" i="45"/>
  <c r="L66" i="46"/>
  <c r="S66" i="46" s="1"/>
  <c r="L66" i="47"/>
  <c r="L66" i="48"/>
  <c r="L66" i="49"/>
  <c r="L38" i="45"/>
  <c r="L38" i="46"/>
  <c r="L38" i="47"/>
  <c r="L38" i="48"/>
  <c r="S38" i="48" s="1"/>
  <c r="L38" i="49"/>
  <c r="L9" i="30"/>
  <c r="L9" i="31"/>
  <c r="L67" i="45"/>
  <c r="L67" i="46"/>
  <c r="L67" i="47"/>
  <c r="L67" i="48"/>
  <c r="S67" i="48" s="1"/>
  <c r="L67" i="49"/>
  <c r="L40" i="45"/>
  <c r="L40" i="46"/>
  <c r="L40" i="47"/>
  <c r="L40" i="48"/>
  <c r="L40" i="49"/>
  <c r="L11" i="30"/>
  <c r="L11" i="31"/>
  <c r="L69" i="45"/>
  <c r="L69" i="46"/>
  <c r="L69" i="47"/>
  <c r="S69" i="47" s="1"/>
  <c r="L69" i="48"/>
  <c r="L69" i="49"/>
  <c r="L41" i="45"/>
  <c r="L41" i="46"/>
  <c r="L41" i="47"/>
  <c r="L41" i="48"/>
  <c r="L41" i="49"/>
  <c r="L12" i="30"/>
  <c r="L12" i="31"/>
  <c r="L70" i="45"/>
  <c r="L70" i="46"/>
  <c r="L70" i="47"/>
  <c r="L70" i="48"/>
  <c r="L70" i="49"/>
  <c r="L43" i="45"/>
  <c r="S43" i="45" s="1"/>
  <c r="L43" i="46"/>
  <c r="S43" i="46" s="1"/>
  <c r="L43" i="47"/>
  <c r="S43" i="47" s="1"/>
  <c r="L43" i="48"/>
  <c r="S43" i="48" s="1"/>
  <c r="L43" i="49"/>
  <c r="S43" i="49" s="1"/>
  <c r="L14" i="30"/>
  <c r="L14" i="31"/>
  <c r="L72" i="45"/>
  <c r="L72" i="46"/>
  <c r="S72" i="46" s="1"/>
  <c r="L72" i="47"/>
  <c r="S72" i="47" s="1"/>
  <c r="L72" i="48"/>
  <c r="S72" i="48" s="1"/>
  <c r="L72" i="49"/>
  <c r="S72" i="49" s="1"/>
  <c r="L44" i="45"/>
  <c r="L44" i="46"/>
  <c r="L44" i="47"/>
  <c r="S44" i="47" s="1"/>
  <c r="L44" i="48"/>
  <c r="L44" i="49"/>
  <c r="S44" i="49" s="1"/>
  <c r="L15" i="30"/>
  <c r="L15" i="31"/>
  <c r="L73" i="45"/>
  <c r="S73" i="45" s="1"/>
  <c r="L73" i="46"/>
  <c r="S73" i="46" s="1"/>
  <c r="L73" i="47"/>
  <c r="S73" i="47" s="1"/>
  <c r="L73" i="48"/>
  <c r="S73" i="48" s="1"/>
  <c r="L73" i="49"/>
  <c r="S73" i="49" s="1"/>
  <c r="L45" i="45"/>
  <c r="S45" i="45" s="1"/>
  <c r="L45" i="46"/>
  <c r="L45" i="47"/>
  <c r="L45" i="48"/>
  <c r="L45" i="49"/>
  <c r="L16" i="30"/>
  <c r="L16" i="31"/>
  <c r="L74" i="45"/>
  <c r="L74" i="46"/>
  <c r="L74" i="47"/>
  <c r="L74" i="48"/>
  <c r="L74" i="49"/>
  <c r="L46" i="45"/>
  <c r="S46" i="45" s="1"/>
  <c r="L46" i="46"/>
  <c r="S46" i="46" s="1"/>
  <c r="L46" i="47"/>
  <c r="S46" i="47" s="1"/>
  <c r="L46" i="48"/>
  <c r="L46" i="49"/>
  <c r="S46" i="49" s="1"/>
  <c r="L17" i="30"/>
  <c r="L17" i="31"/>
  <c r="L75" i="45"/>
  <c r="L75" i="46"/>
  <c r="L75" i="47"/>
  <c r="L75" i="48"/>
  <c r="S75" i="48" s="1"/>
  <c r="L75" i="49"/>
  <c r="S75" i="49" s="1"/>
  <c r="L58" i="45"/>
  <c r="L58" i="46"/>
  <c r="L58" i="47"/>
  <c r="L58" i="48"/>
  <c r="L58" i="49"/>
  <c r="L29" i="30"/>
  <c r="L29" i="31"/>
  <c r="L87" i="45"/>
  <c r="L87" i="46"/>
  <c r="S87" i="46" s="1"/>
  <c r="L87" i="47"/>
  <c r="L87" i="48"/>
  <c r="L87" i="49"/>
  <c r="S87" i="49" s="1"/>
  <c r="L57" i="45"/>
  <c r="L57" i="46"/>
  <c r="L57" i="47"/>
  <c r="L57" i="48"/>
  <c r="L57" i="49"/>
  <c r="L28" i="30"/>
  <c r="L30" i="30" s="1"/>
  <c r="L28" i="31"/>
  <c r="L86" i="45"/>
  <c r="L86" i="46"/>
  <c r="L86" i="47"/>
  <c r="L86" i="48"/>
  <c r="S86" i="48" s="1"/>
  <c r="L86" i="49"/>
  <c r="S86" i="49" s="1"/>
  <c r="L62" i="45"/>
  <c r="L62" i="46"/>
  <c r="L62" i="47"/>
  <c r="L62" i="48"/>
  <c r="L62" i="49"/>
  <c r="L33" i="30"/>
  <c r="L33" i="31"/>
  <c r="L91" i="45"/>
  <c r="S91" i="45" s="1"/>
  <c r="L91" i="46"/>
  <c r="L91" i="47"/>
  <c r="L91" i="48"/>
  <c r="S91" i="48" s="1"/>
  <c r="L91" i="49"/>
  <c r="S91" i="49" s="1"/>
  <c r="L61" i="45"/>
  <c r="L61" i="46"/>
  <c r="L61" i="47"/>
  <c r="L61" i="48"/>
  <c r="L61" i="49"/>
  <c r="L32" i="30"/>
  <c r="L32" i="31"/>
  <c r="L90" i="45"/>
  <c r="S90" i="45" s="1"/>
  <c r="L90" i="46"/>
  <c r="S90" i="46" s="1"/>
  <c r="L90" i="47"/>
  <c r="L90" i="48"/>
  <c r="L90" i="49"/>
  <c r="L60" i="45"/>
  <c r="L60" i="46"/>
  <c r="L60" i="47"/>
  <c r="S60" i="47" s="1"/>
  <c r="L60" i="48"/>
  <c r="L60" i="49"/>
  <c r="L31" i="30"/>
  <c r="L31" i="31"/>
  <c r="L89" i="45"/>
  <c r="L89" i="46"/>
  <c r="L89" i="47"/>
  <c r="L89" i="48"/>
  <c r="L89" i="49"/>
  <c r="L51" i="45"/>
  <c r="L51" i="46"/>
  <c r="L51" i="47"/>
  <c r="L51" i="48"/>
  <c r="L51" i="49"/>
  <c r="L22" i="30"/>
  <c r="L22" i="31"/>
  <c r="L80" i="45"/>
  <c r="L80" i="46"/>
  <c r="L80" i="47"/>
  <c r="L80" i="48"/>
  <c r="L80" i="49"/>
  <c r="L53" i="45"/>
  <c r="S53" i="45" s="1"/>
  <c r="L53" i="46"/>
  <c r="L53" i="47"/>
  <c r="L53" i="48"/>
  <c r="L53" i="49"/>
  <c r="L24" i="30"/>
  <c r="L24" i="31"/>
  <c r="L82" i="45"/>
  <c r="L82" i="46"/>
  <c r="L82" i="47"/>
  <c r="L82" i="48"/>
  <c r="L82" i="49"/>
  <c r="L49" i="45"/>
  <c r="S49" i="45" s="1"/>
  <c r="L49" i="46"/>
  <c r="L49" i="47"/>
  <c r="S49" i="47" s="1"/>
  <c r="L49" i="48"/>
  <c r="S49" i="48" s="1"/>
  <c r="L49" i="49"/>
  <c r="L20" i="30"/>
  <c r="L20" i="31"/>
  <c r="L78" i="45"/>
  <c r="L78" i="46"/>
  <c r="L78" i="47"/>
  <c r="L78" i="48"/>
  <c r="L78" i="49"/>
  <c r="L55" i="45"/>
  <c r="S55" i="45" s="1"/>
  <c r="L55" i="46"/>
  <c r="L55" i="47"/>
  <c r="S55" i="47" s="1"/>
  <c r="L55" i="48"/>
  <c r="L55" i="49"/>
  <c r="L26" i="30"/>
  <c r="L26" i="31"/>
  <c r="L84" i="45"/>
  <c r="L84" i="46"/>
  <c r="L84" i="47"/>
  <c r="L84" i="48"/>
  <c r="L84" i="49"/>
  <c r="L56" i="45"/>
  <c r="L56" i="46"/>
  <c r="L56" i="47"/>
  <c r="L56" i="48"/>
  <c r="L56" i="49"/>
  <c r="L27" i="30"/>
  <c r="L27" i="31"/>
  <c r="L85" i="45"/>
  <c r="S85" i="45" s="1"/>
  <c r="L85" i="46"/>
  <c r="L85" i="47"/>
  <c r="L85" i="48"/>
  <c r="L85" i="49"/>
  <c r="M47" i="45"/>
  <c r="M47" i="46"/>
  <c r="M47" i="47"/>
  <c r="M47" i="48"/>
  <c r="M47" i="49"/>
  <c r="M18" i="30"/>
  <c r="M18" i="31"/>
  <c r="M76" i="45"/>
  <c r="M76" i="46"/>
  <c r="M76" i="47"/>
  <c r="M76" i="48"/>
  <c r="M76" i="49"/>
  <c r="M39" i="45"/>
  <c r="M39" i="46"/>
  <c r="M39" i="47"/>
  <c r="M39" i="48"/>
  <c r="M39" i="49"/>
  <c r="M10" i="30"/>
  <c r="M10" i="31"/>
  <c r="M68" i="45"/>
  <c r="M68" i="46"/>
  <c r="M68" i="47"/>
  <c r="M68" i="48"/>
  <c r="M68" i="49"/>
  <c r="M36" i="45"/>
  <c r="M36" i="46"/>
  <c r="M36" i="47"/>
  <c r="M36" i="48"/>
  <c r="M36" i="49"/>
  <c r="M7" i="30"/>
  <c r="M7" i="31"/>
  <c r="M65" i="45"/>
  <c r="M65" i="46"/>
  <c r="M65" i="47"/>
  <c r="M65" i="48"/>
  <c r="M65" i="49"/>
  <c r="M42" i="46"/>
  <c r="M42" i="47"/>
  <c r="M42" i="49"/>
  <c r="M13" i="30"/>
  <c r="M71" i="45"/>
  <c r="M71" i="46"/>
  <c r="M71" i="47"/>
  <c r="M71" i="48"/>
  <c r="M71" i="49"/>
  <c r="M37" i="45"/>
  <c r="M37" i="46"/>
  <c r="M37" i="47"/>
  <c r="M37" i="48"/>
  <c r="M37" i="49"/>
  <c r="M8" i="30"/>
  <c r="M8" i="31"/>
  <c r="M66" i="45"/>
  <c r="M66" i="46"/>
  <c r="M66" i="47"/>
  <c r="M66" i="48"/>
  <c r="M66" i="49"/>
  <c r="M38" i="45"/>
  <c r="M38" i="46"/>
  <c r="M38" i="47"/>
  <c r="M38" i="48"/>
  <c r="M38" i="49"/>
  <c r="M9" i="30"/>
  <c r="M9" i="31"/>
  <c r="M67" i="45"/>
  <c r="M67" i="46"/>
  <c r="M67" i="47"/>
  <c r="M67" i="48"/>
  <c r="M67" i="49"/>
  <c r="M40" i="45"/>
  <c r="M40" i="46"/>
  <c r="M40" i="47"/>
  <c r="M40" i="48"/>
  <c r="M40" i="49"/>
  <c r="M11" i="30"/>
  <c r="M11" i="31"/>
  <c r="M69" i="45"/>
  <c r="M69" i="46"/>
  <c r="M69" i="47"/>
  <c r="M69" i="48"/>
  <c r="M69" i="49"/>
  <c r="M41" i="45"/>
  <c r="M41" i="46"/>
  <c r="M41" i="47"/>
  <c r="M41" i="48"/>
  <c r="M41" i="49"/>
  <c r="M12" i="30"/>
  <c r="M12" i="31"/>
  <c r="M70" i="45"/>
  <c r="M70" i="46"/>
  <c r="M70" i="48"/>
  <c r="M70" i="49"/>
  <c r="M43" i="45"/>
  <c r="M43" i="46"/>
  <c r="M43" i="47"/>
  <c r="M43" i="48"/>
  <c r="M43" i="49"/>
  <c r="M14" i="30"/>
  <c r="M14" i="31"/>
  <c r="M72" i="45"/>
  <c r="M72" i="46"/>
  <c r="M72" i="47"/>
  <c r="M72" i="48"/>
  <c r="M72" i="49"/>
  <c r="M44" i="45"/>
  <c r="M44" i="46"/>
  <c r="M44" i="47"/>
  <c r="M44" i="48"/>
  <c r="M44" i="49"/>
  <c r="M15" i="30"/>
  <c r="M15" i="31"/>
  <c r="M73" i="45"/>
  <c r="M73" i="46"/>
  <c r="M73" i="47"/>
  <c r="M73" i="48"/>
  <c r="M73" i="49"/>
  <c r="M45" i="45"/>
  <c r="M45" i="46"/>
  <c r="M45" i="47"/>
  <c r="M45" i="48"/>
  <c r="M45" i="49"/>
  <c r="M16" i="30"/>
  <c r="M16" i="31"/>
  <c r="M74" i="45"/>
  <c r="M74" i="46"/>
  <c r="M74" i="47"/>
  <c r="M74" i="48"/>
  <c r="M74" i="49"/>
  <c r="M46" i="45"/>
  <c r="M46" i="46"/>
  <c r="M46" i="47"/>
  <c r="M46" i="48"/>
  <c r="M46" i="49"/>
  <c r="M17" i="30"/>
  <c r="M17" i="31"/>
  <c r="M75" i="45"/>
  <c r="M75" i="46"/>
  <c r="M75" i="47"/>
  <c r="M75" i="48"/>
  <c r="M75" i="49"/>
  <c r="M87" i="45"/>
  <c r="M87" i="46"/>
  <c r="M87" i="47"/>
  <c r="M87" i="48"/>
  <c r="M87" i="49"/>
  <c r="M28" i="30"/>
  <c r="M86" i="45"/>
  <c r="M86" i="46"/>
  <c r="M86" i="47"/>
  <c r="M28" i="57" s="1"/>
  <c r="M86" i="48"/>
  <c r="M86" i="49"/>
  <c r="M62" i="45"/>
  <c r="M62" i="46"/>
  <c r="M62" i="47"/>
  <c r="M62" i="48"/>
  <c r="M62" i="49"/>
  <c r="M33" i="30"/>
  <c r="M33" i="31"/>
  <c r="M91" i="45"/>
  <c r="M91" i="46"/>
  <c r="M91" i="47"/>
  <c r="M91" i="48"/>
  <c r="M91" i="49"/>
  <c r="M61" i="45"/>
  <c r="M61" i="46"/>
  <c r="M61" i="47"/>
  <c r="M61" i="48"/>
  <c r="M61" i="49"/>
  <c r="M32" i="30"/>
  <c r="M32" i="31"/>
  <c r="M90" i="45"/>
  <c r="M90" i="46"/>
  <c r="M90" i="47"/>
  <c r="M90" i="48"/>
  <c r="M90" i="49"/>
  <c r="M60" i="46"/>
  <c r="M60" i="48"/>
  <c r="M89" i="45"/>
  <c r="M89" i="46"/>
  <c r="M89" i="47"/>
  <c r="M89" i="48"/>
  <c r="M89" i="49"/>
  <c r="M51" i="45"/>
  <c r="M51" i="46"/>
  <c r="M51" i="47"/>
  <c r="M51" i="48"/>
  <c r="M51" i="49"/>
  <c r="M22" i="30"/>
  <c r="M22" i="31"/>
  <c r="M80" i="45"/>
  <c r="M80" i="46"/>
  <c r="M80" i="47"/>
  <c r="M80" i="48"/>
  <c r="M80" i="49"/>
  <c r="M53" i="45"/>
  <c r="M53" i="46"/>
  <c r="M53" i="47"/>
  <c r="M53" i="48"/>
  <c r="M53" i="49"/>
  <c r="M24" i="30"/>
  <c r="M24" i="31"/>
  <c r="M82" i="45"/>
  <c r="M82" i="46"/>
  <c r="M82" i="47"/>
  <c r="M82" i="48"/>
  <c r="M82" i="49"/>
  <c r="M49" i="45"/>
  <c r="M49" i="46"/>
  <c r="M49" i="47"/>
  <c r="M49" i="48"/>
  <c r="M49" i="49"/>
  <c r="M20" i="30"/>
  <c r="M20" i="31"/>
  <c r="M78" i="45"/>
  <c r="M78" i="46"/>
  <c r="M78" i="47"/>
  <c r="M78" i="48"/>
  <c r="M78" i="49"/>
  <c r="M55" i="45"/>
  <c r="M55" i="46"/>
  <c r="M55" i="47"/>
  <c r="M55" i="48"/>
  <c r="M55" i="49"/>
  <c r="M26" i="30"/>
  <c r="M26" i="31"/>
  <c r="M84" i="45"/>
  <c r="M84" i="46"/>
  <c r="M84" i="47"/>
  <c r="M84" i="48"/>
  <c r="M84" i="49"/>
  <c r="M56" i="45"/>
  <c r="M56" i="46"/>
  <c r="M56" i="47"/>
  <c r="M56" i="48"/>
  <c r="M56" i="49"/>
  <c r="M27" i="30"/>
  <c r="M27" i="31"/>
  <c r="M85" i="45"/>
  <c r="M85" i="46"/>
  <c r="M85" i="47"/>
  <c r="M85" i="48"/>
  <c r="M85" i="49"/>
  <c r="N47" i="45"/>
  <c r="N47" i="46"/>
  <c r="N47" i="47"/>
  <c r="N47" i="48"/>
  <c r="N47" i="49"/>
  <c r="N18" i="30"/>
  <c r="N18" i="31"/>
  <c r="N76" i="45"/>
  <c r="N76" i="46"/>
  <c r="N76" i="47"/>
  <c r="N76" i="48"/>
  <c r="N76" i="49"/>
  <c r="N18" i="59" s="1"/>
  <c r="N39" i="45"/>
  <c r="N39" i="46"/>
  <c r="N39" i="47"/>
  <c r="N39" i="48"/>
  <c r="N39" i="49"/>
  <c r="N10" i="30"/>
  <c r="N10" i="31"/>
  <c r="N68" i="45"/>
  <c r="N68" i="46"/>
  <c r="N68" i="47"/>
  <c r="N68" i="48"/>
  <c r="N68" i="49"/>
  <c r="N36" i="45"/>
  <c r="N36" i="46"/>
  <c r="N36" i="47"/>
  <c r="N36" i="48"/>
  <c r="N36" i="49"/>
  <c r="N7" i="30"/>
  <c r="N7" i="31"/>
  <c r="N65" i="45"/>
  <c r="N65" i="46"/>
  <c r="N65" i="47"/>
  <c r="N65" i="48"/>
  <c r="N65" i="49"/>
  <c r="N42" i="46"/>
  <c r="N42" i="47"/>
  <c r="N13" i="30"/>
  <c r="N71" i="45"/>
  <c r="N71" i="46"/>
  <c r="N71" i="47"/>
  <c r="N71" i="48"/>
  <c r="N71" i="49"/>
  <c r="N37" i="45"/>
  <c r="N37" i="46"/>
  <c r="N37" i="47"/>
  <c r="N37" i="48"/>
  <c r="N37" i="49"/>
  <c r="N8" i="30"/>
  <c r="N8" i="31"/>
  <c r="N66" i="45"/>
  <c r="N66" i="46"/>
  <c r="N66" i="47"/>
  <c r="N66" i="48"/>
  <c r="N66" i="49"/>
  <c r="N38" i="45"/>
  <c r="N38" i="46"/>
  <c r="N38" i="47"/>
  <c r="N38" i="48"/>
  <c r="N38" i="49"/>
  <c r="N9" i="30"/>
  <c r="N9" i="31"/>
  <c r="N67" i="45"/>
  <c r="N67" i="46"/>
  <c r="N67" i="47"/>
  <c r="N67" i="48"/>
  <c r="N67" i="49"/>
  <c r="N40" i="45"/>
  <c r="N40" i="46"/>
  <c r="N40" i="47"/>
  <c r="N40" i="48"/>
  <c r="N40" i="49"/>
  <c r="N11" i="30"/>
  <c r="N11" i="31"/>
  <c r="N69" i="45"/>
  <c r="N69" i="46"/>
  <c r="N69" i="47"/>
  <c r="N69" i="48"/>
  <c r="N69" i="49"/>
  <c r="N41" i="46"/>
  <c r="N41" i="47"/>
  <c r="N41" i="48"/>
  <c r="N41" i="49"/>
  <c r="N12" i="30"/>
  <c r="N12" i="31"/>
  <c r="N70" i="45"/>
  <c r="N70" i="46"/>
  <c r="N12" i="56" s="1"/>
  <c r="N70" i="48"/>
  <c r="N70" i="49"/>
  <c r="N43" i="45"/>
  <c r="N43" i="46"/>
  <c r="N43" i="47"/>
  <c r="N43" i="48"/>
  <c r="N43" i="49"/>
  <c r="N14" i="30"/>
  <c r="N14" i="31"/>
  <c r="N72" i="45"/>
  <c r="N72" i="46"/>
  <c r="N72" i="47"/>
  <c r="N72" i="48"/>
  <c r="N72" i="49"/>
  <c r="N44" i="45"/>
  <c r="N44" i="46"/>
  <c r="N44" i="47"/>
  <c r="N44" i="48"/>
  <c r="N44" i="49"/>
  <c r="N15" i="30"/>
  <c r="N15" i="31"/>
  <c r="N73" i="45"/>
  <c r="N73" i="46"/>
  <c r="N73" i="47"/>
  <c r="N73" i="48"/>
  <c r="N73" i="49"/>
  <c r="N45" i="45"/>
  <c r="N45" i="46"/>
  <c r="N45" i="47"/>
  <c r="N45" i="48"/>
  <c r="N45" i="49"/>
  <c r="N16" i="30"/>
  <c r="N16" i="31"/>
  <c r="N74" i="45"/>
  <c r="N74" i="46"/>
  <c r="N74" i="47"/>
  <c r="N74" i="48"/>
  <c r="N74" i="49"/>
  <c r="N46" i="45"/>
  <c r="N46" i="46"/>
  <c r="N46" i="47"/>
  <c r="N46" i="48"/>
  <c r="N46" i="49"/>
  <c r="N17" i="30"/>
  <c r="N17" i="31"/>
  <c r="N75" i="45"/>
  <c r="N75" i="46"/>
  <c r="N75" i="47"/>
  <c r="N75" i="48"/>
  <c r="N75" i="49"/>
  <c r="N87" i="45"/>
  <c r="N87" i="46"/>
  <c r="N87" i="47"/>
  <c r="N87" i="48"/>
  <c r="N87" i="49"/>
  <c r="N86" i="45"/>
  <c r="N86" i="46"/>
  <c r="N86" i="47"/>
  <c r="N86" i="48"/>
  <c r="N86" i="49"/>
  <c r="N62" i="45"/>
  <c r="N62" i="46"/>
  <c r="N62" i="47"/>
  <c r="N62" i="48"/>
  <c r="N62" i="49"/>
  <c r="N33" i="30"/>
  <c r="N33" i="31"/>
  <c r="N91" i="45"/>
  <c r="N91" i="46"/>
  <c r="N91" i="47"/>
  <c r="N91" i="48"/>
  <c r="N91" i="49"/>
  <c r="N61" i="45"/>
  <c r="N61" i="46"/>
  <c r="N61" i="47"/>
  <c r="N61" i="48"/>
  <c r="N61" i="49"/>
  <c r="N32" i="30"/>
  <c r="N32" i="31"/>
  <c r="N90" i="45"/>
  <c r="N90" i="46"/>
  <c r="N90" i="47"/>
  <c r="N90" i="48"/>
  <c r="N90" i="49"/>
  <c r="N60" i="46"/>
  <c r="N89" i="45"/>
  <c r="N89" i="46"/>
  <c r="N89" i="47"/>
  <c r="N89" i="48"/>
  <c r="N89" i="49"/>
  <c r="N51" i="45"/>
  <c r="N51" i="46"/>
  <c r="N51" i="47"/>
  <c r="N51" i="48"/>
  <c r="N51" i="49"/>
  <c r="N22" i="30"/>
  <c r="N22" i="31"/>
  <c r="N80" i="45"/>
  <c r="N80" i="46"/>
  <c r="N80" i="47"/>
  <c r="N80" i="48"/>
  <c r="N80" i="49"/>
  <c r="N53" i="45"/>
  <c r="N53" i="46"/>
  <c r="N53" i="47"/>
  <c r="N53" i="48"/>
  <c r="N53" i="49"/>
  <c r="N24" i="30"/>
  <c r="N24" i="31"/>
  <c r="N82" i="45"/>
  <c r="N82" i="46"/>
  <c r="N82" i="47"/>
  <c r="N82" i="48"/>
  <c r="N82" i="49"/>
  <c r="N49" i="45"/>
  <c r="N49" i="46"/>
  <c r="N49" i="47"/>
  <c r="N49" i="48"/>
  <c r="N49" i="49"/>
  <c r="N20" i="30"/>
  <c r="N20" i="31"/>
  <c r="N78" i="45"/>
  <c r="N78" i="46"/>
  <c r="N78" i="47"/>
  <c r="N78" i="48"/>
  <c r="N78" i="49"/>
  <c r="N55" i="45"/>
  <c r="N55" i="46"/>
  <c r="N55" i="47"/>
  <c r="N55" i="48"/>
  <c r="N55" i="49"/>
  <c r="N26" i="30"/>
  <c r="N26" i="31"/>
  <c r="N84" i="45"/>
  <c r="N84" i="46"/>
  <c r="N84" i="47"/>
  <c r="N84" i="48"/>
  <c r="N84" i="49"/>
  <c r="N56" i="45"/>
  <c r="N56" i="46"/>
  <c r="N56" i="47"/>
  <c r="N56" i="48"/>
  <c r="N56" i="49"/>
  <c r="N27" i="30"/>
  <c r="N27" i="31"/>
  <c r="N85" i="45"/>
  <c r="N85" i="46"/>
  <c r="N85" i="47"/>
  <c r="N85" i="48"/>
  <c r="N85" i="49"/>
  <c r="P47" i="45"/>
  <c r="P47" i="46"/>
  <c r="P47" i="47"/>
  <c r="P47" i="48"/>
  <c r="P47" i="49"/>
  <c r="P18" i="30"/>
  <c r="P18" i="31"/>
  <c r="P76" i="45"/>
  <c r="P76" i="46"/>
  <c r="P76" i="47"/>
  <c r="P76" i="48"/>
  <c r="P76" i="49"/>
  <c r="P39" i="45"/>
  <c r="P39" i="46"/>
  <c r="P39" i="47"/>
  <c r="P39" i="48"/>
  <c r="P39" i="49"/>
  <c r="P10" i="30"/>
  <c r="P10" i="31"/>
  <c r="P68" i="45"/>
  <c r="P68" i="46"/>
  <c r="P68" i="47"/>
  <c r="P68" i="48"/>
  <c r="P68" i="49"/>
  <c r="P36" i="45"/>
  <c r="P36" i="46"/>
  <c r="P36" i="47"/>
  <c r="P36" i="48"/>
  <c r="P36" i="49"/>
  <c r="P7" i="30"/>
  <c r="P7" i="31"/>
  <c r="P65" i="45"/>
  <c r="P65" i="46"/>
  <c r="P65" i="47"/>
  <c r="P65" i="48"/>
  <c r="P65" i="49"/>
  <c r="P41" i="46"/>
  <c r="P41" i="47"/>
  <c r="P41" i="48"/>
  <c r="P41" i="49"/>
  <c r="P12" i="30"/>
  <c r="P12" i="31"/>
  <c r="P70" i="45"/>
  <c r="P70" i="46"/>
  <c r="P70" i="48"/>
  <c r="P70" i="49"/>
  <c r="P37" i="45"/>
  <c r="P37" i="46"/>
  <c r="P37" i="47"/>
  <c r="P37" i="48"/>
  <c r="P37" i="49"/>
  <c r="P8" i="30"/>
  <c r="P8" i="31"/>
  <c r="P66" i="45"/>
  <c r="P66" i="46"/>
  <c r="P66" i="47"/>
  <c r="P66" i="48"/>
  <c r="P66" i="49"/>
  <c r="P66" i="44" s="1"/>
  <c r="P38" i="45"/>
  <c r="P38" i="46"/>
  <c r="P38" i="47"/>
  <c r="P38" i="48"/>
  <c r="P38" i="49"/>
  <c r="P9" i="30"/>
  <c r="P9" i="31"/>
  <c r="P67" i="45"/>
  <c r="P67" i="46"/>
  <c r="P67" i="47"/>
  <c r="P67" i="48"/>
  <c r="P67" i="49"/>
  <c r="P40" i="45"/>
  <c r="P40" i="46"/>
  <c r="P40" i="47"/>
  <c r="P40" i="48"/>
  <c r="P40" i="49"/>
  <c r="P11" i="30"/>
  <c r="P11" i="31"/>
  <c r="P69" i="45"/>
  <c r="P69" i="46"/>
  <c r="P69" i="47"/>
  <c r="P69" i="48"/>
  <c r="P69" i="49"/>
  <c r="P42" i="47"/>
  <c r="P71" i="45"/>
  <c r="P71" i="46"/>
  <c r="P71" i="47"/>
  <c r="P71" i="48"/>
  <c r="P71" i="49"/>
  <c r="P43" i="45"/>
  <c r="P43" i="46"/>
  <c r="P43" i="47"/>
  <c r="P43" i="48"/>
  <c r="P43" i="49"/>
  <c r="P14" i="30"/>
  <c r="P14" i="31"/>
  <c r="P72" i="45"/>
  <c r="P72" i="46"/>
  <c r="P72" i="47"/>
  <c r="P72" i="48"/>
  <c r="P72" i="49"/>
  <c r="P44" i="45"/>
  <c r="P44" i="46"/>
  <c r="P44" i="47"/>
  <c r="P44" i="48"/>
  <c r="P44" i="49"/>
  <c r="P15" i="30"/>
  <c r="P15" i="31"/>
  <c r="P73" i="45"/>
  <c r="P73" i="46"/>
  <c r="P73" i="47"/>
  <c r="P73" i="48"/>
  <c r="P73" i="49"/>
  <c r="P45" i="45"/>
  <c r="P45" i="46"/>
  <c r="P45" i="47"/>
  <c r="P45" i="48"/>
  <c r="P45" i="49"/>
  <c r="P16" i="30"/>
  <c r="P16" i="31"/>
  <c r="P74" i="45"/>
  <c r="P74" i="46"/>
  <c r="P74" i="47"/>
  <c r="P74" i="48"/>
  <c r="P74" i="49"/>
  <c r="P46" i="45"/>
  <c r="P46" i="46"/>
  <c r="P46" i="47"/>
  <c r="P46" i="48"/>
  <c r="P46" i="49"/>
  <c r="P17" i="30"/>
  <c r="P17" i="31"/>
  <c r="P75" i="45"/>
  <c r="P75" i="46"/>
  <c r="P75" i="47"/>
  <c r="P75" i="48"/>
  <c r="P75" i="49"/>
  <c r="P87" i="45"/>
  <c r="P87" i="46"/>
  <c r="P87" i="47"/>
  <c r="P87" i="48"/>
  <c r="P87" i="49"/>
  <c r="P86" i="45"/>
  <c r="P86" i="46"/>
  <c r="P86" i="47"/>
  <c r="P86" i="48"/>
  <c r="P86" i="49"/>
  <c r="P62" i="45"/>
  <c r="P62" i="46"/>
  <c r="P62" i="47"/>
  <c r="P62" i="48"/>
  <c r="P62" i="49"/>
  <c r="P33" i="30"/>
  <c r="P33" i="31"/>
  <c r="P91" i="45"/>
  <c r="P91" i="46"/>
  <c r="P91" i="47"/>
  <c r="P91" i="48"/>
  <c r="P91" i="49"/>
  <c r="P61" i="45"/>
  <c r="P61" i="46"/>
  <c r="P61" i="47"/>
  <c r="P61" i="48"/>
  <c r="P61" i="49"/>
  <c r="P32" i="30"/>
  <c r="P32" i="31"/>
  <c r="P90" i="45"/>
  <c r="P90" i="46"/>
  <c r="P90" i="47"/>
  <c r="P90" i="48"/>
  <c r="P90" i="49"/>
  <c r="P89" i="45"/>
  <c r="P89" i="46"/>
  <c r="P89" i="47"/>
  <c r="P89" i="48"/>
  <c r="P89" i="49"/>
  <c r="P53" i="45"/>
  <c r="P53" i="46"/>
  <c r="P53" i="47"/>
  <c r="P53" i="48"/>
  <c r="P53" i="49"/>
  <c r="P24" i="30"/>
  <c r="P24" i="31"/>
  <c r="P82" i="45"/>
  <c r="P82" i="46"/>
  <c r="P82" i="47"/>
  <c r="P82" i="48"/>
  <c r="P82" i="49"/>
  <c r="P55" i="45"/>
  <c r="P55" i="46"/>
  <c r="P55" i="47"/>
  <c r="P55" i="48"/>
  <c r="P55" i="49"/>
  <c r="P26" i="30"/>
  <c r="P26" i="31"/>
  <c r="P84" i="45"/>
  <c r="P84" i="46"/>
  <c r="P84" i="47"/>
  <c r="P84" i="48"/>
  <c r="P84" i="49"/>
  <c r="P56" i="45"/>
  <c r="P56" i="46"/>
  <c r="P56" i="47"/>
  <c r="P56" i="48"/>
  <c r="P56" i="49"/>
  <c r="P27" i="30"/>
  <c r="P27" i="31"/>
  <c r="P85" i="45"/>
  <c r="P85" i="46"/>
  <c r="P85" i="47"/>
  <c r="P85" i="48"/>
  <c r="P85" i="49"/>
  <c r="P49" i="45"/>
  <c r="P49" i="46"/>
  <c r="P49" i="47"/>
  <c r="P49" i="48"/>
  <c r="P49" i="49"/>
  <c r="P20" i="30"/>
  <c r="P20" i="31"/>
  <c r="P78" i="45"/>
  <c r="P78" i="46"/>
  <c r="P78" i="47"/>
  <c r="P78" i="48"/>
  <c r="P78" i="49"/>
  <c r="E85" i="51"/>
  <c r="E85" i="52"/>
  <c r="E56" i="51"/>
  <c r="E56" i="52"/>
  <c r="D50" i="52"/>
  <c r="D79" i="52"/>
  <c r="R79" i="52" s="1"/>
  <c r="E50" i="52"/>
  <c r="E79" i="52"/>
  <c r="F50" i="52"/>
  <c r="F79" i="52"/>
  <c r="G50" i="52"/>
  <c r="G79" i="52"/>
  <c r="H50" i="52"/>
  <c r="H79" i="52"/>
  <c r="I50" i="52"/>
  <c r="I79" i="52"/>
  <c r="J50" i="52"/>
  <c r="J79" i="52"/>
  <c r="K50" i="52"/>
  <c r="K79" i="52"/>
  <c r="L50" i="52"/>
  <c r="L79" i="52"/>
  <c r="M50" i="52"/>
  <c r="M79" i="52"/>
  <c r="N50" i="52"/>
  <c r="N79" i="52"/>
  <c r="O50" i="52"/>
  <c r="O79" i="52"/>
  <c r="P50" i="52"/>
  <c r="P79" i="52"/>
  <c r="Q50" i="52"/>
  <c r="Q79" i="52"/>
  <c r="D50" i="51"/>
  <c r="D79" i="51"/>
  <c r="E50" i="51"/>
  <c r="E50" i="50" s="1"/>
  <c r="E79" i="51"/>
  <c r="F50" i="51"/>
  <c r="F79" i="51"/>
  <c r="F79" i="50" s="1"/>
  <c r="G50" i="51"/>
  <c r="G50" i="50" s="1"/>
  <c r="G79" i="51"/>
  <c r="H50" i="51"/>
  <c r="H50" i="50" s="1"/>
  <c r="H79" i="51"/>
  <c r="I50" i="51"/>
  <c r="I79" i="51"/>
  <c r="J50" i="51"/>
  <c r="J79" i="51"/>
  <c r="K50" i="51"/>
  <c r="K79" i="51"/>
  <c r="L50" i="51"/>
  <c r="L79" i="51"/>
  <c r="L79" i="50" s="1"/>
  <c r="M50" i="51"/>
  <c r="M79" i="51"/>
  <c r="N50" i="51"/>
  <c r="N50" i="50" s="1"/>
  <c r="N79" i="51"/>
  <c r="O50" i="51"/>
  <c r="O79" i="51"/>
  <c r="P50" i="51"/>
  <c r="P79" i="51"/>
  <c r="Q50" i="51"/>
  <c r="Q79" i="51"/>
  <c r="D50" i="49"/>
  <c r="D79" i="49"/>
  <c r="E50" i="49"/>
  <c r="E79" i="49"/>
  <c r="F50" i="49"/>
  <c r="F79" i="49"/>
  <c r="G50" i="49"/>
  <c r="G79" i="49"/>
  <c r="H50" i="49"/>
  <c r="H79" i="49"/>
  <c r="L50" i="49"/>
  <c r="L79" i="49"/>
  <c r="M50" i="49"/>
  <c r="M79" i="49"/>
  <c r="N50" i="49"/>
  <c r="N79" i="49"/>
  <c r="D50" i="48"/>
  <c r="D79" i="48"/>
  <c r="E50" i="48"/>
  <c r="E79" i="48"/>
  <c r="F50" i="48"/>
  <c r="F79" i="48"/>
  <c r="G50" i="48"/>
  <c r="G79" i="48"/>
  <c r="H50" i="48"/>
  <c r="H79" i="48"/>
  <c r="L50" i="48"/>
  <c r="S50" i="48" s="1"/>
  <c r="L79" i="48"/>
  <c r="M50" i="48"/>
  <c r="M79" i="48"/>
  <c r="N50" i="48"/>
  <c r="N79" i="48"/>
  <c r="D50" i="47"/>
  <c r="R50" i="47" s="1"/>
  <c r="D79" i="47"/>
  <c r="E50" i="47"/>
  <c r="E79" i="47"/>
  <c r="F50" i="47"/>
  <c r="F79" i="47"/>
  <c r="G50" i="47"/>
  <c r="G79" i="47"/>
  <c r="H50" i="47"/>
  <c r="H79" i="47"/>
  <c r="L50" i="47"/>
  <c r="S50" i="47" s="1"/>
  <c r="L79" i="47"/>
  <c r="M50" i="47"/>
  <c r="M79" i="47"/>
  <c r="N50" i="47"/>
  <c r="N79" i="47"/>
  <c r="D50" i="46"/>
  <c r="D79" i="46"/>
  <c r="E50" i="46"/>
  <c r="E79" i="46"/>
  <c r="F50" i="46"/>
  <c r="F79" i="46"/>
  <c r="G50" i="46"/>
  <c r="G79" i="46"/>
  <c r="H50" i="46"/>
  <c r="H79" i="46"/>
  <c r="L50" i="46"/>
  <c r="L79" i="46"/>
  <c r="M50" i="46"/>
  <c r="M79" i="46"/>
  <c r="N50" i="46"/>
  <c r="N79" i="46"/>
  <c r="D50" i="45"/>
  <c r="D79" i="45"/>
  <c r="E50" i="45"/>
  <c r="E79" i="45"/>
  <c r="F50" i="45"/>
  <c r="F79" i="45"/>
  <c r="G50" i="45"/>
  <c r="G79" i="45"/>
  <c r="G79" i="44" s="1"/>
  <c r="H50" i="45"/>
  <c r="H79" i="45"/>
  <c r="L50" i="45"/>
  <c r="L79" i="45"/>
  <c r="M50" i="45"/>
  <c r="M79" i="45"/>
  <c r="N50" i="45"/>
  <c r="N79" i="45"/>
  <c r="D21" i="30"/>
  <c r="D21" i="31"/>
  <c r="E21" i="30"/>
  <c r="E21" i="31"/>
  <c r="F21" i="30"/>
  <c r="F21" i="31"/>
  <c r="G21" i="30"/>
  <c r="G21" i="31"/>
  <c r="H21" i="30"/>
  <c r="H21" i="31"/>
  <c r="L21" i="30"/>
  <c r="L21" i="31"/>
  <c r="M21" i="30"/>
  <c r="M21" i="31"/>
  <c r="N21" i="30"/>
  <c r="N21" i="31"/>
  <c r="D21" i="52"/>
  <c r="R21" i="52" s="1"/>
  <c r="E21" i="52"/>
  <c r="E21" i="50" s="1"/>
  <c r="F21" i="52"/>
  <c r="G21" i="52"/>
  <c r="H21" i="52"/>
  <c r="I21" i="52"/>
  <c r="I21" i="50" s="1"/>
  <c r="J21" i="52"/>
  <c r="K21" i="52"/>
  <c r="L21" i="52"/>
  <c r="S21" i="52" s="1"/>
  <c r="M21" i="52"/>
  <c r="N21" i="52"/>
  <c r="O21" i="52"/>
  <c r="P21" i="52"/>
  <c r="Q21" i="52"/>
  <c r="Q21" i="50" s="1"/>
  <c r="D21" i="51"/>
  <c r="E21" i="51"/>
  <c r="F21" i="51"/>
  <c r="G21" i="51"/>
  <c r="G21" i="50" s="1"/>
  <c r="H21" i="51"/>
  <c r="I21" i="51"/>
  <c r="J21" i="51"/>
  <c r="K21" i="51"/>
  <c r="K21" i="50" s="1"/>
  <c r="L21" i="51"/>
  <c r="M21" i="51"/>
  <c r="N21" i="51"/>
  <c r="O21" i="51"/>
  <c r="O21" i="50" s="1"/>
  <c r="P21" i="51"/>
  <c r="Q21" i="51"/>
  <c r="D21" i="49"/>
  <c r="E21" i="49"/>
  <c r="F21" i="49"/>
  <c r="G21" i="49"/>
  <c r="H21" i="49"/>
  <c r="L21" i="49"/>
  <c r="M21" i="49"/>
  <c r="N21" i="49"/>
  <c r="D21" i="48"/>
  <c r="E21" i="48"/>
  <c r="F21" i="48"/>
  <c r="G21" i="48"/>
  <c r="H21" i="48"/>
  <c r="L21" i="48"/>
  <c r="S21" i="48" s="1"/>
  <c r="M21" i="48"/>
  <c r="N21" i="48"/>
  <c r="D21" i="47"/>
  <c r="R21" i="47" s="1"/>
  <c r="E21" i="47"/>
  <c r="F21" i="47"/>
  <c r="G21" i="47"/>
  <c r="H21" i="47"/>
  <c r="L21" i="47"/>
  <c r="S21" i="47" s="1"/>
  <c r="M21" i="47"/>
  <c r="N21" i="47"/>
  <c r="D21" i="46"/>
  <c r="E21" i="46"/>
  <c r="F21" i="46"/>
  <c r="G21" i="46"/>
  <c r="H21" i="46"/>
  <c r="L21" i="46"/>
  <c r="M21" i="46"/>
  <c r="N21" i="46"/>
  <c r="D21" i="45"/>
  <c r="E21" i="45"/>
  <c r="F21" i="45"/>
  <c r="G21" i="45"/>
  <c r="H21" i="45"/>
  <c r="H21" i="44" s="1"/>
  <c r="L21" i="45"/>
  <c r="M21" i="45"/>
  <c r="N21" i="45"/>
  <c r="D21" i="42"/>
  <c r="E21" i="42"/>
  <c r="F21" i="42"/>
  <c r="G21" i="42"/>
  <c r="H21" i="42"/>
  <c r="I21" i="42"/>
  <c r="J21" i="42"/>
  <c r="K21" i="42"/>
  <c r="L21" i="42"/>
  <c r="M21" i="42"/>
  <c r="N21" i="42"/>
  <c r="O21" i="42"/>
  <c r="P21" i="42"/>
  <c r="Q21" i="42"/>
  <c r="D57" i="42"/>
  <c r="E57" i="42"/>
  <c r="F57" i="42"/>
  <c r="G57" i="42"/>
  <c r="H57" i="42"/>
  <c r="I57" i="42"/>
  <c r="J57" i="42"/>
  <c r="K57" i="42"/>
  <c r="L57" i="42"/>
  <c r="M57" i="42"/>
  <c r="N57" i="42"/>
  <c r="O57" i="42"/>
  <c r="P57" i="42"/>
  <c r="Q57" i="42"/>
  <c r="D21" i="41"/>
  <c r="E21" i="41"/>
  <c r="F21" i="41"/>
  <c r="G21" i="41"/>
  <c r="H21" i="41"/>
  <c r="I21" i="41"/>
  <c r="J21" i="41"/>
  <c r="K21" i="41"/>
  <c r="L21" i="41"/>
  <c r="M21" i="41"/>
  <c r="N21" i="41"/>
  <c r="O21" i="41"/>
  <c r="P21" i="41"/>
  <c r="Q21" i="41"/>
  <c r="D57" i="41"/>
  <c r="E57" i="41"/>
  <c r="F57" i="41"/>
  <c r="G57" i="41"/>
  <c r="H57" i="41"/>
  <c r="I57" i="41"/>
  <c r="J57" i="41"/>
  <c r="K57" i="41"/>
  <c r="L57" i="41"/>
  <c r="M57" i="41"/>
  <c r="N57" i="41"/>
  <c r="O57" i="41"/>
  <c r="P57" i="41"/>
  <c r="Q57" i="41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D57" i="40"/>
  <c r="E57" i="40"/>
  <c r="F57" i="40"/>
  <c r="G57" i="40"/>
  <c r="H57" i="40"/>
  <c r="I57" i="40"/>
  <c r="J57" i="40"/>
  <c r="K57" i="40"/>
  <c r="L57" i="40"/>
  <c r="M57" i="40"/>
  <c r="N57" i="40"/>
  <c r="O57" i="40"/>
  <c r="P57" i="40"/>
  <c r="Q57" i="40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D57" i="39"/>
  <c r="E57" i="39"/>
  <c r="F57" i="39"/>
  <c r="G57" i="39"/>
  <c r="H57" i="39"/>
  <c r="I57" i="39"/>
  <c r="J57" i="39"/>
  <c r="K57" i="39"/>
  <c r="L57" i="39"/>
  <c r="M57" i="39"/>
  <c r="N57" i="39"/>
  <c r="O57" i="39"/>
  <c r="P57" i="39"/>
  <c r="Q57" i="39"/>
  <c r="D21" i="38"/>
  <c r="E21" i="38"/>
  <c r="F21" i="38"/>
  <c r="G21" i="38"/>
  <c r="H21" i="38"/>
  <c r="I21" i="38"/>
  <c r="J21" i="38"/>
  <c r="K21" i="38"/>
  <c r="L21" i="38"/>
  <c r="M21" i="38"/>
  <c r="N21" i="38"/>
  <c r="O21" i="38"/>
  <c r="P21" i="38"/>
  <c r="Q21" i="38"/>
  <c r="D57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D21" i="37"/>
  <c r="E21" i="37"/>
  <c r="F21" i="37"/>
  <c r="G21" i="37"/>
  <c r="H21" i="37"/>
  <c r="I21" i="37"/>
  <c r="J21" i="37"/>
  <c r="K21" i="37"/>
  <c r="L21" i="37"/>
  <c r="M21" i="37"/>
  <c r="N21" i="37"/>
  <c r="O21" i="37"/>
  <c r="P21" i="37"/>
  <c r="Q21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P57" i="37"/>
  <c r="Q57" i="37"/>
  <c r="D21" i="36"/>
  <c r="E21" i="36"/>
  <c r="F21" i="36"/>
  <c r="G21" i="36"/>
  <c r="H21" i="36"/>
  <c r="I21" i="36"/>
  <c r="J21" i="36"/>
  <c r="K21" i="36"/>
  <c r="L21" i="36"/>
  <c r="M21" i="36"/>
  <c r="N21" i="36"/>
  <c r="O21" i="36"/>
  <c r="P21" i="36"/>
  <c r="Q21" i="36"/>
  <c r="D57" i="36"/>
  <c r="E57" i="36"/>
  <c r="F57" i="36"/>
  <c r="G57" i="36"/>
  <c r="H57" i="36"/>
  <c r="I57" i="36"/>
  <c r="J57" i="36"/>
  <c r="K57" i="36"/>
  <c r="L57" i="36"/>
  <c r="M57" i="36"/>
  <c r="N57" i="36"/>
  <c r="O57" i="36"/>
  <c r="P57" i="36"/>
  <c r="Q57" i="36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D21" i="34"/>
  <c r="E21" i="34"/>
  <c r="F21" i="34"/>
  <c r="G21" i="34"/>
  <c r="H21" i="34"/>
  <c r="I21" i="34"/>
  <c r="J21" i="34"/>
  <c r="K21" i="34"/>
  <c r="L21" i="34"/>
  <c r="M21" i="34"/>
  <c r="N21" i="34"/>
  <c r="O21" i="34"/>
  <c r="P21" i="34"/>
  <c r="Q21" i="34"/>
  <c r="D57" i="34"/>
  <c r="E57" i="34"/>
  <c r="F57" i="34"/>
  <c r="G57" i="34"/>
  <c r="H57" i="34"/>
  <c r="I57" i="34"/>
  <c r="J57" i="34"/>
  <c r="K57" i="34"/>
  <c r="L57" i="34"/>
  <c r="M57" i="34"/>
  <c r="N57" i="34"/>
  <c r="O57" i="34"/>
  <c r="P57" i="34"/>
  <c r="Q57" i="34"/>
  <c r="D21" i="33"/>
  <c r="E21" i="33"/>
  <c r="F21" i="33"/>
  <c r="G21" i="33"/>
  <c r="H21" i="33"/>
  <c r="I21" i="33"/>
  <c r="J21" i="33"/>
  <c r="K21" i="33"/>
  <c r="L21" i="33"/>
  <c r="M21" i="33"/>
  <c r="N21" i="33"/>
  <c r="O21" i="33"/>
  <c r="P21" i="33"/>
  <c r="Q21" i="33"/>
  <c r="D57" i="33"/>
  <c r="E57" i="33"/>
  <c r="F57" i="33"/>
  <c r="G57" i="33"/>
  <c r="H57" i="33"/>
  <c r="I57" i="33"/>
  <c r="J57" i="33"/>
  <c r="K57" i="33"/>
  <c r="L57" i="33"/>
  <c r="M57" i="33"/>
  <c r="N57" i="33"/>
  <c r="O57" i="33"/>
  <c r="P57" i="33"/>
  <c r="Q57" i="33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F21" i="26"/>
  <c r="G21" i="26"/>
  <c r="H21" i="26"/>
  <c r="N21" i="26"/>
  <c r="G57" i="26"/>
  <c r="J57" i="26"/>
  <c r="K57" i="26"/>
  <c r="N57" i="26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D57" i="25"/>
  <c r="E57" i="25"/>
  <c r="F57" i="25"/>
  <c r="G57" i="25"/>
  <c r="H57" i="25"/>
  <c r="I57" i="25"/>
  <c r="J57" i="25"/>
  <c r="K57" i="25"/>
  <c r="L57" i="25"/>
  <c r="M57" i="25"/>
  <c r="N57" i="25"/>
  <c r="O57" i="25"/>
  <c r="P57" i="25"/>
  <c r="Q57" i="25"/>
  <c r="D57" i="24"/>
  <c r="E57" i="24"/>
  <c r="F57" i="24"/>
  <c r="G57" i="24"/>
  <c r="H57" i="24"/>
  <c r="I57" i="24"/>
  <c r="J57" i="24"/>
  <c r="K57" i="24"/>
  <c r="L57" i="24"/>
  <c r="M57" i="24"/>
  <c r="N57" i="24"/>
  <c r="O57" i="24"/>
  <c r="P57" i="24"/>
  <c r="Q57" i="24"/>
  <c r="Q84" i="51"/>
  <c r="Q84" i="52"/>
  <c r="K84" i="51"/>
  <c r="K84" i="52"/>
  <c r="Q85" i="51"/>
  <c r="Q85" i="52"/>
  <c r="K85" i="51"/>
  <c r="K85" i="52"/>
  <c r="Q82" i="51"/>
  <c r="Q82" i="52"/>
  <c r="K82" i="51"/>
  <c r="K82" i="52"/>
  <c r="Q80" i="51"/>
  <c r="Q80" i="52"/>
  <c r="K80" i="51"/>
  <c r="K80" i="52"/>
  <c r="Q76" i="51"/>
  <c r="Q76" i="52"/>
  <c r="K76" i="51"/>
  <c r="K76" i="52"/>
  <c r="Q71" i="51"/>
  <c r="Q71" i="52"/>
  <c r="K71" i="51"/>
  <c r="K71" i="52"/>
  <c r="K71" i="50" s="1"/>
  <c r="Q68" i="51"/>
  <c r="Q68" i="52"/>
  <c r="K68" i="51"/>
  <c r="K68" i="52"/>
  <c r="Q66" i="51"/>
  <c r="Q66" i="52"/>
  <c r="K66" i="51"/>
  <c r="K66" i="52"/>
  <c r="K66" i="50" s="1"/>
  <c r="Q65" i="51"/>
  <c r="Q65" i="52"/>
  <c r="K65" i="51"/>
  <c r="K65" i="52"/>
  <c r="Q77" i="52"/>
  <c r="K77" i="52"/>
  <c r="Q92" i="51"/>
  <c r="Q92" i="52"/>
  <c r="Q34" i="37"/>
  <c r="Q88" i="51"/>
  <c r="Q78" i="51"/>
  <c r="Q78" i="52"/>
  <c r="K78" i="51"/>
  <c r="K78" i="52"/>
  <c r="Q75" i="51"/>
  <c r="Q75" i="52"/>
  <c r="Q75" i="50" s="1"/>
  <c r="K75" i="51"/>
  <c r="K75" i="52"/>
  <c r="Q74" i="51"/>
  <c r="Q74" i="52"/>
  <c r="K74" i="51"/>
  <c r="K74" i="52"/>
  <c r="Q73" i="51"/>
  <c r="Q73" i="52"/>
  <c r="Q73" i="50" s="1"/>
  <c r="K73" i="51"/>
  <c r="K73" i="52"/>
  <c r="Q70" i="51"/>
  <c r="Q70" i="52"/>
  <c r="Q70" i="50" s="1"/>
  <c r="K70" i="51"/>
  <c r="K70" i="52"/>
  <c r="Q69" i="51"/>
  <c r="Q69" i="52"/>
  <c r="Q69" i="50" s="1"/>
  <c r="K69" i="51"/>
  <c r="K69" i="52"/>
  <c r="Q67" i="51"/>
  <c r="Q67" i="52"/>
  <c r="K67" i="51"/>
  <c r="K67" i="52"/>
  <c r="Q24" i="51"/>
  <c r="Q24" i="52"/>
  <c r="K24" i="51"/>
  <c r="K24" i="52"/>
  <c r="Q22" i="51"/>
  <c r="Q22" i="52"/>
  <c r="K22" i="51"/>
  <c r="K22" i="52"/>
  <c r="Q18" i="51"/>
  <c r="Q18" i="52"/>
  <c r="K18" i="51"/>
  <c r="K18" i="52"/>
  <c r="Q13" i="52"/>
  <c r="K13" i="51"/>
  <c r="K13" i="52"/>
  <c r="Q10" i="51"/>
  <c r="Q10" i="52"/>
  <c r="K10" i="51"/>
  <c r="K10" i="52"/>
  <c r="Q8" i="51"/>
  <c r="Q8" i="52"/>
  <c r="K8" i="51"/>
  <c r="K8" i="52"/>
  <c r="Q7" i="51"/>
  <c r="Q7" i="50" s="1"/>
  <c r="Q7" i="52"/>
  <c r="K7" i="51"/>
  <c r="K7" i="52"/>
  <c r="K19" i="51"/>
  <c r="K19" i="52"/>
  <c r="Q34" i="52"/>
  <c r="Q27" i="51"/>
  <c r="Q27" i="52"/>
  <c r="Q26" i="51"/>
  <c r="Q26" i="52"/>
  <c r="Q26" i="50" s="1"/>
  <c r="Q20" i="51"/>
  <c r="Q20" i="52"/>
  <c r="K34" i="51"/>
  <c r="K27" i="51"/>
  <c r="K27" i="52"/>
  <c r="K26" i="51"/>
  <c r="K26" i="52"/>
  <c r="K20" i="51"/>
  <c r="K20" i="52"/>
  <c r="Q17" i="51"/>
  <c r="Q17" i="52"/>
  <c r="Q17" i="50" s="1"/>
  <c r="K17" i="51"/>
  <c r="K17" i="52"/>
  <c r="Q16" i="51"/>
  <c r="Q16" i="52"/>
  <c r="K16" i="51"/>
  <c r="K16" i="52"/>
  <c r="Q15" i="51"/>
  <c r="Q15" i="52"/>
  <c r="K15" i="51"/>
  <c r="K15" i="52"/>
  <c r="Q12" i="51"/>
  <c r="Q12" i="52"/>
  <c r="K12" i="51"/>
  <c r="K12" i="52"/>
  <c r="Q11" i="51"/>
  <c r="Q11" i="52"/>
  <c r="K11" i="51"/>
  <c r="K11" i="52"/>
  <c r="Q9" i="51"/>
  <c r="Q9" i="52"/>
  <c r="K9" i="51"/>
  <c r="K9" i="52"/>
  <c r="Q53" i="51"/>
  <c r="Q53" i="52"/>
  <c r="Q24" i="62" s="1"/>
  <c r="K53" i="51"/>
  <c r="K24" i="61" s="1"/>
  <c r="K53" i="52"/>
  <c r="Q51" i="51"/>
  <c r="Q51" i="52"/>
  <c r="K51" i="51"/>
  <c r="K51" i="52"/>
  <c r="Q47" i="52"/>
  <c r="Q18" i="62" s="1"/>
  <c r="K47" i="51"/>
  <c r="K47" i="52"/>
  <c r="Q42" i="52"/>
  <c r="K42" i="51"/>
  <c r="K13" i="61" s="1"/>
  <c r="K42" i="52"/>
  <c r="K42" i="50" s="1"/>
  <c r="Q39" i="52"/>
  <c r="Q39" i="50" s="1"/>
  <c r="K39" i="51"/>
  <c r="K39" i="52"/>
  <c r="Q37" i="52"/>
  <c r="K37" i="51"/>
  <c r="K37" i="52"/>
  <c r="K36" i="51"/>
  <c r="K36" i="52"/>
  <c r="K55" i="35"/>
  <c r="K55" i="37"/>
  <c r="Q63" i="52"/>
  <c r="Q56" i="51"/>
  <c r="Q56" i="52"/>
  <c r="Q27" i="62" s="1"/>
  <c r="Q55" i="51"/>
  <c r="Q55" i="52"/>
  <c r="Q49" i="51"/>
  <c r="Q49" i="52"/>
  <c r="K59" i="52"/>
  <c r="K56" i="51"/>
  <c r="K56" i="50" s="1"/>
  <c r="K56" i="52"/>
  <c r="K55" i="51"/>
  <c r="K26" i="61" s="1"/>
  <c r="K55" i="52"/>
  <c r="K49" i="51"/>
  <c r="K49" i="52"/>
  <c r="Q46" i="51"/>
  <c r="K46" i="51"/>
  <c r="K17" i="61" s="1"/>
  <c r="K46" i="52"/>
  <c r="Q45" i="51"/>
  <c r="Q45" i="52"/>
  <c r="K45" i="51"/>
  <c r="K45" i="52"/>
  <c r="Q44" i="51"/>
  <c r="Q44" i="52"/>
  <c r="K44" i="51"/>
  <c r="K15" i="61" s="1"/>
  <c r="K44" i="52"/>
  <c r="Q41" i="52"/>
  <c r="K41" i="51"/>
  <c r="K41" i="52"/>
  <c r="Q40" i="51"/>
  <c r="Q40" i="52"/>
  <c r="K40" i="51"/>
  <c r="K40" i="52"/>
  <c r="Q38" i="51"/>
  <c r="K38" i="51"/>
  <c r="K38" i="52"/>
  <c r="Q19" i="49"/>
  <c r="K77" i="47"/>
  <c r="K55" i="28"/>
  <c r="K48" i="46"/>
  <c r="Q92" i="45"/>
  <c r="Q92" i="46"/>
  <c r="Q92" i="47"/>
  <c r="Q92" i="48"/>
  <c r="Q88" i="45"/>
  <c r="Q88" i="46"/>
  <c r="K92" i="46"/>
  <c r="K88" i="46"/>
  <c r="K88" i="49"/>
  <c r="Q70" i="24"/>
  <c r="Q63" i="46"/>
  <c r="Q59" i="47"/>
  <c r="Q28" i="31"/>
  <c r="K63" i="48"/>
  <c r="K59" i="45"/>
  <c r="Q34" i="46"/>
  <c r="Q34" i="47"/>
  <c r="Q34" i="48"/>
  <c r="Q34" i="49"/>
  <c r="Q30" i="47"/>
  <c r="K34" i="49"/>
  <c r="K30" i="46"/>
  <c r="K66" i="33"/>
  <c r="P92" i="46"/>
  <c r="P88" i="46"/>
  <c r="P88" i="49"/>
  <c r="O92" i="47"/>
  <c r="O92" i="48"/>
  <c r="O92" i="49"/>
  <c r="O88" i="46"/>
  <c r="O88" i="48"/>
  <c r="N92" i="46"/>
  <c r="N92" i="49"/>
  <c r="N88" i="47"/>
  <c r="M92" i="47"/>
  <c r="M92" i="49"/>
  <c r="M88" i="46"/>
  <c r="L92" i="46"/>
  <c r="S92" i="46" s="1"/>
  <c r="L88" i="49"/>
  <c r="J92" i="46"/>
  <c r="J92" i="49"/>
  <c r="J88" i="47"/>
  <c r="I92" i="46"/>
  <c r="I92" i="47"/>
  <c r="H92" i="46"/>
  <c r="H92" i="47"/>
  <c r="G92" i="47"/>
  <c r="G92" i="48"/>
  <c r="G92" i="49"/>
  <c r="F92" i="46"/>
  <c r="F92" i="49"/>
  <c r="E92" i="46"/>
  <c r="E92" i="47"/>
  <c r="E92" i="48"/>
  <c r="I88" i="46"/>
  <c r="I88" i="49"/>
  <c r="H88" i="46"/>
  <c r="G88" i="46"/>
  <c r="F88" i="48"/>
  <c r="E88" i="45"/>
  <c r="E88" i="46"/>
  <c r="E88" i="48"/>
  <c r="E88" i="49"/>
  <c r="Q43" i="51"/>
  <c r="Q43" i="52"/>
  <c r="Q72" i="51"/>
  <c r="Q72" i="52"/>
  <c r="Q58" i="51"/>
  <c r="Q58" i="52"/>
  <c r="Q87" i="51"/>
  <c r="Q87" i="52"/>
  <c r="Q57" i="51"/>
  <c r="Q57" i="52"/>
  <c r="Q86" i="51"/>
  <c r="Q86" i="52"/>
  <c r="Q62" i="51"/>
  <c r="Q62" i="52"/>
  <c r="Q91" i="51"/>
  <c r="Q91" i="52"/>
  <c r="Q61" i="51"/>
  <c r="Q61" i="52"/>
  <c r="Q90" i="51"/>
  <c r="Q90" i="52"/>
  <c r="Q60" i="51"/>
  <c r="Q60" i="52"/>
  <c r="Q89" i="51"/>
  <c r="Q89" i="52"/>
  <c r="P36" i="51"/>
  <c r="P36" i="52"/>
  <c r="P65" i="51"/>
  <c r="P65" i="52"/>
  <c r="P37" i="51"/>
  <c r="P37" i="52"/>
  <c r="P66" i="51"/>
  <c r="P66" i="52"/>
  <c r="P38" i="51"/>
  <c r="P38" i="52"/>
  <c r="P67" i="51"/>
  <c r="P67" i="52"/>
  <c r="P39" i="51"/>
  <c r="P39" i="52"/>
  <c r="P68" i="51"/>
  <c r="P68" i="52"/>
  <c r="P40" i="51"/>
  <c r="P40" i="52"/>
  <c r="P69" i="51"/>
  <c r="P69" i="52"/>
  <c r="P41" i="51"/>
  <c r="P41" i="52"/>
  <c r="P70" i="51"/>
  <c r="P70" i="52"/>
  <c r="P42" i="52"/>
  <c r="P71" i="51"/>
  <c r="P71" i="50" s="1"/>
  <c r="P71" i="52"/>
  <c r="P43" i="51"/>
  <c r="P43" i="52"/>
  <c r="P72" i="51"/>
  <c r="P72" i="52"/>
  <c r="P44" i="51"/>
  <c r="P44" i="52"/>
  <c r="P73" i="51"/>
  <c r="P73" i="50" s="1"/>
  <c r="P73" i="52"/>
  <c r="P45" i="51"/>
  <c r="P45" i="52"/>
  <c r="P74" i="51"/>
  <c r="P74" i="52"/>
  <c r="P46" i="51"/>
  <c r="P46" i="52"/>
  <c r="P75" i="51"/>
  <c r="P75" i="52"/>
  <c r="P47" i="51"/>
  <c r="P47" i="52"/>
  <c r="P76" i="51"/>
  <c r="P76" i="52"/>
  <c r="P49" i="51"/>
  <c r="P49" i="52"/>
  <c r="P78" i="51"/>
  <c r="P78" i="50" s="1"/>
  <c r="P78" i="52"/>
  <c r="P51" i="51"/>
  <c r="P51" i="52"/>
  <c r="P80" i="51"/>
  <c r="P80" i="50" s="1"/>
  <c r="P80" i="52"/>
  <c r="P53" i="51"/>
  <c r="P53" i="52"/>
  <c r="P82" i="51"/>
  <c r="P82" i="52"/>
  <c r="P55" i="51"/>
  <c r="P55" i="52"/>
  <c r="P84" i="51"/>
  <c r="P84" i="52"/>
  <c r="P56" i="51"/>
  <c r="P56" i="52"/>
  <c r="P85" i="51"/>
  <c r="P85" i="52"/>
  <c r="P87" i="51"/>
  <c r="P87" i="52"/>
  <c r="P86" i="51"/>
  <c r="P86" i="52"/>
  <c r="P62" i="51"/>
  <c r="P62" i="52"/>
  <c r="P91" i="51"/>
  <c r="P91" i="52"/>
  <c r="P61" i="51"/>
  <c r="P61" i="52"/>
  <c r="P90" i="51"/>
  <c r="P90" i="52"/>
  <c r="P89" i="51"/>
  <c r="P89" i="52"/>
  <c r="O36" i="51"/>
  <c r="O36" i="52"/>
  <c r="O65" i="51"/>
  <c r="O65" i="52"/>
  <c r="O37" i="51"/>
  <c r="O37" i="52"/>
  <c r="O66" i="51"/>
  <c r="O66" i="52"/>
  <c r="O38" i="51"/>
  <c r="O38" i="52"/>
  <c r="O67" i="51"/>
  <c r="O67" i="52"/>
  <c r="O39" i="51"/>
  <c r="O39" i="52"/>
  <c r="O68" i="51"/>
  <c r="O68" i="52"/>
  <c r="O40" i="51"/>
  <c r="O40" i="52"/>
  <c r="O69" i="51"/>
  <c r="O69" i="52"/>
  <c r="O41" i="51"/>
  <c r="O41" i="52"/>
  <c r="O70" i="51"/>
  <c r="O70" i="52"/>
  <c r="O42" i="52"/>
  <c r="O71" i="51"/>
  <c r="O71" i="52"/>
  <c r="O43" i="51"/>
  <c r="O43" i="52"/>
  <c r="O72" i="51"/>
  <c r="O72" i="52"/>
  <c r="O44" i="51"/>
  <c r="O44" i="52"/>
  <c r="O73" i="51"/>
  <c r="O73" i="52"/>
  <c r="O45" i="51"/>
  <c r="O45" i="52"/>
  <c r="O74" i="51"/>
  <c r="O74" i="52"/>
  <c r="O46" i="51"/>
  <c r="O46" i="52"/>
  <c r="O75" i="51"/>
  <c r="O75" i="52"/>
  <c r="O47" i="51"/>
  <c r="O47" i="52"/>
  <c r="O76" i="51"/>
  <c r="O76" i="52"/>
  <c r="O49" i="51"/>
  <c r="O49" i="52"/>
  <c r="O78" i="51"/>
  <c r="O78" i="52"/>
  <c r="O51" i="51"/>
  <c r="O51" i="52"/>
  <c r="O80" i="51"/>
  <c r="O80" i="52"/>
  <c r="O53" i="51"/>
  <c r="O53" i="52"/>
  <c r="O82" i="51"/>
  <c r="O82" i="52"/>
  <c r="O55" i="51"/>
  <c r="O55" i="52"/>
  <c r="O84" i="51"/>
  <c r="O84" i="52"/>
  <c r="O56" i="51"/>
  <c r="O56" i="52"/>
  <c r="O85" i="51"/>
  <c r="O85" i="52"/>
  <c r="O87" i="51"/>
  <c r="O87" i="52"/>
  <c r="O86" i="51"/>
  <c r="O86" i="52"/>
  <c r="O62" i="51"/>
  <c r="O62" i="52"/>
  <c r="O91" i="51"/>
  <c r="O91" i="52"/>
  <c r="O61" i="51"/>
  <c r="O61" i="52"/>
  <c r="O90" i="51"/>
  <c r="O90" i="52"/>
  <c r="O89" i="51"/>
  <c r="O89" i="52"/>
  <c r="N36" i="51"/>
  <c r="N36" i="52"/>
  <c r="N65" i="51"/>
  <c r="N65" i="52"/>
  <c r="N37" i="51"/>
  <c r="N37" i="52"/>
  <c r="N66" i="51"/>
  <c r="N66" i="52"/>
  <c r="N38" i="51"/>
  <c r="N38" i="52"/>
  <c r="N67" i="51"/>
  <c r="N67" i="52"/>
  <c r="N39" i="51"/>
  <c r="N39" i="52"/>
  <c r="N68" i="51"/>
  <c r="N68" i="52"/>
  <c r="N40" i="51"/>
  <c r="N40" i="52"/>
  <c r="N69" i="51"/>
  <c r="N69" i="52"/>
  <c r="N41" i="51"/>
  <c r="N41" i="52"/>
  <c r="N70" i="51"/>
  <c r="N70" i="52"/>
  <c r="N42" i="52"/>
  <c r="N71" i="51"/>
  <c r="N71" i="52"/>
  <c r="N43" i="51"/>
  <c r="N43" i="50" s="1"/>
  <c r="N43" i="52"/>
  <c r="N72" i="51"/>
  <c r="N72" i="52"/>
  <c r="N44" i="51"/>
  <c r="N44" i="50" s="1"/>
  <c r="N44" i="52"/>
  <c r="N73" i="51"/>
  <c r="N73" i="52"/>
  <c r="N45" i="51"/>
  <c r="N45" i="50" s="1"/>
  <c r="N45" i="52"/>
  <c r="N74" i="51"/>
  <c r="N74" i="52"/>
  <c r="N46" i="51"/>
  <c r="N46" i="52"/>
  <c r="N75" i="51"/>
  <c r="N75" i="52"/>
  <c r="N47" i="51"/>
  <c r="N18" i="61" s="1"/>
  <c r="N47" i="52"/>
  <c r="N76" i="51"/>
  <c r="N76" i="52"/>
  <c r="N49" i="51"/>
  <c r="N49" i="52"/>
  <c r="N78" i="51"/>
  <c r="N78" i="52"/>
  <c r="N51" i="51"/>
  <c r="N51" i="52"/>
  <c r="N80" i="51"/>
  <c r="N80" i="52"/>
  <c r="N53" i="51"/>
  <c r="N53" i="52"/>
  <c r="N82" i="51"/>
  <c r="N82" i="52"/>
  <c r="N55" i="51"/>
  <c r="N55" i="52"/>
  <c r="N84" i="51"/>
  <c r="N84" i="52"/>
  <c r="N56" i="51"/>
  <c r="N56" i="52"/>
  <c r="N85" i="51"/>
  <c r="N85" i="52"/>
  <c r="N87" i="51"/>
  <c r="N87" i="52"/>
  <c r="N86" i="51"/>
  <c r="N86" i="52"/>
  <c r="N62" i="51"/>
  <c r="N62" i="52"/>
  <c r="N91" i="51"/>
  <c r="N91" i="52"/>
  <c r="N61" i="51"/>
  <c r="N61" i="52"/>
  <c r="N90" i="51"/>
  <c r="N90" i="52"/>
  <c r="N89" i="51"/>
  <c r="N89" i="52"/>
  <c r="M36" i="51"/>
  <c r="M36" i="52"/>
  <c r="M65" i="51"/>
  <c r="M65" i="52"/>
  <c r="M37" i="51"/>
  <c r="M37" i="52"/>
  <c r="M66" i="51"/>
  <c r="M66" i="50" s="1"/>
  <c r="M66" i="52"/>
  <c r="M38" i="51"/>
  <c r="M38" i="52"/>
  <c r="M67" i="51"/>
  <c r="M67" i="52"/>
  <c r="M39" i="51"/>
  <c r="M39" i="52"/>
  <c r="M68" i="51"/>
  <c r="M68" i="50" s="1"/>
  <c r="M68" i="52"/>
  <c r="M40" i="51"/>
  <c r="M40" i="52"/>
  <c r="M69" i="51"/>
  <c r="M69" i="52"/>
  <c r="M41" i="51"/>
  <c r="M41" i="52"/>
  <c r="M70" i="51"/>
  <c r="M70" i="52"/>
  <c r="M42" i="51"/>
  <c r="M42" i="52"/>
  <c r="M71" i="51"/>
  <c r="M71" i="52"/>
  <c r="M43" i="51"/>
  <c r="M43" i="52"/>
  <c r="M72" i="51"/>
  <c r="M72" i="50" s="1"/>
  <c r="M72" i="52"/>
  <c r="M44" i="51"/>
  <c r="M44" i="52"/>
  <c r="M73" i="51"/>
  <c r="M73" i="52"/>
  <c r="M45" i="51"/>
  <c r="M45" i="52"/>
  <c r="M74" i="51"/>
  <c r="M74" i="50" s="1"/>
  <c r="M74" i="52"/>
  <c r="M46" i="51"/>
  <c r="M46" i="52"/>
  <c r="M75" i="51"/>
  <c r="M75" i="50" s="1"/>
  <c r="M75" i="52"/>
  <c r="M47" i="51"/>
  <c r="M47" i="52"/>
  <c r="M76" i="51"/>
  <c r="M76" i="52"/>
  <c r="M49" i="51"/>
  <c r="M49" i="52"/>
  <c r="M78" i="51"/>
  <c r="M78" i="52"/>
  <c r="M51" i="51"/>
  <c r="M51" i="52"/>
  <c r="M80" i="51"/>
  <c r="M80" i="52"/>
  <c r="M53" i="51"/>
  <c r="M53" i="52"/>
  <c r="M82" i="51"/>
  <c r="M82" i="52"/>
  <c r="M55" i="51"/>
  <c r="M55" i="52"/>
  <c r="M84" i="51"/>
  <c r="M84" i="50" s="1"/>
  <c r="M84" i="52"/>
  <c r="M56" i="51"/>
  <c r="M56" i="52"/>
  <c r="M85" i="51"/>
  <c r="M85" i="52"/>
  <c r="M87" i="51"/>
  <c r="M87" i="52"/>
  <c r="M86" i="51"/>
  <c r="M86" i="52"/>
  <c r="M62" i="51"/>
  <c r="M62" i="52"/>
  <c r="M91" i="51"/>
  <c r="M91" i="52"/>
  <c r="M61" i="51"/>
  <c r="M61" i="52"/>
  <c r="M90" i="51"/>
  <c r="M90" i="52"/>
  <c r="M60" i="51"/>
  <c r="M89" i="51"/>
  <c r="M89" i="52"/>
  <c r="L36" i="51"/>
  <c r="S36" i="51" s="1"/>
  <c r="L36" i="52"/>
  <c r="L65" i="51"/>
  <c r="L65" i="52"/>
  <c r="L37" i="51"/>
  <c r="L37" i="52"/>
  <c r="S37" i="52" s="1"/>
  <c r="L66" i="51"/>
  <c r="L66" i="52"/>
  <c r="L38" i="51"/>
  <c r="L38" i="52"/>
  <c r="S38" i="52" s="1"/>
  <c r="L67" i="51"/>
  <c r="L67" i="52"/>
  <c r="S67" i="52" s="1"/>
  <c r="L39" i="51"/>
  <c r="S39" i="51" s="1"/>
  <c r="L39" i="52"/>
  <c r="L68" i="51"/>
  <c r="L68" i="52"/>
  <c r="L40" i="51"/>
  <c r="L40" i="52"/>
  <c r="L69" i="51"/>
  <c r="S69" i="51" s="1"/>
  <c r="L69" i="52"/>
  <c r="L41" i="51"/>
  <c r="L41" i="52"/>
  <c r="S41" i="52" s="1"/>
  <c r="L70" i="51"/>
  <c r="L70" i="52"/>
  <c r="L42" i="51"/>
  <c r="L42" i="52"/>
  <c r="L71" i="51"/>
  <c r="L71" i="52"/>
  <c r="L43" i="51"/>
  <c r="S43" i="51" s="1"/>
  <c r="L43" i="52"/>
  <c r="S43" i="52" s="1"/>
  <c r="L72" i="51"/>
  <c r="S72" i="51" s="1"/>
  <c r="L72" i="52"/>
  <c r="S72" i="52" s="1"/>
  <c r="L44" i="51"/>
  <c r="L44" i="52"/>
  <c r="S44" i="52" s="1"/>
  <c r="L73" i="51"/>
  <c r="L73" i="52"/>
  <c r="S73" i="52" s="1"/>
  <c r="L45" i="51"/>
  <c r="L45" i="52"/>
  <c r="S45" i="52" s="1"/>
  <c r="L74" i="51"/>
  <c r="L74" i="52"/>
  <c r="L46" i="51"/>
  <c r="L46" i="52"/>
  <c r="L75" i="51"/>
  <c r="L75" i="52"/>
  <c r="S75" i="52" s="1"/>
  <c r="L47" i="51"/>
  <c r="L47" i="52"/>
  <c r="L76" i="51"/>
  <c r="L76" i="52"/>
  <c r="L49" i="51"/>
  <c r="L49" i="52"/>
  <c r="S49" i="52" s="1"/>
  <c r="L78" i="51"/>
  <c r="L78" i="52"/>
  <c r="L51" i="51"/>
  <c r="L51" i="52"/>
  <c r="S51" i="52" s="1"/>
  <c r="L80" i="51"/>
  <c r="L80" i="52"/>
  <c r="L53" i="51"/>
  <c r="S53" i="51" s="1"/>
  <c r="L53" i="52"/>
  <c r="L82" i="51"/>
  <c r="L82" i="52"/>
  <c r="L55" i="51"/>
  <c r="L55" i="52"/>
  <c r="L84" i="51"/>
  <c r="L84" i="52"/>
  <c r="L56" i="51"/>
  <c r="L56" i="52"/>
  <c r="L27" i="62" s="1"/>
  <c r="L85" i="51"/>
  <c r="L85" i="52"/>
  <c r="L58" i="51"/>
  <c r="S58" i="51" s="1"/>
  <c r="L58" i="52"/>
  <c r="L87" i="51"/>
  <c r="S87" i="51" s="1"/>
  <c r="L87" i="52"/>
  <c r="S87" i="52" s="1"/>
  <c r="L57" i="51"/>
  <c r="L57" i="52"/>
  <c r="L86" i="51"/>
  <c r="S86" i="51" s="1"/>
  <c r="L86" i="52"/>
  <c r="L62" i="51"/>
  <c r="L62" i="52"/>
  <c r="S62" i="52" s="1"/>
  <c r="L91" i="51"/>
  <c r="S91" i="51" s="1"/>
  <c r="L91" i="52"/>
  <c r="L61" i="51"/>
  <c r="L61" i="52"/>
  <c r="L90" i="51"/>
  <c r="S90" i="51" s="1"/>
  <c r="L90" i="52"/>
  <c r="L60" i="51"/>
  <c r="L60" i="52"/>
  <c r="S60" i="52" s="1"/>
  <c r="L89" i="51"/>
  <c r="S89" i="51" s="1"/>
  <c r="L89" i="52"/>
  <c r="K43" i="51"/>
  <c r="K43" i="52"/>
  <c r="K72" i="51"/>
  <c r="K72" i="52"/>
  <c r="K58" i="51"/>
  <c r="K58" i="52"/>
  <c r="K87" i="51"/>
  <c r="K87" i="52"/>
  <c r="K57" i="51"/>
  <c r="K57" i="52"/>
  <c r="K86" i="51"/>
  <c r="K86" i="52"/>
  <c r="K62" i="52"/>
  <c r="K91" i="51"/>
  <c r="K91" i="52"/>
  <c r="K61" i="51"/>
  <c r="K61" i="52"/>
  <c r="K90" i="51"/>
  <c r="K90" i="52"/>
  <c r="K60" i="51"/>
  <c r="K60" i="52"/>
  <c r="K89" i="51"/>
  <c r="K89" i="52"/>
  <c r="J36" i="51"/>
  <c r="J36" i="52"/>
  <c r="J65" i="51"/>
  <c r="J65" i="52"/>
  <c r="J37" i="51"/>
  <c r="J37" i="52"/>
  <c r="J66" i="51"/>
  <c r="J66" i="52"/>
  <c r="J38" i="51"/>
  <c r="J38" i="52"/>
  <c r="J67" i="51"/>
  <c r="J67" i="52"/>
  <c r="J39" i="51"/>
  <c r="J39" i="52"/>
  <c r="J68" i="51"/>
  <c r="J68" i="52"/>
  <c r="J68" i="50" s="1"/>
  <c r="J40" i="51"/>
  <c r="J40" i="52"/>
  <c r="J69" i="51"/>
  <c r="J69" i="52"/>
  <c r="J41" i="51"/>
  <c r="J41" i="52"/>
  <c r="J70" i="51"/>
  <c r="J70" i="52"/>
  <c r="J42" i="51"/>
  <c r="J42" i="52"/>
  <c r="J71" i="51"/>
  <c r="J71" i="52"/>
  <c r="J71" i="50" s="1"/>
  <c r="J43" i="51"/>
  <c r="J43" i="52"/>
  <c r="J72" i="51"/>
  <c r="J72" i="52"/>
  <c r="J44" i="51"/>
  <c r="J44" i="52"/>
  <c r="J73" i="51"/>
  <c r="J73" i="52"/>
  <c r="J45" i="51"/>
  <c r="J45" i="52"/>
  <c r="J74" i="51"/>
  <c r="J74" i="52"/>
  <c r="J46" i="51"/>
  <c r="J46" i="52"/>
  <c r="J75" i="51"/>
  <c r="J75" i="52"/>
  <c r="J47" i="51"/>
  <c r="J47" i="52"/>
  <c r="J76" i="51"/>
  <c r="J76" i="52"/>
  <c r="J49" i="51"/>
  <c r="J49" i="52"/>
  <c r="J78" i="51"/>
  <c r="J78" i="52"/>
  <c r="J51" i="51"/>
  <c r="J51" i="52"/>
  <c r="J80" i="51"/>
  <c r="J80" i="52"/>
  <c r="J80" i="50" s="1"/>
  <c r="J53" i="51"/>
  <c r="J53" i="52"/>
  <c r="J82" i="51"/>
  <c r="J82" i="52"/>
  <c r="J55" i="51"/>
  <c r="J55" i="52"/>
  <c r="J84" i="51"/>
  <c r="J84" i="52"/>
  <c r="J26" i="62" s="1"/>
  <c r="J56" i="51"/>
  <c r="J56" i="52"/>
  <c r="J85" i="51"/>
  <c r="J85" i="52"/>
  <c r="J58" i="51"/>
  <c r="J58" i="52"/>
  <c r="J87" i="51"/>
  <c r="J87" i="52"/>
  <c r="J57" i="51"/>
  <c r="J57" i="52"/>
  <c r="J86" i="51"/>
  <c r="J86" i="52"/>
  <c r="J62" i="51"/>
  <c r="J62" i="52"/>
  <c r="J91" i="51"/>
  <c r="J91" i="50" s="1"/>
  <c r="J91" i="52"/>
  <c r="J61" i="51"/>
  <c r="J61" i="52"/>
  <c r="J90" i="51"/>
  <c r="J90" i="52"/>
  <c r="J60" i="51"/>
  <c r="J60" i="52"/>
  <c r="J89" i="51"/>
  <c r="J89" i="52"/>
  <c r="I36" i="51"/>
  <c r="I36" i="52"/>
  <c r="I65" i="51"/>
  <c r="I65" i="52"/>
  <c r="I37" i="51"/>
  <c r="I37" i="52"/>
  <c r="I66" i="51"/>
  <c r="I66" i="52"/>
  <c r="I38" i="51"/>
  <c r="I38" i="52"/>
  <c r="I67" i="51"/>
  <c r="I67" i="52"/>
  <c r="I39" i="51"/>
  <c r="I39" i="52"/>
  <c r="I68" i="51"/>
  <c r="I68" i="52"/>
  <c r="I40" i="51"/>
  <c r="I11" i="61" s="1"/>
  <c r="I40" i="52"/>
  <c r="I69" i="51"/>
  <c r="I69" i="52"/>
  <c r="I41" i="51"/>
  <c r="I41" i="52"/>
  <c r="I70" i="51"/>
  <c r="I70" i="52"/>
  <c r="I42" i="51"/>
  <c r="I42" i="52"/>
  <c r="I71" i="51"/>
  <c r="I71" i="52"/>
  <c r="I71" i="50" s="1"/>
  <c r="I43" i="51"/>
  <c r="I43" i="52"/>
  <c r="I72" i="51"/>
  <c r="I72" i="52"/>
  <c r="I44" i="51"/>
  <c r="I44" i="52"/>
  <c r="I73" i="51"/>
  <c r="I73" i="52"/>
  <c r="I45" i="51"/>
  <c r="I45" i="52"/>
  <c r="I74" i="51"/>
  <c r="I74" i="52"/>
  <c r="I46" i="51"/>
  <c r="I46" i="52"/>
  <c r="I75" i="51"/>
  <c r="I75" i="52"/>
  <c r="I47" i="51"/>
  <c r="I47" i="52"/>
  <c r="I76" i="51"/>
  <c r="I76" i="52"/>
  <c r="I49" i="51"/>
  <c r="I49" i="52"/>
  <c r="I78" i="51"/>
  <c r="I78" i="52"/>
  <c r="I51" i="51"/>
  <c r="I51" i="52"/>
  <c r="I80" i="51"/>
  <c r="I80" i="52"/>
  <c r="I53" i="51"/>
  <c r="I53" i="52"/>
  <c r="I82" i="51"/>
  <c r="I82" i="52"/>
  <c r="I55" i="51"/>
  <c r="I55" i="52"/>
  <c r="I84" i="51"/>
  <c r="I84" i="52"/>
  <c r="I56" i="51"/>
  <c r="I56" i="52"/>
  <c r="I85" i="51"/>
  <c r="I85" i="52"/>
  <c r="I85" i="50" s="1"/>
  <c r="I58" i="51"/>
  <c r="I58" i="52"/>
  <c r="I87" i="51"/>
  <c r="I87" i="52"/>
  <c r="I57" i="51"/>
  <c r="I57" i="52"/>
  <c r="I86" i="51"/>
  <c r="I86" i="52"/>
  <c r="I62" i="51"/>
  <c r="I62" i="52"/>
  <c r="I91" i="51"/>
  <c r="I91" i="52"/>
  <c r="I61" i="51"/>
  <c r="I61" i="52"/>
  <c r="I90" i="51"/>
  <c r="I90" i="52"/>
  <c r="I60" i="51"/>
  <c r="I60" i="52"/>
  <c r="I89" i="51"/>
  <c r="I89" i="52"/>
  <c r="H36" i="51"/>
  <c r="H36" i="52"/>
  <c r="H65" i="51"/>
  <c r="H65" i="52"/>
  <c r="H37" i="51"/>
  <c r="H37" i="52"/>
  <c r="H66" i="51"/>
  <c r="H66" i="52"/>
  <c r="H38" i="51"/>
  <c r="H38" i="52"/>
  <c r="H67" i="51"/>
  <c r="H67" i="52"/>
  <c r="H39" i="51"/>
  <c r="H39" i="52"/>
  <c r="H68" i="51"/>
  <c r="H68" i="52"/>
  <c r="H40" i="51"/>
  <c r="H40" i="52"/>
  <c r="H69" i="51"/>
  <c r="H69" i="52"/>
  <c r="H41" i="51"/>
  <c r="H41" i="52"/>
  <c r="H70" i="51"/>
  <c r="H70" i="52"/>
  <c r="H42" i="51"/>
  <c r="H42" i="52"/>
  <c r="H71" i="51"/>
  <c r="H71" i="52"/>
  <c r="H43" i="51"/>
  <c r="H43" i="52"/>
  <c r="H72" i="51"/>
  <c r="H72" i="50" s="1"/>
  <c r="H72" i="52"/>
  <c r="H44" i="51"/>
  <c r="H44" i="52"/>
  <c r="H73" i="51"/>
  <c r="H73" i="52"/>
  <c r="H45" i="51"/>
  <c r="H45" i="52"/>
  <c r="H74" i="51"/>
  <c r="H74" i="52"/>
  <c r="H46" i="51"/>
  <c r="H46" i="52"/>
  <c r="H75" i="51"/>
  <c r="H75" i="52"/>
  <c r="H47" i="51"/>
  <c r="H47" i="52"/>
  <c r="H76" i="51"/>
  <c r="H76" i="52"/>
  <c r="H49" i="51"/>
  <c r="H49" i="52"/>
  <c r="H78" i="51"/>
  <c r="H78" i="52"/>
  <c r="H51" i="51"/>
  <c r="H51" i="52"/>
  <c r="H80" i="51"/>
  <c r="H80" i="52"/>
  <c r="H53" i="51"/>
  <c r="H53" i="52"/>
  <c r="H82" i="51"/>
  <c r="H82" i="52"/>
  <c r="H55" i="51"/>
  <c r="H55" i="52"/>
  <c r="H84" i="51"/>
  <c r="H84" i="52"/>
  <c r="H56" i="51"/>
  <c r="H56" i="52"/>
  <c r="H85" i="51"/>
  <c r="H85" i="52"/>
  <c r="H58" i="51"/>
  <c r="H58" i="52"/>
  <c r="H87" i="51"/>
  <c r="H87" i="52"/>
  <c r="H57" i="51"/>
  <c r="H57" i="52"/>
  <c r="H86" i="51"/>
  <c r="H86" i="52"/>
  <c r="H62" i="51"/>
  <c r="H62" i="52"/>
  <c r="H91" i="51"/>
  <c r="H91" i="52"/>
  <c r="H61" i="51"/>
  <c r="H61" i="52"/>
  <c r="H90" i="51"/>
  <c r="H90" i="52"/>
  <c r="H60" i="51"/>
  <c r="H60" i="52"/>
  <c r="H89" i="51"/>
  <c r="H89" i="52"/>
  <c r="G36" i="51"/>
  <c r="G36" i="52"/>
  <c r="G65" i="51"/>
  <c r="G65" i="52"/>
  <c r="G37" i="51"/>
  <c r="G8" i="61" s="1"/>
  <c r="G37" i="52"/>
  <c r="G66" i="51"/>
  <c r="G66" i="52"/>
  <c r="G38" i="51"/>
  <c r="G38" i="52"/>
  <c r="G67" i="51"/>
  <c r="G67" i="52"/>
  <c r="G39" i="51"/>
  <c r="G39" i="52"/>
  <c r="G68" i="51"/>
  <c r="G68" i="52"/>
  <c r="G68" i="50" s="1"/>
  <c r="G40" i="51"/>
  <c r="G40" i="52"/>
  <c r="G69" i="51"/>
  <c r="G69" i="52"/>
  <c r="G41" i="51"/>
  <c r="G41" i="52"/>
  <c r="G70" i="51"/>
  <c r="G70" i="52"/>
  <c r="G42" i="51"/>
  <c r="G42" i="52"/>
  <c r="G71" i="51"/>
  <c r="G71" i="52"/>
  <c r="G71" i="50" s="1"/>
  <c r="G43" i="51"/>
  <c r="G43" i="52"/>
  <c r="G72" i="51"/>
  <c r="G72" i="52"/>
  <c r="G44" i="51"/>
  <c r="G44" i="52"/>
  <c r="G73" i="51"/>
  <c r="G73" i="52"/>
  <c r="G45" i="51"/>
  <c r="G45" i="52"/>
  <c r="G74" i="51"/>
  <c r="G74" i="52"/>
  <c r="G46" i="51"/>
  <c r="G46" i="52"/>
  <c r="G75" i="51"/>
  <c r="G75" i="52"/>
  <c r="G47" i="51"/>
  <c r="G47" i="52"/>
  <c r="G76" i="51"/>
  <c r="G76" i="52"/>
  <c r="G49" i="51"/>
  <c r="G49" i="52"/>
  <c r="G78" i="51"/>
  <c r="G78" i="50" s="1"/>
  <c r="G78" i="52"/>
  <c r="G51" i="51"/>
  <c r="G51" i="52"/>
  <c r="G80" i="51"/>
  <c r="G80" i="52"/>
  <c r="G53" i="51"/>
  <c r="G53" i="52"/>
  <c r="G24" i="62" s="1"/>
  <c r="G82" i="51"/>
  <c r="G82" i="52"/>
  <c r="G55" i="51"/>
  <c r="G55" i="52"/>
  <c r="G84" i="51"/>
  <c r="G84" i="52"/>
  <c r="G56" i="51"/>
  <c r="G56" i="52"/>
  <c r="G85" i="51"/>
  <c r="G85" i="52"/>
  <c r="G85" i="50" s="1"/>
  <c r="G58" i="51"/>
  <c r="G58" i="52"/>
  <c r="G87" i="51"/>
  <c r="G87" i="52"/>
  <c r="G57" i="51"/>
  <c r="G57" i="52"/>
  <c r="G86" i="51"/>
  <c r="G86" i="52"/>
  <c r="G62" i="51"/>
  <c r="G62" i="52"/>
  <c r="G91" i="51"/>
  <c r="G91" i="52"/>
  <c r="G61" i="51"/>
  <c r="G61" i="52"/>
  <c r="G90" i="51"/>
  <c r="G90" i="52"/>
  <c r="G60" i="51"/>
  <c r="G60" i="52"/>
  <c r="G89" i="51"/>
  <c r="G89" i="52"/>
  <c r="F36" i="51"/>
  <c r="F36" i="52"/>
  <c r="F65" i="51"/>
  <c r="F65" i="52"/>
  <c r="F37" i="51"/>
  <c r="F37" i="52"/>
  <c r="F66" i="51"/>
  <c r="F66" i="52"/>
  <c r="F38" i="51"/>
  <c r="F38" i="52"/>
  <c r="F67" i="51"/>
  <c r="F67" i="50" s="1"/>
  <c r="F67" i="52"/>
  <c r="F39" i="51"/>
  <c r="F39" i="52"/>
  <c r="F68" i="51"/>
  <c r="F68" i="52"/>
  <c r="F40" i="51"/>
  <c r="F40" i="52"/>
  <c r="F69" i="51"/>
  <c r="F69" i="52"/>
  <c r="F41" i="51"/>
  <c r="F41" i="52"/>
  <c r="F70" i="51"/>
  <c r="F70" i="52"/>
  <c r="F42" i="51"/>
  <c r="F42" i="52"/>
  <c r="F71" i="51"/>
  <c r="F71" i="52"/>
  <c r="F43" i="51"/>
  <c r="F43" i="52"/>
  <c r="F72" i="51"/>
  <c r="F72" i="52"/>
  <c r="F44" i="51"/>
  <c r="F44" i="52"/>
  <c r="F73" i="51"/>
  <c r="F73" i="52"/>
  <c r="F45" i="51"/>
  <c r="F45" i="52"/>
  <c r="F74" i="51"/>
  <c r="F74" i="52"/>
  <c r="F46" i="51"/>
  <c r="F46" i="52"/>
  <c r="F75" i="51"/>
  <c r="F75" i="52"/>
  <c r="F75" i="50" s="1"/>
  <c r="F47" i="51"/>
  <c r="F47" i="52"/>
  <c r="F76" i="51"/>
  <c r="F76" i="50" s="1"/>
  <c r="F76" i="52"/>
  <c r="F49" i="51"/>
  <c r="F49" i="52"/>
  <c r="F78" i="51"/>
  <c r="F78" i="52"/>
  <c r="F51" i="51"/>
  <c r="F51" i="52"/>
  <c r="F80" i="51"/>
  <c r="F80" i="52"/>
  <c r="F53" i="51"/>
  <c r="F53" i="52"/>
  <c r="F82" i="51"/>
  <c r="F82" i="50" s="1"/>
  <c r="F82" i="52"/>
  <c r="F55" i="51"/>
  <c r="F55" i="52"/>
  <c r="F84" i="51"/>
  <c r="F84" i="52"/>
  <c r="F56" i="51"/>
  <c r="F56" i="52"/>
  <c r="F85" i="51"/>
  <c r="F85" i="52"/>
  <c r="F58" i="51"/>
  <c r="F58" i="52"/>
  <c r="F87" i="51"/>
  <c r="F87" i="52"/>
  <c r="F57" i="51"/>
  <c r="F57" i="52"/>
  <c r="F86" i="51"/>
  <c r="F86" i="52"/>
  <c r="F62" i="51"/>
  <c r="F62" i="52"/>
  <c r="F91" i="51"/>
  <c r="F91" i="52"/>
  <c r="F61" i="51"/>
  <c r="F61" i="52"/>
  <c r="F90" i="51"/>
  <c r="F90" i="52"/>
  <c r="F60" i="51"/>
  <c r="F60" i="52"/>
  <c r="F89" i="51"/>
  <c r="F89" i="52"/>
  <c r="E36" i="51"/>
  <c r="E36" i="52"/>
  <c r="E65" i="51"/>
  <c r="E65" i="52"/>
  <c r="E37" i="51"/>
  <c r="E37" i="52"/>
  <c r="E66" i="51"/>
  <c r="E66" i="52"/>
  <c r="E38" i="51"/>
  <c r="E38" i="52"/>
  <c r="E67" i="51"/>
  <c r="E67" i="52"/>
  <c r="E39" i="51"/>
  <c r="E39" i="52"/>
  <c r="E68" i="51"/>
  <c r="E68" i="52"/>
  <c r="E40" i="51"/>
  <c r="E40" i="52"/>
  <c r="E69" i="51"/>
  <c r="E69" i="52"/>
  <c r="E41" i="51"/>
  <c r="E41" i="52"/>
  <c r="E70" i="51"/>
  <c r="E70" i="52"/>
  <c r="E42" i="51"/>
  <c r="E42" i="52"/>
  <c r="E71" i="51"/>
  <c r="E71" i="52"/>
  <c r="E71" i="50" s="1"/>
  <c r="E43" i="51"/>
  <c r="E43" i="52"/>
  <c r="E72" i="51"/>
  <c r="E72" i="52"/>
  <c r="E44" i="51"/>
  <c r="E44" i="52"/>
  <c r="E73" i="51"/>
  <c r="E73" i="52"/>
  <c r="E45" i="51"/>
  <c r="E45" i="52"/>
  <c r="E74" i="51"/>
  <c r="E74" i="52"/>
  <c r="E46" i="51"/>
  <c r="E46" i="52"/>
  <c r="E75" i="51"/>
  <c r="E75" i="52"/>
  <c r="E75" i="50" s="1"/>
  <c r="E47" i="51"/>
  <c r="E47" i="52"/>
  <c r="E76" i="51"/>
  <c r="E76" i="52"/>
  <c r="E49" i="51"/>
  <c r="E49" i="52"/>
  <c r="E78" i="51"/>
  <c r="E78" i="52"/>
  <c r="E51" i="51"/>
  <c r="E51" i="52"/>
  <c r="E80" i="51"/>
  <c r="E80" i="52"/>
  <c r="E53" i="51"/>
  <c r="E53" i="52"/>
  <c r="E24" i="62" s="1"/>
  <c r="E82" i="51"/>
  <c r="E82" i="52"/>
  <c r="E55" i="51"/>
  <c r="E55" i="52"/>
  <c r="E26" i="62" s="1"/>
  <c r="E84" i="51"/>
  <c r="E84" i="52"/>
  <c r="E58" i="51"/>
  <c r="E58" i="52"/>
  <c r="E87" i="51"/>
  <c r="E87" i="52"/>
  <c r="E57" i="51"/>
  <c r="E57" i="52"/>
  <c r="E86" i="51"/>
  <c r="E86" i="52"/>
  <c r="E62" i="51"/>
  <c r="E62" i="52"/>
  <c r="E91" i="51"/>
  <c r="E91" i="52"/>
  <c r="E91" i="50" s="1"/>
  <c r="E61" i="51"/>
  <c r="E61" i="52"/>
  <c r="E90" i="51"/>
  <c r="E90" i="52"/>
  <c r="E60" i="51"/>
  <c r="E60" i="52"/>
  <c r="E89" i="51"/>
  <c r="E89" i="52"/>
  <c r="D36" i="51"/>
  <c r="D36" i="52"/>
  <c r="D65" i="51"/>
  <c r="D65" i="52"/>
  <c r="D37" i="51"/>
  <c r="D37" i="52"/>
  <c r="D66" i="51"/>
  <c r="D66" i="52"/>
  <c r="D38" i="51"/>
  <c r="D38" i="52"/>
  <c r="R38" i="52" s="1"/>
  <c r="D67" i="51"/>
  <c r="D67" i="52"/>
  <c r="R67" i="52" s="1"/>
  <c r="D39" i="51"/>
  <c r="D39" i="52"/>
  <c r="D68" i="51"/>
  <c r="D68" i="52"/>
  <c r="D40" i="51"/>
  <c r="D40" i="52"/>
  <c r="D69" i="51"/>
  <c r="D69" i="52"/>
  <c r="D41" i="51"/>
  <c r="D41" i="52"/>
  <c r="D70" i="51"/>
  <c r="D70" i="52"/>
  <c r="D42" i="51"/>
  <c r="D42" i="52"/>
  <c r="D71" i="51"/>
  <c r="D71" i="52"/>
  <c r="D43" i="51"/>
  <c r="D43" i="52"/>
  <c r="D72" i="51"/>
  <c r="R72" i="51" s="1"/>
  <c r="D72" i="52"/>
  <c r="R72" i="52" s="1"/>
  <c r="D44" i="51"/>
  <c r="R44" i="51" s="1"/>
  <c r="D44" i="52"/>
  <c r="D73" i="51"/>
  <c r="D73" i="52"/>
  <c r="R73" i="52" s="1"/>
  <c r="D45" i="51"/>
  <c r="D45" i="52"/>
  <c r="R45" i="52" s="1"/>
  <c r="D74" i="51"/>
  <c r="D74" i="52"/>
  <c r="D46" i="51"/>
  <c r="R46" i="51" s="1"/>
  <c r="D46" i="52"/>
  <c r="D75" i="51"/>
  <c r="D75" i="52"/>
  <c r="R75" i="52" s="1"/>
  <c r="D47" i="51"/>
  <c r="D47" i="52"/>
  <c r="D76" i="51"/>
  <c r="D76" i="52"/>
  <c r="D49" i="51"/>
  <c r="D49" i="52"/>
  <c r="D78" i="51"/>
  <c r="D78" i="52"/>
  <c r="R78" i="52" s="1"/>
  <c r="D51" i="51"/>
  <c r="D51" i="52"/>
  <c r="D80" i="51"/>
  <c r="D80" i="52"/>
  <c r="D53" i="51"/>
  <c r="D53" i="52"/>
  <c r="D82" i="51"/>
  <c r="D82" i="52"/>
  <c r="D55" i="51"/>
  <c r="D55" i="52"/>
  <c r="D84" i="51"/>
  <c r="D84" i="52"/>
  <c r="D56" i="51"/>
  <c r="D56" i="52"/>
  <c r="D85" i="51"/>
  <c r="D85" i="52"/>
  <c r="D58" i="51"/>
  <c r="R58" i="51" s="1"/>
  <c r="D58" i="52"/>
  <c r="R58" i="52" s="1"/>
  <c r="D87" i="51"/>
  <c r="D87" i="52"/>
  <c r="R87" i="52" s="1"/>
  <c r="D57" i="51"/>
  <c r="D57" i="52"/>
  <c r="D86" i="51"/>
  <c r="D86" i="52"/>
  <c r="D62" i="51"/>
  <c r="R62" i="51" s="1"/>
  <c r="D62" i="52"/>
  <c r="D91" i="51"/>
  <c r="R91" i="51" s="1"/>
  <c r="D91" i="52"/>
  <c r="R91" i="52" s="1"/>
  <c r="D61" i="51"/>
  <c r="R61" i="51" s="1"/>
  <c r="D61" i="52"/>
  <c r="R61" i="52" s="1"/>
  <c r="D90" i="51"/>
  <c r="R90" i="51" s="1"/>
  <c r="D90" i="52"/>
  <c r="R90" i="52" s="1"/>
  <c r="D60" i="51"/>
  <c r="R60" i="51" s="1"/>
  <c r="D60" i="52"/>
  <c r="R60" i="52" s="1"/>
  <c r="D89" i="51"/>
  <c r="R89" i="51" s="1"/>
  <c r="D89" i="52"/>
  <c r="R89" i="52" s="1"/>
  <c r="L58" i="26"/>
  <c r="O58" i="26"/>
  <c r="M58" i="26"/>
  <c r="I58" i="26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Q25" i="26"/>
  <c r="P25" i="26"/>
  <c r="O25" i="26"/>
  <c r="M25" i="26"/>
  <c r="L25" i="26"/>
  <c r="K25" i="26"/>
  <c r="I25" i="26"/>
  <c r="H25" i="26"/>
  <c r="G25" i="26"/>
  <c r="E25" i="26"/>
  <c r="D25" i="26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N25" i="30"/>
  <c r="M25" i="30"/>
  <c r="L25" i="30"/>
  <c r="H25" i="30"/>
  <c r="G25" i="30"/>
  <c r="F25" i="30"/>
  <c r="E25" i="30"/>
  <c r="D25" i="30"/>
  <c r="N25" i="31"/>
  <c r="M25" i="31"/>
  <c r="L25" i="31"/>
  <c r="H25" i="31"/>
  <c r="G25" i="31"/>
  <c r="F25" i="31"/>
  <c r="E25" i="31"/>
  <c r="D25" i="31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Q25" i="35"/>
  <c r="P25" i="35"/>
  <c r="O25" i="35"/>
  <c r="N25" i="35"/>
  <c r="M25" i="35"/>
  <c r="L25" i="35"/>
  <c r="K25" i="35"/>
  <c r="J25" i="35"/>
  <c r="I25" i="35"/>
  <c r="H25" i="35"/>
  <c r="G25" i="35"/>
  <c r="F25" i="35"/>
  <c r="E25" i="35"/>
  <c r="D25" i="35"/>
  <c r="Q25" i="36"/>
  <c r="P25" i="36"/>
  <c r="O25" i="36"/>
  <c r="N25" i="36"/>
  <c r="M25" i="36"/>
  <c r="L25" i="36"/>
  <c r="K25" i="36"/>
  <c r="J25" i="36"/>
  <c r="I25" i="36"/>
  <c r="H25" i="36"/>
  <c r="G25" i="36"/>
  <c r="F25" i="36"/>
  <c r="E25" i="36"/>
  <c r="D25" i="36"/>
  <c r="Q25" i="37"/>
  <c r="P25" i="37"/>
  <c r="O25" i="37"/>
  <c r="N25" i="37"/>
  <c r="M25" i="37"/>
  <c r="L25" i="37"/>
  <c r="K25" i="37"/>
  <c r="J25" i="37"/>
  <c r="I25" i="37"/>
  <c r="H25" i="37"/>
  <c r="G25" i="37"/>
  <c r="F25" i="37"/>
  <c r="E25" i="37"/>
  <c r="D25" i="37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Q25" i="39"/>
  <c r="P25" i="39"/>
  <c r="O25" i="39"/>
  <c r="N25" i="39"/>
  <c r="M25" i="39"/>
  <c r="L25" i="39"/>
  <c r="K25" i="39"/>
  <c r="J25" i="39"/>
  <c r="I25" i="39"/>
  <c r="H25" i="39"/>
  <c r="G25" i="39"/>
  <c r="F25" i="39"/>
  <c r="E25" i="39"/>
  <c r="D25" i="39"/>
  <c r="Q25" i="40"/>
  <c r="P25" i="40"/>
  <c r="O25" i="40"/>
  <c r="N25" i="40"/>
  <c r="M25" i="40"/>
  <c r="L25" i="40"/>
  <c r="K25" i="40"/>
  <c r="J25" i="40"/>
  <c r="I25" i="40"/>
  <c r="H25" i="40"/>
  <c r="G25" i="40"/>
  <c r="F25" i="40"/>
  <c r="E25" i="40"/>
  <c r="D25" i="40"/>
  <c r="Q25" i="41"/>
  <c r="P25" i="41"/>
  <c r="O25" i="41"/>
  <c r="N25" i="41"/>
  <c r="M25" i="41"/>
  <c r="L25" i="41"/>
  <c r="K25" i="41"/>
  <c r="J25" i="41"/>
  <c r="I25" i="41"/>
  <c r="H25" i="41"/>
  <c r="G25" i="41"/>
  <c r="F25" i="41"/>
  <c r="E25" i="41"/>
  <c r="D25" i="41"/>
  <c r="Q25" i="42"/>
  <c r="P25" i="42"/>
  <c r="O25" i="42"/>
  <c r="N25" i="42"/>
  <c r="M25" i="42"/>
  <c r="L25" i="42"/>
  <c r="K25" i="42"/>
  <c r="J25" i="42"/>
  <c r="I25" i="42"/>
  <c r="H25" i="42"/>
  <c r="G25" i="42"/>
  <c r="F25" i="42"/>
  <c r="E25" i="42"/>
  <c r="D25" i="42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Q22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D22" i="36"/>
  <c r="Q22" i="37"/>
  <c r="P22" i="37"/>
  <c r="O22" i="37"/>
  <c r="N22" i="37"/>
  <c r="M22" i="37"/>
  <c r="L22" i="37"/>
  <c r="K22" i="37"/>
  <c r="J22" i="37"/>
  <c r="I22" i="37"/>
  <c r="H22" i="37"/>
  <c r="G22" i="37"/>
  <c r="F22" i="37"/>
  <c r="E22" i="37"/>
  <c r="D22" i="37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Q22" i="39"/>
  <c r="P22" i="39"/>
  <c r="O22" i="39"/>
  <c r="N22" i="39"/>
  <c r="M22" i="39"/>
  <c r="L22" i="39"/>
  <c r="K22" i="39"/>
  <c r="J22" i="39"/>
  <c r="I22" i="39"/>
  <c r="H22" i="39"/>
  <c r="G22" i="39"/>
  <c r="F22" i="39"/>
  <c r="E22" i="39"/>
  <c r="D22" i="39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O22" i="42"/>
  <c r="N22" i="42"/>
  <c r="M22" i="42"/>
  <c r="L22" i="42"/>
  <c r="K22" i="42"/>
  <c r="J22" i="42"/>
  <c r="I22" i="42"/>
  <c r="H22" i="42"/>
  <c r="G22" i="42"/>
  <c r="F22" i="42"/>
  <c r="E22" i="42"/>
  <c r="D22" i="42"/>
  <c r="Q61" i="24"/>
  <c r="P61" i="24"/>
  <c r="O61" i="24"/>
  <c r="N61" i="24"/>
  <c r="M61" i="24"/>
  <c r="L61" i="24"/>
  <c r="K61" i="24"/>
  <c r="J61" i="24"/>
  <c r="I61" i="24"/>
  <c r="H61" i="24"/>
  <c r="G61" i="24"/>
  <c r="F61" i="24"/>
  <c r="E61" i="24"/>
  <c r="D61" i="24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P61" i="26"/>
  <c r="O61" i="26"/>
  <c r="N61" i="26"/>
  <c r="M61" i="26"/>
  <c r="L61" i="26"/>
  <c r="K61" i="26"/>
  <c r="J61" i="26"/>
  <c r="I61" i="26"/>
  <c r="H61" i="26"/>
  <c r="G61" i="26"/>
  <c r="F61" i="26"/>
  <c r="E61" i="26"/>
  <c r="D61" i="26"/>
  <c r="Q61" i="27"/>
  <c r="P61" i="27"/>
  <c r="O61" i="27"/>
  <c r="N61" i="27"/>
  <c r="M61" i="27"/>
  <c r="L61" i="27"/>
  <c r="K61" i="27"/>
  <c r="J61" i="27"/>
  <c r="I61" i="27"/>
  <c r="H61" i="27"/>
  <c r="G61" i="27"/>
  <c r="F61" i="27"/>
  <c r="E61" i="27"/>
  <c r="D61" i="27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Q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Q61" i="3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Q61" i="40"/>
  <c r="P61" i="40"/>
  <c r="O61" i="40"/>
  <c r="N61" i="40"/>
  <c r="M61" i="40"/>
  <c r="L61" i="40"/>
  <c r="K61" i="40"/>
  <c r="J61" i="40"/>
  <c r="I61" i="40"/>
  <c r="H61" i="40"/>
  <c r="G61" i="40"/>
  <c r="F61" i="40"/>
  <c r="E61" i="40"/>
  <c r="D61" i="40"/>
  <c r="Q61" i="41"/>
  <c r="P61" i="41"/>
  <c r="O61" i="41"/>
  <c r="N61" i="41"/>
  <c r="M61" i="41"/>
  <c r="L61" i="41"/>
  <c r="K61" i="41"/>
  <c r="J61" i="41"/>
  <c r="I61" i="41"/>
  <c r="H61" i="41"/>
  <c r="G61" i="41"/>
  <c r="F61" i="41"/>
  <c r="E61" i="41"/>
  <c r="D61" i="41"/>
  <c r="Q61" i="42"/>
  <c r="P61" i="42"/>
  <c r="O61" i="42"/>
  <c r="N61" i="42"/>
  <c r="M61" i="42"/>
  <c r="L61" i="42"/>
  <c r="K61" i="42"/>
  <c r="J61" i="42"/>
  <c r="I61" i="42"/>
  <c r="H61" i="42"/>
  <c r="G61" i="42"/>
  <c r="F61" i="42"/>
  <c r="E61" i="42"/>
  <c r="D61" i="42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Q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Q58" i="3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Q58" i="36"/>
  <c r="P58" i="36"/>
  <c r="O58" i="36"/>
  <c r="N58" i="36"/>
  <c r="M58" i="36"/>
  <c r="L58" i="36"/>
  <c r="K58" i="36"/>
  <c r="J58" i="36"/>
  <c r="I58" i="36"/>
  <c r="H58" i="36"/>
  <c r="G58" i="36"/>
  <c r="F58" i="36"/>
  <c r="E58" i="36"/>
  <c r="D58" i="36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Q58" i="40"/>
  <c r="P58" i="40"/>
  <c r="O58" i="40"/>
  <c r="N58" i="40"/>
  <c r="M58" i="40"/>
  <c r="L58" i="40"/>
  <c r="K58" i="40"/>
  <c r="J58" i="40"/>
  <c r="I58" i="40"/>
  <c r="H58" i="40"/>
  <c r="G58" i="40"/>
  <c r="F58" i="40"/>
  <c r="E58" i="40"/>
  <c r="D58" i="40"/>
  <c r="Q58" i="41"/>
  <c r="P58" i="41"/>
  <c r="O58" i="41"/>
  <c r="N58" i="41"/>
  <c r="M58" i="41"/>
  <c r="L58" i="41"/>
  <c r="K58" i="41"/>
  <c r="J58" i="41"/>
  <c r="I58" i="41"/>
  <c r="H58" i="41"/>
  <c r="G58" i="41"/>
  <c r="F58" i="41"/>
  <c r="E58" i="41"/>
  <c r="D58" i="41"/>
  <c r="O58" i="42"/>
  <c r="N58" i="42"/>
  <c r="M58" i="42"/>
  <c r="L58" i="42"/>
  <c r="K58" i="42"/>
  <c r="J58" i="42"/>
  <c r="I58" i="42"/>
  <c r="H58" i="42"/>
  <c r="G58" i="42"/>
  <c r="F58" i="42"/>
  <c r="E58" i="42"/>
  <c r="D58" i="42"/>
  <c r="N54" i="45"/>
  <c r="N83" i="45"/>
  <c r="M54" i="45"/>
  <c r="M83" i="45"/>
  <c r="L54" i="45"/>
  <c r="L83" i="45"/>
  <c r="H54" i="45"/>
  <c r="H83" i="45"/>
  <c r="G54" i="45"/>
  <c r="G83" i="45"/>
  <c r="F54" i="45"/>
  <c r="F83" i="45"/>
  <c r="E54" i="45"/>
  <c r="E83" i="45"/>
  <c r="D54" i="45"/>
  <c r="D83" i="45"/>
  <c r="R83" i="45" s="1"/>
  <c r="N54" i="46"/>
  <c r="N83" i="46"/>
  <c r="M54" i="46"/>
  <c r="M83" i="46"/>
  <c r="L54" i="46"/>
  <c r="L83" i="46"/>
  <c r="H54" i="46"/>
  <c r="H83" i="46"/>
  <c r="G54" i="46"/>
  <c r="G83" i="46"/>
  <c r="F54" i="46"/>
  <c r="F83" i="46"/>
  <c r="E54" i="46"/>
  <c r="E83" i="46"/>
  <c r="D54" i="46"/>
  <c r="R54" i="46" s="1"/>
  <c r="D83" i="46"/>
  <c r="N54" i="47"/>
  <c r="N83" i="47"/>
  <c r="M54" i="47"/>
  <c r="M83" i="47"/>
  <c r="L54" i="47"/>
  <c r="L83" i="47"/>
  <c r="H54" i="47"/>
  <c r="H83" i="47"/>
  <c r="G54" i="47"/>
  <c r="G83" i="47"/>
  <c r="F54" i="47"/>
  <c r="F83" i="47"/>
  <c r="E54" i="47"/>
  <c r="E83" i="47"/>
  <c r="D54" i="47"/>
  <c r="R54" i="47" s="1"/>
  <c r="D83" i="47"/>
  <c r="R83" i="47" s="1"/>
  <c r="N54" i="48"/>
  <c r="N83" i="48"/>
  <c r="M54" i="48"/>
  <c r="M83" i="48"/>
  <c r="L54" i="48"/>
  <c r="L83" i="48"/>
  <c r="H54" i="48"/>
  <c r="H83" i="48"/>
  <c r="G54" i="48"/>
  <c r="G83" i="48"/>
  <c r="F54" i="48"/>
  <c r="F83" i="48"/>
  <c r="E54" i="48"/>
  <c r="E83" i="48"/>
  <c r="D54" i="48"/>
  <c r="D83" i="48"/>
  <c r="N54" i="49"/>
  <c r="N83" i="49"/>
  <c r="M54" i="49"/>
  <c r="M83" i="49"/>
  <c r="L54" i="49"/>
  <c r="L83" i="49"/>
  <c r="L25" i="59" s="1"/>
  <c r="H54" i="49"/>
  <c r="H83" i="49"/>
  <c r="G54" i="49"/>
  <c r="G83" i="49"/>
  <c r="F54" i="49"/>
  <c r="F83" i="49"/>
  <c r="F83" i="44" s="1"/>
  <c r="E54" i="49"/>
  <c r="E83" i="49"/>
  <c r="E25" i="59" s="1"/>
  <c r="D54" i="49"/>
  <c r="D83" i="49"/>
  <c r="R83" i="49" s="1"/>
  <c r="Q54" i="51"/>
  <c r="Q54" i="52"/>
  <c r="Q83" i="51"/>
  <c r="Q83" i="52"/>
  <c r="P54" i="51"/>
  <c r="P54" i="52"/>
  <c r="P83" i="51"/>
  <c r="P83" i="52"/>
  <c r="O54" i="51"/>
  <c r="O54" i="52"/>
  <c r="O83" i="51"/>
  <c r="O83" i="52"/>
  <c r="N54" i="51"/>
  <c r="N54" i="52"/>
  <c r="N54" i="50" s="1"/>
  <c r="N83" i="51"/>
  <c r="N83" i="52"/>
  <c r="M54" i="51"/>
  <c r="M54" i="52"/>
  <c r="M83" i="51"/>
  <c r="M83" i="52"/>
  <c r="L54" i="51"/>
  <c r="S54" i="51" s="1"/>
  <c r="L54" i="52"/>
  <c r="S54" i="52" s="1"/>
  <c r="L83" i="51"/>
  <c r="L83" i="52"/>
  <c r="S83" i="52" s="1"/>
  <c r="K54" i="51"/>
  <c r="K54" i="52"/>
  <c r="K83" i="51"/>
  <c r="K83" i="52"/>
  <c r="J54" i="51"/>
  <c r="J54" i="52"/>
  <c r="J83" i="51"/>
  <c r="J83" i="52"/>
  <c r="I54" i="51"/>
  <c r="I54" i="52"/>
  <c r="I83" i="51"/>
  <c r="I83" i="52"/>
  <c r="H54" i="51"/>
  <c r="H54" i="52"/>
  <c r="H83" i="51"/>
  <c r="H83" i="52"/>
  <c r="G54" i="51"/>
  <c r="G54" i="52"/>
  <c r="G83" i="51"/>
  <c r="G83" i="52"/>
  <c r="F54" i="51"/>
  <c r="F54" i="52"/>
  <c r="F83" i="51"/>
  <c r="F83" i="52"/>
  <c r="E54" i="51"/>
  <c r="E54" i="52"/>
  <c r="E83" i="51"/>
  <c r="E83" i="52"/>
  <c r="D54" i="51"/>
  <c r="R54" i="51" s="1"/>
  <c r="D54" i="52"/>
  <c r="R54" i="52" s="1"/>
  <c r="D83" i="51"/>
  <c r="D83" i="52"/>
  <c r="R83" i="52" s="1"/>
  <c r="L25" i="45"/>
  <c r="D25" i="45"/>
  <c r="N25" i="45"/>
  <c r="M25" i="45"/>
  <c r="H25" i="45"/>
  <c r="G25" i="45"/>
  <c r="F25" i="45"/>
  <c r="E25" i="45"/>
  <c r="L25" i="46"/>
  <c r="D25" i="46"/>
  <c r="R25" i="46" s="1"/>
  <c r="N25" i="46"/>
  <c r="M25" i="46"/>
  <c r="H25" i="46"/>
  <c r="G25" i="46"/>
  <c r="F25" i="46"/>
  <c r="E25" i="46"/>
  <c r="L25" i="47"/>
  <c r="D25" i="47"/>
  <c r="R25" i="47" s="1"/>
  <c r="N25" i="47"/>
  <c r="M25" i="47"/>
  <c r="H25" i="47"/>
  <c r="G25" i="47"/>
  <c r="F25" i="47"/>
  <c r="E25" i="47"/>
  <c r="L25" i="48"/>
  <c r="D25" i="48"/>
  <c r="R25" i="48" s="1"/>
  <c r="N25" i="48"/>
  <c r="M25" i="48"/>
  <c r="H25" i="48"/>
  <c r="G25" i="48"/>
  <c r="F25" i="48"/>
  <c r="E25" i="48"/>
  <c r="L25" i="49"/>
  <c r="D25" i="49"/>
  <c r="R25" i="49" s="1"/>
  <c r="N25" i="49"/>
  <c r="N25" i="44" s="1"/>
  <c r="M25" i="49"/>
  <c r="H25" i="49"/>
  <c r="G25" i="49"/>
  <c r="F25" i="49"/>
  <c r="F25" i="44" s="1"/>
  <c r="E25" i="49"/>
  <c r="L25" i="51"/>
  <c r="L25" i="52"/>
  <c r="S25" i="52" s="1"/>
  <c r="D25" i="51"/>
  <c r="R25" i="51" s="1"/>
  <c r="D25" i="52"/>
  <c r="R25" i="52" s="1"/>
  <c r="Q25" i="51"/>
  <c r="Q25" i="52"/>
  <c r="P25" i="51"/>
  <c r="P25" i="52"/>
  <c r="O25" i="51"/>
  <c r="O25" i="52"/>
  <c r="N25" i="51"/>
  <c r="N25" i="52"/>
  <c r="M25" i="51"/>
  <c r="M25" i="52"/>
  <c r="K25" i="51"/>
  <c r="K25" i="52"/>
  <c r="J25" i="51"/>
  <c r="J25" i="52"/>
  <c r="I25" i="51"/>
  <c r="I25" i="52"/>
  <c r="H25" i="51"/>
  <c r="H25" i="52"/>
  <c r="G25" i="51"/>
  <c r="G25" i="52"/>
  <c r="F25" i="51"/>
  <c r="F25" i="52"/>
  <c r="E25" i="51"/>
  <c r="E25" i="52"/>
  <c r="L22" i="45"/>
  <c r="D22" i="45"/>
  <c r="N22" i="45"/>
  <c r="M22" i="45"/>
  <c r="H22" i="45"/>
  <c r="G22" i="45"/>
  <c r="F22" i="45"/>
  <c r="E22" i="45"/>
  <c r="L22" i="46"/>
  <c r="S22" i="46" s="1"/>
  <c r="D22" i="46"/>
  <c r="R22" i="46" s="1"/>
  <c r="N22" i="46"/>
  <c r="M22" i="46"/>
  <c r="H22" i="46"/>
  <c r="G22" i="46"/>
  <c r="F22" i="46"/>
  <c r="E22" i="46"/>
  <c r="L22" i="47"/>
  <c r="D22" i="47"/>
  <c r="N22" i="47"/>
  <c r="M22" i="47"/>
  <c r="H22" i="47"/>
  <c r="G22" i="47"/>
  <c r="F22" i="47"/>
  <c r="E22" i="47"/>
  <c r="L22" i="48"/>
  <c r="D22" i="48"/>
  <c r="N22" i="48"/>
  <c r="M22" i="48"/>
  <c r="H22" i="48"/>
  <c r="G22" i="48"/>
  <c r="F22" i="48"/>
  <c r="E22" i="48"/>
  <c r="L22" i="49"/>
  <c r="D22" i="49"/>
  <c r="N22" i="49"/>
  <c r="M22" i="49"/>
  <c r="H22" i="49"/>
  <c r="G22" i="49"/>
  <c r="F22" i="49"/>
  <c r="E22" i="49"/>
  <c r="L22" i="51"/>
  <c r="L22" i="52"/>
  <c r="D22" i="51"/>
  <c r="D22" i="52"/>
  <c r="P22" i="51"/>
  <c r="P22" i="52"/>
  <c r="O22" i="51"/>
  <c r="O22" i="52"/>
  <c r="N22" i="51"/>
  <c r="N22" i="52"/>
  <c r="M22" i="51"/>
  <c r="M22" i="52"/>
  <c r="J22" i="51"/>
  <c r="J22" i="52"/>
  <c r="I22" i="51"/>
  <c r="I22" i="52"/>
  <c r="H22" i="51"/>
  <c r="H22" i="52"/>
  <c r="G22" i="51"/>
  <c r="G22" i="52"/>
  <c r="F22" i="51"/>
  <c r="F22" i="52"/>
  <c r="E22" i="51"/>
  <c r="E22" i="52"/>
  <c r="P77" i="46"/>
  <c r="O77" i="46"/>
  <c r="M77" i="46"/>
  <c r="E77" i="46"/>
  <c r="L77" i="47"/>
  <c r="J77" i="47"/>
  <c r="I77" i="47"/>
  <c r="H77" i="47"/>
  <c r="G77" i="47"/>
  <c r="F77" i="47"/>
  <c r="P77" i="51"/>
  <c r="P88" i="51"/>
  <c r="O77" i="51"/>
  <c r="N77" i="51"/>
  <c r="L77" i="51"/>
  <c r="J77" i="51"/>
  <c r="I77" i="51"/>
  <c r="I77" i="50" s="1"/>
  <c r="H77" i="51"/>
  <c r="H88" i="51"/>
  <c r="G77" i="51"/>
  <c r="G88" i="51"/>
  <c r="G92" i="51"/>
  <c r="F77" i="51"/>
  <c r="E92" i="51"/>
  <c r="P77" i="52"/>
  <c r="P88" i="52"/>
  <c r="P92" i="52"/>
  <c r="O77" i="52"/>
  <c r="N77" i="52"/>
  <c r="N92" i="52"/>
  <c r="M77" i="52"/>
  <c r="M88" i="52"/>
  <c r="L77" i="52"/>
  <c r="L88" i="52"/>
  <c r="J77" i="52"/>
  <c r="I77" i="52"/>
  <c r="I88" i="52"/>
  <c r="H77" i="52"/>
  <c r="H92" i="52"/>
  <c r="G77" i="52"/>
  <c r="G77" i="50" s="1"/>
  <c r="F77" i="52"/>
  <c r="F88" i="52"/>
  <c r="E88" i="52"/>
  <c r="J34" i="37"/>
  <c r="G59" i="45"/>
  <c r="M55" i="25"/>
  <c r="L55" i="25"/>
  <c r="L59" i="46"/>
  <c r="J59" i="46"/>
  <c r="J63" i="46"/>
  <c r="I48" i="46"/>
  <c r="H59" i="46"/>
  <c r="G55" i="25"/>
  <c r="F48" i="46"/>
  <c r="F59" i="46"/>
  <c r="E48" i="46"/>
  <c r="E59" i="46"/>
  <c r="Q8" i="26"/>
  <c r="P17" i="26"/>
  <c r="O14" i="26"/>
  <c r="N7" i="26"/>
  <c r="M27" i="26"/>
  <c r="L7" i="26"/>
  <c r="L11" i="26"/>
  <c r="L15" i="26"/>
  <c r="L20" i="26"/>
  <c r="K8" i="26"/>
  <c r="K12" i="26"/>
  <c r="K14" i="26"/>
  <c r="K16" i="26"/>
  <c r="J7" i="26"/>
  <c r="J9" i="26"/>
  <c r="J11" i="26"/>
  <c r="J15" i="26"/>
  <c r="J26" i="26"/>
  <c r="J33" i="26"/>
  <c r="I10" i="26"/>
  <c r="I12" i="26"/>
  <c r="I14" i="26"/>
  <c r="I16" i="26"/>
  <c r="I24" i="26"/>
  <c r="I27" i="26"/>
  <c r="H7" i="26"/>
  <c r="H9" i="26"/>
  <c r="H17" i="26"/>
  <c r="G8" i="26"/>
  <c r="G14" i="26"/>
  <c r="F7" i="26"/>
  <c r="F9" i="26"/>
  <c r="F11" i="26"/>
  <c r="F13" i="26"/>
  <c r="F15" i="26"/>
  <c r="F17" i="26"/>
  <c r="F26" i="26"/>
  <c r="E8" i="26"/>
  <c r="E14" i="26"/>
  <c r="Q70" i="27"/>
  <c r="K55" i="27"/>
  <c r="J55" i="27"/>
  <c r="I55" i="27"/>
  <c r="I70" i="27"/>
  <c r="F70" i="27"/>
  <c r="E55" i="27"/>
  <c r="E70" i="27"/>
  <c r="P48" i="47"/>
  <c r="O55" i="28"/>
  <c r="N48" i="47"/>
  <c r="L55" i="28"/>
  <c r="J55" i="28"/>
  <c r="J59" i="47"/>
  <c r="I59" i="47"/>
  <c r="H48" i="47"/>
  <c r="G55" i="28"/>
  <c r="F48" i="47"/>
  <c r="F59" i="47"/>
  <c r="E48" i="47"/>
  <c r="E63" i="47"/>
  <c r="J55" i="29"/>
  <c r="J59" i="48"/>
  <c r="I55" i="29"/>
  <c r="H55" i="29"/>
  <c r="G55" i="29"/>
  <c r="G63" i="48"/>
  <c r="F66" i="29"/>
  <c r="E55" i="29"/>
  <c r="N55" i="30"/>
  <c r="M55" i="30"/>
  <c r="L70" i="30"/>
  <c r="K55" i="30"/>
  <c r="I70" i="30"/>
  <c r="H55" i="30"/>
  <c r="G55" i="30"/>
  <c r="E55" i="30"/>
  <c r="J55" i="31"/>
  <c r="H55" i="31"/>
  <c r="G55" i="31"/>
  <c r="F55" i="31"/>
  <c r="E55" i="31"/>
  <c r="M55" i="32"/>
  <c r="J55" i="32"/>
  <c r="J59" i="49"/>
  <c r="I55" i="32"/>
  <c r="H59" i="49"/>
  <c r="H63" i="49"/>
  <c r="G59" i="49"/>
  <c r="E55" i="32"/>
  <c r="P55" i="33"/>
  <c r="O55" i="33"/>
  <c r="M55" i="33"/>
  <c r="L55" i="33"/>
  <c r="K55" i="33"/>
  <c r="J55" i="33"/>
  <c r="H55" i="33"/>
  <c r="G55" i="33"/>
  <c r="F55" i="33"/>
  <c r="F66" i="33"/>
  <c r="E55" i="33"/>
  <c r="J55" i="34"/>
  <c r="I30" i="34"/>
  <c r="H55" i="34"/>
  <c r="G55" i="34"/>
  <c r="F55" i="34"/>
  <c r="E30" i="34"/>
  <c r="M55" i="35"/>
  <c r="L48" i="51"/>
  <c r="L59" i="51"/>
  <c r="J63" i="51"/>
  <c r="I55" i="35"/>
  <c r="I59" i="51"/>
  <c r="I63" i="51"/>
  <c r="H55" i="35"/>
  <c r="H59" i="51"/>
  <c r="G55" i="35"/>
  <c r="E48" i="51"/>
  <c r="E59" i="51"/>
  <c r="O48" i="52"/>
  <c r="N48" i="52"/>
  <c r="L55" i="36"/>
  <c r="L63" i="52"/>
  <c r="S63" i="52" s="1"/>
  <c r="J48" i="52"/>
  <c r="J63" i="52"/>
  <c r="H59" i="52"/>
  <c r="G48" i="52"/>
  <c r="G59" i="52"/>
  <c r="F55" i="36"/>
  <c r="E48" i="52"/>
  <c r="O55" i="37"/>
  <c r="N55" i="37"/>
  <c r="M55" i="37"/>
  <c r="L55" i="37"/>
  <c r="L70" i="37"/>
  <c r="J66" i="37"/>
  <c r="I55" i="37"/>
  <c r="H55" i="37"/>
  <c r="G55" i="37"/>
  <c r="G30" i="37"/>
  <c r="F55" i="37"/>
  <c r="E55" i="37"/>
  <c r="M55" i="38"/>
  <c r="J55" i="38"/>
  <c r="I55" i="38"/>
  <c r="F55" i="38"/>
  <c r="P55" i="39"/>
  <c r="O55" i="39"/>
  <c r="M55" i="39"/>
  <c r="G55" i="39"/>
  <c r="F55" i="39"/>
  <c r="P55" i="40"/>
  <c r="O55" i="40"/>
  <c r="M55" i="40"/>
  <c r="J55" i="40"/>
  <c r="I55" i="40"/>
  <c r="H55" i="40"/>
  <c r="G55" i="40"/>
  <c r="E55" i="40"/>
  <c r="L55" i="41"/>
  <c r="I55" i="41"/>
  <c r="H66" i="41"/>
  <c r="G55" i="41"/>
  <c r="F55" i="41"/>
  <c r="E55" i="41"/>
  <c r="L55" i="42"/>
  <c r="G70" i="42"/>
  <c r="F55" i="42"/>
  <c r="E55" i="42"/>
  <c r="J66" i="23"/>
  <c r="I66" i="23"/>
  <c r="H30" i="45"/>
  <c r="J19" i="46"/>
  <c r="J34" i="46"/>
  <c r="I19" i="46"/>
  <c r="I30" i="46"/>
  <c r="H30" i="46"/>
  <c r="H34" i="46"/>
  <c r="G66" i="25"/>
  <c r="F70" i="25"/>
  <c r="Q47" i="26"/>
  <c r="Q50" i="26"/>
  <c r="Q54" i="26"/>
  <c r="O50" i="26"/>
  <c r="N50" i="26"/>
  <c r="N53" i="26"/>
  <c r="M50" i="26"/>
  <c r="L63" i="26"/>
  <c r="K50" i="26"/>
  <c r="K53" i="26"/>
  <c r="K56" i="26"/>
  <c r="J50" i="26"/>
  <c r="J53" i="26"/>
  <c r="I53" i="26"/>
  <c r="H50" i="26"/>
  <c r="H63" i="26"/>
  <c r="G43" i="26"/>
  <c r="G47" i="26"/>
  <c r="G50" i="26"/>
  <c r="G51" i="26"/>
  <c r="G53" i="26"/>
  <c r="G56" i="26"/>
  <c r="F50" i="26"/>
  <c r="F53" i="26"/>
  <c r="F60" i="26"/>
  <c r="F63" i="26"/>
  <c r="E43" i="26"/>
  <c r="E45" i="26"/>
  <c r="E47" i="26"/>
  <c r="E49" i="26"/>
  <c r="E50" i="26"/>
  <c r="E51" i="26"/>
  <c r="E53" i="26"/>
  <c r="E56" i="26"/>
  <c r="E62" i="26"/>
  <c r="E69" i="26"/>
  <c r="L70" i="27"/>
  <c r="L30" i="47"/>
  <c r="J19" i="47"/>
  <c r="J30" i="47"/>
  <c r="I19" i="47"/>
  <c r="H30" i="47"/>
  <c r="G19" i="47"/>
  <c r="G34" i="47"/>
  <c r="L66" i="29"/>
  <c r="J34" i="48"/>
  <c r="I34" i="48"/>
  <c r="J70" i="31"/>
  <c r="I66" i="31"/>
  <c r="J34" i="49"/>
  <c r="H34" i="49"/>
  <c r="G30" i="49"/>
  <c r="F30" i="49"/>
  <c r="E19" i="49"/>
  <c r="J70" i="33"/>
  <c r="G66" i="33"/>
  <c r="F70" i="33"/>
  <c r="J70" i="34"/>
  <c r="L19" i="51"/>
  <c r="J34" i="51"/>
  <c r="I19" i="51"/>
  <c r="G19" i="51"/>
  <c r="F19" i="51"/>
  <c r="J66" i="36"/>
  <c r="J34" i="52"/>
  <c r="I30" i="52"/>
  <c r="G19" i="52"/>
  <c r="F34" i="52"/>
  <c r="Q66" i="39"/>
  <c r="F70" i="40"/>
  <c r="J70" i="41"/>
  <c r="D44" i="26"/>
  <c r="D46" i="26"/>
  <c r="D52" i="26"/>
  <c r="D54" i="26"/>
  <c r="D62" i="26"/>
  <c r="Q7" i="25"/>
  <c r="Q8" i="25"/>
  <c r="Q9" i="25"/>
  <c r="Q10" i="25"/>
  <c r="Q11" i="25"/>
  <c r="Q12" i="25"/>
  <c r="Q14" i="25"/>
  <c r="Q15" i="25"/>
  <c r="Q16" i="25"/>
  <c r="Q17" i="25"/>
  <c r="Q18" i="25"/>
  <c r="Q20" i="25"/>
  <c r="Q24" i="25"/>
  <c r="Q26" i="25"/>
  <c r="Q27" i="25"/>
  <c r="Q28" i="25"/>
  <c r="Q29" i="25"/>
  <c r="Q31" i="25"/>
  <c r="Q32" i="25"/>
  <c r="Q33" i="25"/>
  <c r="P7" i="25"/>
  <c r="P8" i="25"/>
  <c r="P9" i="25"/>
  <c r="P10" i="25"/>
  <c r="P11" i="25"/>
  <c r="P12" i="25"/>
  <c r="P14" i="25"/>
  <c r="P15" i="25"/>
  <c r="P16" i="25"/>
  <c r="P17" i="25"/>
  <c r="P18" i="25"/>
  <c r="P20" i="25"/>
  <c r="P24" i="25"/>
  <c r="P26" i="25"/>
  <c r="P27" i="25"/>
  <c r="P32" i="25"/>
  <c r="P33" i="25"/>
  <c r="O7" i="25"/>
  <c r="O8" i="25"/>
  <c r="O9" i="25"/>
  <c r="O10" i="25"/>
  <c r="O11" i="25"/>
  <c r="O12" i="25"/>
  <c r="O14" i="25"/>
  <c r="O15" i="25"/>
  <c r="O16" i="25"/>
  <c r="O17" i="25"/>
  <c r="O18" i="25"/>
  <c r="O20" i="25"/>
  <c r="O24" i="25"/>
  <c r="O26" i="25"/>
  <c r="O27" i="25"/>
  <c r="O32" i="25"/>
  <c r="O33" i="25"/>
  <c r="N7" i="25"/>
  <c r="N8" i="25"/>
  <c r="N9" i="25"/>
  <c r="N10" i="25"/>
  <c r="N11" i="25"/>
  <c r="N12" i="25"/>
  <c r="N14" i="25"/>
  <c r="N15" i="25"/>
  <c r="N16" i="25"/>
  <c r="N17" i="25"/>
  <c r="N18" i="25"/>
  <c r="N20" i="25"/>
  <c r="N24" i="25"/>
  <c r="N26" i="25"/>
  <c r="N27" i="25"/>
  <c r="N31" i="25"/>
  <c r="N32" i="25"/>
  <c r="N33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20" i="25"/>
  <c r="M24" i="25"/>
  <c r="M26" i="25"/>
  <c r="M27" i="25"/>
  <c r="M31" i="25"/>
  <c r="M32" i="25"/>
  <c r="M33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20" i="25"/>
  <c r="L24" i="25"/>
  <c r="L26" i="25"/>
  <c r="L27" i="25"/>
  <c r="L28" i="25"/>
  <c r="L29" i="25"/>
  <c r="L31" i="25"/>
  <c r="L32" i="25"/>
  <c r="L33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20" i="25"/>
  <c r="K24" i="25"/>
  <c r="K26" i="25"/>
  <c r="K27" i="25"/>
  <c r="K28" i="25"/>
  <c r="K29" i="25"/>
  <c r="K31" i="25"/>
  <c r="K32" i="25"/>
  <c r="K33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20" i="25"/>
  <c r="J24" i="25"/>
  <c r="J26" i="25"/>
  <c r="J27" i="25"/>
  <c r="J28" i="25"/>
  <c r="J29" i="25"/>
  <c r="J31" i="25"/>
  <c r="J32" i="25"/>
  <c r="J33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20" i="25"/>
  <c r="I24" i="25"/>
  <c r="I26" i="25"/>
  <c r="I27" i="25"/>
  <c r="I28" i="25"/>
  <c r="I29" i="25"/>
  <c r="I31" i="25"/>
  <c r="I32" i="25"/>
  <c r="I33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20" i="25"/>
  <c r="H24" i="25"/>
  <c r="H26" i="25"/>
  <c r="H27" i="25"/>
  <c r="H28" i="25"/>
  <c r="H29" i="25"/>
  <c r="H31" i="25"/>
  <c r="H32" i="25"/>
  <c r="H33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20" i="25"/>
  <c r="G24" i="25"/>
  <c r="G26" i="25"/>
  <c r="G27" i="25"/>
  <c r="G28" i="25"/>
  <c r="G29" i="25"/>
  <c r="G31" i="25"/>
  <c r="G32" i="25"/>
  <c r="G33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20" i="25"/>
  <c r="F24" i="25"/>
  <c r="F26" i="25"/>
  <c r="F27" i="25"/>
  <c r="F28" i="25"/>
  <c r="F29" i="25"/>
  <c r="F31" i="25"/>
  <c r="F32" i="25"/>
  <c r="F33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20" i="25"/>
  <c r="E24" i="25"/>
  <c r="E26" i="25"/>
  <c r="E27" i="25"/>
  <c r="E28" i="25"/>
  <c r="E29" i="25"/>
  <c r="E31" i="25"/>
  <c r="E32" i="25"/>
  <c r="E33" i="25"/>
  <c r="P9" i="26"/>
  <c r="L17" i="26"/>
  <c r="H13" i="26"/>
  <c r="E10" i="26"/>
  <c r="Q7" i="27"/>
  <c r="Q8" i="27"/>
  <c r="Q9" i="27"/>
  <c r="Q10" i="27"/>
  <c r="Q11" i="27"/>
  <c r="Q14" i="27"/>
  <c r="Q15" i="27"/>
  <c r="Q16" i="27"/>
  <c r="Q17" i="27"/>
  <c r="Q18" i="27"/>
  <c r="Q20" i="27"/>
  <c r="Q24" i="27"/>
  <c r="Q26" i="27"/>
  <c r="Q27" i="27"/>
  <c r="Q28" i="27"/>
  <c r="Q29" i="27"/>
  <c r="Q31" i="27"/>
  <c r="Q32" i="27"/>
  <c r="Q33" i="27"/>
  <c r="P7" i="27"/>
  <c r="P8" i="27"/>
  <c r="P9" i="27"/>
  <c r="P10" i="27"/>
  <c r="P11" i="27"/>
  <c r="P12" i="27"/>
  <c r="P14" i="27"/>
  <c r="P15" i="27"/>
  <c r="P16" i="27"/>
  <c r="P17" i="27"/>
  <c r="P18" i="27"/>
  <c r="P20" i="27"/>
  <c r="P24" i="27"/>
  <c r="P26" i="27"/>
  <c r="P27" i="27"/>
  <c r="P32" i="27"/>
  <c r="P33" i="27"/>
  <c r="O7" i="27"/>
  <c r="O8" i="27"/>
  <c r="O9" i="27"/>
  <c r="O10" i="27"/>
  <c r="O11" i="27"/>
  <c r="O12" i="27"/>
  <c r="O14" i="27"/>
  <c r="O15" i="27"/>
  <c r="O16" i="27"/>
  <c r="O17" i="27"/>
  <c r="O18" i="27"/>
  <c r="O24" i="27"/>
  <c r="O26" i="27"/>
  <c r="O27" i="27"/>
  <c r="O32" i="27"/>
  <c r="O33" i="27"/>
  <c r="N7" i="27"/>
  <c r="N8" i="27"/>
  <c r="N9" i="27"/>
  <c r="N10" i="27"/>
  <c r="N11" i="27"/>
  <c r="N12" i="27"/>
  <c r="N14" i="27"/>
  <c r="N15" i="27"/>
  <c r="N16" i="27"/>
  <c r="N17" i="27"/>
  <c r="N18" i="27"/>
  <c r="N24" i="27"/>
  <c r="N26" i="27"/>
  <c r="N27" i="27"/>
  <c r="N32" i="27"/>
  <c r="N33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24" i="27"/>
  <c r="M26" i="27"/>
  <c r="M27" i="27"/>
  <c r="M32" i="27"/>
  <c r="M33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20" i="27"/>
  <c r="L24" i="27"/>
  <c r="L26" i="27"/>
  <c r="L27" i="27"/>
  <c r="L28" i="27"/>
  <c r="L29" i="27"/>
  <c r="L31" i="27"/>
  <c r="L32" i="27"/>
  <c r="L33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20" i="27"/>
  <c r="K24" i="27"/>
  <c r="K26" i="27"/>
  <c r="K27" i="27"/>
  <c r="K28" i="27"/>
  <c r="K29" i="27"/>
  <c r="K31" i="27"/>
  <c r="K32" i="27"/>
  <c r="K33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20" i="27"/>
  <c r="J24" i="27"/>
  <c r="J26" i="27"/>
  <c r="J27" i="27"/>
  <c r="J28" i="27"/>
  <c r="J29" i="27"/>
  <c r="J31" i="27"/>
  <c r="J32" i="27"/>
  <c r="J33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20" i="27"/>
  <c r="I24" i="27"/>
  <c r="I26" i="27"/>
  <c r="I27" i="27"/>
  <c r="I28" i="27"/>
  <c r="I29" i="27"/>
  <c r="I31" i="27"/>
  <c r="I32" i="27"/>
  <c r="I33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20" i="27"/>
  <c r="H24" i="27"/>
  <c r="H26" i="27"/>
  <c r="H27" i="27"/>
  <c r="H28" i="27"/>
  <c r="H29" i="27"/>
  <c r="H31" i="27"/>
  <c r="H32" i="27"/>
  <c r="H33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20" i="27"/>
  <c r="G24" i="27"/>
  <c r="G26" i="27"/>
  <c r="G27" i="27"/>
  <c r="G28" i="27"/>
  <c r="G29" i="27"/>
  <c r="G31" i="27"/>
  <c r="G32" i="27"/>
  <c r="G33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20" i="27"/>
  <c r="F24" i="27"/>
  <c r="F26" i="27"/>
  <c r="F27" i="27"/>
  <c r="F28" i="27"/>
  <c r="F29" i="27"/>
  <c r="F31" i="27"/>
  <c r="F32" i="27"/>
  <c r="F33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20" i="27"/>
  <c r="E24" i="27"/>
  <c r="E26" i="27"/>
  <c r="E27" i="27"/>
  <c r="E28" i="27"/>
  <c r="E29" i="27"/>
  <c r="E31" i="27"/>
  <c r="E32" i="27"/>
  <c r="E33" i="27"/>
  <c r="Q7" i="28"/>
  <c r="Q8" i="28"/>
  <c r="Q9" i="28"/>
  <c r="Q10" i="28"/>
  <c r="Q11" i="28"/>
  <c r="Q14" i="28"/>
  <c r="Q15" i="28"/>
  <c r="Q16" i="28"/>
  <c r="Q17" i="28"/>
  <c r="Q18" i="28"/>
  <c r="Q20" i="28"/>
  <c r="Q24" i="28"/>
  <c r="Q26" i="28"/>
  <c r="Q27" i="28"/>
  <c r="Q28" i="28"/>
  <c r="Q29" i="28"/>
  <c r="Q31" i="28"/>
  <c r="Q32" i="28"/>
  <c r="Q33" i="28"/>
  <c r="P7" i="28"/>
  <c r="P8" i="28"/>
  <c r="P9" i="28"/>
  <c r="P10" i="28"/>
  <c r="P11" i="28"/>
  <c r="P13" i="28"/>
  <c r="P14" i="28"/>
  <c r="P15" i="28"/>
  <c r="P16" i="28"/>
  <c r="P17" i="28"/>
  <c r="P18" i="28"/>
  <c r="P20" i="28"/>
  <c r="P24" i="28"/>
  <c r="P26" i="28"/>
  <c r="P27" i="28"/>
  <c r="P32" i="28"/>
  <c r="P33" i="28"/>
  <c r="O7" i="28"/>
  <c r="O8" i="28"/>
  <c r="O9" i="28"/>
  <c r="O10" i="28"/>
  <c r="O11" i="28"/>
  <c r="O13" i="28"/>
  <c r="O14" i="28"/>
  <c r="O15" i="28"/>
  <c r="O16" i="28"/>
  <c r="O17" i="28"/>
  <c r="O18" i="28"/>
  <c r="O20" i="28"/>
  <c r="O24" i="28"/>
  <c r="O26" i="28"/>
  <c r="O27" i="28"/>
  <c r="O32" i="28"/>
  <c r="O33" i="28"/>
  <c r="N7" i="28"/>
  <c r="N8" i="28"/>
  <c r="N9" i="28"/>
  <c r="N10" i="28"/>
  <c r="N11" i="28"/>
  <c r="N13" i="28"/>
  <c r="N14" i="28"/>
  <c r="N15" i="28"/>
  <c r="N16" i="28"/>
  <c r="N17" i="28"/>
  <c r="N18" i="28"/>
  <c r="N20" i="28"/>
  <c r="N24" i="28"/>
  <c r="N26" i="28"/>
  <c r="N27" i="28"/>
  <c r="N32" i="28"/>
  <c r="N33" i="28"/>
  <c r="M7" i="28"/>
  <c r="M8" i="28"/>
  <c r="M9" i="28"/>
  <c r="M10" i="28"/>
  <c r="M11" i="28"/>
  <c r="M13" i="28"/>
  <c r="M14" i="28"/>
  <c r="M15" i="28"/>
  <c r="M16" i="28"/>
  <c r="M17" i="28"/>
  <c r="M18" i="28"/>
  <c r="M20" i="28"/>
  <c r="M24" i="28"/>
  <c r="M26" i="28"/>
  <c r="M27" i="28"/>
  <c r="M32" i="28"/>
  <c r="M33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20" i="28"/>
  <c r="L24" i="28"/>
  <c r="L26" i="28"/>
  <c r="L27" i="28"/>
  <c r="L28" i="28"/>
  <c r="L29" i="28"/>
  <c r="L31" i="28"/>
  <c r="L32" i="28"/>
  <c r="L33" i="28"/>
  <c r="K8" i="28"/>
  <c r="K9" i="28"/>
  <c r="K10" i="28"/>
  <c r="K11" i="28"/>
  <c r="K12" i="28"/>
  <c r="K13" i="28"/>
  <c r="K14" i="28"/>
  <c r="K15" i="28"/>
  <c r="K16" i="28"/>
  <c r="K17" i="28"/>
  <c r="K18" i="28"/>
  <c r="K20" i="28"/>
  <c r="K24" i="28"/>
  <c r="K26" i="28"/>
  <c r="K27" i="28"/>
  <c r="K28" i="28"/>
  <c r="K29" i="28"/>
  <c r="K31" i="28"/>
  <c r="K32" i="28"/>
  <c r="K33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20" i="28"/>
  <c r="J24" i="28"/>
  <c r="J26" i="28"/>
  <c r="J27" i="28"/>
  <c r="J28" i="28"/>
  <c r="J29" i="28"/>
  <c r="J31" i="28"/>
  <c r="J32" i="28"/>
  <c r="J33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20" i="28"/>
  <c r="I24" i="28"/>
  <c r="I26" i="28"/>
  <c r="I27" i="28"/>
  <c r="I28" i="28"/>
  <c r="I29" i="28"/>
  <c r="I31" i="28"/>
  <c r="I32" i="28"/>
  <c r="I33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20" i="28"/>
  <c r="H24" i="28"/>
  <c r="H26" i="28"/>
  <c r="H27" i="28"/>
  <c r="H28" i="28"/>
  <c r="H29" i="28"/>
  <c r="H31" i="28"/>
  <c r="H32" i="28"/>
  <c r="H33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20" i="28"/>
  <c r="G24" i="28"/>
  <c r="G26" i="28"/>
  <c r="G27" i="28"/>
  <c r="G28" i="28"/>
  <c r="G29" i="28"/>
  <c r="G31" i="28"/>
  <c r="G32" i="28"/>
  <c r="G33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20" i="28"/>
  <c r="F24" i="28"/>
  <c r="F26" i="28"/>
  <c r="F27" i="28"/>
  <c r="F28" i="28"/>
  <c r="F29" i="28"/>
  <c r="F31" i="28"/>
  <c r="F32" i="28"/>
  <c r="F33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20" i="28"/>
  <c r="E24" i="28"/>
  <c r="E26" i="28"/>
  <c r="E27" i="28"/>
  <c r="E28" i="28"/>
  <c r="E29" i="28"/>
  <c r="E31" i="28"/>
  <c r="E32" i="28"/>
  <c r="E33" i="28"/>
  <c r="Q7" i="29"/>
  <c r="Q8" i="29"/>
  <c r="Q9" i="29"/>
  <c r="Q10" i="29"/>
  <c r="Q11" i="29"/>
  <c r="Q12" i="29"/>
  <c r="Q14" i="29"/>
  <c r="Q15" i="29"/>
  <c r="Q16" i="29"/>
  <c r="Q17" i="29"/>
  <c r="Q18" i="29"/>
  <c r="Q20" i="29"/>
  <c r="Q24" i="29"/>
  <c r="Q26" i="29"/>
  <c r="Q27" i="29"/>
  <c r="Q28" i="29"/>
  <c r="Q29" i="29"/>
  <c r="Q31" i="29"/>
  <c r="Q32" i="29"/>
  <c r="Q33" i="29"/>
  <c r="P7" i="29"/>
  <c r="P8" i="29"/>
  <c r="P9" i="29"/>
  <c r="P10" i="29"/>
  <c r="P11" i="29"/>
  <c r="P12" i="29"/>
  <c r="P14" i="29"/>
  <c r="P15" i="29"/>
  <c r="P16" i="29"/>
  <c r="P17" i="29"/>
  <c r="P18" i="29"/>
  <c r="P20" i="29"/>
  <c r="P24" i="29"/>
  <c r="P26" i="29"/>
  <c r="P27" i="29"/>
  <c r="P32" i="29"/>
  <c r="P33" i="29"/>
  <c r="O7" i="29"/>
  <c r="O8" i="29"/>
  <c r="O9" i="29"/>
  <c r="O10" i="29"/>
  <c r="O11" i="29"/>
  <c r="O12" i="29"/>
  <c r="O14" i="29"/>
  <c r="O15" i="29"/>
  <c r="O16" i="29"/>
  <c r="O17" i="29"/>
  <c r="O18" i="29"/>
  <c r="O20" i="29"/>
  <c r="O24" i="29"/>
  <c r="O26" i="29"/>
  <c r="O27" i="29"/>
  <c r="O32" i="29"/>
  <c r="O33" i="29"/>
  <c r="N7" i="29"/>
  <c r="N8" i="29"/>
  <c r="N9" i="29"/>
  <c r="N10" i="29"/>
  <c r="N11" i="29"/>
  <c r="N12" i="29"/>
  <c r="N14" i="29"/>
  <c r="N15" i="29"/>
  <c r="N16" i="29"/>
  <c r="N17" i="29"/>
  <c r="N18" i="29"/>
  <c r="N20" i="29"/>
  <c r="N24" i="29"/>
  <c r="N26" i="29"/>
  <c r="N27" i="29"/>
  <c r="N32" i="29"/>
  <c r="N33" i="29"/>
  <c r="M7" i="29"/>
  <c r="M8" i="29"/>
  <c r="M9" i="29"/>
  <c r="M10" i="29"/>
  <c r="M11" i="29"/>
  <c r="M12" i="29"/>
  <c r="M14" i="29"/>
  <c r="M15" i="29"/>
  <c r="M16" i="29"/>
  <c r="M17" i="29"/>
  <c r="M18" i="29"/>
  <c r="M20" i="29"/>
  <c r="M24" i="29"/>
  <c r="M26" i="29"/>
  <c r="M27" i="29"/>
  <c r="M32" i="29"/>
  <c r="M33" i="29"/>
  <c r="L7" i="29"/>
  <c r="L8" i="29"/>
  <c r="L9" i="29"/>
  <c r="L10" i="29"/>
  <c r="L11" i="29"/>
  <c r="L12" i="29"/>
  <c r="L14" i="29"/>
  <c r="L15" i="29"/>
  <c r="L16" i="29"/>
  <c r="L17" i="29"/>
  <c r="L18" i="29"/>
  <c r="L20" i="29"/>
  <c r="L24" i="29"/>
  <c r="L26" i="29"/>
  <c r="L27" i="29"/>
  <c r="L28" i="29"/>
  <c r="L29" i="29"/>
  <c r="L31" i="29"/>
  <c r="L32" i="29"/>
  <c r="L33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20" i="29"/>
  <c r="K24" i="29"/>
  <c r="K26" i="29"/>
  <c r="K27" i="29"/>
  <c r="K28" i="29"/>
  <c r="K29" i="29"/>
  <c r="K31" i="29"/>
  <c r="K32" i="29"/>
  <c r="K33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20" i="29"/>
  <c r="J24" i="29"/>
  <c r="J26" i="29"/>
  <c r="J27" i="29"/>
  <c r="J28" i="29"/>
  <c r="J29" i="29"/>
  <c r="J31" i="29"/>
  <c r="J32" i="29"/>
  <c r="J33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20" i="29"/>
  <c r="I24" i="29"/>
  <c r="I26" i="29"/>
  <c r="I27" i="29"/>
  <c r="I28" i="29"/>
  <c r="I29" i="29"/>
  <c r="I31" i="29"/>
  <c r="I32" i="29"/>
  <c r="I33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20" i="29"/>
  <c r="H24" i="29"/>
  <c r="H26" i="29"/>
  <c r="H27" i="29"/>
  <c r="H28" i="29"/>
  <c r="H29" i="29"/>
  <c r="H31" i="29"/>
  <c r="H32" i="29"/>
  <c r="H33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20" i="29"/>
  <c r="G24" i="29"/>
  <c r="G26" i="29"/>
  <c r="G27" i="29"/>
  <c r="G28" i="29"/>
  <c r="G29" i="29"/>
  <c r="G31" i="29"/>
  <c r="G32" i="29"/>
  <c r="G33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20" i="29"/>
  <c r="F24" i="29"/>
  <c r="F26" i="29"/>
  <c r="F27" i="29"/>
  <c r="F28" i="29"/>
  <c r="F29" i="29"/>
  <c r="F31" i="29"/>
  <c r="F32" i="29"/>
  <c r="F33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20" i="29"/>
  <c r="E24" i="29"/>
  <c r="E26" i="29"/>
  <c r="E27" i="29"/>
  <c r="E28" i="29"/>
  <c r="E29" i="29"/>
  <c r="E31" i="29"/>
  <c r="E32" i="29"/>
  <c r="E33" i="29"/>
  <c r="Q7" i="32"/>
  <c r="Q8" i="32"/>
  <c r="Q9" i="32"/>
  <c r="Q10" i="32"/>
  <c r="Q11" i="32"/>
  <c r="Q12" i="32"/>
  <c r="Q14" i="32"/>
  <c r="Q15" i="32"/>
  <c r="Q16" i="32"/>
  <c r="Q17" i="32"/>
  <c r="Q18" i="32"/>
  <c r="Q20" i="32"/>
  <c r="Q24" i="32"/>
  <c r="Q26" i="32"/>
  <c r="Q27" i="32"/>
  <c r="Q28" i="32"/>
  <c r="Q29" i="32"/>
  <c r="Q31" i="32"/>
  <c r="Q32" i="32"/>
  <c r="Q33" i="32"/>
  <c r="P7" i="32"/>
  <c r="P8" i="32"/>
  <c r="P9" i="32"/>
  <c r="P10" i="32"/>
  <c r="P11" i="32"/>
  <c r="P12" i="32"/>
  <c r="P14" i="32"/>
  <c r="P15" i="32"/>
  <c r="P16" i="32"/>
  <c r="P17" i="32"/>
  <c r="P18" i="32"/>
  <c r="P20" i="32"/>
  <c r="P24" i="32"/>
  <c r="P26" i="32"/>
  <c r="P27" i="32"/>
  <c r="P32" i="32"/>
  <c r="P33" i="32"/>
  <c r="O7" i="32"/>
  <c r="O8" i="32"/>
  <c r="O9" i="32"/>
  <c r="O10" i="32"/>
  <c r="O11" i="32"/>
  <c r="O12" i="32"/>
  <c r="O14" i="32"/>
  <c r="O15" i="32"/>
  <c r="O16" i="32"/>
  <c r="O17" i="32"/>
  <c r="O18" i="32"/>
  <c r="O20" i="32"/>
  <c r="O24" i="32"/>
  <c r="O26" i="32"/>
  <c r="O27" i="32"/>
  <c r="O32" i="32"/>
  <c r="O33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20" i="32"/>
  <c r="N24" i="32"/>
  <c r="N26" i="32"/>
  <c r="N27" i="32"/>
  <c r="N32" i="32"/>
  <c r="N33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20" i="32"/>
  <c r="M24" i="32"/>
  <c r="M26" i="32"/>
  <c r="M27" i="32"/>
  <c r="M32" i="32"/>
  <c r="M33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20" i="32"/>
  <c r="L24" i="32"/>
  <c r="L26" i="32"/>
  <c r="L27" i="32"/>
  <c r="L28" i="32"/>
  <c r="L29" i="32"/>
  <c r="L31" i="32"/>
  <c r="L32" i="32"/>
  <c r="L33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20" i="32"/>
  <c r="K24" i="32"/>
  <c r="K26" i="32"/>
  <c r="K27" i="32"/>
  <c r="K28" i="32"/>
  <c r="K29" i="32"/>
  <c r="K31" i="32"/>
  <c r="K32" i="32"/>
  <c r="K33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20" i="32"/>
  <c r="J24" i="32"/>
  <c r="J26" i="32"/>
  <c r="J27" i="32"/>
  <c r="J28" i="32"/>
  <c r="J29" i="32"/>
  <c r="J31" i="32"/>
  <c r="J32" i="32"/>
  <c r="J33" i="32"/>
  <c r="I7" i="32"/>
  <c r="I8" i="32"/>
  <c r="I9" i="32"/>
  <c r="I10" i="32"/>
  <c r="I11" i="32"/>
  <c r="I12" i="32"/>
  <c r="I13" i="32"/>
  <c r="I14" i="32"/>
  <c r="I15" i="32"/>
  <c r="I16" i="32"/>
  <c r="I17" i="32"/>
  <c r="I18" i="32"/>
  <c r="I20" i="32"/>
  <c r="I24" i="32"/>
  <c r="I26" i="32"/>
  <c r="I27" i="32"/>
  <c r="I28" i="32"/>
  <c r="I29" i="32"/>
  <c r="I31" i="32"/>
  <c r="I32" i="32"/>
  <c r="I33" i="32"/>
  <c r="H7" i="32"/>
  <c r="H8" i="32"/>
  <c r="H9" i="32"/>
  <c r="H10" i="32"/>
  <c r="H11" i="32"/>
  <c r="H12" i="32"/>
  <c r="H13" i="32"/>
  <c r="H14" i="32"/>
  <c r="H15" i="32"/>
  <c r="H16" i="32"/>
  <c r="H17" i="32"/>
  <c r="H18" i="32"/>
  <c r="H20" i="32"/>
  <c r="H24" i="32"/>
  <c r="H26" i="32"/>
  <c r="H27" i="32"/>
  <c r="H28" i="32"/>
  <c r="H29" i="32"/>
  <c r="H31" i="32"/>
  <c r="H32" i="32"/>
  <c r="H33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20" i="32"/>
  <c r="G24" i="32"/>
  <c r="G26" i="32"/>
  <c r="G27" i="32"/>
  <c r="G28" i="32"/>
  <c r="G29" i="32"/>
  <c r="G31" i="32"/>
  <c r="G32" i="32"/>
  <c r="G33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20" i="32"/>
  <c r="F24" i="32"/>
  <c r="F26" i="32"/>
  <c r="F27" i="32"/>
  <c r="F28" i="32"/>
  <c r="F29" i="32"/>
  <c r="F31" i="32"/>
  <c r="F32" i="32"/>
  <c r="F33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20" i="32"/>
  <c r="E24" i="32"/>
  <c r="E26" i="32"/>
  <c r="E27" i="32"/>
  <c r="E28" i="32"/>
  <c r="E29" i="32"/>
  <c r="E31" i="32"/>
  <c r="E32" i="32"/>
  <c r="E33" i="32"/>
  <c r="Q7" i="33"/>
  <c r="Q8" i="33"/>
  <c r="Q9" i="33"/>
  <c r="Q10" i="33"/>
  <c r="Q11" i="33"/>
  <c r="Q12" i="33"/>
  <c r="Q13" i="33"/>
  <c r="Q14" i="33"/>
  <c r="Q15" i="33"/>
  <c r="Q16" i="33"/>
  <c r="Q17" i="33"/>
  <c r="Q18" i="33"/>
  <c r="Q20" i="33"/>
  <c r="Q24" i="33"/>
  <c r="Q26" i="33"/>
  <c r="Q27" i="33"/>
  <c r="Q28" i="33"/>
  <c r="Q29" i="33"/>
  <c r="Q31" i="33"/>
  <c r="Q32" i="33"/>
  <c r="Q33" i="33"/>
  <c r="P7" i="33"/>
  <c r="P8" i="33"/>
  <c r="P9" i="33"/>
  <c r="P10" i="33"/>
  <c r="P11" i="33"/>
  <c r="P12" i="33"/>
  <c r="P13" i="33"/>
  <c r="P14" i="33"/>
  <c r="P15" i="33"/>
  <c r="P16" i="33"/>
  <c r="P17" i="33"/>
  <c r="P18" i="33"/>
  <c r="P20" i="33"/>
  <c r="P24" i="33"/>
  <c r="P26" i="33"/>
  <c r="P27" i="33"/>
  <c r="P32" i="33"/>
  <c r="P33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20" i="33"/>
  <c r="O24" i="33"/>
  <c r="O26" i="33"/>
  <c r="O27" i="33"/>
  <c r="O32" i="33"/>
  <c r="O33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20" i="33"/>
  <c r="N24" i="33"/>
  <c r="N26" i="33"/>
  <c r="N27" i="33"/>
  <c r="N32" i="33"/>
  <c r="N33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20" i="33"/>
  <c r="M24" i="33"/>
  <c r="M26" i="33"/>
  <c r="M27" i="33"/>
  <c r="M32" i="33"/>
  <c r="M33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20" i="33"/>
  <c r="L24" i="33"/>
  <c r="L26" i="33"/>
  <c r="L27" i="33"/>
  <c r="L28" i="33"/>
  <c r="L29" i="33"/>
  <c r="L31" i="33"/>
  <c r="L32" i="33"/>
  <c r="L33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20" i="33"/>
  <c r="K24" i="33"/>
  <c r="K26" i="33"/>
  <c r="K27" i="33"/>
  <c r="K28" i="33"/>
  <c r="K29" i="33"/>
  <c r="K31" i="33"/>
  <c r="K32" i="33"/>
  <c r="K33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20" i="33"/>
  <c r="J24" i="33"/>
  <c r="J26" i="33"/>
  <c r="J27" i="33"/>
  <c r="J28" i="33"/>
  <c r="J29" i="33"/>
  <c r="J31" i="33"/>
  <c r="J32" i="33"/>
  <c r="J33" i="33"/>
  <c r="I7" i="33"/>
  <c r="I8" i="33"/>
  <c r="I9" i="33"/>
  <c r="I10" i="33"/>
  <c r="I11" i="33"/>
  <c r="I12" i="33"/>
  <c r="I13" i="33"/>
  <c r="I14" i="33"/>
  <c r="I15" i="33"/>
  <c r="I16" i="33"/>
  <c r="I17" i="33"/>
  <c r="I18" i="33"/>
  <c r="I20" i="33"/>
  <c r="I24" i="33"/>
  <c r="I26" i="33"/>
  <c r="I27" i="33"/>
  <c r="I28" i="33"/>
  <c r="I29" i="33"/>
  <c r="I31" i="33"/>
  <c r="I32" i="33"/>
  <c r="I33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20" i="33"/>
  <c r="H24" i="33"/>
  <c r="H26" i="33"/>
  <c r="H27" i="33"/>
  <c r="H28" i="33"/>
  <c r="H29" i="33"/>
  <c r="H31" i="33"/>
  <c r="H32" i="33"/>
  <c r="H33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20" i="33"/>
  <c r="G24" i="33"/>
  <c r="G26" i="33"/>
  <c r="G27" i="33"/>
  <c r="G28" i="33"/>
  <c r="G29" i="33"/>
  <c r="G31" i="33"/>
  <c r="G32" i="33"/>
  <c r="G33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20" i="33"/>
  <c r="F24" i="33"/>
  <c r="F26" i="33"/>
  <c r="F27" i="33"/>
  <c r="F28" i="33"/>
  <c r="F29" i="33"/>
  <c r="F31" i="33"/>
  <c r="F32" i="33"/>
  <c r="F33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20" i="33"/>
  <c r="E24" i="33"/>
  <c r="E26" i="33"/>
  <c r="E27" i="33"/>
  <c r="E28" i="33"/>
  <c r="E29" i="33"/>
  <c r="E31" i="33"/>
  <c r="E32" i="33"/>
  <c r="E33" i="33"/>
  <c r="Q7" i="34"/>
  <c r="Q8" i="34"/>
  <c r="Q9" i="34"/>
  <c r="Q10" i="34"/>
  <c r="Q11" i="34"/>
  <c r="Q12" i="34"/>
  <c r="Q14" i="34"/>
  <c r="Q15" i="34"/>
  <c r="Q16" i="34"/>
  <c r="Q17" i="34"/>
  <c r="Q18" i="34"/>
  <c r="Q20" i="34"/>
  <c r="Q24" i="34"/>
  <c r="Q26" i="34"/>
  <c r="Q27" i="34"/>
  <c r="P7" i="34"/>
  <c r="P8" i="34"/>
  <c r="P9" i="34"/>
  <c r="P10" i="34"/>
  <c r="P11" i="34"/>
  <c r="P14" i="34"/>
  <c r="P16" i="34"/>
  <c r="P17" i="34"/>
  <c r="P18" i="34"/>
  <c r="P20" i="34"/>
  <c r="P24" i="34"/>
  <c r="P26" i="34"/>
  <c r="P27" i="34"/>
  <c r="O7" i="34"/>
  <c r="O8" i="34"/>
  <c r="O9" i="34"/>
  <c r="O10" i="34"/>
  <c r="O11" i="34"/>
  <c r="O14" i="34"/>
  <c r="O16" i="34"/>
  <c r="O17" i="34"/>
  <c r="O18" i="34"/>
  <c r="O20" i="34"/>
  <c r="O24" i="34"/>
  <c r="O26" i="34"/>
  <c r="O27" i="34"/>
  <c r="N7" i="34"/>
  <c r="N8" i="34"/>
  <c r="N9" i="34"/>
  <c r="N10" i="34"/>
  <c r="N11" i="34"/>
  <c r="N14" i="34"/>
  <c r="N16" i="34"/>
  <c r="N17" i="34"/>
  <c r="N18" i="34"/>
  <c r="N20" i="34"/>
  <c r="N24" i="34"/>
  <c r="N26" i="34"/>
  <c r="N27" i="34"/>
  <c r="M7" i="34"/>
  <c r="M8" i="34"/>
  <c r="M9" i="34"/>
  <c r="M10" i="34"/>
  <c r="M11" i="34"/>
  <c r="M12" i="34"/>
  <c r="M14" i="34"/>
  <c r="M16" i="34"/>
  <c r="M17" i="34"/>
  <c r="M18" i="34"/>
  <c r="M20" i="34"/>
  <c r="M24" i="34"/>
  <c r="M26" i="34"/>
  <c r="M27" i="34"/>
  <c r="L7" i="34"/>
  <c r="L8" i="34"/>
  <c r="L9" i="34"/>
  <c r="L10" i="34"/>
  <c r="L11" i="34"/>
  <c r="L12" i="34"/>
  <c r="L14" i="34"/>
  <c r="L16" i="34"/>
  <c r="L17" i="34"/>
  <c r="L18" i="34"/>
  <c r="L20" i="34"/>
  <c r="L24" i="34"/>
  <c r="L26" i="34"/>
  <c r="L27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20" i="34"/>
  <c r="K24" i="34"/>
  <c r="K26" i="34"/>
  <c r="K27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20" i="34"/>
  <c r="J24" i="34"/>
  <c r="J26" i="34"/>
  <c r="J27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20" i="34"/>
  <c r="I24" i="34"/>
  <c r="I26" i="34"/>
  <c r="I27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20" i="34"/>
  <c r="H24" i="34"/>
  <c r="H26" i="34"/>
  <c r="H27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20" i="34"/>
  <c r="G24" i="34"/>
  <c r="G26" i="34"/>
  <c r="G27" i="34"/>
  <c r="F7" i="34"/>
  <c r="F8" i="34"/>
  <c r="F9" i="34"/>
  <c r="F10" i="34"/>
  <c r="F11" i="34"/>
  <c r="F12" i="34"/>
  <c r="F13" i="34"/>
  <c r="F14" i="34"/>
  <c r="F15" i="34"/>
  <c r="F16" i="34"/>
  <c r="F17" i="34"/>
  <c r="F18" i="34"/>
  <c r="F20" i="34"/>
  <c r="F24" i="34"/>
  <c r="F26" i="34"/>
  <c r="F27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20" i="34"/>
  <c r="E24" i="34"/>
  <c r="E26" i="34"/>
  <c r="E27" i="34"/>
  <c r="Q7" i="35"/>
  <c r="Q8" i="35"/>
  <c r="Q9" i="35"/>
  <c r="Q10" i="35"/>
  <c r="Q11" i="35"/>
  <c r="Q12" i="35"/>
  <c r="Q14" i="35"/>
  <c r="Q15" i="35"/>
  <c r="Q16" i="35"/>
  <c r="Q17" i="35"/>
  <c r="Q18" i="35"/>
  <c r="Q20" i="35"/>
  <c r="Q24" i="35"/>
  <c r="Q26" i="35"/>
  <c r="Q27" i="35"/>
  <c r="Q28" i="35"/>
  <c r="Q29" i="35"/>
  <c r="Q31" i="35"/>
  <c r="Q32" i="35"/>
  <c r="Q33" i="35"/>
  <c r="P7" i="35"/>
  <c r="P8" i="35"/>
  <c r="P9" i="35"/>
  <c r="P10" i="35"/>
  <c r="P11" i="35"/>
  <c r="P12" i="35"/>
  <c r="P14" i="35"/>
  <c r="P15" i="35"/>
  <c r="P16" i="35"/>
  <c r="P17" i="35"/>
  <c r="P18" i="35"/>
  <c r="P20" i="35"/>
  <c r="P24" i="35"/>
  <c r="P26" i="35"/>
  <c r="P27" i="35"/>
  <c r="P32" i="35"/>
  <c r="P33" i="35"/>
  <c r="O7" i="35"/>
  <c r="O8" i="35"/>
  <c r="O9" i="35"/>
  <c r="O10" i="35"/>
  <c r="O11" i="35"/>
  <c r="O12" i="35"/>
  <c r="O14" i="35"/>
  <c r="O15" i="35"/>
  <c r="O16" i="35"/>
  <c r="O17" i="35"/>
  <c r="O18" i="35"/>
  <c r="O20" i="35"/>
  <c r="O24" i="35"/>
  <c r="O26" i="35"/>
  <c r="O27" i="35"/>
  <c r="O32" i="35"/>
  <c r="O33" i="35"/>
  <c r="N7" i="35"/>
  <c r="N8" i="35"/>
  <c r="N9" i="35"/>
  <c r="N10" i="35"/>
  <c r="N11" i="35"/>
  <c r="N12" i="35"/>
  <c r="N14" i="35"/>
  <c r="N15" i="35"/>
  <c r="N16" i="35"/>
  <c r="N17" i="35"/>
  <c r="N18" i="35"/>
  <c r="N20" i="35"/>
  <c r="N24" i="35"/>
  <c r="N26" i="35"/>
  <c r="N27" i="35"/>
  <c r="N32" i="35"/>
  <c r="N33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20" i="35"/>
  <c r="M24" i="35"/>
  <c r="M26" i="35"/>
  <c r="M27" i="35"/>
  <c r="M31" i="35"/>
  <c r="M32" i="35"/>
  <c r="M33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20" i="35"/>
  <c r="L24" i="35"/>
  <c r="L26" i="35"/>
  <c r="L27" i="35"/>
  <c r="L28" i="35"/>
  <c r="L29" i="35"/>
  <c r="L31" i="35"/>
  <c r="L32" i="35"/>
  <c r="L33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20" i="35"/>
  <c r="K24" i="35"/>
  <c r="K26" i="35"/>
  <c r="K27" i="35"/>
  <c r="K28" i="35"/>
  <c r="K29" i="35"/>
  <c r="K31" i="35"/>
  <c r="K32" i="35"/>
  <c r="K33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20" i="35"/>
  <c r="J24" i="35"/>
  <c r="J26" i="35"/>
  <c r="J27" i="35"/>
  <c r="J28" i="35"/>
  <c r="J29" i="35"/>
  <c r="J31" i="35"/>
  <c r="J32" i="35"/>
  <c r="J33" i="35"/>
  <c r="I7" i="35"/>
  <c r="I8" i="35"/>
  <c r="I9" i="35"/>
  <c r="I10" i="35"/>
  <c r="I11" i="35"/>
  <c r="I12" i="35"/>
  <c r="I13" i="35"/>
  <c r="I14" i="35"/>
  <c r="I15" i="35"/>
  <c r="I16" i="35"/>
  <c r="I17" i="35"/>
  <c r="I18" i="35"/>
  <c r="I20" i="35"/>
  <c r="I24" i="35"/>
  <c r="I26" i="35"/>
  <c r="I27" i="35"/>
  <c r="I28" i="35"/>
  <c r="I29" i="35"/>
  <c r="I31" i="35"/>
  <c r="I32" i="35"/>
  <c r="I33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20" i="35"/>
  <c r="H24" i="35"/>
  <c r="H26" i="35"/>
  <c r="H27" i="35"/>
  <c r="H28" i="35"/>
  <c r="H29" i="35"/>
  <c r="H31" i="35"/>
  <c r="H32" i="35"/>
  <c r="H33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20" i="35"/>
  <c r="G24" i="35"/>
  <c r="G26" i="35"/>
  <c r="G27" i="35"/>
  <c r="G28" i="35"/>
  <c r="G29" i="35"/>
  <c r="G31" i="35"/>
  <c r="G32" i="35"/>
  <c r="G33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20" i="35"/>
  <c r="F24" i="35"/>
  <c r="F26" i="35"/>
  <c r="F27" i="35"/>
  <c r="F28" i="35"/>
  <c r="F29" i="35"/>
  <c r="F31" i="35"/>
  <c r="F32" i="35"/>
  <c r="F33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20" i="35"/>
  <c r="E24" i="35"/>
  <c r="E26" i="35"/>
  <c r="E27" i="35"/>
  <c r="E28" i="35"/>
  <c r="E29" i="35"/>
  <c r="E31" i="35"/>
  <c r="E32" i="35"/>
  <c r="E33" i="35"/>
  <c r="Q7" i="36"/>
  <c r="Q8" i="36"/>
  <c r="Q9" i="36"/>
  <c r="Q10" i="36"/>
  <c r="Q11" i="36"/>
  <c r="Q12" i="36"/>
  <c r="Q13" i="36"/>
  <c r="Q14" i="36"/>
  <c r="Q15" i="36"/>
  <c r="Q16" i="36"/>
  <c r="Q17" i="36"/>
  <c r="Q18" i="36"/>
  <c r="Q20" i="36"/>
  <c r="Q24" i="36"/>
  <c r="Q26" i="36"/>
  <c r="Q27" i="36"/>
  <c r="Q28" i="36"/>
  <c r="Q29" i="36"/>
  <c r="Q31" i="36"/>
  <c r="Q32" i="36"/>
  <c r="Q33" i="36"/>
  <c r="P7" i="36"/>
  <c r="P8" i="36"/>
  <c r="P9" i="36"/>
  <c r="P10" i="36"/>
  <c r="P11" i="36"/>
  <c r="P12" i="36"/>
  <c r="P13" i="36"/>
  <c r="P14" i="36"/>
  <c r="P15" i="36"/>
  <c r="P16" i="36"/>
  <c r="P17" i="36"/>
  <c r="P18" i="36"/>
  <c r="P20" i="36"/>
  <c r="P24" i="36"/>
  <c r="P26" i="36"/>
  <c r="P27" i="36"/>
  <c r="P32" i="36"/>
  <c r="P33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20" i="36"/>
  <c r="O24" i="36"/>
  <c r="O26" i="36"/>
  <c r="O27" i="36"/>
  <c r="O32" i="36"/>
  <c r="O33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20" i="36"/>
  <c r="N24" i="36"/>
  <c r="N26" i="36"/>
  <c r="N27" i="36"/>
  <c r="N32" i="36"/>
  <c r="N33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20" i="36"/>
  <c r="M24" i="36"/>
  <c r="M26" i="36"/>
  <c r="M27" i="36"/>
  <c r="M32" i="36"/>
  <c r="M33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20" i="36"/>
  <c r="L24" i="36"/>
  <c r="L26" i="36"/>
  <c r="L27" i="36"/>
  <c r="L28" i="36"/>
  <c r="L29" i="36"/>
  <c r="L31" i="36"/>
  <c r="L32" i="36"/>
  <c r="L33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20" i="36"/>
  <c r="K24" i="36"/>
  <c r="K26" i="36"/>
  <c r="K27" i="36"/>
  <c r="K28" i="36"/>
  <c r="K29" i="36"/>
  <c r="K31" i="36"/>
  <c r="K32" i="36"/>
  <c r="K33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20" i="36"/>
  <c r="J24" i="36"/>
  <c r="J26" i="36"/>
  <c r="J27" i="36"/>
  <c r="J28" i="36"/>
  <c r="J29" i="36"/>
  <c r="J31" i="36"/>
  <c r="J32" i="36"/>
  <c r="J33" i="36"/>
  <c r="I7" i="36"/>
  <c r="I8" i="36"/>
  <c r="I9" i="36"/>
  <c r="I10" i="36"/>
  <c r="I11" i="36"/>
  <c r="I12" i="36"/>
  <c r="I13" i="36"/>
  <c r="I14" i="36"/>
  <c r="I15" i="36"/>
  <c r="I16" i="36"/>
  <c r="I17" i="36"/>
  <c r="I18" i="36"/>
  <c r="I20" i="36"/>
  <c r="I24" i="36"/>
  <c r="I26" i="36"/>
  <c r="I27" i="36"/>
  <c r="I28" i="36"/>
  <c r="I29" i="36"/>
  <c r="I31" i="36"/>
  <c r="I32" i="36"/>
  <c r="I33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20" i="36"/>
  <c r="H24" i="36"/>
  <c r="H26" i="36"/>
  <c r="H27" i="36"/>
  <c r="H28" i="36"/>
  <c r="H29" i="36"/>
  <c r="H31" i="36"/>
  <c r="H32" i="36"/>
  <c r="H33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20" i="36"/>
  <c r="G24" i="36"/>
  <c r="G26" i="36"/>
  <c r="G27" i="36"/>
  <c r="G28" i="36"/>
  <c r="G29" i="36"/>
  <c r="G31" i="36"/>
  <c r="G32" i="36"/>
  <c r="G33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20" i="36"/>
  <c r="F24" i="36"/>
  <c r="F26" i="36"/>
  <c r="F27" i="36"/>
  <c r="F28" i="36"/>
  <c r="F29" i="36"/>
  <c r="F31" i="36"/>
  <c r="F32" i="36"/>
  <c r="F33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20" i="36"/>
  <c r="E24" i="36"/>
  <c r="E26" i="36"/>
  <c r="E27" i="36"/>
  <c r="E28" i="36"/>
  <c r="E29" i="36"/>
  <c r="E31" i="36"/>
  <c r="E32" i="36"/>
  <c r="E33" i="36"/>
  <c r="Q7" i="37"/>
  <c r="Q8" i="37"/>
  <c r="Q9" i="37"/>
  <c r="Q10" i="37"/>
  <c r="Q11" i="37"/>
  <c r="Q12" i="37"/>
  <c r="Q13" i="37"/>
  <c r="Q14" i="37"/>
  <c r="Q15" i="37"/>
  <c r="Q16" i="37"/>
  <c r="Q17" i="37"/>
  <c r="Q18" i="37"/>
  <c r="Q20" i="37"/>
  <c r="Q24" i="37"/>
  <c r="Q26" i="37"/>
  <c r="Q27" i="37"/>
  <c r="P7" i="37"/>
  <c r="P8" i="37"/>
  <c r="P9" i="37"/>
  <c r="P10" i="37"/>
  <c r="P11" i="37"/>
  <c r="P12" i="37"/>
  <c r="P13" i="37"/>
  <c r="P14" i="37"/>
  <c r="P15" i="37"/>
  <c r="P16" i="37"/>
  <c r="P17" i="37"/>
  <c r="P18" i="37"/>
  <c r="P20" i="37"/>
  <c r="P24" i="37"/>
  <c r="P26" i="37"/>
  <c r="P27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20" i="37"/>
  <c r="O24" i="37"/>
  <c r="O26" i="37"/>
  <c r="O27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20" i="37"/>
  <c r="N24" i="37"/>
  <c r="N26" i="37"/>
  <c r="N27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20" i="37"/>
  <c r="M24" i="37"/>
  <c r="M26" i="37"/>
  <c r="M27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20" i="37"/>
  <c r="L24" i="37"/>
  <c r="L26" i="37"/>
  <c r="L27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20" i="37"/>
  <c r="K24" i="37"/>
  <c r="K26" i="37"/>
  <c r="K27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20" i="37"/>
  <c r="J24" i="37"/>
  <c r="J26" i="37"/>
  <c r="J27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20" i="37"/>
  <c r="I24" i="37"/>
  <c r="I26" i="37"/>
  <c r="I27" i="37"/>
  <c r="H7" i="37"/>
  <c r="H8" i="37"/>
  <c r="H9" i="37"/>
  <c r="H10" i="37"/>
  <c r="H11" i="37"/>
  <c r="H12" i="37"/>
  <c r="H13" i="37"/>
  <c r="H14" i="37"/>
  <c r="H15" i="37"/>
  <c r="H16" i="37"/>
  <c r="H17" i="37"/>
  <c r="H18" i="37"/>
  <c r="H20" i="37"/>
  <c r="H24" i="37"/>
  <c r="H26" i="37"/>
  <c r="H27" i="37"/>
  <c r="H30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20" i="37"/>
  <c r="G24" i="37"/>
  <c r="G26" i="37"/>
  <c r="G27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20" i="37"/>
  <c r="F24" i="37"/>
  <c r="F26" i="37"/>
  <c r="F27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20" i="37"/>
  <c r="E24" i="37"/>
  <c r="E26" i="37"/>
  <c r="E27" i="37"/>
  <c r="Q7" i="38"/>
  <c r="Q8" i="38"/>
  <c r="Q9" i="38"/>
  <c r="Q10" i="38"/>
  <c r="Q11" i="38"/>
  <c r="Q12" i="38"/>
  <c r="Q14" i="38"/>
  <c r="Q15" i="38"/>
  <c r="Q16" i="38"/>
  <c r="Q17" i="38"/>
  <c r="Q18" i="38"/>
  <c r="Q20" i="38"/>
  <c r="Q24" i="38"/>
  <c r="Q26" i="38"/>
  <c r="Q27" i="38"/>
  <c r="Q28" i="38"/>
  <c r="Q29" i="38"/>
  <c r="Q31" i="38"/>
  <c r="Q32" i="38"/>
  <c r="Q33" i="38"/>
  <c r="P7" i="38"/>
  <c r="P8" i="38"/>
  <c r="P9" i="38"/>
  <c r="P10" i="38"/>
  <c r="P11" i="38"/>
  <c r="P12" i="38"/>
  <c r="P14" i="38"/>
  <c r="P15" i="38"/>
  <c r="P16" i="38"/>
  <c r="P17" i="38"/>
  <c r="P18" i="38"/>
  <c r="P20" i="38"/>
  <c r="P24" i="38"/>
  <c r="P26" i="38"/>
  <c r="P27" i="38"/>
  <c r="P32" i="38"/>
  <c r="P33" i="38"/>
  <c r="O7" i="38"/>
  <c r="O8" i="38"/>
  <c r="O9" i="38"/>
  <c r="O10" i="38"/>
  <c r="O11" i="38"/>
  <c r="O12" i="38"/>
  <c r="O14" i="38"/>
  <c r="O15" i="38"/>
  <c r="O16" i="38"/>
  <c r="O17" i="38"/>
  <c r="O18" i="38"/>
  <c r="O20" i="38"/>
  <c r="O24" i="38"/>
  <c r="O26" i="38"/>
  <c r="O27" i="38"/>
  <c r="O32" i="38"/>
  <c r="O33" i="38"/>
  <c r="N7" i="38"/>
  <c r="N8" i="38"/>
  <c r="N9" i="38"/>
  <c r="N10" i="38"/>
  <c r="N11" i="38"/>
  <c r="N12" i="38"/>
  <c r="N14" i="38"/>
  <c r="N15" i="38"/>
  <c r="N16" i="38"/>
  <c r="N17" i="38"/>
  <c r="N18" i="38"/>
  <c r="N20" i="38"/>
  <c r="N24" i="38"/>
  <c r="N26" i="38"/>
  <c r="N27" i="38"/>
  <c r="N32" i="38"/>
  <c r="N33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20" i="38"/>
  <c r="M24" i="38"/>
  <c r="M26" i="38"/>
  <c r="M27" i="38"/>
  <c r="M29" i="38"/>
  <c r="M32" i="38"/>
  <c r="M33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20" i="38"/>
  <c r="L24" i="38"/>
  <c r="L26" i="38"/>
  <c r="L27" i="38"/>
  <c r="L28" i="38"/>
  <c r="L29" i="38"/>
  <c r="L31" i="38"/>
  <c r="L32" i="38"/>
  <c r="L33" i="38"/>
  <c r="K8" i="38"/>
  <c r="K9" i="38"/>
  <c r="K10" i="38"/>
  <c r="K11" i="38"/>
  <c r="K12" i="38"/>
  <c r="K13" i="38"/>
  <c r="K14" i="38"/>
  <c r="K15" i="38"/>
  <c r="K16" i="38"/>
  <c r="K17" i="38"/>
  <c r="K18" i="38"/>
  <c r="K20" i="38"/>
  <c r="K24" i="38"/>
  <c r="K26" i="38"/>
  <c r="K27" i="38"/>
  <c r="K28" i="38"/>
  <c r="K29" i="38"/>
  <c r="K31" i="38"/>
  <c r="K32" i="38"/>
  <c r="K33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20" i="38"/>
  <c r="J24" i="38"/>
  <c r="J26" i="38"/>
  <c r="J27" i="38"/>
  <c r="J28" i="38"/>
  <c r="J29" i="38"/>
  <c r="J31" i="38"/>
  <c r="J32" i="38"/>
  <c r="J33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20" i="38"/>
  <c r="I24" i="38"/>
  <c r="I26" i="38"/>
  <c r="I27" i="38"/>
  <c r="I28" i="38"/>
  <c r="I29" i="38"/>
  <c r="I31" i="38"/>
  <c r="I32" i="38"/>
  <c r="I33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20" i="38"/>
  <c r="H24" i="38"/>
  <c r="H26" i="38"/>
  <c r="H27" i="38"/>
  <c r="H28" i="38"/>
  <c r="H29" i="38"/>
  <c r="H31" i="38"/>
  <c r="H32" i="38"/>
  <c r="H33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20" i="38"/>
  <c r="G24" i="38"/>
  <c r="G26" i="38"/>
  <c r="G27" i="38"/>
  <c r="G28" i="38"/>
  <c r="G29" i="38"/>
  <c r="G31" i="38"/>
  <c r="G32" i="38"/>
  <c r="G33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20" i="38"/>
  <c r="F24" i="38"/>
  <c r="F26" i="38"/>
  <c r="F27" i="38"/>
  <c r="F28" i="38"/>
  <c r="F29" i="38"/>
  <c r="F31" i="38"/>
  <c r="F32" i="38"/>
  <c r="F33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20" i="38"/>
  <c r="E24" i="38"/>
  <c r="E26" i="38"/>
  <c r="E27" i="38"/>
  <c r="E28" i="38"/>
  <c r="E29" i="38"/>
  <c r="E31" i="38"/>
  <c r="E32" i="38"/>
  <c r="E33" i="38"/>
  <c r="Q7" i="39"/>
  <c r="Q8" i="39"/>
  <c r="Q9" i="39"/>
  <c r="Q10" i="39"/>
  <c r="Q11" i="39"/>
  <c r="Q13" i="39"/>
  <c r="Q14" i="39"/>
  <c r="Q15" i="39"/>
  <c r="Q16" i="39"/>
  <c r="Q17" i="39"/>
  <c r="Q18" i="39"/>
  <c r="Q20" i="39"/>
  <c r="Q24" i="39"/>
  <c r="Q26" i="39"/>
  <c r="Q27" i="39"/>
  <c r="Q28" i="39"/>
  <c r="Q29" i="39"/>
  <c r="Q31" i="39"/>
  <c r="Q32" i="39"/>
  <c r="Q33" i="39"/>
  <c r="P7" i="39"/>
  <c r="P8" i="39"/>
  <c r="P9" i="39"/>
  <c r="P10" i="39"/>
  <c r="P11" i="39"/>
  <c r="P12" i="39"/>
  <c r="P13" i="39"/>
  <c r="P14" i="39"/>
  <c r="P15" i="39"/>
  <c r="P16" i="39"/>
  <c r="P17" i="39"/>
  <c r="P18" i="39"/>
  <c r="P20" i="39"/>
  <c r="P24" i="39"/>
  <c r="P26" i="39"/>
  <c r="P27" i="39"/>
  <c r="P32" i="39"/>
  <c r="P33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20" i="39"/>
  <c r="O24" i="39"/>
  <c r="O26" i="39"/>
  <c r="O27" i="39"/>
  <c r="O32" i="39"/>
  <c r="O33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20" i="39"/>
  <c r="N24" i="39"/>
  <c r="N26" i="39"/>
  <c r="N27" i="39"/>
  <c r="N32" i="39"/>
  <c r="N33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20" i="39"/>
  <c r="M24" i="39"/>
  <c r="M26" i="39"/>
  <c r="M27" i="39"/>
  <c r="M32" i="39"/>
  <c r="M33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20" i="39"/>
  <c r="L24" i="39"/>
  <c r="L26" i="39"/>
  <c r="L27" i="39"/>
  <c r="L28" i="39"/>
  <c r="L29" i="39"/>
  <c r="L31" i="39"/>
  <c r="L32" i="39"/>
  <c r="L33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20" i="39"/>
  <c r="K24" i="39"/>
  <c r="K26" i="39"/>
  <c r="K27" i="39"/>
  <c r="K28" i="39"/>
  <c r="K29" i="39"/>
  <c r="K31" i="39"/>
  <c r="K32" i="39"/>
  <c r="K33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20" i="39"/>
  <c r="J24" i="39"/>
  <c r="J26" i="39"/>
  <c r="J27" i="39"/>
  <c r="J28" i="39"/>
  <c r="J29" i="39"/>
  <c r="J31" i="39"/>
  <c r="J32" i="39"/>
  <c r="J33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20" i="39"/>
  <c r="I24" i="39"/>
  <c r="I26" i="39"/>
  <c r="I27" i="39"/>
  <c r="I28" i="39"/>
  <c r="I29" i="39"/>
  <c r="I31" i="39"/>
  <c r="I32" i="39"/>
  <c r="I33" i="39"/>
  <c r="H7" i="39"/>
  <c r="H8" i="39"/>
  <c r="H9" i="39"/>
  <c r="H10" i="39"/>
  <c r="H11" i="39"/>
  <c r="H12" i="39"/>
  <c r="H13" i="39"/>
  <c r="H14" i="39"/>
  <c r="H15" i="39"/>
  <c r="H16" i="39"/>
  <c r="H17" i="39"/>
  <c r="H18" i="39"/>
  <c r="H20" i="39"/>
  <c r="H24" i="39"/>
  <c r="H26" i="39"/>
  <c r="H27" i="39"/>
  <c r="H28" i="39"/>
  <c r="H29" i="39"/>
  <c r="H31" i="39"/>
  <c r="H32" i="39"/>
  <c r="H33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20" i="39"/>
  <c r="G24" i="39"/>
  <c r="G26" i="39"/>
  <c r="G27" i="39"/>
  <c r="G28" i="39"/>
  <c r="G29" i="39"/>
  <c r="G31" i="39"/>
  <c r="G32" i="39"/>
  <c r="G33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20" i="39"/>
  <c r="F24" i="39"/>
  <c r="F26" i="39"/>
  <c r="F27" i="39"/>
  <c r="F28" i="39"/>
  <c r="F29" i="39"/>
  <c r="F31" i="39"/>
  <c r="F32" i="39"/>
  <c r="F33" i="39"/>
  <c r="E7" i="39"/>
  <c r="E8" i="39"/>
  <c r="E9" i="39"/>
  <c r="E10" i="39"/>
  <c r="E11" i="39"/>
  <c r="E12" i="39"/>
  <c r="E13" i="39"/>
  <c r="E14" i="39"/>
  <c r="E15" i="39"/>
  <c r="E16" i="39"/>
  <c r="E17" i="39"/>
  <c r="E18" i="39"/>
  <c r="E20" i="39"/>
  <c r="E24" i="39"/>
  <c r="E26" i="39"/>
  <c r="E27" i="39"/>
  <c r="E28" i="39"/>
  <c r="E29" i="39"/>
  <c r="E31" i="39"/>
  <c r="E32" i="39"/>
  <c r="E33" i="39"/>
  <c r="Q7" i="40"/>
  <c r="Q8" i="40"/>
  <c r="Q9" i="40"/>
  <c r="Q10" i="40"/>
  <c r="Q11" i="40"/>
  <c r="Q13" i="40"/>
  <c r="Q14" i="40"/>
  <c r="Q15" i="40"/>
  <c r="Q16" i="40"/>
  <c r="Q17" i="40"/>
  <c r="Q18" i="40"/>
  <c r="Q20" i="40"/>
  <c r="Q24" i="40"/>
  <c r="Q26" i="40"/>
  <c r="Q27" i="40"/>
  <c r="Q28" i="40"/>
  <c r="Q29" i="40"/>
  <c r="Q31" i="40"/>
  <c r="Q32" i="40"/>
  <c r="Q33" i="40"/>
  <c r="P7" i="40"/>
  <c r="P8" i="40"/>
  <c r="P9" i="40"/>
  <c r="P10" i="40"/>
  <c r="P11" i="40"/>
  <c r="P12" i="40"/>
  <c r="P13" i="40"/>
  <c r="P14" i="40"/>
  <c r="P15" i="40"/>
  <c r="P16" i="40"/>
  <c r="P17" i="40"/>
  <c r="P18" i="40"/>
  <c r="P20" i="40"/>
  <c r="P24" i="40"/>
  <c r="P26" i="40"/>
  <c r="P27" i="40"/>
  <c r="P32" i="40"/>
  <c r="P33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20" i="40"/>
  <c r="O24" i="40"/>
  <c r="O26" i="40"/>
  <c r="O27" i="40"/>
  <c r="O32" i="40"/>
  <c r="O33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20" i="40"/>
  <c r="N24" i="40"/>
  <c r="N26" i="40"/>
  <c r="N27" i="40"/>
  <c r="N32" i="40"/>
  <c r="N33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20" i="40"/>
  <c r="M24" i="40"/>
  <c r="M26" i="40"/>
  <c r="M27" i="40"/>
  <c r="M31" i="40"/>
  <c r="M32" i="40"/>
  <c r="M33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20" i="40"/>
  <c r="L24" i="40"/>
  <c r="L26" i="40"/>
  <c r="L27" i="40"/>
  <c r="L28" i="40"/>
  <c r="L29" i="40"/>
  <c r="L31" i="40"/>
  <c r="L32" i="40"/>
  <c r="L33" i="40"/>
  <c r="K8" i="40"/>
  <c r="K9" i="40"/>
  <c r="K10" i="40"/>
  <c r="K11" i="40"/>
  <c r="K12" i="40"/>
  <c r="K13" i="40"/>
  <c r="K14" i="40"/>
  <c r="K15" i="40"/>
  <c r="K16" i="40"/>
  <c r="K17" i="40"/>
  <c r="K18" i="40"/>
  <c r="K20" i="40"/>
  <c r="K24" i="40"/>
  <c r="K26" i="40"/>
  <c r="K27" i="40"/>
  <c r="K28" i="40"/>
  <c r="K29" i="40"/>
  <c r="K31" i="40"/>
  <c r="K32" i="40"/>
  <c r="K33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20" i="40"/>
  <c r="J24" i="40"/>
  <c r="J26" i="40"/>
  <c r="J27" i="40"/>
  <c r="J28" i="40"/>
  <c r="J29" i="40"/>
  <c r="J31" i="40"/>
  <c r="J32" i="40"/>
  <c r="J33" i="40"/>
  <c r="I7" i="40"/>
  <c r="I8" i="40"/>
  <c r="I9" i="40"/>
  <c r="I10" i="40"/>
  <c r="I11" i="40"/>
  <c r="I12" i="40"/>
  <c r="I13" i="40"/>
  <c r="I14" i="40"/>
  <c r="I15" i="40"/>
  <c r="I16" i="40"/>
  <c r="I17" i="40"/>
  <c r="I18" i="40"/>
  <c r="I20" i="40"/>
  <c r="I24" i="40"/>
  <c r="I26" i="40"/>
  <c r="I27" i="40"/>
  <c r="I28" i="40"/>
  <c r="I29" i="40"/>
  <c r="I31" i="40"/>
  <c r="I32" i="40"/>
  <c r="I33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20" i="40"/>
  <c r="H24" i="40"/>
  <c r="H26" i="40"/>
  <c r="H27" i="40"/>
  <c r="H28" i="40"/>
  <c r="H29" i="40"/>
  <c r="H31" i="40"/>
  <c r="H32" i="40"/>
  <c r="H33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20" i="40"/>
  <c r="G24" i="40"/>
  <c r="G26" i="40"/>
  <c r="G27" i="40"/>
  <c r="G28" i="40"/>
  <c r="G29" i="40"/>
  <c r="G31" i="40"/>
  <c r="G32" i="40"/>
  <c r="G33" i="40"/>
  <c r="F7" i="40"/>
  <c r="F8" i="40"/>
  <c r="F9" i="40"/>
  <c r="F10" i="40"/>
  <c r="F11" i="40"/>
  <c r="F12" i="40"/>
  <c r="F13" i="40"/>
  <c r="F14" i="40"/>
  <c r="F15" i="40"/>
  <c r="F16" i="40"/>
  <c r="F17" i="40"/>
  <c r="F18" i="40"/>
  <c r="F20" i="40"/>
  <c r="F24" i="40"/>
  <c r="F26" i="40"/>
  <c r="F27" i="40"/>
  <c r="F28" i="40"/>
  <c r="F29" i="40"/>
  <c r="F31" i="40"/>
  <c r="F32" i="40"/>
  <c r="F33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20" i="40"/>
  <c r="E24" i="40"/>
  <c r="E26" i="40"/>
  <c r="E27" i="40"/>
  <c r="E28" i="40"/>
  <c r="E29" i="40"/>
  <c r="E31" i="40"/>
  <c r="E32" i="40"/>
  <c r="E33" i="40"/>
  <c r="Q7" i="41"/>
  <c r="Q8" i="41"/>
  <c r="Q9" i="41"/>
  <c r="Q10" i="41"/>
  <c r="Q11" i="41"/>
  <c r="Q12" i="41"/>
  <c r="Q14" i="41"/>
  <c r="Q15" i="41"/>
  <c r="Q16" i="41"/>
  <c r="Q17" i="41"/>
  <c r="Q18" i="41"/>
  <c r="Q20" i="41"/>
  <c r="Q24" i="41"/>
  <c r="Q26" i="41"/>
  <c r="Q27" i="41"/>
  <c r="Q28" i="41"/>
  <c r="Q29" i="41"/>
  <c r="Q31" i="41"/>
  <c r="Q32" i="41"/>
  <c r="Q33" i="41"/>
  <c r="P7" i="41"/>
  <c r="P8" i="41"/>
  <c r="P9" i="41"/>
  <c r="P10" i="41"/>
  <c r="P11" i="41"/>
  <c r="P12" i="41"/>
  <c r="P14" i="41"/>
  <c r="P15" i="41"/>
  <c r="P16" i="41"/>
  <c r="P17" i="41"/>
  <c r="P18" i="41"/>
  <c r="P20" i="41"/>
  <c r="P24" i="41"/>
  <c r="P26" i="41"/>
  <c r="P27" i="41"/>
  <c r="P32" i="41"/>
  <c r="P33" i="41"/>
  <c r="O7" i="41"/>
  <c r="O8" i="41"/>
  <c r="O9" i="41"/>
  <c r="O10" i="41"/>
  <c r="O11" i="41"/>
  <c r="O12" i="41"/>
  <c r="O14" i="41"/>
  <c r="O15" i="41"/>
  <c r="O16" i="41"/>
  <c r="O17" i="41"/>
  <c r="O18" i="41"/>
  <c r="O20" i="41"/>
  <c r="O24" i="41"/>
  <c r="O26" i="41"/>
  <c r="O27" i="41"/>
  <c r="O32" i="41"/>
  <c r="O33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20" i="41"/>
  <c r="N24" i="41"/>
  <c r="N26" i="41"/>
  <c r="N27" i="41"/>
  <c r="N32" i="41"/>
  <c r="N33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20" i="41"/>
  <c r="M24" i="41"/>
  <c r="M26" i="41"/>
  <c r="M27" i="41"/>
  <c r="M29" i="41"/>
  <c r="M32" i="41"/>
  <c r="M33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20" i="41"/>
  <c r="L24" i="41"/>
  <c r="L26" i="41"/>
  <c r="L27" i="41"/>
  <c r="L28" i="41"/>
  <c r="L29" i="41"/>
  <c r="L31" i="41"/>
  <c r="L32" i="41"/>
  <c r="L33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20" i="41"/>
  <c r="K24" i="41"/>
  <c r="K26" i="41"/>
  <c r="K27" i="41"/>
  <c r="K28" i="41"/>
  <c r="K29" i="41"/>
  <c r="K31" i="41"/>
  <c r="K32" i="41"/>
  <c r="K33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20" i="41"/>
  <c r="J24" i="41"/>
  <c r="J26" i="41"/>
  <c r="J27" i="41"/>
  <c r="J28" i="41"/>
  <c r="J29" i="41"/>
  <c r="J31" i="41"/>
  <c r="J32" i="41"/>
  <c r="J33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20" i="41"/>
  <c r="I24" i="41"/>
  <c r="I26" i="41"/>
  <c r="I27" i="41"/>
  <c r="I28" i="41"/>
  <c r="I29" i="41"/>
  <c r="I31" i="41"/>
  <c r="I32" i="41"/>
  <c r="I33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20" i="41"/>
  <c r="H24" i="41"/>
  <c r="H26" i="41"/>
  <c r="H27" i="41"/>
  <c r="H28" i="41"/>
  <c r="H29" i="41"/>
  <c r="H31" i="41"/>
  <c r="H32" i="41"/>
  <c r="H33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20" i="41"/>
  <c r="G24" i="41"/>
  <c r="G26" i="41"/>
  <c r="G27" i="41"/>
  <c r="G28" i="41"/>
  <c r="G29" i="41"/>
  <c r="G31" i="41"/>
  <c r="G32" i="41"/>
  <c r="G33" i="41"/>
  <c r="F7" i="41"/>
  <c r="F8" i="41"/>
  <c r="F9" i="41"/>
  <c r="F10" i="41"/>
  <c r="F11" i="41"/>
  <c r="F12" i="41"/>
  <c r="F13" i="41"/>
  <c r="F14" i="41"/>
  <c r="F15" i="41"/>
  <c r="F16" i="41"/>
  <c r="F17" i="41"/>
  <c r="F18" i="41"/>
  <c r="F20" i="41"/>
  <c r="F24" i="41"/>
  <c r="F26" i="41"/>
  <c r="F27" i="41"/>
  <c r="F28" i="41"/>
  <c r="F29" i="41"/>
  <c r="F31" i="41"/>
  <c r="F32" i="41"/>
  <c r="F33" i="41"/>
  <c r="E7" i="41"/>
  <c r="E8" i="41"/>
  <c r="E9" i="41"/>
  <c r="E10" i="41"/>
  <c r="E11" i="41"/>
  <c r="E12" i="41"/>
  <c r="E13" i="41"/>
  <c r="E14" i="41"/>
  <c r="E15" i="41"/>
  <c r="E16" i="41"/>
  <c r="E17" i="41"/>
  <c r="E18" i="41"/>
  <c r="E20" i="41"/>
  <c r="E24" i="41"/>
  <c r="E26" i="41"/>
  <c r="E27" i="41"/>
  <c r="E28" i="41"/>
  <c r="E29" i="41"/>
  <c r="E31" i="41"/>
  <c r="E32" i="41"/>
  <c r="E33" i="41"/>
  <c r="Q7" i="42"/>
  <c r="Q8" i="42"/>
  <c r="Q9" i="42"/>
  <c r="Q10" i="42"/>
  <c r="Q11" i="42"/>
  <c r="Q12" i="42"/>
  <c r="Q14" i="42"/>
  <c r="Q15" i="42"/>
  <c r="Q16" i="42"/>
  <c r="Q17" i="42"/>
  <c r="Q18" i="42"/>
  <c r="Q20" i="42"/>
  <c r="Q24" i="42"/>
  <c r="Q26" i="42"/>
  <c r="Q27" i="42"/>
  <c r="Q28" i="42"/>
  <c r="Q29" i="42"/>
  <c r="Q31" i="42"/>
  <c r="Q32" i="42"/>
  <c r="Q33" i="42"/>
  <c r="P7" i="42"/>
  <c r="P8" i="42"/>
  <c r="P9" i="42"/>
  <c r="P10" i="42"/>
  <c r="P11" i="42"/>
  <c r="P12" i="42"/>
  <c r="P14" i="42"/>
  <c r="P15" i="42"/>
  <c r="P16" i="42"/>
  <c r="P17" i="42"/>
  <c r="P18" i="42"/>
  <c r="P20" i="42"/>
  <c r="P24" i="42"/>
  <c r="P26" i="42"/>
  <c r="P27" i="42"/>
  <c r="P32" i="42"/>
  <c r="P33" i="42"/>
  <c r="O7" i="42"/>
  <c r="O8" i="42"/>
  <c r="O9" i="42"/>
  <c r="O10" i="42"/>
  <c r="O11" i="42"/>
  <c r="O12" i="42"/>
  <c r="O14" i="42"/>
  <c r="O15" i="42"/>
  <c r="O16" i="42"/>
  <c r="O17" i="42"/>
  <c r="O18" i="42"/>
  <c r="O20" i="42"/>
  <c r="O24" i="42"/>
  <c r="O26" i="42"/>
  <c r="O27" i="42"/>
  <c r="O32" i="42"/>
  <c r="O33" i="42"/>
  <c r="N7" i="42"/>
  <c r="N8" i="42"/>
  <c r="N9" i="42"/>
  <c r="N10" i="42"/>
  <c r="N11" i="42"/>
  <c r="N12" i="42"/>
  <c r="N14" i="42"/>
  <c r="N15" i="42"/>
  <c r="N16" i="42"/>
  <c r="N17" i="42"/>
  <c r="N18" i="42"/>
  <c r="N20" i="42"/>
  <c r="N24" i="42"/>
  <c r="N26" i="42"/>
  <c r="N27" i="42"/>
  <c r="N32" i="42"/>
  <c r="N33" i="42"/>
  <c r="M7" i="42"/>
  <c r="M8" i="42"/>
  <c r="M9" i="42"/>
  <c r="M10" i="42"/>
  <c r="M11" i="42"/>
  <c r="M12" i="42"/>
  <c r="M14" i="42"/>
  <c r="M15" i="42"/>
  <c r="M16" i="42"/>
  <c r="M17" i="42"/>
  <c r="M18" i="42"/>
  <c r="M20" i="42"/>
  <c r="M24" i="42"/>
  <c r="M26" i="42"/>
  <c r="M27" i="42"/>
  <c r="M32" i="42"/>
  <c r="M33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20" i="42"/>
  <c r="L24" i="42"/>
  <c r="L26" i="42"/>
  <c r="L27" i="42"/>
  <c r="L28" i="42"/>
  <c r="L29" i="42"/>
  <c r="L31" i="42"/>
  <c r="L32" i="42"/>
  <c r="L33" i="42"/>
  <c r="K8" i="42"/>
  <c r="K9" i="42"/>
  <c r="K10" i="42"/>
  <c r="K11" i="42"/>
  <c r="K12" i="42"/>
  <c r="K13" i="42"/>
  <c r="K14" i="42"/>
  <c r="K15" i="42"/>
  <c r="K16" i="42"/>
  <c r="K17" i="42"/>
  <c r="K18" i="42"/>
  <c r="K20" i="42"/>
  <c r="K24" i="42"/>
  <c r="K26" i="42"/>
  <c r="K27" i="42"/>
  <c r="K28" i="42"/>
  <c r="K29" i="42"/>
  <c r="K31" i="42"/>
  <c r="K32" i="42"/>
  <c r="K33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20" i="42"/>
  <c r="J24" i="42"/>
  <c r="J26" i="42"/>
  <c r="J27" i="42"/>
  <c r="J28" i="42"/>
  <c r="J29" i="42"/>
  <c r="J31" i="42"/>
  <c r="J32" i="42"/>
  <c r="J33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20" i="42"/>
  <c r="I24" i="42"/>
  <c r="I26" i="42"/>
  <c r="I27" i="42"/>
  <c r="I28" i="42"/>
  <c r="I29" i="42"/>
  <c r="I31" i="42"/>
  <c r="I32" i="42"/>
  <c r="I33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20" i="42"/>
  <c r="H24" i="42"/>
  <c r="H26" i="42"/>
  <c r="H27" i="42"/>
  <c r="H28" i="42"/>
  <c r="H29" i="42"/>
  <c r="H31" i="42"/>
  <c r="H32" i="42"/>
  <c r="H33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20" i="42"/>
  <c r="G24" i="42"/>
  <c r="G26" i="42"/>
  <c r="G27" i="42"/>
  <c r="G28" i="42"/>
  <c r="G29" i="42"/>
  <c r="G31" i="42"/>
  <c r="G32" i="42"/>
  <c r="G33" i="42"/>
  <c r="F7" i="42"/>
  <c r="F8" i="42"/>
  <c r="F9" i="42"/>
  <c r="F10" i="42"/>
  <c r="F11" i="42"/>
  <c r="F12" i="42"/>
  <c r="F13" i="42"/>
  <c r="F14" i="42"/>
  <c r="F15" i="42"/>
  <c r="F16" i="42"/>
  <c r="F17" i="42"/>
  <c r="F18" i="42"/>
  <c r="F20" i="42"/>
  <c r="F24" i="42"/>
  <c r="F26" i="42"/>
  <c r="F27" i="42"/>
  <c r="F28" i="42"/>
  <c r="F29" i="42"/>
  <c r="F31" i="42"/>
  <c r="F32" i="42"/>
  <c r="F33" i="42"/>
  <c r="E7" i="42"/>
  <c r="E8" i="42"/>
  <c r="E9" i="42"/>
  <c r="E10" i="42"/>
  <c r="E11" i="42"/>
  <c r="E12" i="42"/>
  <c r="E13" i="42"/>
  <c r="E14" i="42"/>
  <c r="E15" i="42"/>
  <c r="E16" i="42"/>
  <c r="E17" i="42"/>
  <c r="E18" i="42"/>
  <c r="E20" i="42"/>
  <c r="E24" i="42"/>
  <c r="E26" i="42"/>
  <c r="E27" i="42"/>
  <c r="E28" i="42"/>
  <c r="E29" i="42"/>
  <c r="E31" i="42"/>
  <c r="E32" i="42"/>
  <c r="E33" i="42"/>
  <c r="D7" i="25"/>
  <c r="D8" i="25"/>
  <c r="D9" i="25"/>
  <c r="D10" i="25"/>
  <c r="D11" i="25"/>
  <c r="D12" i="25"/>
  <c r="D13" i="25"/>
  <c r="D14" i="25"/>
  <c r="D15" i="25"/>
  <c r="D16" i="25"/>
  <c r="D17" i="25"/>
  <c r="D18" i="25"/>
  <c r="D20" i="25"/>
  <c r="D24" i="25"/>
  <c r="D26" i="25"/>
  <c r="D27" i="25"/>
  <c r="D28" i="25"/>
  <c r="D29" i="25"/>
  <c r="D31" i="25"/>
  <c r="D32" i="25"/>
  <c r="D33" i="25"/>
  <c r="D7" i="26"/>
  <c r="D10" i="26"/>
  <c r="D12" i="26"/>
  <c r="D14" i="26"/>
  <c r="D16" i="26"/>
  <c r="D7" i="27"/>
  <c r="D8" i="27"/>
  <c r="D9" i="27"/>
  <c r="D10" i="27"/>
  <c r="D11" i="27"/>
  <c r="D12" i="27"/>
  <c r="D13" i="27"/>
  <c r="D14" i="27"/>
  <c r="D15" i="27"/>
  <c r="D16" i="27"/>
  <c r="D17" i="27"/>
  <c r="D18" i="27"/>
  <c r="D20" i="27"/>
  <c r="D24" i="27"/>
  <c r="D26" i="27"/>
  <c r="D27" i="27"/>
  <c r="D28" i="27"/>
  <c r="D29" i="27"/>
  <c r="D31" i="27"/>
  <c r="D32" i="27"/>
  <c r="D33" i="27"/>
  <c r="D7" i="28"/>
  <c r="D8" i="28"/>
  <c r="D9" i="28"/>
  <c r="D10" i="28"/>
  <c r="D11" i="28"/>
  <c r="D12" i="28"/>
  <c r="D13" i="28"/>
  <c r="D14" i="28"/>
  <c r="D15" i="28"/>
  <c r="D16" i="28"/>
  <c r="D17" i="28"/>
  <c r="D18" i="28"/>
  <c r="D20" i="28"/>
  <c r="D24" i="28"/>
  <c r="D26" i="28"/>
  <c r="D27" i="28"/>
  <c r="D28" i="28"/>
  <c r="D29" i="28"/>
  <c r="D31" i="28"/>
  <c r="D32" i="28"/>
  <c r="D33" i="28"/>
  <c r="D7" i="29"/>
  <c r="D8" i="29"/>
  <c r="D9" i="29"/>
  <c r="D10" i="29"/>
  <c r="D11" i="29"/>
  <c r="D12" i="29"/>
  <c r="D13" i="29"/>
  <c r="D14" i="29"/>
  <c r="D15" i="29"/>
  <c r="D16" i="29"/>
  <c r="D17" i="29"/>
  <c r="D18" i="29"/>
  <c r="D20" i="29"/>
  <c r="D24" i="29"/>
  <c r="D26" i="29"/>
  <c r="D27" i="29"/>
  <c r="D28" i="29"/>
  <c r="D29" i="29"/>
  <c r="D31" i="29"/>
  <c r="D32" i="29"/>
  <c r="D33" i="29"/>
  <c r="D7" i="32"/>
  <c r="D8" i="32"/>
  <c r="D9" i="32"/>
  <c r="D10" i="32"/>
  <c r="D11" i="32"/>
  <c r="D12" i="32"/>
  <c r="D13" i="32"/>
  <c r="D14" i="32"/>
  <c r="D15" i="32"/>
  <c r="D16" i="32"/>
  <c r="D17" i="32"/>
  <c r="D18" i="32"/>
  <c r="D20" i="32"/>
  <c r="D24" i="32"/>
  <c r="D26" i="32"/>
  <c r="D27" i="32"/>
  <c r="D28" i="32"/>
  <c r="D29" i="32"/>
  <c r="D31" i="32"/>
  <c r="D32" i="32"/>
  <c r="D33" i="32"/>
  <c r="D7" i="33"/>
  <c r="D8" i="33"/>
  <c r="D9" i="33"/>
  <c r="D10" i="33"/>
  <c r="D11" i="33"/>
  <c r="D12" i="33"/>
  <c r="D13" i="33"/>
  <c r="D14" i="33"/>
  <c r="D15" i="33"/>
  <c r="D16" i="33"/>
  <c r="D17" i="33"/>
  <c r="D18" i="33"/>
  <c r="D20" i="33"/>
  <c r="D24" i="33"/>
  <c r="D26" i="33"/>
  <c r="D27" i="33"/>
  <c r="D28" i="33"/>
  <c r="D29" i="33"/>
  <c r="D31" i="33"/>
  <c r="D32" i="33"/>
  <c r="D33" i="33"/>
  <c r="D7" i="34"/>
  <c r="D8" i="34"/>
  <c r="D9" i="34"/>
  <c r="D10" i="34"/>
  <c r="D11" i="34"/>
  <c r="D12" i="34"/>
  <c r="D13" i="34"/>
  <c r="D14" i="34"/>
  <c r="D15" i="34"/>
  <c r="D16" i="34"/>
  <c r="D17" i="34"/>
  <c r="D18" i="34"/>
  <c r="D20" i="34"/>
  <c r="D24" i="34"/>
  <c r="D26" i="34"/>
  <c r="D27" i="34"/>
  <c r="D7" i="35"/>
  <c r="D8" i="35"/>
  <c r="D9" i="35"/>
  <c r="D10" i="35"/>
  <c r="D11" i="35"/>
  <c r="D12" i="35"/>
  <c r="D13" i="35"/>
  <c r="D14" i="35"/>
  <c r="D15" i="35"/>
  <c r="D16" i="35"/>
  <c r="D17" i="35"/>
  <c r="D18" i="35"/>
  <c r="D20" i="35"/>
  <c r="D24" i="35"/>
  <c r="D26" i="35"/>
  <c r="D27" i="35"/>
  <c r="D28" i="35"/>
  <c r="D29" i="35"/>
  <c r="D31" i="35"/>
  <c r="D32" i="35"/>
  <c r="D33" i="35"/>
  <c r="D7" i="36"/>
  <c r="D8" i="36"/>
  <c r="D9" i="36"/>
  <c r="D10" i="36"/>
  <c r="D11" i="36"/>
  <c r="D12" i="36"/>
  <c r="D13" i="36"/>
  <c r="D14" i="36"/>
  <c r="D15" i="36"/>
  <c r="D16" i="36"/>
  <c r="D17" i="36"/>
  <c r="D18" i="36"/>
  <c r="D20" i="36"/>
  <c r="D24" i="36"/>
  <c r="D26" i="36"/>
  <c r="D27" i="36"/>
  <c r="D28" i="36"/>
  <c r="D29" i="36"/>
  <c r="D31" i="36"/>
  <c r="D32" i="36"/>
  <c r="D33" i="36"/>
  <c r="D7" i="37"/>
  <c r="D8" i="37"/>
  <c r="D9" i="37"/>
  <c r="D10" i="37"/>
  <c r="D11" i="37"/>
  <c r="D12" i="37"/>
  <c r="D13" i="37"/>
  <c r="D14" i="37"/>
  <c r="D15" i="37"/>
  <c r="D16" i="37"/>
  <c r="D17" i="37"/>
  <c r="D18" i="37"/>
  <c r="D20" i="37"/>
  <c r="D24" i="37"/>
  <c r="D26" i="37"/>
  <c r="D27" i="37"/>
  <c r="D7" i="38"/>
  <c r="D8" i="38"/>
  <c r="D9" i="38"/>
  <c r="D10" i="38"/>
  <c r="D11" i="38"/>
  <c r="D12" i="38"/>
  <c r="D13" i="38"/>
  <c r="D14" i="38"/>
  <c r="D15" i="38"/>
  <c r="D16" i="38"/>
  <c r="D17" i="38"/>
  <c r="D18" i="38"/>
  <c r="D20" i="38"/>
  <c r="D24" i="38"/>
  <c r="D26" i="38"/>
  <c r="D27" i="38"/>
  <c r="D28" i="38"/>
  <c r="D29" i="38"/>
  <c r="D31" i="38"/>
  <c r="D32" i="38"/>
  <c r="D33" i="38"/>
  <c r="D7" i="39"/>
  <c r="D8" i="39"/>
  <c r="D9" i="39"/>
  <c r="D10" i="39"/>
  <c r="D11" i="39"/>
  <c r="D12" i="39"/>
  <c r="D13" i="39"/>
  <c r="D14" i="39"/>
  <c r="D15" i="39"/>
  <c r="D16" i="39"/>
  <c r="D17" i="39"/>
  <c r="D18" i="39"/>
  <c r="D20" i="39"/>
  <c r="D24" i="39"/>
  <c r="D26" i="39"/>
  <c r="D27" i="39"/>
  <c r="D28" i="39"/>
  <c r="D29" i="39"/>
  <c r="D31" i="39"/>
  <c r="D32" i="39"/>
  <c r="D33" i="39"/>
  <c r="D7" i="40"/>
  <c r="D8" i="40"/>
  <c r="D9" i="40"/>
  <c r="D10" i="40"/>
  <c r="D11" i="40"/>
  <c r="D12" i="40"/>
  <c r="D13" i="40"/>
  <c r="D14" i="40"/>
  <c r="D15" i="40"/>
  <c r="D16" i="40"/>
  <c r="D17" i="40"/>
  <c r="D18" i="40"/>
  <c r="D20" i="40"/>
  <c r="D24" i="40"/>
  <c r="D26" i="40"/>
  <c r="D27" i="40"/>
  <c r="D28" i="40"/>
  <c r="D29" i="40"/>
  <c r="D31" i="40"/>
  <c r="D32" i="40"/>
  <c r="D33" i="40"/>
  <c r="D7" i="41"/>
  <c r="D8" i="41"/>
  <c r="D9" i="41"/>
  <c r="D10" i="41"/>
  <c r="D11" i="41"/>
  <c r="D12" i="41"/>
  <c r="D13" i="41"/>
  <c r="D14" i="41"/>
  <c r="D15" i="41"/>
  <c r="D16" i="41"/>
  <c r="D17" i="41"/>
  <c r="D18" i="41"/>
  <c r="D20" i="41"/>
  <c r="D24" i="41"/>
  <c r="D26" i="41"/>
  <c r="D27" i="41"/>
  <c r="D28" i="41"/>
  <c r="D29" i="41"/>
  <c r="D31" i="41"/>
  <c r="D32" i="41"/>
  <c r="D33" i="41"/>
  <c r="D7" i="42"/>
  <c r="D8" i="42"/>
  <c r="D9" i="42"/>
  <c r="D10" i="42"/>
  <c r="D11" i="42"/>
  <c r="D12" i="42"/>
  <c r="D13" i="42"/>
  <c r="D14" i="42"/>
  <c r="D15" i="42"/>
  <c r="D16" i="42"/>
  <c r="D17" i="42"/>
  <c r="D18" i="42"/>
  <c r="D20" i="42"/>
  <c r="D24" i="42"/>
  <c r="D26" i="42"/>
  <c r="D27" i="42"/>
  <c r="D28" i="42"/>
  <c r="D29" i="42"/>
  <c r="D31" i="42"/>
  <c r="D32" i="42"/>
  <c r="D33" i="42"/>
  <c r="O88" i="51"/>
  <c r="L92" i="51"/>
  <c r="S92" i="51" s="1"/>
  <c r="J92" i="52"/>
  <c r="H92" i="51"/>
  <c r="E88" i="51"/>
  <c r="H59" i="45"/>
  <c r="D63" i="45"/>
  <c r="D59" i="46"/>
  <c r="H59" i="47"/>
  <c r="G59" i="48"/>
  <c r="F59" i="48"/>
  <c r="J63" i="49"/>
  <c r="F63" i="49"/>
  <c r="F59" i="49"/>
  <c r="I63" i="52"/>
  <c r="H63" i="52"/>
  <c r="H48" i="52"/>
  <c r="F63" i="51"/>
  <c r="F59" i="52"/>
  <c r="E63" i="52"/>
  <c r="P27" i="45"/>
  <c r="P26" i="45"/>
  <c r="P24" i="45"/>
  <c r="P20" i="45"/>
  <c r="N27" i="45"/>
  <c r="N26" i="45"/>
  <c r="N24" i="45"/>
  <c r="N20" i="45"/>
  <c r="M27" i="45"/>
  <c r="M26" i="45"/>
  <c r="M24" i="45"/>
  <c r="M20" i="45"/>
  <c r="L27" i="45"/>
  <c r="L26" i="45"/>
  <c r="L24" i="45"/>
  <c r="L20" i="45"/>
  <c r="J34" i="45"/>
  <c r="J27" i="45"/>
  <c r="J26" i="45"/>
  <c r="J24" i="45"/>
  <c r="J20" i="45"/>
  <c r="H27" i="45"/>
  <c r="H26" i="45"/>
  <c r="H24" i="45"/>
  <c r="H20" i="45"/>
  <c r="G27" i="45"/>
  <c r="G26" i="45"/>
  <c r="G24" i="45"/>
  <c r="G20" i="45"/>
  <c r="F27" i="45"/>
  <c r="F26" i="45"/>
  <c r="F24" i="45"/>
  <c r="F20" i="45"/>
  <c r="E27" i="45"/>
  <c r="E26" i="45"/>
  <c r="E24" i="45"/>
  <c r="E20" i="45"/>
  <c r="P27" i="46"/>
  <c r="P26" i="46"/>
  <c r="P24" i="46"/>
  <c r="P20" i="46"/>
  <c r="N27" i="46"/>
  <c r="N26" i="46"/>
  <c r="N24" i="46"/>
  <c r="N20" i="46"/>
  <c r="M27" i="46"/>
  <c r="M26" i="46"/>
  <c r="M24" i="46"/>
  <c r="M20" i="46"/>
  <c r="L27" i="46"/>
  <c r="L26" i="46"/>
  <c r="L24" i="46"/>
  <c r="L20" i="46"/>
  <c r="J27" i="46"/>
  <c r="J26" i="46"/>
  <c r="J24" i="46"/>
  <c r="J20" i="46"/>
  <c r="H27" i="46"/>
  <c r="H26" i="46"/>
  <c r="H24" i="46"/>
  <c r="H20" i="46"/>
  <c r="G27" i="46"/>
  <c r="G26" i="46"/>
  <c r="G24" i="46"/>
  <c r="G20" i="46"/>
  <c r="F27" i="46"/>
  <c r="F26" i="46"/>
  <c r="F24" i="46"/>
  <c r="F20" i="46"/>
  <c r="E27" i="46"/>
  <c r="E26" i="46"/>
  <c r="E24" i="46"/>
  <c r="E20" i="46"/>
  <c r="P27" i="47"/>
  <c r="P26" i="47"/>
  <c r="P24" i="47"/>
  <c r="P20" i="47"/>
  <c r="N27" i="47"/>
  <c r="N26" i="47"/>
  <c r="N24" i="47"/>
  <c r="N20" i="47"/>
  <c r="M27" i="47"/>
  <c r="M26" i="47"/>
  <c r="M24" i="47"/>
  <c r="M20" i="47"/>
  <c r="L27" i="47"/>
  <c r="L26" i="47"/>
  <c r="S26" i="47" s="1"/>
  <c r="L24" i="47"/>
  <c r="S24" i="47" s="1"/>
  <c r="L20" i="47"/>
  <c r="S20" i="47" s="1"/>
  <c r="J27" i="47"/>
  <c r="J26" i="47"/>
  <c r="J24" i="47"/>
  <c r="J20" i="47"/>
  <c r="H34" i="47"/>
  <c r="H27" i="47"/>
  <c r="H26" i="47"/>
  <c r="H24" i="47"/>
  <c r="H20" i="47"/>
  <c r="H19" i="47"/>
  <c r="G27" i="47"/>
  <c r="G26" i="47"/>
  <c r="G24" i="47"/>
  <c r="G20" i="47"/>
  <c r="F30" i="47"/>
  <c r="F27" i="47"/>
  <c r="F26" i="47"/>
  <c r="F24" i="47"/>
  <c r="F20" i="47"/>
  <c r="F19" i="47"/>
  <c r="E27" i="47"/>
  <c r="E26" i="47"/>
  <c r="E24" i="47"/>
  <c r="E20" i="47"/>
  <c r="P27" i="48"/>
  <c r="P26" i="48"/>
  <c r="P24" i="48"/>
  <c r="P20" i="48"/>
  <c r="P7" i="48"/>
  <c r="P8" i="48"/>
  <c r="P9" i="48"/>
  <c r="P10" i="48"/>
  <c r="P11" i="48"/>
  <c r="P12" i="48"/>
  <c r="P13" i="48"/>
  <c r="P14" i="48"/>
  <c r="P15" i="48"/>
  <c r="P16" i="48"/>
  <c r="P17" i="48"/>
  <c r="P18" i="48"/>
  <c r="N27" i="48"/>
  <c r="N26" i="48"/>
  <c r="N24" i="48"/>
  <c r="N20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M27" i="48"/>
  <c r="M26" i="48"/>
  <c r="M24" i="48"/>
  <c r="M20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L27" i="48"/>
  <c r="L26" i="48"/>
  <c r="L24" i="48"/>
  <c r="L20" i="48"/>
  <c r="S20" i="48" s="1"/>
  <c r="L7" i="48"/>
  <c r="L8" i="48"/>
  <c r="L9" i="48"/>
  <c r="S9" i="48" s="1"/>
  <c r="L10" i="48"/>
  <c r="L11" i="48"/>
  <c r="L12" i="48"/>
  <c r="L13" i="48"/>
  <c r="S13" i="48" s="1"/>
  <c r="L14" i="48"/>
  <c r="S14" i="48" s="1"/>
  <c r="L15" i="48"/>
  <c r="L16" i="48"/>
  <c r="L17" i="48"/>
  <c r="L18" i="48"/>
  <c r="J27" i="48"/>
  <c r="J26" i="48"/>
  <c r="J24" i="48"/>
  <c r="J20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H30" i="48"/>
  <c r="H27" i="48"/>
  <c r="H26" i="48"/>
  <c r="H24" i="48"/>
  <c r="H20" i="48"/>
  <c r="H7" i="48"/>
  <c r="H8" i="48"/>
  <c r="H9" i="48"/>
  <c r="H10" i="48"/>
  <c r="H11" i="48"/>
  <c r="H12" i="48"/>
  <c r="H13" i="48"/>
  <c r="H14" i="48"/>
  <c r="H15" i="48"/>
  <c r="H16" i="48"/>
  <c r="H17" i="48"/>
  <c r="H18" i="48"/>
  <c r="G27" i="48"/>
  <c r="G26" i="48"/>
  <c r="G24" i="48"/>
  <c r="G20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F27" i="48"/>
  <c r="F26" i="48"/>
  <c r="F24" i="48"/>
  <c r="F20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E34" i="48"/>
  <c r="E27" i="48"/>
  <c r="E26" i="48"/>
  <c r="E24" i="48"/>
  <c r="E20" i="48"/>
  <c r="E7" i="48"/>
  <c r="E8" i="48"/>
  <c r="E9" i="48"/>
  <c r="E11" i="48"/>
  <c r="E12" i="48"/>
  <c r="E13" i="48"/>
  <c r="E14" i="48"/>
  <c r="E15" i="48"/>
  <c r="E16" i="48"/>
  <c r="E17" i="48"/>
  <c r="E18" i="48"/>
  <c r="P27" i="49"/>
  <c r="P26" i="49"/>
  <c r="P24" i="49"/>
  <c r="P20" i="49"/>
  <c r="N27" i="49"/>
  <c r="N26" i="49"/>
  <c r="N24" i="49"/>
  <c r="N20" i="49"/>
  <c r="M27" i="49"/>
  <c r="M26" i="49"/>
  <c r="M24" i="49"/>
  <c r="M20" i="49"/>
  <c r="L27" i="49"/>
  <c r="S27" i="49" s="1"/>
  <c r="L26" i="49"/>
  <c r="S26" i="49" s="1"/>
  <c r="L24" i="49"/>
  <c r="L20" i="49"/>
  <c r="J27" i="49"/>
  <c r="J26" i="49"/>
  <c r="J24" i="49"/>
  <c r="J20" i="49"/>
  <c r="H27" i="49"/>
  <c r="H26" i="49"/>
  <c r="H24" i="49"/>
  <c r="H20" i="49"/>
  <c r="H19" i="49"/>
  <c r="G27" i="49"/>
  <c r="G26" i="49"/>
  <c r="G24" i="49"/>
  <c r="G20" i="49"/>
  <c r="F34" i="49"/>
  <c r="F27" i="49"/>
  <c r="F26" i="49"/>
  <c r="F24" i="49"/>
  <c r="F20" i="49"/>
  <c r="F19" i="49"/>
  <c r="E27" i="49"/>
  <c r="E26" i="49"/>
  <c r="E24" i="49"/>
  <c r="E20" i="49"/>
  <c r="P27" i="51"/>
  <c r="P27" i="52"/>
  <c r="P26" i="51"/>
  <c r="P26" i="52"/>
  <c r="P24" i="51"/>
  <c r="P24" i="52"/>
  <c r="P20" i="51"/>
  <c r="P20" i="52"/>
  <c r="P19" i="52"/>
  <c r="O27" i="51"/>
  <c r="O27" i="52"/>
  <c r="O26" i="51"/>
  <c r="O26" i="52"/>
  <c r="O24" i="51"/>
  <c r="O24" i="52"/>
  <c r="O20" i="51"/>
  <c r="O20" i="52"/>
  <c r="N27" i="51"/>
  <c r="N27" i="52"/>
  <c r="N26" i="51"/>
  <c r="N26" i="52"/>
  <c r="N24" i="51"/>
  <c r="N24" i="52"/>
  <c r="N20" i="51"/>
  <c r="N20" i="52"/>
  <c r="M27" i="51"/>
  <c r="M27" i="52"/>
  <c r="M26" i="51"/>
  <c r="M26" i="52"/>
  <c r="M24" i="51"/>
  <c r="M24" i="52"/>
  <c r="M20" i="51"/>
  <c r="M20" i="52"/>
  <c r="M19" i="52"/>
  <c r="L27" i="51"/>
  <c r="L27" i="52"/>
  <c r="L26" i="51"/>
  <c r="L26" i="52"/>
  <c r="L24" i="51"/>
  <c r="L24" i="52"/>
  <c r="L20" i="51"/>
  <c r="L20" i="52"/>
  <c r="S20" i="52" s="1"/>
  <c r="J27" i="51"/>
  <c r="J27" i="52"/>
  <c r="J26" i="51"/>
  <c r="J26" i="52"/>
  <c r="J24" i="51"/>
  <c r="J24" i="52"/>
  <c r="J20" i="51"/>
  <c r="J20" i="52"/>
  <c r="J19" i="52"/>
  <c r="I34" i="51"/>
  <c r="I27" i="51"/>
  <c r="I27" i="52"/>
  <c r="I26" i="51"/>
  <c r="I26" i="52"/>
  <c r="I24" i="51"/>
  <c r="I24" i="52"/>
  <c r="I20" i="51"/>
  <c r="I20" i="52"/>
  <c r="H27" i="51"/>
  <c r="H27" i="52"/>
  <c r="H26" i="51"/>
  <c r="H26" i="52"/>
  <c r="H24" i="51"/>
  <c r="H24" i="52"/>
  <c r="H24" i="50" s="1"/>
  <c r="H20" i="51"/>
  <c r="H20" i="52"/>
  <c r="G27" i="51"/>
  <c r="G27" i="52"/>
  <c r="G27" i="50" s="1"/>
  <c r="G26" i="51"/>
  <c r="G26" i="52"/>
  <c r="G24" i="51"/>
  <c r="G24" i="52"/>
  <c r="G24" i="50" s="1"/>
  <c r="G20" i="51"/>
  <c r="G20" i="52"/>
  <c r="F27" i="51"/>
  <c r="F27" i="52"/>
  <c r="F27" i="50" s="1"/>
  <c r="F26" i="51"/>
  <c r="F26" i="52"/>
  <c r="F24" i="51"/>
  <c r="F24" i="52"/>
  <c r="F20" i="51"/>
  <c r="F20" i="52"/>
  <c r="E30" i="51"/>
  <c r="E30" i="52"/>
  <c r="E27" i="51"/>
  <c r="E27" i="52"/>
  <c r="E26" i="51"/>
  <c r="E26" i="52"/>
  <c r="E24" i="51"/>
  <c r="E24" i="52"/>
  <c r="E20" i="51"/>
  <c r="E20" i="52"/>
  <c r="E20" i="50" s="1"/>
  <c r="E19" i="51"/>
  <c r="P7" i="45"/>
  <c r="P7" i="46"/>
  <c r="P7" i="47"/>
  <c r="P7" i="49"/>
  <c r="P8" i="45"/>
  <c r="P8" i="46"/>
  <c r="P8" i="47"/>
  <c r="P8" i="49"/>
  <c r="P9" i="45"/>
  <c r="P9" i="46"/>
  <c r="P9" i="47"/>
  <c r="P9" i="49"/>
  <c r="P10" i="45"/>
  <c r="P10" i="46"/>
  <c r="P10" i="47"/>
  <c r="P10" i="49"/>
  <c r="P11" i="45"/>
  <c r="P11" i="46"/>
  <c r="P11" i="47"/>
  <c r="P11" i="49"/>
  <c r="P12" i="46"/>
  <c r="P12" i="47"/>
  <c r="P12" i="49"/>
  <c r="P13" i="47"/>
  <c r="P13" i="49"/>
  <c r="P14" i="45"/>
  <c r="P14" i="46"/>
  <c r="P14" i="47"/>
  <c r="P14" i="49"/>
  <c r="P15" i="45"/>
  <c r="P15" i="46"/>
  <c r="P15" i="47"/>
  <c r="P15" i="49"/>
  <c r="P16" i="45"/>
  <c r="P16" i="46"/>
  <c r="P16" i="47"/>
  <c r="P16" i="49"/>
  <c r="P17" i="45"/>
  <c r="P17" i="46"/>
  <c r="P17" i="47"/>
  <c r="P17" i="49"/>
  <c r="P18" i="45"/>
  <c r="P18" i="46"/>
  <c r="P18" i="47"/>
  <c r="P18" i="49"/>
  <c r="N7" i="45"/>
  <c r="N7" i="46"/>
  <c r="N7" i="47"/>
  <c r="N7" i="49"/>
  <c r="N8" i="45"/>
  <c r="N8" i="46"/>
  <c r="N8" i="47"/>
  <c r="N8" i="49"/>
  <c r="N9" i="45"/>
  <c r="N9" i="46"/>
  <c r="N9" i="47"/>
  <c r="N9" i="49"/>
  <c r="N10" i="45"/>
  <c r="N10" i="46"/>
  <c r="N10" i="47"/>
  <c r="N10" i="49"/>
  <c r="N11" i="45"/>
  <c r="N11" i="46"/>
  <c r="N11" i="47"/>
  <c r="N11" i="49"/>
  <c r="N12" i="45"/>
  <c r="N12" i="46"/>
  <c r="N12" i="47"/>
  <c r="N12" i="49"/>
  <c r="N13" i="45"/>
  <c r="N13" i="46"/>
  <c r="N13" i="47"/>
  <c r="N13" i="49"/>
  <c r="N14" i="45"/>
  <c r="N14" i="46"/>
  <c r="N14" i="47"/>
  <c r="N14" i="49"/>
  <c r="N15" i="45"/>
  <c r="N15" i="46"/>
  <c r="N15" i="47"/>
  <c r="N15" i="49"/>
  <c r="N16" i="45"/>
  <c r="N16" i="46"/>
  <c r="N16" i="47"/>
  <c r="N16" i="49"/>
  <c r="N17" i="45"/>
  <c r="N17" i="46"/>
  <c r="N17" i="47"/>
  <c r="N17" i="49"/>
  <c r="N18" i="45"/>
  <c r="N18" i="46"/>
  <c r="N18" i="47"/>
  <c r="N18" i="49"/>
  <c r="M7" i="45"/>
  <c r="M7" i="46"/>
  <c r="M7" i="47"/>
  <c r="M7" i="49"/>
  <c r="M8" i="45"/>
  <c r="M8" i="46"/>
  <c r="M8" i="47"/>
  <c r="M8" i="49"/>
  <c r="M9" i="45"/>
  <c r="M9" i="46"/>
  <c r="M9" i="47"/>
  <c r="M9" i="49"/>
  <c r="M10" i="45"/>
  <c r="M10" i="46"/>
  <c r="M10" i="47"/>
  <c r="M10" i="49"/>
  <c r="M11" i="45"/>
  <c r="M11" i="46"/>
  <c r="M11" i="47"/>
  <c r="M11" i="49"/>
  <c r="M12" i="45"/>
  <c r="M12" i="46"/>
  <c r="M12" i="47"/>
  <c r="M12" i="49"/>
  <c r="M13" i="45"/>
  <c r="M13" i="46"/>
  <c r="M13" i="47"/>
  <c r="M13" i="49"/>
  <c r="M14" i="45"/>
  <c r="M14" i="46"/>
  <c r="M14" i="47"/>
  <c r="M14" i="49"/>
  <c r="M15" i="45"/>
  <c r="M15" i="46"/>
  <c r="M15" i="47"/>
  <c r="M15" i="49"/>
  <c r="M16" i="45"/>
  <c r="M16" i="46"/>
  <c r="M16" i="47"/>
  <c r="M16" i="49"/>
  <c r="M17" i="45"/>
  <c r="M17" i="46"/>
  <c r="M17" i="47"/>
  <c r="M17" i="49"/>
  <c r="M18" i="45"/>
  <c r="M18" i="46"/>
  <c r="M18" i="47"/>
  <c r="M18" i="49"/>
  <c r="L7" i="45"/>
  <c r="L7" i="46"/>
  <c r="S7" i="46" s="1"/>
  <c r="L7" i="47"/>
  <c r="L7" i="49"/>
  <c r="S7" i="49" s="1"/>
  <c r="L8" i="45"/>
  <c r="L8" i="46"/>
  <c r="L8" i="47"/>
  <c r="S8" i="47" s="1"/>
  <c r="L8" i="49"/>
  <c r="L9" i="45"/>
  <c r="L9" i="46"/>
  <c r="L9" i="47"/>
  <c r="L9" i="49"/>
  <c r="L10" i="45"/>
  <c r="L10" i="46"/>
  <c r="L10" i="47"/>
  <c r="L10" i="49"/>
  <c r="L11" i="45"/>
  <c r="L11" i="46"/>
  <c r="L11" i="47"/>
  <c r="L11" i="49"/>
  <c r="S11" i="49" s="1"/>
  <c r="L12" i="45"/>
  <c r="L12" i="46"/>
  <c r="S12" i="46" s="1"/>
  <c r="L12" i="47"/>
  <c r="L12" i="49"/>
  <c r="S12" i="49" s="1"/>
  <c r="L13" i="45"/>
  <c r="L13" i="46"/>
  <c r="L13" i="47"/>
  <c r="L13" i="49"/>
  <c r="L14" i="45"/>
  <c r="S14" i="45" s="1"/>
  <c r="L14" i="46"/>
  <c r="S14" i="46" s="1"/>
  <c r="L14" i="47"/>
  <c r="S14" i="47" s="1"/>
  <c r="L14" i="49"/>
  <c r="S14" i="49" s="1"/>
  <c r="L15" i="45"/>
  <c r="L15" i="46"/>
  <c r="S15" i="46" s="1"/>
  <c r="L15" i="47"/>
  <c r="S15" i="47" s="1"/>
  <c r="L15" i="49"/>
  <c r="S15" i="49" s="1"/>
  <c r="L16" i="45"/>
  <c r="L16" i="46"/>
  <c r="L16" i="47"/>
  <c r="S16" i="47" s="1"/>
  <c r="L16" i="49"/>
  <c r="L17" i="45"/>
  <c r="S17" i="45" s="1"/>
  <c r="L17" i="46"/>
  <c r="S17" i="46" s="1"/>
  <c r="L17" i="47"/>
  <c r="S17" i="47" s="1"/>
  <c r="L17" i="49"/>
  <c r="S17" i="49" s="1"/>
  <c r="L18" i="45"/>
  <c r="L18" i="46"/>
  <c r="L18" i="47"/>
  <c r="L18" i="49"/>
  <c r="J7" i="45"/>
  <c r="J7" i="46"/>
  <c r="J7" i="47"/>
  <c r="J7" i="49"/>
  <c r="J8" i="45"/>
  <c r="J8" i="46"/>
  <c r="J8" i="47"/>
  <c r="J8" i="49"/>
  <c r="J9" i="45"/>
  <c r="J9" i="46"/>
  <c r="J9" i="47"/>
  <c r="J9" i="49"/>
  <c r="J10" i="45"/>
  <c r="J10" i="46"/>
  <c r="J10" i="47"/>
  <c r="J10" i="49"/>
  <c r="J11" i="45"/>
  <c r="J11" i="46"/>
  <c r="J11" i="47"/>
  <c r="J11" i="49"/>
  <c r="J12" i="45"/>
  <c r="J12" i="46"/>
  <c r="J12" i="47"/>
  <c r="J12" i="49"/>
  <c r="J13" i="45"/>
  <c r="J13" i="46"/>
  <c r="J13" i="47"/>
  <c r="J13" i="49"/>
  <c r="J14" i="45"/>
  <c r="J14" i="46"/>
  <c r="J14" i="47"/>
  <c r="J14" i="49"/>
  <c r="J15" i="45"/>
  <c r="J15" i="46"/>
  <c r="J15" i="47"/>
  <c r="J15" i="49"/>
  <c r="J16" i="45"/>
  <c r="J16" i="46"/>
  <c r="J16" i="47"/>
  <c r="J16" i="49"/>
  <c r="J17" i="45"/>
  <c r="J17" i="46"/>
  <c r="J17" i="47"/>
  <c r="J17" i="49"/>
  <c r="J18" i="45"/>
  <c r="J18" i="46"/>
  <c r="J18" i="47"/>
  <c r="J18" i="49"/>
  <c r="H7" i="45"/>
  <c r="H7" i="46"/>
  <c r="H7" i="47"/>
  <c r="H7" i="49"/>
  <c r="H8" i="45"/>
  <c r="H8" i="46"/>
  <c r="H8" i="47"/>
  <c r="H8" i="49"/>
  <c r="H9" i="45"/>
  <c r="H9" i="46"/>
  <c r="H9" i="47"/>
  <c r="H9" i="49"/>
  <c r="H10" i="45"/>
  <c r="H10" i="46"/>
  <c r="H10" i="47"/>
  <c r="H10" i="49"/>
  <c r="H11" i="45"/>
  <c r="H11" i="46"/>
  <c r="H11" i="47"/>
  <c r="H11" i="49"/>
  <c r="H12" i="45"/>
  <c r="H12" i="46"/>
  <c r="H12" i="47"/>
  <c r="H12" i="49"/>
  <c r="H13" i="45"/>
  <c r="H13" i="46"/>
  <c r="H13" i="47"/>
  <c r="H13" i="49"/>
  <c r="H14" i="45"/>
  <c r="H14" i="46"/>
  <c r="H14" i="47"/>
  <c r="H14" i="49"/>
  <c r="H15" i="45"/>
  <c r="H15" i="46"/>
  <c r="H15" i="47"/>
  <c r="H15" i="49"/>
  <c r="H16" i="45"/>
  <c r="H16" i="46"/>
  <c r="H16" i="47"/>
  <c r="H16" i="49"/>
  <c r="H17" i="45"/>
  <c r="H17" i="46"/>
  <c r="H17" i="47"/>
  <c r="H17" i="49"/>
  <c r="H18" i="45"/>
  <c r="H18" i="46"/>
  <c r="H18" i="47"/>
  <c r="H18" i="49"/>
  <c r="G7" i="45"/>
  <c r="G7" i="46"/>
  <c r="G7" i="47"/>
  <c r="G7" i="49"/>
  <c r="G8" i="45"/>
  <c r="G8" i="46"/>
  <c r="G8" i="47"/>
  <c r="G8" i="49"/>
  <c r="G9" i="45"/>
  <c r="G9" i="46"/>
  <c r="G9" i="47"/>
  <c r="G9" i="49"/>
  <c r="G10" i="45"/>
  <c r="G10" i="46"/>
  <c r="G10" i="47"/>
  <c r="G10" i="49"/>
  <c r="G11" i="45"/>
  <c r="G11" i="46"/>
  <c r="G11" i="47"/>
  <c r="G11" i="49"/>
  <c r="G12" i="45"/>
  <c r="G12" i="46"/>
  <c r="G12" i="47"/>
  <c r="G12" i="49"/>
  <c r="G13" i="45"/>
  <c r="G13" i="46"/>
  <c r="G13" i="47"/>
  <c r="G13" i="49"/>
  <c r="G14" i="45"/>
  <c r="G14" i="46"/>
  <c r="G14" i="47"/>
  <c r="G14" i="49"/>
  <c r="G15" i="45"/>
  <c r="G15" i="46"/>
  <c r="G15" i="47"/>
  <c r="G15" i="49"/>
  <c r="G16" i="45"/>
  <c r="G16" i="46"/>
  <c r="G16" i="47"/>
  <c r="G16" i="49"/>
  <c r="G17" i="45"/>
  <c r="G17" i="46"/>
  <c r="G17" i="47"/>
  <c r="G17" i="49"/>
  <c r="G18" i="45"/>
  <c r="G18" i="46"/>
  <c r="G18" i="47"/>
  <c r="G18" i="49"/>
  <c r="F7" i="45"/>
  <c r="F7" i="46"/>
  <c r="F7" i="47"/>
  <c r="F7" i="49"/>
  <c r="F8" i="45"/>
  <c r="F8" i="46"/>
  <c r="F8" i="47"/>
  <c r="F8" i="49"/>
  <c r="F9" i="45"/>
  <c r="F9" i="46"/>
  <c r="F9" i="47"/>
  <c r="F9" i="49"/>
  <c r="F10" i="45"/>
  <c r="F10" i="46"/>
  <c r="F10" i="47"/>
  <c r="F10" i="49"/>
  <c r="F11" i="45"/>
  <c r="F11" i="46"/>
  <c r="F11" i="47"/>
  <c r="F11" i="49"/>
  <c r="F12" i="45"/>
  <c r="F12" i="46"/>
  <c r="F12" i="47"/>
  <c r="F12" i="49"/>
  <c r="F13" i="45"/>
  <c r="F13" i="46"/>
  <c r="F13" i="47"/>
  <c r="F13" i="49"/>
  <c r="F14" i="45"/>
  <c r="F14" i="46"/>
  <c r="F14" i="47"/>
  <c r="F14" i="49"/>
  <c r="F15" i="45"/>
  <c r="F15" i="46"/>
  <c r="F15" i="47"/>
  <c r="F15" i="49"/>
  <c r="F16" i="45"/>
  <c r="F16" i="46"/>
  <c r="F16" i="47"/>
  <c r="F16" i="49"/>
  <c r="F17" i="45"/>
  <c r="F17" i="46"/>
  <c r="F17" i="47"/>
  <c r="F17" i="49"/>
  <c r="F18" i="45"/>
  <c r="F18" i="46"/>
  <c r="F18" i="47"/>
  <c r="F18" i="49"/>
  <c r="E7" i="45"/>
  <c r="E7" i="46"/>
  <c r="E7" i="47"/>
  <c r="E7" i="49"/>
  <c r="E8" i="45"/>
  <c r="E8" i="46"/>
  <c r="E8" i="47"/>
  <c r="E8" i="49"/>
  <c r="E9" i="45"/>
  <c r="E9" i="46"/>
  <c r="E9" i="47"/>
  <c r="E9" i="49"/>
  <c r="E10" i="45"/>
  <c r="E10" i="46"/>
  <c r="E10" i="47"/>
  <c r="E10" i="49"/>
  <c r="E11" i="45"/>
  <c r="E11" i="46"/>
  <c r="E11" i="47"/>
  <c r="E11" i="49"/>
  <c r="E12" i="45"/>
  <c r="E12" i="46"/>
  <c r="E12" i="47"/>
  <c r="E12" i="49"/>
  <c r="E13" i="45"/>
  <c r="E13" i="46"/>
  <c r="E13" i="47"/>
  <c r="E13" i="49"/>
  <c r="E14" i="45"/>
  <c r="E14" i="46"/>
  <c r="E14" i="47"/>
  <c r="E14" i="49"/>
  <c r="E15" i="45"/>
  <c r="E15" i="46"/>
  <c r="E15" i="47"/>
  <c r="E15" i="49"/>
  <c r="E16" i="45"/>
  <c r="E16" i="46"/>
  <c r="E16" i="47"/>
  <c r="E16" i="49"/>
  <c r="E17" i="45"/>
  <c r="E17" i="46"/>
  <c r="E17" i="47"/>
  <c r="E17" i="49"/>
  <c r="E18" i="45"/>
  <c r="E18" i="46"/>
  <c r="E18" i="47"/>
  <c r="E18" i="49"/>
  <c r="D34" i="45"/>
  <c r="D27" i="45"/>
  <c r="D26" i="45"/>
  <c r="D24" i="45"/>
  <c r="D20" i="45"/>
  <c r="D27" i="46"/>
  <c r="D26" i="46"/>
  <c r="R26" i="46" s="1"/>
  <c r="D24" i="46"/>
  <c r="D20" i="46"/>
  <c r="D27" i="47"/>
  <c r="D26" i="47"/>
  <c r="R26" i="47" s="1"/>
  <c r="D24" i="47"/>
  <c r="R24" i="47" s="1"/>
  <c r="D20" i="47"/>
  <c r="D27" i="48"/>
  <c r="R27" i="48" s="1"/>
  <c r="D26" i="48"/>
  <c r="D24" i="48"/>
  <c r="D20" i="48"/>
  <c r="D7" i="48"/>
  <c r="R7" i="48" s="1"/>
  <c r="D8" i="48"/>
  <c r="D9" i="48"/>
  <c r="R9" i="48" s="1"/>
  <c r="D10" i="48"/>
  <c r="D11" i="48"/>
  <c r="R11" i="48" s="1"/>
  <c r="D12" i="48"/>
  <c r="D13" i="48"/>
  <c r="D14" i="48"/>
  <c r="R14" i="48" s="1"/>
  <c r="D15" i="48"/>
  <c r="R15" i="48" s="1"/>
  <c r="D16" i="48"/>
  <c r="D17" i="48"/>
  <c r="D18" i="48"/>
  <c r="D27" i="49"/>
  <c r="D26" i="49"/>
  <c r="R26" i="49" s="1"/>
  <c r="D24" i="49"/>
  <c r="R24" i="49" s="1"/>
  <c r="D20" i="49"/>
  <c r="D34" i="51"/>
  <c r="D27" i="51"/>
  <c r="D27" i="52"/>
  <c r="D26" i="51"/>
  <c r="D26" i="52"/>
  <c r="R26" i="52" s="1"/>
  <c r="D24" i="51"/>
  <c r="D24" i="52"/>
  <c r="R24" i="52" s="1"/>
  <c r="D20" i="51"/>
  <c r="D20" i="52"/>
  <c r="D19" i="52"/>
  <c r="R19" i="52" s="1"/>
  <c r="D7" i="45"/>
  <c r="D7" i="46"/>
  <c r="D7" i="47"/>
  <c r="D7" i="49"/>
  <c r="D8" i="45"/>
  <c r="D8" i="46"/>
  <c r="D8" i="47"/>
  <c r="R8" i="47" s="1"/>
  <c r="D8" i="49"/>
  <c r="D9" i="45"/>
  <c r="D9" i="46"/>
  <c r="D9" i="47"/>
  <c r="D9" i="49"/>
  <c r="D10" i="45"/>
  <c r="D10" i="46"/>
  <c r="R10" i="46" s="1"/>
  <c r="D10" i="47"/>
  <c r="D10" i="49"/>
  <c r="D11" i="45"/>
  <c r="D11" i="46"/>
  <c r="D11" i="47"/>
  <c r="D11" i="49"/>
  <c r="D12" i="45"/>
  <c r="D12" i="46"/>
  <c r="D12" i="47"/>
  <c r="R12" i="47" s="1"/>
  <c r="D12" i="49"/>
  <c r="D13" i="45"/>
  <c r="D13" i="46"/>
  <c r="D13" i="47"/>
  <c r="R13" i="47" s="1"/>
  <c r="D13" i="49"/>
  <c r="D14" i="45"/>
  <c r="R14" i="45" s="1"/>
  <c r="D14" i="46"/>
  <c r="R14" i="46" s="1"/>
  <c r="D14" i="47"/>
  <c r="R14" i="47" s="1"/>
  <c r="D14" i="49"/>
  <c r="R14" i="49" s="1"/>
  <c r="D15" i="45"/>
  <c r="D15" i="46"/>
  <c r="D15" i="47"/>
  <c r="R15" i="47" s="1"/>
  <c r="D15" i="49"/>
  <c r="R15" i="49" s="1"/>
  <c r="D16" i="45"/>
  <c r="D16" i="46"/>
  <c r="D16" i="47"/>
  <c r="R16" i="47" s="1"/>
  <c r="D16" i="49"/>
  <c r="D17" i="45"/>
  <c r="R17" i="45" s="1"/>
  <c r="D17" i="46"/>
  <c r="R17" i="46" s="1"/>
  <c r="D17" i="47"/>
  <c r="R17" i="47" s="1"/>
  <c r="D17" i="49"/>
  <c r="R17" i="49" s="1"/>
  <c r="D18" i="45"/>
  <c r="D18" i="46"/>
  <c r="D18" i="47"/>
  <c r="D18" i="49"/>
  <c r="Q81" i="51"/>
  <c r="Q81" i="52"/>
  <c r="P81" i="51"/>
  <c r="P81" i="52"/>
  <c r="O81" i="51"/>
  <c r="O81" i="52"/>
  <c r="N81" i="51"/>
  <c r="N81" i="52"/>
  <c r="M81" i="51"/>
  <c r="M81" i="52"/>
  <c r="L81" i="51"/>
  <c r="L81" i="52"/>
  <c r="K81" i="51"/>
  <c r="K81" i="52"/>
  <c r="J81" i="51"/>
  <c r="J81" i="52"/>
  <c r="I81" i="51"/>
  <c r="I81" i="52"/>
  <c r="H81" i="51"/>
  <c r="H81" i="52"/>
  <c r="G81" i="51"/>
  <c r="G81" i="52"/>
  <c r="F81" i="51"/>
  <c r="F81" i="52"/>
  <c r="E81" i="51"/>
  <c r="E81" i="52"/>
  <c r="D81" i="51"/>
  <c r="D81" i="52"/>
  <c r="Q52" i="51"/>
  <c r="Q23" i="61" s="1"/>
  <c r="Q52" i="52"/>
  <c r="P52" i="51"/>
  <c r="P52" i="52"/>
  <c r="P23" i="62" s="1"/>
  <c r="O52" i="51"/>
  <c r="O52" i="52"/>
  <c r="N52" i="51"/>
  <c r="N52" i="52"/>
  <c r="N23" i="62" s="1"/>
  <c r="M52" i="51"/>
  <c r="M52" i="52"/>
  <c r="L52" i="51"/>
  <c r="L52" i="52"/>
  <c r="K52" i="51"/>
  <c r="K23" i="61" s="1"/>
  <c r="K52" i="52"/>
  <c r="J52" i="51"/>
  <c r="J52" i="52"/>
  <c r="I52" i="51"/>
  <c r="I23" i="61" s="1"/>
  <c r="I52" i="52"/>
  <c r="H52" i="51"/>
  <c r="H52" i="52"/>
  <c r="H23" i="62" s="1"/>
  <c r="G52" i="51"/>
  <c r="G23" i="61" s="1"/>
  <c r="G52" i="52"/>
  <c r="F52" i="51"/>
  <c r="F52" i="52"/>
  <c r="E52" i="51"/>
  <c r="E23" i="61" s="1"/>
  <c r="E52" i="52"/>
  <c r="D52" i="51"/>
  <c r="D52" i="52"/>
  <c r="Q33" i="51"/>
  <c r="Q33" i="52"/>
  <c r="P33" i="51"/>
  <c r="P33" i="52"/>
  <c r="O33" i="51"/>
  <c r="O33" i="52"/>
  <c r="N33" i="51"/>
  <c r="N33" i="50" s="1"/>
  <c r="N33" i="52"/>
  <c r="M33" i="51"/>
  <c r="M33" i="52"/>
  <c r="L33" i="51"/>
  <c r="L33" i="50" s="1"/>
  <c r="L33" i="52"/>
  <c r="S33" i="52" s="1"/>
  <c r="K33" i="51"/>
  <c r="K33" i="52"/>
  <c r="J33" i="51"/>
  <c r="J33" i="52"/>
  <c r="I33" i="51"/>
  <c r="I33" i="52"/>
  <c r="H33" i="51"/>
  <c r="H33" i="50" s="1"/>
  <c r="H33" i="52"/>
  <c r="G33" i="51"/>
  <c r="G33" i="52"/>
  <c r="F33" i="51"/>
  <c r="F33" i="52"/>
  <c r="E33" i="51"/>
  <c r="E33" i="52"/>
  <c r="D33" i="51"/>
  <c r="D33" i="50" s="1"/>
  <c r="D33" i="52"/>
  <c r="R33" i="52" s="1"/>
  <c r="Q32" i="51"/>
  <c r="Q32" i="52"/>
  <c r="P32" i="51"/>
  <c r="P32" i="50" s="1"/>
  <c r="P32" i="52"/>
  <c r="O32" i="51"/>
  <c r="O32" i="52"/>
  <c r="N32" i="51"/>
  <c r="N32" i="50" s="1"/>
  <c r="N32" i="52"/>
  <c r="M32" i="51"/>
  <c r="M32" i="52"/>
  <c r="L32" i="51"/>
  <c r="L32" i="50" s="1"/>
  <c r="L32" i="52"/>
  <c r="K32" i="51"/>
  <c r="K32" i="52"/>
  <c r="J32" i="51"/>
  <c r="J32" i="50" s="1"/>
  <c r="J32" i="52"/>
  <c r="I32" i="51"/>
  <c r="I32" i="52"/>
  <c r="H32" i="51"/>
  <c r="H32" i="50" s="1"/>
  <c r="H32" i="52"/>
  <c r="G32" i="51"/>
  <c r="G32" i="52"/>
  <c r="F32" i="51"/>
  <c r="F32" i="50" s="1"/>
  <c r="F32" i="52"/>
  <c r="E32" i="51"/>
  <c r="E32" i="52"/>
  <c r="D32" i="51"/>
  <c r="D32" i="52"/>
  <c r="Q31" i="51"/>
  <c r="Q31" i="52"/>
  <c r="L31" i="51"/>
  <c r="L31" i="50" s="1"/>
  <c r="L31" i="52"/>
  <c r="S31" i="52" s="1"/>
  <c r="K31" i="51"/>
  <c r="K31" i="52"/>
  <c r="J31" i="51"/>
  <c r="J31" i="50" s="1"/>
  <c r="J31" i="52"/>
  <c r="I31" i="51"/>
  <c r="I31" i="52"/>
  <c r="H31" i="51"/>
  <c r="H31" i="50" s="1"/>
  <c r="H31" i="52"/>
  <c r="G31" i="51"/>
  <c r="G31" i="52"/>
  <c r="F31" i="51"/>
  <c r="F31" i="50" s="1"/>
  <c r="F31" i="52"/>
  <c r="E31" i="51"/>
  <c r="E31" i="52"/>
  <c r="D31" i="51"/>
  <c r="D31" i="52"/>
  <c r="Q29" i="51"/>
  <c r="Q29" i="52"/>
  <c r="L29" i="51"/>
  <c r="S29" i="51" s="1"/>
  <c r="L29" i="52"/>
  <c r="S29" i="52" s="1"/>
  <c r="K29" i="51"/>
  <c r="K29" i="52"/>
  <c r="J29" i="51"/>
  <c r="J29" i="52"/>
  <c r="I29" i="51"/>
  <c r="I29" i="52"/>
  <c r="H29" i="51"/>
  <c r="H29" i="52"/>
  <c r="G29" i="51"/>
  <c r="G29" i="52"/>
  <c r="F29" i="51"/>
  <c r="F29" i="52"/>
  <c r="E29" i="51"/>
  <c r="E29" i="52"/>
  <c r="D29" i="51"/>
  <c r="R29" i="51" s="1"/>
  <c r="D29" i="52"/>
  <c r="R29" i="52" s="1"/>
  <c r="Q28" i="51"/>
  <c r="Q28" i="52"/>
  <c r="M28" i="51"/>
  <c r="L28" i="51"/>
  <c r="L28" i="52"/>
  <c r="K28" i="51"/>
  <c r="K28" i="52"/>
  <c r="J28" i="51"/>
  <c r="J28" i="52"/>
  <c r="I28" i="51"/>
  <c r="I28" i="52"/>
  <c r="H28" i="51"/>
  <c r="H28" i="52"/>
  <c r="G28" i="51"/>
  <c r="G28" i="52"/>
  <c r="F28" i="51"/>
  <c r="F28" i="52"/>
  <c r="E28" i="51"/>
  <c r="E28" i="52"/>
  <c r="D28" i="51"/>
  <c r="D28" i="52"/>
  <c r="Q23" i="51"/>
  <c r="Q23" i="52"/>
  <c r="P23" i="51"/>
  <c r="P23" i="52"/>
  <c r="O23" i="51"/>
  <c r="O23" i="52"/>
  <c r="N23" i="51"/>
  <c r="N23" i="52"/>
  <c r="M23" i="51"/>
  <c r="M23" i="52"/>
  <c r="L23" i="51"/>
  <c r="L23" i="52"/>
  <c r="K23" i="51"/>
  <c r="K23" i="52"/>
  <c r="J23" i="51"/>
  <c r="J23" i="52"/>
  <c r="I23" i="51"/>
  <c r="I23" i="52"/>
  <c r="H23" i="51"/>
  <c r="H23" i="52"/>
  <c r="G23" i="51"/>
  <c r="G23" i="52"/>
  <c r="F23" i="51"/>
  <c r="F23" i="52"/>
  <c r="E23" i="51"/>
  <c r="E23" i="52"/>
  <c r="D23" i="51"/>
  <c r="D23" i="52"/>
  <c r="P18" i="51"/>
  <c r="P18" i="52"/>
  <c r="O18" i="51"/>
  <c r="O18" i="52"/>
  <c r="N18" i="51"/>
  <c r="N18" i="52"/>
  <c r="M18" i="51"/>
  <c r="M18" i="52"/>
  <c r="L18" i="51"/>
  <c r="L18" i="52"/>
  <c r="J18" i="51"/>
  <c r="J18" i="52"/>
  <c r="I18" i="51"/>
  <c r="I18" i="52"/>
  <c r="H18" i="51"/>
  <c r="H18" i="52"/>
  <c r="G18" i="51"/>
  <c r="G18" i="52"/>
  <c r="F18" i="51"/>
  <c r="F18" i="52"/>
  <c r="E18" i="51"/>
  <c r="E18" i="52"/>
  <c r="D18" i="51"/>
  <c r="D18" i="52"/>
  <c r="R18" i="52" s="1"/>
  <c r="P17" i="51"/>
  <c r="P17" i="52"/>
  <c r="O17" i="51"/>
  <c r="O17" i="52"/>
  <c r="N17" i="51"/>
  <c r="N17" i="52"/>
  <c r="M17" i="51"/>
  <c r="M17" i="52"/>
  <c r="L17" i="51"/>
  <c r="L17" i="52"/>
  <c r="J17" i="51"/>
  <c r="J17" i="52"/>
  <c r="I17" i="51"/>
  <c r="I17" i="52"/>
  <c r="H17" i="51"/>
  <c r="H17" i="52"/>
  <c r="G17" i="51"/>
  <c r="G17" i="52"/>
  <c r="F17" i="51"/>
  <c r="F17" i="52"/>
  <c r="E17" i="51"/>
  <c r="E17" i="52"/>
  <c r="D17" i="51"/>
  <c r="D17" i="52"/>
  <c r="R17" i="52" s="1"/>
  <c r="P16" i="51"/>
  <c r="P16" i="52"/>
  <c r="O16" i="51"/>
  <c r="O16" i="52"/>
  <c r="N16" i="51"/>
  <c r="N16" i="52"/>
  <c r="M16" i="51"/>
  <c r="M16" i="52"/>
  <c r="L16" i="51"/>
  <c r="L16" i="52"/>
  <c r="J16" i="51"/>
  <c r="J16" i="52"/>
  <c r="I16" i="51"/>
  <c r="I16" i="52"/>
  <c r="H16" i="51"/>
  <c r="H16" i="52"/>
  <c r="G16" i="51"/>
  <c r="G16" i="52"/>
  <c r="F16" i="51"/>
  <c r="F16" i="52"/>
  <c r="E16" i="51"/>
  <c r="E16" i="52"/>
  <c r="D16" i="51"/>
  <c r="D16" i="52"/>
  <c r="R16" i="52" s="1"/>
  <c r="P15" i="51"/>
  <c r="P15" i="52"/>
  <c r="O15" i="51"/>
  <c r="O15" i="52"/>
  <c r="N15" i="51"/>
  <c r="N15" i="52"/>
  <c r="M15" i="51"/>
  <c r="M15" i="52"/>
  <c r="L15" i="51"/>
  <c r="L15" i="52"/>
  <c r="S15" i="52" s="1"/>
  <c r="J15" i="51"/>
  <c r="J15" i="52"/>
  <c r="I15" i="51"/>
  <c r="I15" i="52"/>
  <c r="H15" i="51"/>
  <c r="H15" i="52"/>
  <c r="G15" i="51"/>
  <c r="G15" i="52"/>
  <c r="F15" i="51"/>
  <c r="F15" i="52"/>
  <c r="E15" i="51"/>
  <c r="E15" i="52"/>
  <c r="D15" i="51"/>
  <c r="D15" i="52"/>
  <c r="R15" i="52" s="1"/>
  <c r="Q14" i="51"/>
  <c r="Q14" i="52"/>
  <c r="P14" i="51"/>
  <c r="P14" i="52"/>
  <c r="O14" i="51"/>
  <c r="O14" i="52"/>
  <c r="N14" i="51"/>
  <c r="N14" i="52"/>
  <c r="M14" i="51"/>
  <c r="M14" i="52"/>
  <c r="L14" i="51"/>
  <c r="S14" i="51" s="1"/>
  <c r="L14" i="52"/>
  <c r="S14" i="52" s="1"/>
  <c r="K14" i="51"/>
  <c r="K14" i="52"/>
  <c r="J14" i="51"/>
  <c r="J14" i="50" s="1"/>
  <c r="J14" i="52"/>
  <c r="I14" i="51"/>
  <c r="I14" i="52"/>
  <c r="H14" i="51"/>
  <c r="H14" i="52"/>
  <c r="G14" i="51"/>
  <c r="G14" i="52"/>
  <c r="F14" i="51"/>
  <c r="F14" i="52"/>
  <c r="E14" i="51"/>
  <c r="E14" i="52"/>
  <c r="D14" i="51"/>
  <c r="R14" i="51" s="1"/>
  <c r="D14" i="52"/>
  <c r="R14" i="52" s="1"/>
  <c r="P13" i="52"/>
  <c r="O13" i="51"/>
  <c r="O13" i="50" s="1"/>
  <c r="O13" i="52"/>
  <c r="N13" i="51"/>
  <c r="N13" i="52"/>
  <c r="M13" i="51"/>
  <c r="M13" i="52"/>
  <c r="L13" i="51"/>
  <c r="L13" i="50" s="1"/>
  <c r="L13" i="52"/>
  <c r="S13" i="52" s="1"/>
  <c r="J13" i="51"/>
  <c r="J13" i="52"/>
  <c r="J13" i="50" s="1"/>
  <c r="I13" i="51"/>
  <c r="I13" i="52"/>
  <c r="H13" i="51"/>
  <c r="H13" i="50" s="1"/>
  <c r="H13" i="52"/>
  <c r="G13" i="51"/>
  <c r="G13" i="52"/>
  <c r="F13" i="51"/>
  <c r="F13" i="52"/>
  <c r="E13" i="51"/>
  <c r="E13" i="52"/>
  <c r="D13" i="51"/>
  <c r="D13" i="52"/>
  <c r="P12" i="51"/>
  <c r="P12" i="52"/>
  <c r="O12" i="51"/>
  <c r="O12" i="52"/>
  <c r="N12" i="51"/>
  <c r="N12" i="52"/>
  <c r="M12" i="51"/>
  <c r="M12" i="52"/>
  <c r="L12" i="51"/>
  <c r="S12" i="51" s="1"/>
  <c r="L12" i="52"/>
  <c r="S12" i="52" s="1"/>
  <c r="J12" i="51"/>
  <c r="J12" i="52"/>
  <c r="I12" i="51"/>
  <c r="I12" i="52"/>
  <c r="H12" i="51"/>
  <c r="H12" i="52"/>
  <c r="G12" i="51"/>
  <c r="G12" i="52"/>
  <c r="F12" i="51"/>
  <c r="F12" i="52"/>
  <c r="E12" i="51"/>
  <c r="E12" i="52"/>
  <c r="D12" i="51"/>
  <c r="D12" i="52"/>
  <c r="R12" i="52" s="1"/>
  <c r="P11" i="51"/>
  <c r="P11" i="52"/>
  <c r="O11" i="51"/>
  <c r="O11" i="52"/>
  <c r="N11" i="51"/>
  <c r="N11" i="50" s="1"/>
  <c r="N11" i="52"/>
  <c r="M11" i="51"/>
  <c r="M11" i="52"/>
  <c r="L11" i="51"/>
  <c r="L11" i="52"/>
  <c r="S11" i="52" s="1"/>
  <c r="J11" i="51"/>
  <c r="J11" i="52"/>
  <c r="I11" i="51"/>
  <c r="I11" i="52"/>
  <c r="H11" i="51"/>
  <c r="H11" i="52"/>
  <c r="G11" i="51"/>
  <c r="G11" i="50" s="1"/>
  <c r="G11" i="52"/>
  <c r="F11" i="51"/>
  <c r="F11" i="52"/>
  <c r="E11" i="51"/>
  <c r="E11" i="52"/>
  <c r="D11" i="51"/>
  <c r="D11" i="52"/>
  <c r="R11" i="52" s="1"/>
  <c r="P10" i="51"/>
  <c r="P10" i="52"/>
  <c r="O10" i="51"/>
  <c r="O10" i="52"/>
  <c r="N10" i="51"/>
  <c r="N10" i="52"/>
  <c r="M10" i="51"/>
  <c r="M10" i="52"/>
  <c r="L10" i="51"/>
  <c r="S10" i="51" s="1"/>
  <c r="L10" i="52"/>
  <c r="S10" i="52" s="1"/>
  <c r="J10" i="51"/>
  <c r="J10" i="52"/>
  <c r="I10" i="51"/>
  <c r="I10" i="52"/>
  <c r="H10" i="51"/>
  <c r="H10" i="52"/>
  <c r="G10" i="51"/>
  <c r="G10" i="52"/>
  <c r="F10" i="51"/>
  <c r="F10" i="52"/>
  <c r="E10" i="51"/>
  <c r="E10" i="52"/>
  <c r="D10" i="51"/>
  <c r="D10" i="52"/>
  <c r="P9" i="51"/>
  <c r="P9" i="52"/>
  <c r="O9" i="51"/>
  <c r="O9" i="52"/>
  <c r="N9" i="51"/>
  <c r="N9" i="52"/>
  <c r="M9" i="51"/>
  <c r="M9" i="52"/>
  <c r="L9" i="51"/>
  <c r="L9" i="52"/>
  <c r="S9" i="52" s="1"/>
  <c r="J9" i="51"/>
  <c r="J9" i="52"/>
  <c r="I9" i="51"/>
  <c r="I9" i="52"/>
  <c r="H9" i="51"/>
  <c r="H9" i="52"/>
  <c r="G9" i="51"/>
  <c r="G9" i="52"/>
  <c r="F9" i="51"/>
  <c r="F9" i="52"/>
  <c r="E9" i="51"/>
  <c r="E9" i="52"/>
  <c r="D9" i="51"/>
  <c r="D9" i="52"/>
  <c r="R9" i="52" s="1"/>
  <c r="P8" i="51"/>
  <c r="P8" i="52"/>
  <c r="O8" i="51"/>
  <c r="O8" i="52"/>
  <c r="N8" i="51"/>
  <c r="N8" i="52"/>
  <c r="M8" i="51"/>
  <c r="M8" i="52"/>
  <c r="M8" i="50" s="1"/>
  <c r="L8" i="51"/>
  <c r="S8" i="51" s="1"/>
  <c r="L8" i="52"/>
  <c r="J8" i="51"/>
  <c r="J8" i="52"/>
  <c r="I8" i="51"/>
  <c r="I8" i="52"/>
  <c r="I8" i="50" s="1"/>
  <c r="H8" i="51"/>
  <c r="H8" i="52"/>
  <c r="G8" i="51"/>
  <c r="G8" i="52"/>
  <c r="F8" i="51"/>
  <c r="F8" i="52"/>
  <c r="E8" i="51"/>
  <c r="E8" i="52"/>
  <c r="D8" i="51"/>
  <c r="D8" i="52"/>
  <c r="D8" i="50" s="1"/>
  <c r="P7" i="51"/>
  <c r="P7" i="52"/>
  <c r="O7" i="51"/>
  <c r="O7" i="52"/>
  <c r="N7" i="51"/>
  <c r="N7" i="52"/>
  <c r="M7" i="51"/>
  <c r="M7" i="52"/>
  <c r="L7" i="51"/>
  <c r="L7" i="52"/>
  <c r="S7" i="52" s="1"/>
  <c r="J7" i="51"/>
  <c r="J7" i="52"/>
  <c r="I7" i="51"/>
  <c r="I7" i="52"/>
  <c r="H7" i="51"/>
  <c r="H7" i="52"/>
  <c r="G7" i="51"/>
  <c r="G7" i="52"/>
  <c r="F7" i="51"/>
  <c r="F7" i="52"/>
  <c r="E7" i="51"/>
  <c r="E7" i="52"/>
  <c r="D7" i="51"/>
  <c r="D7" i="52"/>
  <c r="P81" i="45"/>
  <c r="P81" i="46"/>
  <c r="P81" i="47"/>
  <c r="P81" i="48"/>
  <c r="P81" i="49"/>
  <c r="N81" i="45"/>
  <c r="N81" i="46"/>
  <c r="N81" i="47"/>
  <c r="N81" i="48"/>
  <c r="N81" i="49"/>
  <c r="M81" i="45"/>
  <c r="M81" i="46"/>
  <c r="M81" i="47"/>
  <c r="M81" i="48"/>
  <c r="M81" i="49"/>
  <c r="L81" i="45"/>
  <c r="L81" i="46"/>
  <c r="L81" i="47"/>
  <c r="L81" i="48"/>
  <c r="L81" i="49"/>
  <c r="J81" i="45"/>
  <c r="J81" i="46"/>
  <c r="J81" i="47"/>
  <c r="J81" i="48"/>
  <c r="J81" i="49"/>
  <c r="H81" i="45"/>
  <c r="H81" i="46"/>
  <c r="H81" i="47"/>
  <c r="H81" i="48"/>
  <c r="H81" i="49"/>
  <c r="G81" i="45"/>
  <c r="G81" i="46"/>
  <c r="G81" i="47"/>
  <c r="G81" i="48"/>
  <c r="G81" i="49"/>
  <c r="F81" i="45"/>
  <c r="F81" i="46"/>
  <c r="F81" i="47"/>
  <c r="F81" i="48"/>
  <c r="F81" i="49"/>
  <c r="E81" i="45"/>
  <c r="E81" i="46"/>
  <c r="E81" i="47"/>
  <c r="E81" i="48"/>
  <c r="E81" i="49"/>
  <c r="D81" i="45"/>
  <c r="D81" i="46"/>
  <c r="D81" i="47"/>
  <c r="D81" i="48"/>
  <c r="D81" i="49"/>
  <c r="P52" i="45"/>
  <c r="P52" i="46"/>
  <c r="P52" i="47"/>
  <c r="P52" i="48"/>
  <c r="P52" i="49"/>
  <c r="P23" i="30"/>
  <c r="P23" i="31"/>
  <c r="N52" i="45"/>
  <c r="N23" i="55" s="1"/>
  <c r="N52" i="46"/>
  <c r="N23" i="56" s="1"/>
  <c r="N52" i="47"/>
  <c r="N23" i="57" s="1"/>
  <c r="N52" i="48"/>
  <c r="N52" i="49"/>
  <c r="N23" i="59" s="1"/>
  <c r="N23" i="30"/>
  <c r="N23" i="31"/>
  <c r="M52" i="45"/>
  <c r="M52" i="46"/>
  <c r="M52" i="47"/>
  <c r="M52" i="48"/>
  <c r="M52" i="49"/>
  <c r="M23" i="30"/>
  <c r="M23" i="31"/>
  <c r="L52" i="45"/>
  <c r="L23" i="55" s="1"/>
  <c r="L52" i="46"/>
  <c r="S52" i="46" s="1"/>
  <c r="L52" i="47"/>
  <c r="L52" i="48"/>
  <c r="L23" i="58" s="1"/>
  <c r="L52" i="49"/>
  <c r="L23" i="30"/>
  <c r="L23" i="31"/>
  <c r="J52" i="45"/>
  <c r="J52" i="46"/>
  <c r="J52" i="47"/>
  <c r="J52" i="48"/>
  <c r="J52" i="49"/>
  <c r="J23" i="30"/>
  <c r="J23" i="31"/>
  <c r="H52" i="45"/>
  <c r="H52" i="46"/>
  <c r="H23" i="56" s="1"/>
  <c r="H52" i="47"/>
  <c r="H23" i="57" s="1"/>
  <c r="H52" i="48"/>
  <c r="H52" i="49"/>
  <c r="H23" i="59" s="1"/>
  <c r="H23" i="30"/>
  <c r="H23" i="31"/>
  <c r="G52" i="45"/>
  <c r="G52" i="46"/>
  <c r="G52" i="47"/>
  <c r="G52" i="48"/>
  <c r="G52" i="49"/>
  <c r="G23" i="30"/>
  <c r="G23" i="31"/>
  <c r="F52" i="45"/>
  <c r="F52" i="46"/>
  <c r="F23" i="56" s="1"/>
  <c r="F52" i="47"/>
  <c r="F52" i="48"/>
  <c r="F52" i="49"/>
  <c r="F23" i="30"/>
  <c r="F23" i="31"/>
  <c r="E52" i="45"/>
  <c r="E52" i="46"/>
  <c r="E52" i="47"/>
  <c r="E52" i="48"/>
  <c r="E52" i="49"/>
  <c r="E23" i="30"/>
  <c r="E23" i="31"/>
  <c r="D52" i="45"/>
  <c r="D52" i="46"/>
  <c r="D23" i="56" s="1"/>
  <c r="D52" i="47"/>
  <c r="R52" i="47" s="1"/>
  <c r="D52" i="48"/>
  <c r="D52" i="49"/>
  <c r="D23" i="30"/>
  <c r="D23" i="31"/>
  <c r="P33" i="45"/>
  <c r="P33" i="46"/>
  <c r="P33" i="47"/>
  <c r="P33" i="48"/>
  <c r="P33" i="49"/>
  <c r="N33" i="45"/>
  <c r="N33" i="46"/>
  <c r="N33" i="47"/>
  <c r="N33" i="48"/>
  <c r="N33" i="49"/>
  <c r="M33" i="45"/>
  <c r="M33" i="46"/>
  <c r="M33" i="47"/>
  <c r="M33" i="48"/>
  <c r="M33" i="49"/>
  <c r="L33" i="45"/>
  <c r="S33" i="45" s="1"/>
  <c r="L33" i="46"/>
  <c r="L33" i="47"/>
  <c r="L33" i="48"/>
  <c r="L33" i="49"/>
  <c r="S33" i="49" s="1"/>
  <c r="J33" i="45"/>
  <c r="J33" i="46"/>
  <c r="J33" i="47"/>
  <c r="J33" i="48"/>
  <c r="J33" i="49"/>
  <c r="H33" i="45"/>
  <c r="H33" i="46"/>
  <c r="H33" i="47"/>
  <c r="H33" i="48"/>
  <c r="H33" i="49"/>
  <c r="G33" i="45"/>
  <c r="G33" i="46"/>
  <c r="G33" i="47"/>
  <c r="G33" i="48"/>
  <c r="G33" i="49"/>
  <c r="F33" i="45"/>
  <c r="F33" i="46"/>
  <c r="F33" i="47"/>
  <c r="F33" i="48"/>
  <c r="F33" i="49"/>
  <c r="E33" i="45"/>
  <c r="E33" i="46"/>
  <c r="E33" i="47"/>
  <c r="E33" i="48"/>
  <c r="E33" i="49"/>
  <c r="D33" i="45"/>
  <c r="D33" i="46"/>
  <c r="D33" i="47"/>
  <c r="D33" i="48"/>
  <c r="D33" i="49"/>
  <c r="P32" i="45"/>
  <c r="P32" i="46"/>
  <c r="P32" i="47"/>
  <c r="P32" i="48"/>
  <c r="P32" i="49"/>
  <c r="N32" i="45"/>
  <c r="N32" i="46"/>
  <c r="N32" i="47"/>
  <c r="N32" i="48"/>
  <c r="N32" i="49"/>
  <c r="M32" i="45"/>
  <c r="M32" i="46"/>
  <c r="M32" i="47"/>
  <c r="M32" i="48"/>
  <c r="M32" i="49"/>
  <c r="L32" i="45"/>
  <c r="L32" i="46"/>
  <c r="L32" i="47"/>
  <c r="S32" i="47" s="1"/>
  <c r="L32" i="48"/>
  <c r="L32" i="49"/>
  <c r="J32" i="45"/>
  <c r="J32" i="46"/>
  <c r="J32" i="47"/>
  <c r="J32" i="48"/>
  <c r="J32" i="49"/>
  <c r="H32" i="45"/>
  <c r="H32" i="46"/>
  <c r="H32" i="47"/>
  <c r="H32" i="48"/>
  <c r="H32" i="49"/>
  <c r="G32" i="45"/>
  <c r="G32" i="46"/>
  <c r="G32" i="47"/>
  <c r="G32" i="48"/>
  <c r="G32" i="49"/>
  <c r="F32" i="45"/>
  <c r="F32" i="46"/>
  <c r="F32" i="47"/>
  <c r="F32" i="48"/>
  <c r="F32" i="49"/>
  <c r="E32" i="45"/>
  <c r="E32" i="46"/>
  <c r="E32" i="47"/>
  <c r="E32" i="48"/>
  <c r="E32" i="49"/>
  <c r="D32" i="45"/>
  <c r="D32" i="46"/>
  <c r="D32" i="47"/>
  <c r="D32" i="48"/>
  <c r="D32" i="49"/>
  <c r="L31" i="46"/>
  <c r="L31" i="47"/>
  <c r="S31" i="47" s="1"/>
  <c r="L31" i="48"/>
  <c r="L31" i="49"/>
  <c r="S31" i="49" s="1"/>
  <c r="J31" i="45"/>
  <c r="J31" i="46"/>
  <c r="J31" i="47"/>
  <c r="J31" i="48"/>
  <c r="J31" i="49"/>
  <c r="H31" i="45"/>
  <c r="H31" i="46"/>
  <c r="H31" i="47"/>
  <c r="H31" i="48"/>
  <c r="H31" i="49"/>
  <c r="G31" i="45"/>
  <c r="G31" i="46"/>
  <c r="G31" i="47"/>
  <c r="G31" i="48"/>
  <c r="G31" i="49"/>
  <c r="F31" i="45"/>
  <c r="F31" i="46"/>
  <c r="F31" i="47"/>
  <c r="F31" i="48"/>
  <c r="F31" i="49"/>
  <c r="E31" i="45"/>
  <c r="E31" i="46"/>
  <c r="E31" i="47"/>
  <c r="E31" i="48"/>
  <c r="E31" i="49"/>
  <c r="D31" i="45"/>
  <c r="D31" i="46"/>
  <c r="D31" i="47"/>
  <c r="D31" i="48"/>
  <c r="D31" i="49"/>
  <c r="M29" i="45"/>
  <c r="M29" i="47"/>
  <c r="L29" i="45"/>
  <c r="L29" i="46"/>
  <c r="L29" i="47"/>
  <c r="S29" i="47" s="1"/>
  <c r="L29" i="48"/>
  <c r="L29" i="49"/>
  <c r="J29" i="45"/>
  <c r="J29" i="46"/>
  <c r="J29" i="47"/>
  <c r="J29" i="48"/>
  <c r="J29" i="49"/>
  <c r="H29" i="45"/>
  <c r="H29" i="46"/>
  <c r="H29" i="47"/>
  <c r="H29" i="48"/>
  <c r="H29" i="49"/>
  <c r="G29" i="45"/>
  <c r="G29" i="46"/>
  <c r="G29" i="47"/>
  <c r="G29" i="48"/>
  <c r="G29" i="49"/>
  <c r="F29" i="45"/>
  <c r="F29" i="46"/>
  <c r="F29" i="47"/>
  <c r="F29" i="48"/>
  <c r="F29" i="49"/>
  <c r="E29" i="45"/>
  <c r="E29" i="46"/>
  <c r="E29" i="47"/>
  <c r="E29" i="48"/>
  <c r="E29" i="49"/>
  <c r="D29" i="45"/>
  <c r="D29" i="46"/>
  <c r="D29" i="47"/>
  <c r="D29" i="48"/>
  <c r="D29" i="49"/>
  <c r="L28" i="45"/>
  <c r="S28" i="45" s="1"/>
  <c r="L28" i="46"/>
  <c r="L28" i="47"/>
  <c r="L28" i="48"/>
  <c r="L28" i="49"/>
  <c r="J28" i="45"/>
  <c r="J28" i="46"/>
  <c r="J28" i="47"/>
  <c r="J28" i="48"/>
  <c r="J28" i="49"/>
  <c r="H28" i="45"/>
  <c r="H28" i="46"/>
  <c r="H28" i="47"/>
  <c r="H28" i="48"/>
  <c r="H28" i="49"/>
  <c r="G28" i="45"/>
  <c r="G28" i="46"/>
  <c r="G28" i="47"/>
  <c r="G28" i="48"/>
  <c r="G28" i="49"/>
  <c r="F28" i="45"/>
  <c r="F28" i="46"/>
  <c r="F28" i="47"/>
  <c r="F28" i="48"/>
  <c r="F28" i="49"/>
  <c r="E28" i="45"/>
  <c r="E28" i="46"/>
  <c r="E28" i="47"/>
  <c r="E28" i="48"/>
  <c r="E28" i="49"/>
  <c r="D28" i="45"/>
  <c r="D28" i="46"/>
  <c r="D28" i="47"/>
  <c r="D28" i="48"/>
  <c r="D28" i="49"/>
  <c r="P23" i="45"/>
  <c r="P23" i="46"/>
  <c r="P23" i="47"/>
  <c r="P23" i="48"/>
  <c r="P23" i="49"/>
  <c r="N23" i="45"/>
  <c r="N23" i="46"/>
  <c r="N23" i="47"/>
  <c r="N23" i="48"/>
  <c r="N23" i="49"/>
  <c r="M23" i="45"/>
  <c r="M23" i="46"/>
  <c r="M23" i="47"/>
  <c r="M23" i="48"/>
  <c r="M23" i="49"/>
  <c r="L23" i="45"/>
  <c r="L23" i="46"/>
  <c r="L23" i="47"/>
  <c r="L23" i="48"/>
  <c r="L23" i="49"/>
  <c r="J23" i="45"/>
  <c r="J23" i="46"/>
  <c r="J23" i="47"/>
  <c r="J23" i="48"/>
  <c r="J23" i="49"/>
  <c r="H23" i="45"/>
  <c r="H23" i="46"/>
  <c r="H23" i="47"/>
  <c r="H23" i="48"/>
  <c r="H23" i="49"/>
  <c r="G23" i="45"/>
  <c r="G23" i="46"/>
  <c r="G23" i="47"/>
  <c r="G23" i="48"/>
  <c r="G23" i="49"/>
  <c r="F23" i="45"/>
  <c r="F23" i="46"/>
  <c r="F23" i="47"/>
  <c r="F23" i="48"/>
  <c r="F23" i="49"/>
  <c r="E23" i="45"/>
  <c r="E23" i="46"/>
  <c r="E23" i="47"/>
  <c r="E23" i="48"/>
  <c r="E23" i="49"/>
  <c r="D23" i="45"/>
  <c r="D23" i="46"/>
  <c r="D23" i="47"/>
  <c r="D23" i="48"/>
  <c r="R23" i="48" s="1"/>
  <c r="D23" i="49"/>
  <c r="O23" i="26"/>
  <c r="G59" i="26"/>
  <c r="D59" i="26"/>
  <c r="Q23" i="38"/>
  <c r="Q23" i="41"/>
  <c r="K23" i="41"/>
  <c r="K23" i="38"/>
  <c r="K23" i="42"/>
  <c r="Q23" i="40"/>
  <c r="K23" i="40"/>
  <c r="Q23" i="39"/>
  <c r="K23" i="39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Q31" i="34"/>
  <c r="L31" i="34"/>
  <c r="K31" i="34"/>
  <c r="J31" i="34"/>
  <c r="I31" i="34"/>
  <c r="H31" i="34"/>
  <c r="G31" i="34"/>
  <c r="F31" i="34"/>
  <c r="E31" i="34"/>
  <c r="Q29" i="34"/>
  <c r="L29" i="34"/>
  <c r="K29" i="34"/>
  <c r="J29" i="34"/>
  <c r="I29" i="34"/>
  <c r="H29" i="34"/>
  <c r="G29" i="34"/>
  <c r="F29" i="34"/>
  <c r="E29" i="34"/>
  <c r="Q28" i="34"/>
  <c r="L28" i="34"/>
  <c r="K28" i="34"/>
  <c r="J28" i="34"/>
  <c r="I28" i="34"/>
  <c r="H28" i="34"/>
  <c r="G28" i="34"/>
  <c r="F28" i="34"/>
  <c r="E28" i="34"/>
  <c r="Q68" i="38"/>
  <c r="L65" i="38"/>
  <c r="N63" i="38"/>
  <c r="L63" i="38"/>
  <c r="P62" i="38"/>
  <c r="O62" i="38"/>
  <c r="M62" i="38"/>
  <c r="N60" i="38"/>
  <c r="L60" i="38"/>
  <c r="P59" i="38"/>
  <c r="O59" i="38"/>
  <c r="M59" i="38"/>
  <c r="P56" i="38"/>
  <c r="O56" i="38"/>
  <c r="M56" i="38"/>
  <c r="N54" i="38"/>
  <c r="L54" i="38"/>
  <c r="P53" i="38"/>
  <c r="O53" i="38"/>
  <c r="M53" i="38"/>
  <c r="N52" i="38"/>
  <c r="L52" i="38"/>
  <c r="P51" i="38"/>
  <c r="O51" i="38"/>
  <c r="M51" i="38"/>
  <c r="N50" i="38"/>
  <c r="L50" i="38"/>
  <c r="M49" i="38"/>
  <c r="N48" i="38"/>
  <c r="L48" i="38"/>
  <c r="P47" i="38"/>
  <c r="O47" i="38"/>
  <c r="M47" i="38"/>
  <c r="P46" i="38"/>
  <c r="O46" i="38"/>
  <c r="M46" i="38"/>
  <c r="N45" i="38"/>
  <c r="L45" i="38"/>
  <c r="P44" i="38"/>
  <c r="O44" i="38"/>
  <c r="M44" i="38"/>
  <c r="N43" i="38"/>
  <c r="L43" i="38"/>
  <c r="Q99" i="21"/>
  <c r="Q100" i="21"/>
  <c r="K99" i="21"/>
  <c r="K100" i="21"/>
  <c r="Q99" i="18"/>
  <c r="K99" i="18"/>
  <c r="K100" i="18"/>
  <c r="Q100" i="17"/>
  <c r="K100" i="17"/>
  <c r="K99" i="17"/>
  <c r="D23" i="42"/>
  <c r="E23" i="42"/>
  <c r="F23" i="42"/>
  <c r="G23" i="42"/>
  <c r="H23" i="42"/>
  <c r="I23" i="42"/>
  <c r="J23" i="42"/>
  <c r="L23" i="42"/>
  <c r="M23" i="42"/>
  <c r="N23" i="42"/>
  <c r="O23" i="42"/>
  <c r="D43" i="42"/>
  <c r="E43" i="42"/>
  <c r="F43" i="42"/>
  <c r="G43" i="42"/>
  <c r="H43" i="42"/>
  <c r="I43" i="42"/>
  <c r="J43" i="42"/>
  <c r="K43" i="42"/>
  <c r="L43" i="42"/>
  <c r="M43" i="42"/>
  <c r="N43" i="42"/>
  <c r="O43" i="42"/>
  <c r="P43" i="42"/>
  <c r="Q43" i="42"/>
  <c r="D44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D45" i="42"/>
  <c r="E45" i="42"/>
  <c r="F45" i="42"/>
  <c r="G45" i="42"/>
  <c r="H45" i="42"/>
  <c r="I45" i="42"/>
  <c r="J45" i="42"/>
  <c r="K45" i="42"/>
  <c r="L45" i="42"/>
  <c r="M45" i="42"/>
  <c r="N45" i="42"/>
  <c r="O45" i="42"/>
  <c r="P45" i="42"/>
  <c r="Q45" i="42"/>
  <c r="D46" i="42"/>
  <c r="E46" i="42"/>
  <c r="F46" i="42"/>
  <c r="G46" i="42"/>
  <c r="H46" i="42"/>
  <c r="I46" i="42"/>
  <c r="J46" i="42"/>
  <c r="K46" i="42"/>
  <c r="L46" i="42"/>
  <c r="M46" i="42"/>
  <c r="N46" i="42"/>
  <c r="O46" i="42"/>
  <c r="P46" i="42"/>
  <c r="Q46" i="42"/>
  <c r="D47" i="42"/>
  <c r="E47" i="42"/>
  <c r="F47" i="42"/>
  <c r="G47" i="42"/>
  <c r="H47" i="42"/>
  <c r="I47" i="42"/>
  <c r="J47" i="42"/>
  <c r="K47" i="42"/>
  <c r="L47" i="42"/>
  <c r="M47" i="42"/>
  <c r="N47" i="42"/>
  <c r="O47" i="42"/>
  <c r="P47" i="42"/>
  <c r="Q47" i="42"/>
  <c r="D48" i="42"/>
  <c r="E48" i="42"/>
  <c r="F48" i="42"/>
  <c r="G48" i="42"/>
  <c r="H48" i="42"/>
  <c r="I48" i="42"/>
  <c r="J48" i="42"/>
  <c r="K48" i="42"/>
  <c r="L48" i="42"/>
  <c r="M48" i="42"/>
  <c r="N48" i="42"/>
  <c r="O48" i="42"/>
  <c r="P48" i="42"/>
  <c r="Q48" i="42"/>
  <c r="D49" i="42"/>
  <c r="E49" i="42"/>
  <c r="F49" i="42"/>
  <c r="G49" i="42"/>
  <c r="H49" i="42"/>
  <c r="I49" i="42"/>
  <c r="J49" i="42"/>
  <c r="K49" i="42"/>
  <c r="L49" i="42"/>
  <c r="M49" i="42"/>
  <c r="D50" i="42"/>
  <c r="E50" i="42"/>
  <c r="F50" i="42"/>
  <c r="G50" i="42"/>
  <c r="H50" i="42"/>
  <c r="I50" i="42"/>
  <c r="J50" i="42"/>
  <c r="K50" i="42"/>
  <c r="L50" i="42"/>
  <c r="M50" i="42"/>
  <c r="N50" i="42"/>
  <c r="O50" i="42"/>
  <c r="P50" i="42"/>
  <c r="Q50" i="42"/>
  <c r="D51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D52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D53" i="42"/>
  <c r="E53" i="42"/>
  <c r="F53" i="42"/>
  <c r="G53" i="42"/>
  <c r="H53" i="42"/>
  <c r="I53" i="42"/>
  <c r="J53" i="42"/>
  <c r="K53" i="42"/>
  <c r="L53" i="42"/>
  <c r="M53" i="42"/>
  <c r="N53" i="42"/>
  <c r="O53" i="42"/>
  <c r="P53" i="42"/>
  <c r="Q53" i="42"/>
  <c r="D54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D56" i="42"/>
  <c r="E56" i="42"/>
  <c r="F56" i="42"/>
  <c r="G56" i="42"/>
  <c r="H56" i="42"/>
  <c r="I56" i="42"/>
  <c r="J56" i="42"/>
  <c r="K56" i="42"/>
  <c r="L56" i="42"/>
  <c r="M56" i="42"/>
  <c r="N56" i="42"/>
  <c r="O56" i="42"/>
  <c r="P56" i="42"/>
  <c r="Q56" i="42"/>
  <c r="D59" i="42"/>
  <c r="E59" i="42"/>
  <c r="F59" i="42"/>
  <c r="G59" i="42"/>
  <c r="H59" i="42"/>
  <c r="I59" i="42"/>
  <c r="J59" i="42"/>
  <c r="K59" i="42"/>
  <c r="L59" i="42"/>
  <c r="M59" i="42"/>
  <c r="N59" i="42"/>
  <c r="O59" i="42"/>
  <c r="D60" i="42"/>
  <c r="E60" i="42"/>
  <c r="F60" i="42"/>
  <c r="G60" i="42"/>
  <c r="H60" i="42"/>
  <c r="I60" i="42"/>
  <c r="J60" i="42"/>
  <c r="K60" i="42"/>
  <c r="L60" i="42"/>
  <c r="M60" i="42"/>
  <c r="N60" i="42"/>
  <c r="O60" i="42"/>
  <c r="P60" i="42"/>
  <c r="Q60" i="42"/>
  <c r="D62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D63" i="42"/>
  <c r="E63" i="42"/>
  <c r="F63" i="42"/>
  <c r="G63" i="42"/>
  <c r="H63" i="42"/>
  <c r="I63" i="42"/>
  <c r="J63" i="42"/>
  <c r="K63" i="42"/>
  <c r="L63" i="42"/>
  <c r="M63" i="42"/>
  <c r="N63" i="42"/>
  <c r="O63" i="42"/>
  <c r="P63" i="42"/>
  <c r="Q63" i="42"/>
  <c r="D64" i="42"/>
  <c r="E64" i="42"/>
  <c r="F64" i="42"/>
  <c r="G64" i="42"/>
  <c r="H64" i="42"/>
  <c r="I64" i="42"/>
  <c r="J64" i="42"/>
  <c r="K64" i="42"/>
  <c r="L64" i="42"/>
  <c r="Q64" i="42"/>
  <c r="D65" i="42"/>
  <c r="E65" i="42"/>
  <c r="F65" i="42"/>
  <c r="G65" i="42"/>
  <c r="H65" i="42"/>
  <c r="I65" i="42"/>
  <c r="J65" i="42"/>
  <c r="K65" i="42"/>
  <c r="L65" i="42"/>
  <c r="Q65" i="42"/>
  <c r="D67" i="42"/>
  <c r="E67" i="42"/>
  <c r="F67" i="42"/>
  <c r="G67" i="42"/>
  <c r="H67" i="42"/>
  <c r="I67" i="42"/>
  <c r="J67" i="42"/>
  <c r="K67" i="42"/>
  <c r="L67" i="42"/>
  <c r="Q67" i="42"/>
  <c r="D68" i="42"/>
  <c r="E68" i="42"/>
  <c r="F68" i="42"/>
  <c r="G68" i="42"/>
  <c r="H68" i="42"/>
  <c r="I68" i="42"/>
  <c r="J68" i="42"/>
  <c r="K68" i="42"/>
  <c r="L68" i="42"/>
  <c r="M68" i="42"/>
  <c r="N68" i="42"/>
  <c r="O68" i="42"/>
  <c r="P68" i="42"/>
  <c r="Q68" i="42"/>
  <c r="D69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D23" i="41"/>
  <c r="E23" i="41"/>
  <c r="F23" i="41"/>
  <c r="G23" i="41"/>
  <c r="H23" i="41"/>
  <c r="I23" i="41"/>
  <c r="J23" i="41"/>
  <c r="L23" i="41"/>
  <c r="M23" i="41"/>
  <c r="N23" i="41"/>
  <c r="O23" i="41"/>
  <c r="P23" i="41"/>
  <c r="D43" i="41"/>
  <c r="E43" i="41"/>
  <c r="F43" i="41"/>
  <c r="G43" i="41"/>
  <c r="H43" i="41"/>
  <c r="I43" i="41"/>
  <c r="J43" i="41"/>
  <c r="K43" i="41"/>
  <c r="L43" i="41"/>
  <c r="M43" i="41"/>
  <c r="N43" i="41"/>
  <c r="O43" i="41"/>
  <c r="P43" i="41"/>
  <c r="Q43" i="41"/>
  <c r="D44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D45" i="41"/>
  <c r="E45" i="41"/>
  <c r="F45" i="41"/>
  <c r="G45" i="41"/>
  <c r="H45" i="41"/>
  <c r="I45" i="41"/>
  <c r="J45" i="41"/>
  <c r="K45" i="41"/>
  <c r="L45" i="41"/>
  <c r="M45" i="41"/>
  <c r="N45" i="41"/>
  <c r="O45" i="41"/>
  <c r="P45" i="41"/>
  <c r="Q45" i="41"/>
  <c r="D46" i="41"/>
  <c r="E46" i="41"/>
  <c r="F46" i="41"/>
  <c r="G46" i="41"/>
  <c r="H46" i="41"/>
  <c r="I46" i="41"/>
  <c r="J46" i="41"/>
  <c r="K46" i="41"/>
  <c r="L46" i="41"/>
  <c r="M46" i="41"/>
  <c r="N46" i="41"/>
  <c r="O46" i="41"/>
  <c r="P46" i="41"/>
  <c r="Q46" i="41"/>
  <c r="D47" i="41"/>
  <c r="E47" i="41"/>
  <c r="F47" i="41"/>
  <c r="G47" i="41"/>
  <c r="H47" i="41"/>
  <c r="I47" i="41"/>
  <c r="J47" i="41"/>
  <c r="K47" i="41"/>
  <c r="L47" i="41"/>
  <c r="M47" i="41"/>
  <c r="N47" i="41"/>
  <c r="O47" i="41"/>
  <c r="P47" i="41"/>
  <c r="Q47" i="41"/>
  <c r="D48" i="41"/>
  <c r="E48" i="41"/>
  <c r="F48" i="41"/>
  <c r="G48" i="41"/>
  <c r="H48" i="41"/>
  <c r="I48" i="41"/>
  <c r="J48" i="41"/>
  <c r="K48" i="41"/>
  <c r="L48" i="41"/>
  <c r="M48" i="41"/>
  <c r="N48" i="41"/>
  <c r="O48" i="41"/>
  <c r="P48" i="41"/>
  <c r="Q48" i="41"/>
  <c r="D49" i="41"/>
  <c r="E49" i="41"/>
  <c r="F49" i="41"/>
  <c r="G49" i="41"/>
  <c r="H49" i="41"/>
  <c r="I49" i="41"/>
  <c r="J49" i="41"/>
  <c r="K49" i="41"/>
  <c r="L49" i="41"/>
  <c r="M49" i="41"/>
  <c r="N49" i="41"/>
  <c r="D50" i="41"/>
  <c r="E50" i="41"/>
  <c r="F50" i="41"/>
  <c r="G50" i="41"/>
  <c r="H50" i="41"/>
  <c r="I50" i="41"/>
  <c r="J50" i="41"/>
  <c r="K50" i="41"/>
  <c r="L50" i="41"/>
  <c r="M50" i="41"/>
  <c r="N50" i="41"/>
  <c r="O50" i="41"/>
  <c r="P50" i="41"/>
  <c r="Q50" i="41"/>
  <c r="D51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D52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D53" i="41"/>
  <c r="E53" i="41"/>
  <c r="F53" i="41"/>
  <c r="G53" i="41"/>
  <c r="H53" i="41"/>
  <c r="I53" i="41"/>
  <c r="J53" i="41"/>
  <c r="K53" i="41"/>
  <c r="L53" i="41"/>
  <c r="M53" i="41"/>
  <c r="N53" i="41"/>
  <c r="O53" i="41"/>
  <c r="P53" i="41"/>
  <c r="Q53" i="41"/>
  <c r="D54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D56" i="41"/>
  <c r="E56" i="41"/>
  <c r="F56" i="41"/>
  <c r="G56" i="41"/>
  <c r="H56" i="41"/>
  <c r="I56" i="41"/>
  <c r="J56" i="41"/>
  <c r="K56" i="41"/>
  <c r="L56" i="41"/>
  <c r="M56" i="41"/>
  <c r="N56" i="41"/>
  <c r="O56" i="41"/>
  <c r="P56" i="41"/>
  <c r="Q56" i="41"/>
  <c r="D59" i="41"/>
  <c r="E59" i="41"/>
  <c r="F59" i="41"/>
  <c r="G59" i="41"/>
  <c r="H59" i="41"/>
  <c r="I59" i="41"/>
  <c r="J59" i="41"/>
  <c r="K59" i="41"/>
  <c r="L59" i="41"/>
  <c r="M59" i="41"/>
  <c r="N59" i="41"/>
  <c r="O59" i="41"/>
  <c r="P59" i="41"/>
  <c r="Q59" i="41"/>
  <c r="D60" i="41"/>
  <c r="E60" i="41"/>
  <c r="F60" i="41"/>
  <c r="G60" i="41"/>
  <c r="H60" i="41"/>
  <c r="I60" i="41"/>
  <c r="J60" i="41"/>
  <c r="K60" i="41"/>
  <c r="L60" i="41"/>
  <c r="M60" i="41"/>
  <c r="N60" i="41"/>
  <c r="O60" i="41"/>
  <c r="P60" i="41"/>
  <c r="Q60" i="41"/>
  <c r="D62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D63" i="41"/>
  <c r="E63" i="41"/>
  <c r="F63" i="41"/>
  <c r="G63" i="41"/>
  <c r="H63" i="41"/>
  <c r="I63" i="41"/>
  <c r="J63" i="41"/>
  <c r="K63" i="41"/>
  <c r="L63" i="41"/>
  <c r="M63" i="41"/>
  <c r="N63" i="41"/>
  <c r="O63" i="41"/>
  <c r="P63" i="41"/>
  <c r="Q63" i="41"/>
  <c r="D64" i="41"/>
  <c r="E64" i="41"/>
  <c r="F64" i="41"/>
  <c r="G64" i="41"/>
  <c r="H64" i="41"/>
  <c r="I64" i="41"/>
  <c r="J64" i="41"/>
  <c r="K64" i="41"/>
  <c r="L64" i="41"/>
  <c r="Q64" i="41"/>
  <c r="D65" i="41"/>
  <c r="E65" i="41"/>
  <c r="F65" i="41"/>
  <c r="G65" i="41"/>
  <c r="H65" i="41"/>
  <c r="I65" i="41"/>
  <c r="J65" i="41"/>
  <c r="K65" i="41"/>
  <c r="L65" i="41"/>
  <c r="Q65" i="41"/>
  <c r="D67" i="41"/>
  <c r="E67" i="41"/>
  <c r="F67" i="41"/>
  <c r="G67" i="41"/>
  <c r="H67" i="41"/>
  <c r="I67" i="41"/>
  <c r="J67" i="41"/>
  <c r="K67" i="41"/>
  <c r="L67" i="41"/>
  <c r="Q67" i="41"/>
  <c r="D68" i="41"/>
  <c r="E68" i="41"/>
  <c r="F68" i="41"/>
  <c r="G68" i="41"/>
  <c r="H68" i="41"/>
  <c r="I68" i="41"/>
  <c r="J68" i="41"/>
  <c r="K68" i="41"/>
  <c r="L68" i="41"/>
  <c r="M68" i="41"/>
  <c r="N68" i="41"/>
  <c r="O68" i="41"/>
  <c r="P68" i="41"/>
  <c r="Q68" i="41"/>
  <c r="D69" i="41"/>
  <c r="E69" i="41"/>
  <c r="F69" i="41"/>
  <c r="G69" i="41"/>
  <c r="H69" i="41"/>
  <c r="I69" i="41"/>
  <c r="J69" i="41"/>
  <c r="K69" i="41"/>
  <c r="L69" i="41"/>
  <c r="M69" i="41"/>
  <c r="N69" i="41"/>
  <c r="O69" i="41"/>
  <c r="P69" i="41"/>
  <c r="Q69" i="41"/>
  <c r="Q70" i="41"/>
  <c r="D23" i="40"/>
  <c r="E23" i="40"/>
  <c r="F23" i="40"/>
  <c r="G23" i="40"/>
  <c r="H23" i="40"/>
  <c r="I23" i="40"/>
  <c r="J23" i="40"/>
  <c r="L23" i="40"/>
  <c r="M23" i="40"/>
  <c r="N23" i="40"/>
  <c r="O23" i="40"/>
  <c r="P23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D44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D46" i="40"/>
  <c r="E46" i="40"/>
  <c r="F46" i="40"/>
  <c r="G46" i="40"/>
  <c r="H46" i="40"/>
  <c r="I46" i="40"/>
  <c r="J46" i="40"/>
  <c r="K46" i="40"/>
  <c r="L46" i="40"/>
  <c r="M46" i="40"/>
  <c r="N46" i="40"/>
  <c r="O46" i="40"/>
  <c r="P46" i="40"/>
  <c r="Q46" i="40"/>
  <c r="D47" i="40"/>
  <c r="E47" i="40"/>
  <c r="F47" i="40"/>
  <c r="G47" i="40"/>
  <c r="H47" i="40"/>
  <c r="I47" i="40"/>
  <c r="J47" i="40"/>
  <c r="K47" i="40"/>
  <c r="L47" i="40"/>
  <c r="M47" i="40"/>
  <c r="N47" i="40"/>
  <c r="O47" i="40"/>
  <c r="P47" i="40"/>
  <c r="Q47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D49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D50" i="40"/>
  <c r="E50" i="40"/>
  <c r="F50" i="40"/>
  <c r="G50" i="40"/>
  <c r="H50" i="40"/>
  <c r="I50" i="40"/>
  <c r="J50" i="40"/>
  <c r="K50" i="40"/>
  <c r="L50" i="40"/>
  <c r="M50" i="40"/>
  <c r="N50" i="40"/>
  <c r="O50" i="40"/>
  <c r="P50" i="40"/>
  <c r="Q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D52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D53" i="40"/>
  <c r="E53" i="40"/>
  <c r="F53" i="40"/>
  <c r="G53" i="40"/>
  <c r="H53" i="40"/>
  <c r="I53" i="40"/>
  <c r="J53" i="40"/>
  <c r="K53" i="40"/>
  <c r="L53" i="40"/>
  <c r="M53" i="40"/>
  <c r="N53" i="40"/>
  <c r="O53" i="40"/>
  <c r="P53" i="40"/>
  <c r="Q53" i="40"/>
  <c r="D54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D56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D59" i="40"/>
  <c r="E59" i="40"/>
  <c r="F59" i="40"/>
  <c r="G59" i="40"/>
  <c r="H59" i="40"/>
  <c r="I59" i="40"/>
  <c r="J59" i="40"/>
  <c r="K59" i="40"/>
  <c r="L59" i="40"/>
  <c r="M59" i="40"/>
  <c r="N59" i="40"/>
  <c r="O59" i="40"/>
  <c r="P59" i="40"/>
  <c r="Q59" i="40"/>
  <c r="D60" i="40"/>
  <c r="E60" i="40"/>
  <c r="F60" i="40"/>
  <c r="G60" i="40"/>
  <c r="H60" i="40"/>
  <c r="I60" i="40"/>
  <c r="J60" i="40"/>
  <c r="K60" i="40"/>
  <c r="L60" i="40"/>
  <c r="M60" i="40"/>
  <c r="N60" i="40"/>
  <c r="O60" i="40"/>
  <c r="P60" i="40"/>
  <c r="Q60" i="40"/>
  <c r="D62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D63" i="40"/>
  <c r="E63" i="40"/>
  <c r="F63" i="40"/>
  <c r="G63" i="40"/>
  <c r="H63" i="40"/>
  <c r="I63" i="40"/>
  <c r="J63" i="40"/>
  <c r="K63" i="40"/>
  <c r="L63" i="40"/>
  <c r="M63" i="40"/>
  <c r="N63" i="40"/>
  <c r="O63" i="40"/>
  <c r="P63" i="40"/>
  <c r="Q63" i="40"/>
  <c r="D64" i="40"/>
  <c r="E64" i="40"/>
  <c r="F64" i="40"/>
  <c r="G64" i="40"/>
  <c r="H64" i="40"/>
  <c r="I64" i="40"/>
  <c r="J64" i="40"/>
  <c r="K64" i="40"/>
  <c r="L64" i="40"/>
  <c r="Q64" i="40"/>
  <c r="D65" i="40"/>
  <c r="E65" i="40"/>
  <c r="F65" i="40"/>
  <c r="G65" i="40"/>
  <c r="H65" i="40"/>
  <c r="I65" i="40"/>
  <c r="J65" i="40"/>
  <c r="K65" i="40"/>
  <c r="L65" i="40"/>
  <c r="M65" i="40"/>
  <c r="Q65" i="40"/>
  <c r="D67" i="40"/>
  <c r="E67" i="40"/>
  <c r="F67" i="40"/>
  <c r="G67" i="40"/>
  <c r="H67" i="40"/>
  <c r="I67" i="40"/>
  <c r="J67" i="40"/>
  <c r="K67" i="40"/>
  <c r="L67" i="40"/>
  <c r="Q67" i="40"/>
  <c r="D68" i="40"/>
  <c r="E68" i="40"/>
  <c r="F68" i="40"/>
  <c r="G68" i="40"/>
  <c r="H68" i="40"/>
  <c r="I68" i="40"/>
  <c r="J68" i="40"/>
  <c r="K68" i="40"/>
  <c r="L68" i="40"/>
  <c r="M68" i="40"/>
  <c r="N68" i="40"/>
  <c r="O68" i="40"/>
  <c r="P68" i="40"/>
  <c r="Q68" i="40"/>
  <c r="D69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L70" i="40"/>
  <c r="Q70" i="40"/>
  <c r="D23" i="39"/>
  <c r="E23" i="39"/>
  <c r="F23" i="39"/>
  <c r="G23" i="39"/>
  <c r="H23" i="39"/>
  <c r="I23" i="39"/>
  <c r="J23" i="39"/>
  <c r="L23" i="39"/>
  <c r="M23" i="39"/>
  <c r="N23" i="39"/>
  <c r="O23" i="39"/>
  <c r="P23" i="39"/>
  <c r="D43" i="39"/>
  <c r="E43" i="39"/>
  <c r="F43" i="39"/>
  <c r="G43" i="39"/>
  <c r="H43" i="39"/>
  <c r="I43" i="39"/>
  <c r="J43" i="39"/>
  <c r="K43" i="39"/>
  <c r="L43" i="39"/>
  <c r="M43" i="39"/>
  <c r="N43" i="39"/>
  <c r="O43" i="39"/>
  <c r="P43" i="39"/>
  <c r="Q43" i="39"/>
  <c r="D44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D45" i="39"/>
  <c r="E45" i="39"/>
  <c r="F45" i="39"/>
  <c r="G45" i="39"/>
  <c r="H45" i="39"/>
  <c r="I45" i="39"/>
  <c r="J45" i="39"/>
  <c r="K45" i="39"/>
  <c r="L45" i="39"/>
  <c r="M45" i="39"/>
  <c r="N45" i="39"/>
  <c r="O45" i="39"/>
  <c r="P45" i="39"/>
  <c r="Q45" i="39"/>
  <c r="D46" i="39"/>
  <c r="E46" i="39"/>
  <c r="F46" i="39"/>
  <c r="G46" i="39"/>
  <c r="H46" i="39"/>
  <c r="I46" i="39"/>
  <c r="J46" i="39"/>
  <c r="K46" i="39"/>
  <c r="L46" i="39"/>
  <c r="M46" i="39"/>
  <c r="N46" i="39"/>
  <c r="O46" i="39"/>
  <c r="P46" i="39"/>
  <c r="Q46" i="39"/>
  <c r="D47" i="39"/>
  <c r="E47" i="39"/>
  <c r="F47" i="39"/>
  <c r="G47" i="39"/>
  <c r="H47" i="39"/>
  <c r="I47" i="39"/>
  <c r="J47" i="39"/>
  <c r="K47" i="39"/>
  <c r="L47" i="39"/>
  <c r="M47" i="39"/>
  <c r="N47" i="39"/>
  <c r="O47" i="39"/>
  <c r="P47" i="39"/>
  <c r="Q47" i="39"/>
  <c r="D48" i="39"/>
  <c r="E48" i="39"/>
  <c r="F48" i="39"/>
  <c r="G48" i="39"/>
  <c r="H48" i="39"/>
  <c r="I48" i="39"/>
  <c r="J48" i="39"/>
  <c r="K48" i="39"/>
  <c r="L48" i="39"/>
  <c r="M48" i="39"/>
  <c r="N48" i="39"/>
  <c r="O48" i="39"/>
  <c r="P48" i="39"/>
  <c r="Q48" i="39"/>
  <c r="D49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D50" i="39"/>
  <c r="E50" i="39"/>
  <c r="F50" i="39"/>
  <c r="G50" i="39"/>
  <c r="H50" i="39"/>
  <c r="I50" i="39"/>
  <c r="J50" i="39"/>
  <c r="K50" i="39"/>
  <c r="L50" i="39"/>
  <c r="M50" i="39"/>
  <c r="N50" i="39"/>
  <c r="O50" i="39"/>
  <c r="P50" i="39"/>
  <c r="Q50" i="39"/>
  <c r="D51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D52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D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D54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D56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D59" i="39"/>
  <c r="E59" i="39"/>
  <c r="F59" i="39"/>
  <c r="G59" i="39"/>
  <c r="H59" i="39"/>
  <c r="I59" i="39"/>
  <c r="J59" i="39"/>
  <c r="K59" i="39"/>
  <c r="L59" i="39"/>
  <c r="M59" i="39"/>
  <c r="N59" i="39"/>
  <c r="O59" i="39"/>
  <c r="P59" i="39"/>
  <c r="Q59" i="39"/>
  <c r="D60" i="39"/>
  <c r="E60" i="39"/>
  <c r="F60" i="39"/>
  <c r="G60" i="39"/>
  <c r="H60" i="39"/>
  <c r="I60" i="39"/>
  <c r="J60" i="39"/>
  <c r="K60" i="39"/>
  <c r="L60" i="39"/>
  <c r="M60" i="39"/>
  <c r="N60" i="39"/>
  <c r="O60" i="39"/>
  <c r="P60" i="39"/>
  <c r="Q60" i="39"/>
  <c r="D62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D63" i="39"/>
  <c r="E63" i="39"/>
  <c r="F63" i="39"/>
  <c r="G63" i="39"/>
  <c r="H63" i="39"/>
  <c r="I63" i="39"/>
  <c r="J63" i="39"/>
  <c r="K63" i="39"/>
  <c r="L63" i="39"/>
  <c r="M63" i="39"/>
  <c r="N63" i="39"/>
  <c r="O63" i="39"/>
  <c r="P63" i="39"/>
  <c r="Q63" i="39"/>
  <c r="D64" i="39"/>
  <c r="E64" i="39"/>
  <c r="F64" i="39"/>
  <c r="G64" i="39"/>
  <c r="H64" i="39"/>
  <c r="I64" i="39"/>
  <c r="J64" i="39"/>
  <c r="K64" i="39"/>
  <c r="L64" i="39"/>
  <c r="Q64" i="39"/>
  <c r="D65" i="39"/>
  <c r="E65" i="39"/>
  <c r="F65" i="39"/>
  <c r="G65" i="39"/>
  <c r="H65" i="39"/>
  <c r="I65" i="39"/>
  <c r="J65" i="39"/>
  <c r="K65" i="39"/>
  <c r="L65" i="39"/>
  <c r="Q65" i="39"/>
  <c r="D67" i="39"/>
  <c r="E67" i="39"/>
  <c r="F67" i="39"/>
  <c r="G67" i="39"/>
  <c r="H67" i="39"/>
  <c r="I67" i="39"/>
  <c r="J67" i="39"/>
  <c r="K67" i="39"/>
  <c r="L67" i="39"/>
  <c r="Q67" i="39"/>
  <c r="D68" i="39"/>
  <c r="E68" i="39"/>
  <c r="F68" i="39"/>
  <c r="G68" i="39"/>
  <c r="H68" i="39"/>
  <c r="I68" i="39"/>
  <c r="J68" i="39"/>
  <c r="K68" i="39"/>
  <c r="L68" i="39"/>
  <c r="M68" i="39"/>
  <c r="N68" i="39"/>
  <c r="O68" i="39"/>
  <c r="P68" i="39"/>
  <c r="Q68" i="39"/>
  <c r="D69" i="39"/>
  <c r="E69" i="39"/>
  <c r="F69" i="39"/>
  <c r="G69" i="39"/>
  <c r="H69" i="39"/>
  <c r="I69" i="39"/>
  <c r="J69" i="39"/>
  <c r="K69" i="39"/>
  <c r="L69" i="39"/>
  <c r="M69" i="39"/>
  <c r="N69" i="39"/>
  <c r="P69" i="39"/>
  <c r="Q69" i="39"/>
  <c r="F23" i="38"/>
  <c r="D23" i="38"/>
  <c r="E23" i="38"/>
  <c r="G23" i="38"/>
  <c r="H23" i="38"/>
  <c r="I23" i="38"/>
  <c r="J23" i="38"/>
  <c r="L23" i="38"/>
  <c r="M23" i="38"/>
  <c r="N23" i="38"/>
  <c r="D43" i="38"/>
  <c r="E43" i="38"/>
  <c r="F43" i="38"/>
  <c r="G43" i="38"/>
  <c r="H43" i="38"/>
  <c r="M43" i="38"/>
  <c r="O43" i="38"/>
  <c r="D44" i="38"/>
  <c r="E44" i="38"/>
  <c r="F44" i="38"/>
  <c r="G44" i="38"/>
  <c r="H44" i="38"/>
  <c r="I44" i="38"/>
  <c r="L44" i="38"/>
  <c r="N44" i="38"/>
  <c r="D45" i="38"/>
  <c r="E45" i="38"/>
  <c r="F45" i="38"/>
  <c r="G45" i="38"/>
  <c r="H45" i="38"/>
  <c r="I45" i="38"/>
  <c r="M45" i="38"/>
  <c r="O45" i="38"/>
  <c r="D46" i="38"/>
  <c r="E46" i="38"/>
  <c r="F46" i="38"/>
  <c r="G46" i="38"/>
  <c r="H46" i="38"/>
  <c r="I46" i="38"/>
  <c r="L46" i="38"/>
  <c r="N46" i="38"/>
  <c r="D47" i="38"/>
  <c r="E47" i="38"/>
  <c r="F47" i="38"/>
  <c r="G47" i="38"/>
  <c r="H47" i="38"/>
  <c r="I47" i="38"/>
  <c r="L47" i="38"/>
  <c r="N47" i="38"/>
  <c r="D48" i="38"/>
  <c r="E48" i="38"/>
  <c r="F48" i="38"/>
  <c r="G48" i="38"/>
  <c r="H48" i="38"/>
  <c r="I48" i="38"/>
  <c r="M48" i="38"/>
  <c r="O48" i="38"/>
  <c r="D49" i="38"/>
  <c r="E49" i="38"/>
  <c r="F49" i="38"/>
  <c r="G49" i="38"/>
  <c r="H49" i="38"/>
  <c r="I49" i="38"/>
  <c r="L49" i="38"/>
  <c r="N49" i="38"/>
  <c r="D50" i="38"/>
  <c r="E50" i="38"/>
  <c r="F50" i="38"/>
  <c r="G50" i="38"/>
  <c r="H50" i="38"/>
  <c r="I50" i="38"/>
  <c r="K50" i="38"/>
  <c r="M50" i="38"/>
  <c r="O50" i="38"/>
  <c r="D51" i="38"/>
  <c r="E51" i="38"/>
  <c r="F51" i="38"/>
  <c r="G51" i="38"/>
  <c r="H51" i="38"/>
  <c r="I51" i="38"/>
  <c r="K51" i="38"/>
  <c r="L51" i="38"/>
  <c r="N51" i="38"/>
  <c r="D52" i="38"/>
  <c r="E52" i="38"/>
  <c r="F52" i="38"/>
  <c r="G52" i="38"/>
  <c r="H52" i="38"/>
  <c r="I52" i="38"/>
  <c r="M52" i="38"/>
  <c r="O52" i="38"/>
  <c r="D53" i="38"/>
  <c r="E53" i="38"/>
  <c r="F53" i="38"/>
  <c r="G53" i="38"/>
  <c r="H53" i="38"/>
  <c r="I53" i="38"/>
  <c r="K53" i="38"/>
  <c r="L53" i="38"/>
  <c r="N53" i="38"/>
  <c r="D54" i="38"/>
  <c r="E54" i="38"/>
  <c r="F54" i="38"/>
  <c r="G54" i="38"/>
  <c r="H54" i="38"/>
  <c r="I54" i="38"/>
  <c r="M54" i="38"/>
  <c r="O54" i="38"/>
  <c r="D56" i="38"/>
  <c r="E56" i="38"/>
  <c r="F56" i="38"/>
  <c r="G56" i="38"/>
  <c r="H56" i="38"/>
  <c r="I56" i="38"/>
  <c r="L56" i="38"/>
  <c r="N56" i="38"/>
  <c r="D59" i="38"/>
  <c r="E59" i="38"/>
  <c r="F59" i="38"/>
  <c r="G59" i="38"/>
  <c r="H59" i="38"/>
  <c r="I59" i="38"/>
  <c r="L59" i="38"/>
  <c r="N59" i="38"/>
  <c r="D60" i="38"/>
  <c r="E60" i="38"/>
  <c r="F60" i="38"/>
  <c r="G60" i="38"/>
  <c r="H60" i="38"/>
  <c r="I60" i="38"/>
  <c r="M60" i="38"/>
  <c r="O60" i="38"/>
  <c r="D62" i="38"/>
  <c r="E62" i="38"/>
  <c r="F62" i="38"/>
  <c r="G62" i="38"/>
  <c r="H62" i="38"/>
  <c r="I62" i="38"/>
  <c r="L62" i="38"/>
  <c r="N62" i="38"/>
  <c r="D63" i="38"/>
  <c r="E63" i="38"/>
  <c r="F63" i="38"/>
  <c r="G63" i="38"/>
  <c r="H63" i="38"/>
  <c r="I63" i="38"/>
  <c r="M63" i="38"/>
  <c r="O63" i="38"/>
  <c r="D64" i="38"/>
  <c r="E64" i="38"/>
  <c r="F64" i="38"/>
  <c r="G64" i="38"/>
  <c r="H64" i="38"/>
  <c r="I64" i="38"/>
  <c r="L64" i="38"/>
  <c r="D65" i="38"/>
  <c r="E65" i="38"/>
  <c r="F65" i="38"/>
  <c r="G65" i="38"/>
  <c r="H65" i="38"/>
  <c r="I65" i="38"/>
  <c r="K65" i="38"/>
  <c r="D67" i="38"/>
  <c r="E67" i="38"/>
  <c r="F67" i="38"/>
  <c r="G67" i="38"/>
  <c r="H67" i="38"/>
  <c r="I67" i="38"/>
  <c r="K67" i="38"/>
  <c r="L67" i="38"/>
  <c r="D68" i="38"/>
  <c r="E68" i="38"/>
  <c r="F68" i="38"/>
  <c r="G68" i="38"/>
  <c r="H68" i="38"/>
  <c r="I68" i="38"/>
  <c r="J68" i="38"/>
  <c r="K68" i="38"/>
  <c r="L68" i="38"/>
  <c r="M68" i="38"/>
  <c r="N68" i="38"/>
  <c r="O68" i="38"/>
  <c r="D69" i="38"/>
  <c r="E69" i="38"/>
  <c r="F69" i="38"/>
  <c r="G69" i="38"/>
  <c r="H69" i="38"/>
  <c r="I69" i="38"/>
  <c r="K69" i="38"/>
  <c r="L69" i="38"/>
  <c r="M69" i="38"/>
  <c r="N69" i="38"/>
  <c r="O69" i="38"/>
  <c r="P69" i="38"/>
  <c r="E70" i="38"/>
  <c r="D23" i="37"/>
  <c r="E23" i="37"/>
  <c r="F23" i="37"/>
  <c r="G23" i="37"/>
  <c r="H23" i="37"/>
  <c r="I23" i="37"/>
  <c r="J23" i="37"/>
  <c r="K23" i="37"/>
  <c r="L23" i="37"/>
  <c r="M23" i="37"/>
  <c r="N23" i="37"/>
  <c r="O23" i="37"/>
  <c r="P23" i="37"/>
  <c r="Q23" i="37"/>
  <c r="D28" i="37"/>
  <c r="E28" i="37"/>
  <c r="F28" i="37"/>
  <c r="G28" i="37"/>
  <c r="H28" i="37"/>
  <c r="I28" i="37"/>
  <c r="J28" i="37"/>
  <c r="K28" i="37"/>
  <c r="L28" i="37"/>
  <c r="Q28" i="37"/>
  <c r="D29" i="37"/>
  <c r="E29" i="37"/>
  <c r="F29" i="37"/>
  <c r="G29" i="37"/>
  <c r="H29" i="37"/>
  <c r="I29" i="37"/>
  <c r="J29" i="37"/>
  <c r="K29" i="37"/>
  <c r="L29" i="37"/>
  <c r="Q29" i="37"/>
  <c r="D31" i="37"/>
  <c r="E31" i="37"/>
  <c r="F31" i="37"/>
  <c r="G31" i="37"/>
  <c r="H31" i="37"/>
  <c r="I31" i="37"/>
  <c r="J31" i="37"/>
  <c r="K31" i="37"/>
  <c r="L31" i="37"/>
  <c r="Q31" i="37"/>
  <c r="D32" i="37"/>
  <c r="E32" i="37"/>
  <c r="F32" i="37"/>
  <c r="G32" i="37"/>
  <c r="H32" i="37"/>
  <c r="I32" i="37"/>
  <c r="J32" i="37"/>
  <c r="K32" i="37"/>
  <c r="L32" i="37"/>
  <c r="M32" i="37"/>
  <c r="N32" i="37"/>
  <c r="O32" i="37"/>
  <c r="P32" i="37"/>
  <c r="Q32" i="37"/>
  <c r="D33" i="37"/>
  <c r="E33" i="37"/>
  <c r="F33" i="37"/>
  <c r="G33" i="37"/>
  <c r="H33" i="37"/>
  <c r="I33" i="37"/>
  <c r="J33" i="37"/>
  <c r="K33" i="37"/>
  <c r="L33" i="37"/>
  <c r="M33" i="37"/>
  <c r="N33" i="37"/>
  <c r="O33" i="37"/>
  <c r="P33" i="37"/>
  <c r="Q33" i="37"/>
  <c r="D43" i="37"/>
  <c r="E43" i="37"/>
  <c r="F43" i="37"/>
  <c r="G43" i="37"/>
  <c r="H43" i="37"/>
  <c r="I43" i="37"/>
  <c r="J43" i="37"/>
  <c r="K43" i="37"/>
  <c r="L43" i="37"/>
  <c r="M43" i="37"/>
  <c r="N43" i="37"/>
  <c r="O43" i="37"/>
  <c r="P43" i="37"/>
  <c r="Q43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P45" i="37"/>
  <c r="Q45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P46" i="37"/>
  <c r="Q46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P47" i="37"/>
  <c r="Q47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P48" i="37"/>
  <c r="Q48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P59" i="37"/>
  <c r="Q59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D64" i="37"/>
  <c r="E64" i="37"/>
  <c r="F64" i="37"/>
  <c r="G64" i="37"/>
  <c r="H64" i="37"/>
  <c r="I64" i="37"/>
  <c r="J64" i="37"/>
  <c r="K64" i="37"/>
  <c r="L64" i="37"/>
  <c r="Q64" i="37"/>
  <c r="D65" i="37"/>
  <c r="E65" i="37"/>
  <c r="F65" i="37"/>
  <c r="G65" i="37"/>
  <c r="H65" i="37"/>
  <c r="I65" i="37"/>
  <c r="J65" i="37"/>
  <c r="K65" i="37"/>
  <c r="L65" i="37"/>
  <c r="Q65" i="37"/>
  <c r="D67" i="37"/>
  <c r="E67" i="37"/>
  <c r="F67" i="37"/>
  <c r="G67" i="37"/>
  <c r="H67" i="37"/>
  <c r="I67" i="37"/>
  <c r="J67" i="37"/>
  <c r="K67" i="37"/>
  <c r="L67" i="37"/>
  <c r="Q67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P68" i="37"/>
  <c r="Q68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D23" i="36"/>
  <c r="E23" i="36"/>
  <c r="F23" i="36"/>
  <c r="G23" i="36"/>
  <c r="H23" i="36"/>
  <c r="I23" i="36"/>
  <c r="J23" i="36"/>
  <c r="K23" i="36"/>
  <c r="L23" i="36"/>
  <c r="M23" i="36"/>
  <c r="N23" i="36"/>
  <c r="O23" i="36"/>
  <c r="P23" i="36"/>
  <c r="Q2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D59" i="36"/>
  <c r="E59" i="36"/>
  <c r="F59" i="36"/>
  <c r="G59" i="36"/>
  <c r="H59" i="36"/>
  <c r="I59" i="36"/>
  <c r="J59" i="36"/>
  <c r="K59" i="36"/>
  <c r="L59" i="36"/>
  <c r="M59" i="36"/>
  <c r="N59" i="36"/>
  <c r="O59" i="36"/>
  <c r="P59" i="36"/>
  <c r="Q59" i="36"/>
  <c r="D60" i="36"/>
  <c r="E60" i="36"/>
  <c r="F60" i="36"/>
  <c r="G60" i="36"/>
  <c r="H60" i="36"/>
  <c r="I60" i="36"/>
  <c r="J60" i="36"/>
  <c r="K60" i="36"/>
  <c r="L60" i="36"/>
  <c r="M60" i="36"/>
  <c r="N60" i="36"/>
  <c r="O60" i="36"/>
  <c r="P60" i="36"/>
  <c r="Q60" i="36"/>
  <c r="D62" i="36"/>
  <c r="E62" i="36"/>
  <c r="F62" i="36"/>
  <c r="G62" i="36"/>
  <c r="H62" i="36"/>
  <c r="I62" i="36"/>
  <c r="J62" i="36"/>
  <c r="K62" i="36"/>
  <c r="L62" i="36"/>
  <c r="M62" i="36"/>
  <c r="N62" i="36"/>
  <c r="O62" i="36"/>
  <c r="P62" i="36"/>
  <c r="Q62" i="36"/>
  <c r="D63" i="36"/>
  <c r="E63" i="36"/>
  <c r="F63" i="36"/>
  <c r="G63" i="36"/>
  <c r="H63" i="36"/>
  <c r="I63" i="36"/>
  <c r="J63" i="36"/>
  <c r="K63" i="36"/>
  <c r="L63" i="36"/>
  <c r="M63" i="36"/>
  <c r="N63" i="36"/>
  <c r="O63" i="36"/>
  <c r="P63" i="36"/>
  <c r="Q63" i="36"/>
  <c r="D64" i="36"/>
  <c r="E64" i="36"/>
  <c r="F64" i="36"/>
  <c r="G64" i="36"/>
  <c r="H64" i="36"/>
  <c r="I64" i="36"/>
  <c r="J64" i="36"/>
  <c r="K64" i="36"/>
  <c r="L64" i="36"/>
  <c r="Q64" i="36"/>
  <c r="D65" i="36"/>
  <c r="E65" i="36"/>
  <c r="F65" i="36"/>
  <c r="G65" i="36"/>
  <c r="H65" i="36"/>
  <c r="I65" i="36"/>
  <c r="J65" i="36"/>
  <c r="K65" i="36"/>
  <c r="L65" i="36"/>
  <c r="Q65" i="36"/>
  <c r="F66" i="36"/>
  <c r="D67" i="36"/>
  <c r="E67" i="36"/>
  <c r="F67" i="36"/>
  <c r="G67" i="36"/>
  <c r="H67" i="36"/>
  <c r="I67" i="36"/>
  <c r="J67" i="36"/>
  <c r="K67" i="36"/>
  <c r="L67" i="36"/>
  <c r="Q67" i="36"/>
  <c r="D68" i="36"/>
  <c r="E68" i="36"/>
  <c r="F68" i="36"/>
  <c r="G68" i="36"/>
  <c r="H68" i="36"/>
  <c r="I68" i="36"/>
  <c r="J68" i="36"/>
  <c r="K68" i="36"/>
  <c r="L68" i="36"/>
  <c r="M68" i="36"/>
  <c r="N68" i="36"/>
  <c r="O68" i="36"/>
  <c r="P68" i="36"/>
  <c r="Q68" i="36"/>
  <c r="D69" i="36"/>
  <c r="E69" i="36"/>
  <c r="F69" i="36"/>
  <c r="G69" i="36"/>
  <c r="H69" i="36"/>
  <c r="I69" i="36"/>
  <c r="J69" i="36"/>
  <c r="K69" i="36"/>
  <c r="L69" i="36"/>
  <c r="M69" i="36"/>
  <c r="N69" i="36"/>
  <c r="O69" i="36"/>
  <c r="P69" i="36"/>
  <c r="Q69" i="36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D49" i="35"/>
  <c r="E49" i="35"/>
  <c r="F49" i="35"/>
  <c r="G49" i="35"/>
  <c r="H49" i="35"/>
  <c r="I49" i="35"/>
  <c r="J49" i="35"/>
  <c r="K49" i="35"/>
  <c r="L49" i="35"/>
  <c r="M49" i="35"/>
  <c r="N49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Q50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D59" i="35"/>
  <c r="E59" i="35"/>
  <c r="F59" i="35"/>
  <c r="G59" i="35"/>
  <c r="H59" i="35"/>
  <c r="I59" i="35"/>
  <c r="J59" i="35"/>
  <c r="K59" i="35"/>
  <c r="L59" i="35"/>
  <c r="M59" i="35"/>
  <c r="N59" i="35"/>
  <c r="O59" i="35"/>
  <c r="P59" i="35"/>
  <c r="Q59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D64" i="35"/>
  <c r="E64" i="35"/>
  <c r="F64" i="35"/>
  <c r="G64" i="35"/>
  <c r="H64" i="35"/>
  <c r="I64" i="35"/>
  <c r="J64" i="35"/>
  <c r="K64" i="35"/>
  <c r="L64" i="35"/>
  <c r="Q64" i="35"/>
  <c r="D65" i="35"/>
  <c r="E65" i="35"/>
  <c r="F65" i="35"/>
  <c r="G65" i="35"/>
  <c r="H65" i="35"/>
  <c r="I65" i="35"/>
  <c r="J65" i="35"/>
  <c r="K65" i="35"/>
  <c r="L65" i="35"/>
  <c r="Q65" i="35"/>
  <c r="D67" i="35"/>
  <c r="E67" i="35"/>
  <c r="F67" i="35"/>
  <c r="G67" i="35"/>
  <c r="H67" i="35"/>
  <c r="I67" i="35"/>
  <c r="J67" i="35"/>
  <c r="K67" i="35"/>
  <c r="L67" i="35"/>
  <c r="Q67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D23" i="34"/>
  <c r="D28" i="34"/>
  <c r="D29" i="34"/>
  <c r="D31" i="34"/>
  <c r="D32" i="34"/>
  <c r="D33" i="34"/>
  <c r="D43" i="34"/>
  <c r="E43" i="34"/>
  <c r="F43" i="34"/>
  <c r="G43" i="34"/>
  <c r="H43" i="34"/>
  <c r="I43" i="34"/>
  <c r="J43" i="34"/>
  <c r="K43" i="34"/>
  <c r="L43" i="34"/>
  <c r="M43" i="34"/>
  <c r="N43" i="34"/>
  <c r="O43" i="34"/>
  <c r="P43" i="34"/>
  <c r="D44" i="34"/>
  <c r="E44" i="34"/>
  <c r="F44" i="34"/>
  <c r="G44" i="34"/>
  <c r="H44" i="34"/>
  <c r="I44" i="34"/>
  <c r="J44" i="34"/>
  <c r="K44" i="34"/>
  <c r="L44" i="34"/>
  <c r="M44" i="34"/>
  <c r="N44" i="34"/>
  <c r="O44" i="34"/>
  <c r="P44" i="34"/>
  <c r="Q44" i="34"/>
  <c r="D45" i="34"/>
  <c r="E45" i="34"/>
  <c r="F45" i="34"/>
  <c r="G45" i="34"/>
  <c r="H45" i="34"/>
  <c r="I45" i="34"/>
  <c r="J45" i="34"/>
  <c r="K45" i="34"/>
  <c r="L45" i="34"/>
  <c r="M45" i="34"/>
  <c r="N45" i="34"/>
  <c r="O45" i="34"/>
  <c r="P45" i="34"/>
  <c r="Q45" i="34"/>
  <c r="D46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D47" i="34"/>
  <c r="E47" i="34"/>
  <c r="F47" i="34"/>
  <c r="G47" i="34"/>
  <c r="H47" i="34"/>
  <c r="I47" i="34"/>
  <c r="J47" i="34"/>
  <c r="K47" i="34"/>
  <c r="L47" i="34"/>
  <c r="M47" i="34"/>
  <c r="N47" i="34"/>
  <c r="O47" i="34"/>
  <c r="P47" i="34"/>
  <c r="Q47" i="34"/>
  <c r="D48" i="34"/>
  <c r="E48" i="34"/>
  <c r="F48" i="34"/>
  <c r="G48" i="34"/>
  <c r="H48" i="34"/>
  <c r="I48" i="34"/>
  <c r="J48" i="34"/>
  <c r="K48" i="34"/>
  <c r="L48" i="34"/>
  <c r="M48" i="34"/>
  <c r="N48" i="34"/>
  <c r="O48" i="34"/>
  <c r="P48" i="34"/>
  <c r="Q48" i="34"/>
  <c r="D49" i="34"/>
  <c r="E49" i="34"/>
  <c r="F49" i="34"/>
  <c r="G49" i="34"/>
  <c r="H49" i="34"/>
  <c r="I49" i="34"/>
  <c r="J49" i="34"/>
  <c r="K49" i="34"/>
  <c r="L49" i="34"/>
  <c r="D50" i="34"/>
  <c r="E50" i="34"/>
  <c r="F50" i="34"/>
  <c r="G50" i="34"/>
  <c r="H50" i="34"/>
  <c r="I50" i="34"/>
  <c r="J50" i="34"/>
  <c r="K50" i="34"/>
  <c r="L50" i="34"/>
  <c r="M50" i="34"/>
  <c r="N50" i="34"/>
  <c r="O50" i="34"/>
  <c r="P50" i="34"/>
  <c r="Q50" i="34"/>
  <c r="D51" i="34"/>
  <c r="E51" i="34"/>
  <c r="F51" i="34"/>
  <c r="G51" i="34"/>
  <c r="H51" i="34"/>
  <c r="I51" i="34"/>
  <c r="J51" i="34"/>
  <c r="K51" i="34"/>
  <c r="L51" i="34"/>
  <c r="M51" i="34"/>
  <c r="N51" i="34"/>
  <c r="O51" i="34"/>
  <c r="P51" i="34"/>
  <c r="Q51" i="34"/>
  <c r="D52" i="34"/>
  <c r="E52" i="34"/>
  <c r="F52" i="34"/>
  <c r="G52" i="34"/>
  <c r="H52" i="34"/>
  <c r="I52" i="34"/>
  <c r="J52" i="34"/>
  <c r="K52" i="34"/>
  <c r="L52" i="34"/>
  <c r="M52" i="34"/>
  <c r="N52" i="34"/>
  <c r="O52" i="34"/>
  <c r="P52" i="34"/>
  <c r="Q52" i="34"/>
  <c r="D53" i="34"/>
  <c r="E53" i="34"/>
  <c r="F53" i="34"/>
  <c r="G53" i="34"/>
  <c r="H53" i="34"/>
  <c r="I53" i="34"/>
  <c r="J53" i="34"/>
  <c r="K53" i="34"/>
  <c r="L53" i="34"/>
  <c r="M53" i="34"/>
  <c r="N53" i="34"/>
  <c r="O53" i="34"/>
  <c r="P53" i="34"/>
  <c r="Q53" i="34"/>
  <c r="D54" i="34"/>
  <c r="E54" i="34"/>
  <c r="F54" i="34"/>
  <c r="G54" i="34"/>
  <c r="H54" i="34"/>
  <c r="I54" i="34"/>
  <c r="J54" i="34"/>
  <c r="K54" i="34"/>
  <c r="L54" i="34"/>
  <c r="M54" i="34"/>
  <c r="N54" i="34"/>
  <c r="O54" i="34"/>
  <c r="P54" i="34"/>
  <c r="Q54" i="34"/>
  <c r="D56" i="34"/>
  <c r="E56" i="34"/>
  <c r="F56" i="34"/>
  <c r="G56" i="34"/>
  <c r="H56" i="34"/>
  <c r="I56" i="34"/>
  <c r="J56" i="34"/>
  <c r="K56" i="34"/>
  <c r="L56" i="34"/>
  <c r="M56" i="34"/>
  <c r="N56" i="34"/>
  <c r="O56" i="34"/>
  <c r="P56" i="34"/>
  <c r="Q56" i="34"/>
  <c r="D59" i="34"/>
  <c r="E59" i="34"/>
  <c r="F59" i="34"/>
  <c r="G59" i="34"/>
  <c r="H59" i="34"/>
  <c r="I59" i="34"/>
  <c r="J59" i="34"/>
  <c r="K59" i="34"/>
  <c r="L59" i="34"/>
  <c r="M59" i="34"/>
  <c r="N59" i="34"/>
  <c r="O59" i="34"/>
  <c r="P59" i="34"/>
  <c r="D60" i="34"/>
  <c r="E60" i="34"/>
  <c r="F60" i="34"/>
  <c r="G60" i="34"/>
  <c r="H60" i="34"/>
  <c r="I60" i="34"/>
  <c r="J60" i="34"/>
  <c r="K60" i="34"/>
  <c r="L60" i="34"/>
  <c r="M60" i="34"/>
  <c r="N60" i="34"/>
  <c r="O60" i="34"/>
  <c r="P60" i="34"/>
  <c r="Q60" i="34"/>
  <c r="D62" i="34"/>
  <c r="E62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D63" i="34"/>
  <c r="E63" i="34"/>
  <c r="F63" i="34"/>
  <c r="G63" i="34"/>
  <c r="H63" i="34"/>
  <c r="I63" i="34"/>
  <c r="J63" i="34"/>
  <c r="K63" i="34"/>
  <c r="L63" i="34"/>
  <c r="M63" i="34"/>
  <c r="N63" i="34"/>
  <c r="O63" i="34"/>
  <c r="P63" i="34"/>
  <c r="Q63" i="34"/>
  <c r="D64" i="34"/>
  <c r="E64" i="34"/>
  <c r="F64" i="34"/>
  <c r="G64" i="34"/>
  <c r="H64" i="34"/>
  <c r="I64" i="34"/>
  <c r="J64" i="34"/>
  <c r="K64" i="34"/>
  <c r="L64" i="34"/>
  <c r="Q64" i="34"/>
  <c r="D65" i="34"/>
  <c r="E65" i="34"/>
  <c r="F65" i="34"/>
  <c r="G65" i="34"/>
  <c r="H65" i="34"/>
  <c r="I65" i="34"/>
  <c r="J65" i="34"/>
  <c r="K65" i="34"/>
  <c r="L65" i="34"/>
  <c r="Q65" i="34"/>
  <c r="D67" i="34"/>
  <c r="E67" i="34"/>
  <c r="F67" i="34"/>
  <c r="G67" i="34"/>
  <c r="H67" i="34"/>
  <c r="I67" i="34"/>
  <c r="J67" i="34"/>
  <c r="K67" i="34"/>
  <c r="L67" i="34"/>
  <c r="Q67" i="34"/>
  <c r="D68" i="34"/>
  <c r="E68" i="34"/>
  <c r="F68" i="34"/>
  <c r="G68" i="34"/>
  <c r="H68" i="34"/>
  <c r="I68" i="34"/>
  <c r="J68" i="34"/>
  <c r="K68" i="34"/>
  <c r="L68" i="34"/>
  <c r="M68" i="34"/>
  <c r="N68" i="34"/>
  <c r="O68" i="34"/>
  <c r="P68" i="34"/>
  <c r="Q68" i="34"/>
  <c r="D69" i="34"/>
  <c r="E69" i="34"/>
  <c r="F69" i="34"/>
  <c r="G69" i="34"/>
  <c r="H69" i="34"/>
  <c r="I69" i="34"/>
  <c r="J69" i="34"/>
  <c r="K69" i="34"/>
  <c r="L69" i="34"/>
  <c r="M69" i="34"/>
  <c r="N69" i="34"/>
  <c r="O69" i="34"/>
  <c r="P69" i="34"/>
  <c r="Q69" i="34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D64" i="32"/>
  <c r="E64" i="32"/>
  <c r="F64" i="32"/>
  <c r="G64" i="32"/>
  <c r="H64" i="32"/>
  <c r="I64" i="32"/>
  <c r="J64" i="32"/>
  <c r="K64" i="32"/>
  <c r="L64" i="32"/>
  <c r="Q64" i="32"/>
  <c r="D65" i="32"/>
  <c r="E65" i="32"/>
  <c r="F65" i="32"/>
  <c r="G65" i="32"/>
  <c r="H65" i="32"/>
  <c r="I65" i="32"/>
  <c r="J65" i="32"/>
  <c r="K65" i="32"/>
  <c r="L65" i="32"/>
  <c r="Q65" i="32"/>
  <c r="D67" i="32"/>
  <c r="E67" i="32"/>
  <c r="F67" i="32"/>
  <c r="G67" i="32"/>
  <c r="H67" i="32"/>
  <c r="I67" i="32"/>
  <c r="J67" i="32"/>
  <c r="K67" i="32"/>
  <c r="L67" i="32"/>
  <c r="Q67" i="32"/>
  <c r="D68" i="32"/>
  <c r="E68" i="32"/>
  <c r="F68" i="32"/>
  <c r="G68" i="32"/>
  <c r="H68" i="32"/>
  <c r="I68" i="32"/>
  <c r="J68" i="32"/>
  <c r="K68" i="32"/>
  <c r="L68" i="32"/>
  <c r="M68" i="32"/>
  <c r="N68" i="32"/>
  <c r="O68" i="32"/>
  <c r="P68" i="32"/>
  <c r="Q68" i="32"/>
  <c r="D69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D23" i="33"/>
  <c r="E23" i="33"/>
  <c r="F23" i="33"/>
  <c r="G23" i="33"/>
  <c r="H23" i="33"/>
  <c r="I23" i="33"/>
  <c r="J23" i="33"/>
  <c r="K23" i="33"/>
  <c r="L23" i="33"/>
  <c r="M23" i="33"/>
  <c r="N23" i="33"/>
  <c r="O23" i="33"/>
  <c r="P23" i="33"/>
  <c r="Q23" i="33"/>
  <c r="D43" i="33"/>
  <c r="E43" i="33"/>
  <c r="F43" i="33"/>
  <c r="G43" i="33"/>
  <c r="H43" i="33"/>
  <c r="I43" i="33"/>
  <c r="J43" i="33"/>
  <c r="K43" i="33"/>
  <c r="L43" i="33"/>
  <c r="M43" i="33"/>
  <c r="N43" i="33"/>
  <c r="O43" i="33"/>
  <c r="P43" i="33"/>
  <c r="Q43" i="33"/>
  <c r="D44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D45" i="33"/>
  <c r="E45" i="33"/>
  <c r="F45" i="33"/>
  <c r="G45" i="33"/>
  <c r="H45" i="33"/>
  <c r="I45" i="33"/>
  <c r="J45" i="33"/>
  <c r="K45" i="33"/>
  <c r="L45" i="33"/>
  <c r="M45" i="33"/>
  <c r="N45" i="33"/>
  <c r="O45" i="33"/>
  <c r="P45" i="33"/>
  <c r="Q45" i="33"/>
  <c r="D46" i="33"/>
  <c r="E46" i="33"/>
  <c r="F46" i="33"/>
  <c r="G46" i="33"/>
  <c r="H46" i="33"/>
  <c r="I46" i="33"/>
  <c r="J46" i="33"/>
  <c r="K46" i="33"/>
  <c r="L46" i="33"/>
  <c r="M46" i="33"/>
  <c r="N46" i="33"/>
  <c r="O46" i="33"/>
  <c r="P46" i="33"/>
  <c r="Q46" i="33"/>
  <c r="D47" i="33"/>
  <c r="E47" i="33"/>
  <c r="F47" i="33"/>
  <c r="G47" i="33"/>
  <c r="H47" i="33"/>
  <c r="I47" i="33"/>
  <c r="J47" i="33"/>
  <c r="K47" i="33"/>
  <c r="L47" i="33"/>
  <c r="M47" i="33"/>
  <c r="N47" i="33"/>
  <c r="O47" i="33"/>
  <c r="P47" i="33"/>
  <c r="Q47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D49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D51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D52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D53" i="33"/>
  <c r="E53" i="33"/>
  <c r="F53" i="33"/>
  <c r="G53" i="33"/>
  <c r="H53" i="33"/>
  <c r="I53" i="33"/>
  <c r="J53" i="33"/>
  <c r="K53" i="33"/>
  <c r="L53" i="33"/>
  <c r="M53" i="33"/>
  <c r="N53" i="33"/>
  <c r="O53" i="33"/>
  <c r="P53" i="33"/>
  <c r="Q53" i="33"/>
  <c r="D54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D56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D59" i="33"/>
  <c r="E59" i="33"/>
  <c r="F59" i="33"/>
  <c r="G59" i="33"/>
  <c r="H59" i="33"/>
  <c r="I59" i="33"/>
  <c r="J59" i="33"/>
  <c r="K59" i="33"/>
  <c r="L59" i="33"/>
  <c r="M59" i="33"/>
  <c r="N59" i="33"/>
  <c r="O59" i="33"/>
  <c r="P59" i="33"/>
  <c r="Q59" i="33"/>
  <c r="D60" i="33"/>
  <c r="E60" i="33"/>
  <c r="F60" i="33"/>
  <c r="G60" i="33"/>
  <c r="H60" i="33"/>
  <c r="I60" i="33"/>
  <c r="J60" i="33"/>
  <c r="K60" i="33"/>
  <c r="L60" i="33"/>
  <c r="M60" i="33"/>
  <c r="N60" i="33"/>
  <c r="O60" i="33"/>
  <c r="P60" i="33"/>
  <c r="Q60" i="33"/>
  <c r="D62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D63" i="33"/>
  <c r="E63" i="33"/>
  <c r="F63" i="33"/>
  <c r="G63" i="33"/>
  <c r="H63" i="33"/>
  <c r="I63" i="33"/>
  <c r="J63" i="33"/>
  <c r="K63" i="33"/>
  <c r="L63" i="33"/>
  <c r="M63" i="33"/>
  <c r="N63" i="33"/>
  <c r="O63" i="33"/>
  <c r="P63" i="33"/>
  <c r="Q63" i="33"/>
  <c r="D64" i="33"/>
  <c r="E64" i="33"/>
  <c r="F64" i="33"/>
  <c r="G64" i="33"/>
  <c r="H64" i="33"/>
  <c r="I64" i="33"/>
  <c r="J64" i="33"/>
  <c r="K64" i="33"/>
  <c r="L64" i="33"/>
  <c r="Q64" i="33"/>
  <c r="D65" i="33"/>
  <c r="E65" i="33"/>
  <c r="F65" i="33"/>
  <c r="G65" i="33"/>
  <c r="H65" i="33"/>
  <c r="I65" i="33"/>
  <c r="J65" i="33"/>
  <c r="K65" i="33"/>
  <c r="L65" i="33"/>
  <c r="Q65" i="33"/>
  <c r="D67" i="33"/>
  <c r="E67" i="33"/>
  <c r="F67" i="33"/>
  <c r="G67" i="33"/>
  <c r="H67" i="33"/>
  <c r="I67" i="33"/>
  <c r="J67" i="33"/>
  <c r="K67" i="33"/>
  <c r="L67" i="33"/>
  <c r="Q67" i="33"/>
  <c r="D68" i="33"/>
  <c r="E68" i="33"/>
  <c r="F68" i="33"/>
  <c r="G68" i="33"/>
  <c r="H68" i="33"/>
  <c r="I68" i="33"/>
  <c r="J68" i="33"/>
  <c r="K68" i="33"/>
  <c r="L68" i="33"/>
  <c r="M68" i="33"/>
  <c r="N68" i="33"/>
  <c r="O68" i="33"/>
  <c r="P68" i="33"/>
  <c r="Q68" i="33"/>
  <c r="D69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D49" i="31"/>
  <c r="E49" i="31"/>
  <c r="F49" i="31"/>
  <c r="G49" i="31"/>
  <c r="H49" i="31"/>
  <c r="I49" i="31"/>
  <c r="J49" i="31"/>
  <c r="K49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D64" i="31"/>
  <c r="E64" i="31"/>
  <c r="F64" i="31"/>
  <c r="G64" i="31"/>
  <c r="H64" i="31"/>
  <c r="I64" i="31"/>
  <c r="J64" i="31"/>
  <c r="K64" i="31"/>
  <c r="L64" i="31"/>
  <c r="Q64" i="31"/>
  <c r="D65" i="31"/>
  <c r="E65" i="31"/>
  <c r="F65" i="31"/>
  <c r="G65" i="31"/>
  <c r="H65" i="31"/>
  <c r="I65" i="31"/>
  <c r="J65" i="31"/>
  <c r="K65" i="31"/>
  <c r="L65" i="31"/>
  <c r="Q65" i="31"/>
  <c r="D67" i="31"/>
  <c r="E67" i="31"/>
  <c r="F67" i="31"/>
  <c r="G67" i="31"/>
  <c r="H67" i="31"/>
  <c r="I67" i="31"/>
  <c r="J67" i="31"/>
  <c r="K67" i="31"/>
  <c r="L67" i="31"/>
  <c r="Q67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D46" i="30"/>
  <c r="E46" i="30"/>
  <c r="F46" i="30"/>
  <c r="G46" i="30"/>
  <c r="H46" i="30"/>
  <c r="I46" i="30"/>
  <c r="J46" i="30"/>
  <c r="K46" i="30"/>
  <c r="L46" i="30"/>
  <c r="M46" i="30"/>
  <c r="N46" i="30"/>
  <c r="O46" i="30"/>
  <c r="P46" i="30"/>
  <c r="Q46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D48" i="30"/>
  <c r="E48" i="30"/>
  <c r="F48" i="30"/>
  <c r="G48" i="30"/>
  <c r="H48" i="30"/>
  <c r="I48" i="30"/>
  <c r="J48" i="30"/>
  <c r="K48" i="30"/>
  <c r="L48" i="30"/>
  <c r="M48" i="30"/>
  <c r="N48" i="30"/>
  <c r="O48" i="30"/>
  <c r="P48" i="30"/>
  <c r="Q48" i="30"/>
  <c r="D49" i="30"/>
  <c r="E49" i="30"/>
  <c r="F49" i="30"/>
  <c r="G49" i="30"/>
  <c r="H49" i="30"/>
  <c r="I49" i="30"/>
  <c r="J49" i="30"/>
  <c r="K49" i="30"/>
  <c r="L49" i="30"/>
  <c r="M49" i="30"/>
  <c r="N49" i="30"/>
  <c r="P49" i="30"/>
  <c r="D50" i="30"/>
  <c r="E50" i="30"/>
  <c r="F50" i="30"/>
  <c r="G50" i="30"/>
  <c r="H50" i="30"/>
  <c r="I50" i="30"/>
  <c r="J50" i="30"/>
  <c r="K50" i="30"/>
  <c r="L50" i="30"/>
  <c r="M50" i="30"/>
  <c r="N50" i="30"/>
  <c r="O50" i="30"/>
  <c r="P50" i="30"/>
  <c r="Q50" i="30"/>
  <c r="D51" i="30"/>
  <c r="E51" i="30"/>
  <c r="F51" i="30"/>
  <c r="G51" i="30"/>
  <c r="H51" i="30"/>
  <c r="I51" i="30"/>
  <c r="J51" i="30"/>
  <c r="K51" i="30"/>
  <c r="L51" i="30"/>
  <c r="M51" i="30"/>
  <c r="N51" i="30"/>
  <c r="O51" i="30"/>
  <c r="P51" i="30"/>
  <c r="Q51" i="30"/>
  <c r="D52" i="30"/>
  <c r="E52" i="30"/>
  <c r="F52" i="30"/>
  <c r="G52" i="30"/>
  <c r="H52" i="30"/>
  <c r="I52" i="30"/>
  <c r="J52" i="30"/>
  <c r="K52" i="30"/>
  <c r="L52" i="30"/>
  <c r="M52" i="30"/>
  <c r="N52" i="30"/>
  <c r="O52" i="30"/>
  <c r="P52" i="30"/>
  <c r="Q52" i="30"/>
  <c r="D53" i="30"/>
  <c r="E53" i="30"/>
  <c r="F53" i="30"/>
  <c r="G53" i="30"/>
  <c r="H53" i="30"/>
  <c r="I53" i="30"/>
  <c r="J53" i="30"/>
  <c r="K53" i="30"/>
  <c r="L53" i="30"/>
  <c r="M53" i="30"/>
  <c r="N53" i="30"/>
  <c r="O53" i="30"/>
  <c r="P53" i="30"/>
  <c r="Q53" i="30"/>
  <c r="D54" i="30"/>
  <c r="E54" i="30"/>
  <c r="F54" i="30"/>
  <c r="G54" i="30"/>
  <c r="H54" i="30"/>
  <c r="I54" i="30"/>
  <c r="J54" i="30"/>
  <c r="K54" i="30"/>
  <c r="L54" i="30"/>
  <c r="M54" i="30"/>
  <c r="N54" i="30"/>
  <c r="O54" i="30"/>
  <c r="P54" i="30"/>
  <c r="Q54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D60" i="30"/>
  <c r="E60" i="30"/>
  <c r="F60" i="30"/>
  <c r="G60" i="30"/>
  <c r="H60" i="30"/>
  <c r="I60" i="30"/>
  <c r="J60" i="30"/>
  <c r="K60" i="30"/>
  <c r="L60" i="30"/>
  <c r="M60" i="30"/>
  <c r="N60" i="30"/>
  <c r="O60" i="30"/>
  <c r="P60" i="30"/>
  <c r="Q60" i="30"/>
  <c r="D62" i="30"/>
  <c r="E62" i="30"/>
  <c r="F62" i="30"/>
  <c r="G62" i="30"/>
  <c r="H62" i="30"/>
  <c r="I62" i="30"/>
  <c r="J62" i="30"/>
  <c r="K62" i="30"/>
  <c r="L62" i="30"/>
  <c r="M62" i="30"/>
  <c r="N62" i="30"/>
  <c r="O62" i="30"/>
  <c r="P62" i="30"/>
  <c r="Q62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D64" i="30"/>
  <c r="E64" i="30"/>
  <c r="F64" i="30"/>
  <c r="G64" i="30"/>
  <c r="H64" i="30"/>
  <c r="I64" i="30"/>
  <c r="J64" i="30"/>
  <c r="K64" i="30"/>
  <c r="L64" i="30"/>
  <c r="M64" i="30"/>
  <c r="Q64" i="30"/>
  <c r="D65" i="30"/>
  <c r="E65" i="30"/>
  <c r="F65" i="30"/>
  <c r="G65" i="30"/>
  <c r="H65" i="30"/>
  <c r="I65" i="30"/>
  <c r="J65" i="30"/>
  <c r="K65" i="30"/>
  <c r="L65" i="30"/>
  <c r="Q65" i="30"/>
  <c r="D67" i="30"/>
  <c r="E67" i="30"/>
  <c r="F67" i="30"/>
  <c r="G67" i="30"/>
  <c r="H67" i="30"/>
  <c r="I67" i="30"/>
  <c r="J67" i="30"/>
  <c r="K67" i="30"/>
  <c r="L67" i="30"/>
  <c r="Q67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D64" i="29"/>
  <c r="E64" i="29"/>
  <c r="F64" i="29"/>
  <c r="G64" i="29"/>
  <c r="H64" i="29"/>
  <c r="I64" i="29"/>
  <c r="J64" i="29"/>
  <c r="K64" i="29"/>
  <c r="L64" i="29"/>
  <c r="Q64" i="29"/>
  <c r="D65" i="29"/>
  <c r="E65" i="29"/>
  <c r="F65" i="29"/>
  <c r="G65" i="29"/>
  <c r="H65" i="29"/>
  <c r="I65" i="29"/>
  <c r="J65" i="29"/>
  <c r="K65" i="29"/>
  <c r="L65" i="29"/>
  <c r="Q65" i="29"/>
  <c r="K66" i="29"/>
  <c r="D67" i="29"/>
  <c r="E67" i="29"/>
  <c r="F67" i="29"/>
  <c r="G67" i="29"/>
  <c r="H67" i="29"/>
  <c r="I67" i="29"/>
  <c r="J67" i="29"/>
  <c r="K67" i="29"/>
  <c r="L67" i="29"/>
  <c r="Q67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Q44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D48" i="28"/>
  <c r="E48" i="28"/>
  <c r="F48" i="28"/>
  <c r="G48" i="28"/>
  <c r="H48" i="28"/>
  <c r="I48" i="28"/>
  <c r="J48" i="28"/>
  <c r="K48" i="28"/>
  <c r="L48" i="28"/>
  <c r="M48" i="28"/>
  <c r="N48" i="28"/>
  <c r="O48" i="28"/>
  <c r="P48" i="28"/>
  <c r="Q48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D50" i="28"/>
  <c r="E50" i="28"/>
  <c r="F50" i="28"/>
  <c r="G50" i="28"/>
  <c r="H50" i="28"/>
  <c r="I50" i="28"/>
  <c r="J50" i="28"/>
  <c r="K50" i="28"/>
  <c r="L50" i="28"/>
  <c r="M50" i="28"/>
  <c r="N50" i="28"/>
  <c r="O50" i="28"/>
  <c r="P50" i="28"/>
  <c r="Q50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D52" i="28"/>
  <c r="E52" i="28"/>
  <c r="F52" i="28"/>
  <c r="G52" i="28"/>
  <c r="H52" i="28"/>
  <c r="I52" i="28"/>
  <c r="J52" i="28"/>
  <c r="K52" i="28"/>
  <c r="L52" i="28"/>
  <c r="M52" i="28"/>
  <c r="N52" i="28"/>
  <c r="O52" i="28"/>
  <c r="P52" i="28"/>
  <c r="Q52" i="28"/>
  <c r="D53" i="28"/>
  <c r="E53" i="28"/>
  <c r="F53" i="28"/>
  <c r="G53" i="28"/>
  <c r="H53" i="28"/>
  <c r="I53" i="28"/>
  <c r="J53" i="28"/>
  <c r="K53" i="28"/>
  <c r="L53" i="28"/>
  <c r="M53" i="28"/>
  <c r="N53" i="28"/>
  <c r="O53" i="28"/>
  <c r="P53" i="28"/>
  <c r="Q53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D62" i="28"/>
  <c r="E62" i="28"/>
  <c r="F62" i="28"/>
  <c r="G62" i="28"/>
  <c r="H62" i="28"/>
  <c r="I62" i="28"/>
  <c r="J62" i="28"/>
  <c r="K62" i="28"/>
  <c r="L62" i="28"/>
  <c r="M62" i="28"/>
  <c r="N62" i="28"/>
  <c r="O62" i="28"/>
  <c r="P62" i="28"/>
  <c r="Q62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D64" i="28"/>
  <c r="E64" i="28"/>
  <c r="F64" i="28"/>
  <c r="G64" i="28"/>
  <c r="H64" i="28"/>
  <c r="I64" i="28"/>
  <c r="J64" i="28"/>
  <c r="K64" i="28"/>
  <c r="L64" i="28"/>
  <c r="Q64" i="28"/>
  <c r="D65" i="28"/>
  <c r="E65" i="28"/>
  <c r="F65" i="28"/>
  <c r="G65" i="28"/>
  <c r="H65" i="28"/>
  <c r="I65" i="28"/>
  <c r="J65" i="28"/>
  <c r="K65" i="28"/>
  <c r="L65" i="28"/>
  <c r="Q65" i="28"/>
  <c r="D67" i="28"/>
  <c r="E67" i="28"/>
  <c r="F67" i="28"/>
  <c r="G67" i="28"/>
  <c r="H67" i="28"/>
  <c r="I67" i="28"/>
  <c r="J67" i="28"/>
  <c r="K67" i="28"/>
  <c r="L67" i="28"/>
  <c r="Q67" i="28"/>
  <c r="D68" i="28"/>
  <c r="E68" i="28"/>
  <c r="F68" i="28"/>
  <c r="G68" i="28"/>
  <c r="H68" i="28"/>
  <c r="I68" i="28"/>
  <c r="J68" i="28"/>
  <c r="K68" i="28"/>
  <c r="L68" i="28"/>
  <c r="M68" i="28"/>
  <c r="N68" i="28"/>
  <c r="O68" i="28"/>
  <c r="P68" i="28"/>
  <c r="Q68" i="28"/>
  <c r="D69" i="28"/>
  <c r="E69" i="28"/>
  <c r="F69" i="28"/>
  <c r="G69" i="28"/>
  <c r="H69" i="28"/>
  <c r="I69" i="28"/>
  <c r="J69" i="28"/>
  <c r="K69" i="28"/>
  <c r="L69" i="28"/>
  <c r="M69" i="28"/>
  <c r="N69" i="28"/>
  <c r="O69" i="28"/>
  <c r="P69" i="28"/>
  <c r="Q69" i="28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D49" i="27"/>
  <c r="E49" i="27"/>
  <c r="F49" i="27"/>
  <c r="G49" i="27"/>
  <c r="H49" i="27"/>
  <c r="I49" i="27"/>
  <c r="J49" i="27"/>
  <c r="K49" i="27"/>
  <c r="L49" i="27"/>
  <c r="M49" i="27"/>
  <c r="N49" i="27"/>
  <c r="P49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D64" i="27"/>
  <c r="E64" i="27"/>
  <c r="F64" i="27"/>
  <c r="G64" i="27"/>
  <c r="H64" i="27"/>
  <c r="I64" i="27"/>
  <c r="J64" i="27"/>
  <c r="K64" i="27"/>
  <c r="L64" i="27"/>
  <c r="Q64" i="27"/>
  <c r="D65" i="27"/>
  <c r="E65" i="27"/>
  <c r="F65" i="27"/>
  <c r="G65" i="27"/>
  <c r="H65" i="27"/>
  <c r="I65" i="27"/>
  <c r="J65" i="27"/>
  <c r="K65" i="27"/>
  <c r="L65" i="27"/>
  <c r="Q65" i="27"/>
  <c r="D67" i="27"/>
  <c r="E67" i="27"/>
  <c r="F67" i="27"/>
  <c r="G67" i="27"/>
  <c r="H67" i="27"/>
  <c r="I67" i="27"/>
  <c r="J67" i="27"/>
  <c r="K67" i="27"/>
  <c r="L67" i="27"/>
  <c r="Q67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K23" i="26"/>
  <c r="H43" i="26"/>
  <c r="M43" i="26"/>
  <c r="E44" i="26"/>
  <c r="Q45" i="26"/>
  <c r="K47" i="26"/>
  <c r="O47" i="26"/>
  <c r="O48" i="26"/>
  <c r="I50" i="26"/>
  <c r="P50" i="26"/>
  <c r="K51" i="26"/>
  <c r="O51" i="26"/>
  <c r="I52" i="26"/>
  <c r="H53" i="26"/>
  <c r="M53" i="26"/>
  <c r="O59" i="26"/>
  <c r="J60" i="26"/>
  <c r="O60" i="26"/>
  <c r="M62" i="26"/>
  <c r="J63" i="26"/>
  <c r="P63" i="26"/>
  <c r="I67" i="26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D44" i="25"/>
  <c r="E44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D46" i="25"/>
  <c r="E46" i="25"/>
  <c r="F46" i="25"/>
  <c r="G46" i="25"/>
  <c r="H46" i="25"/>
  <c r="I46" i="25"/>
  <c r="J46" i="25"/>
  <c r="K46" i="25"/>
  <c r="L46" i="25"/>
  <c r="M46" i="25"/>
  <c r="N46" i="25"/>
  <c r="O46" i="25"/>
  <c r="P46" i="25"/>
  <c r="Q46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D48" i="25"/>
  <c r="E48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D49" i="25"/>
  <c r="E49" i="25"/>
  <c r="F49" i="25"/>
  <c r="G49" i="25"/>
  <c r="H49" i="25"/>
  <c r="I49" i="25"/>
  <c r="J49" i="25"/>
  <c r="K49" i="25"/>
  <c r="L49" i="25"/>
  <c r="M49" i="25"/>
  <c r="D50" i="25"/>
  <c r="E50" i="25"/>
  <c r="F50" i="25"/>
  <c r="G50" i="25"/>
  <c r="H50" i="25"/>
  <c r="I50" i="25"/>
  <c r="J50" i="25"/>
  <c r="K50" i="25"/>
  <c r="L50" i="25"/>
  <c r="M50" i="25"/>
  <c r="N50" i="25"/>
  <c r="O50" i="25"/>
  <c r="P50" i="25"/>
  <c r="Q50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D52" i="25"/>
  <c r="E52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D53" i="25"/>
  <c r="E53" i="25"/>
  <c r="F53" i="25"/>
  <c r="G53" i="25"/>
  <c r="H53" i="25"/>
  <c r="I53" i="25"/>
  <c r="J53" i="25"/>
  <c r="K53" i="25"/>
  <c r="L53" i="25"/>
  <c r="M53" i="25"/>
  <c r="N53" i="25"/>
  <c r="O53" i="25"/>
  <c r="P53" i="25"/>
  <c r="Q53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D62" i="25"/>
  <c r="E62" i="25"/>
  <c r="F62" i="25"/>
  <c r="G62" i="25"/>
  <c r="H62" i="25"/>
  <c r="I62" i="25"/>
  <c r="J62" i="25"/>
  <c r="K62" i="25"/>
  <c r="L62" i="25"/>
  <c r="M62" i="25"/>
  <c r="N62" i="25"/>
  <c r="O62" i="25"/>
  <c r="P62" i="25"/>
  <c r="Q62" i="25"/>
  <c r="D63" i="25"/>
  <c r="E63" i="25"/>
  <c r="F63" i="25"/>
  <c r="G63" i="25"/>
  <c r="H63" i="25"/>
  <c r="I63" i="25"/>
  <c r="J63" i="25"/>
  <c r="K63" i="25"/>
  <c r="L63" i="25"/>
  <c r="M63" i="25"/>
  <c r="N63" i="25"/>
  <c r="O63" i="25"/>
  <c r="P63" i="25"/>
  <c r="Q63" i="25"/>
  <c r="D64" i="25"/>
  <c r="E64" i="25"/>
  <c r="F64" i="25"/>
  <c r="G64" i="25"/>
  <c r="H64" i="25"/>
  <c r="I64" i="25"/>
  <c r="J64" i="25"/>
  <c r="K64" i="25"/>
  <c r="L64" i="25"/>
  <c r="Q64" i="25"/>
  <c r="D65" i="25"/>
  <c r="E65" i="25"/>
  <c r="F65" i="25"/>
  <c r="G65" i="25"/>
  <c r="H65" i="25"/>
  <c r="I65" i="25"/>
  <c r="J65" i="25"/>
  <c r="K65" i="25"/>
  <c r="L65" i="25"/>
  <c r="Q65" i="25"/>
  <c r="D67" i="25"/>
  <c r="E67" i="25"/>
  <c r="F67" i="25"/>
  <c r="G67" i="25"/>
  <c r="H67" i="25"/>
  <c r="I67" i="25"/>
  <c r="J67" i="25"/>
  <c r="K67" i="25"/>
  <c r="L67" i="25"/>
  <c r="Q67" i="25"/>
  <c r="D68" i="25"/>
  <c r="E68" i="25"/>
  <c r="F68" i="25"/>
  <c r="G68" i="25"/>
  <c r="H68" i="25"/>
  <c r="I68" i="25"/>
  <c r="J68" i="25"/>
  <c r="K68" i="25"/>
  <c r="L68" i="25"/>
  <c r="M68" i="25"/>
  <c r="N68" i="25"/>
  <c r="O68" i="25"/>
  <c r="P68" i="25"/>
  <c r="Q68" i="25"/>
  <c r="D69" i="25"/>
  <c r="E69" i="25"/>
  <c r="F69" i="25"/>
  <c r="G69" i="25"/>
  <c r="H69" i="25"/>
  <c r="I69" i="25"/>
  <c r="J69" i="25"/>
  <c r="K69" i="25"/>
  <c r="L69" i="25"/>
  <c r="M69" i="25"/>
  <c r="N69" i="25"/>
  <c r="O69" i="25"/>
  <c r="P69" i="25"/>
  <c r="Q69" i="25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D44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D48" i="24"/>
  <c r="E48" i="24"/>
  <c r="F48" i="24"/>
  <c r="G48" i="24"/>
  <c r="H48" i="24"/>
  <c r="I48" i="24"/>
  <c r="J48" i="24"/>
  <c r="K48" i="24"/>
  <c r="L48" i="24"/>
  <c r="M48" i="24"/>
  <c r="N48" i="24"/>
  <c r="D49" i="24"/>
  <c r="E49" i="24"/>
  <c r="F49" i="24"/>
  <c r="G49" i="24"/>
  <c r="H49" i="24"/>
  <c r="I49" i="24"/>
  <c r="J49" i="24"/>
  <c r="K49" i="24"/>
  <c r="L49" i="24"/>
  <c r="M49" i="24"/>
  <c r="D50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D53" i="24"/>
  <c r="E53" i="24"/>
  <c r="F53" i="24"/>
  <c r="G53" i="24"/>
  <c r="H53" i="24"/>
  <c r="I53" i="24"/>
  <c r="J53" i="24"/>
  <c r="K53" i="24"/>
  <c r="L53" i="24"/>
  <c r="M53" i="24"/>
  <c r="N53" i="24"/>
  <c r="O53" i="24"/>
  <c r="P53" i="24"/>
  <c r="Q53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D64" i="24"/>
  <c r="E64" i="24"/>
  <c r="F64" i="24"/>
  <c r="G64" i="24"/>
  <c r="H64" i="24"/>
  <c r="I64" i="24"/>
  <c r="J64" i="24"/>
  <c r="K64" i="24"/>
  <c r="Q64" i="24"/>
  <c r="D65" i="24"/>
  <c r="E65" i="24"/>
  <c r="F65" i="24"/>
  <c r="G65" i="24"/>
  <c r="H65" i="24"/>
  <c r="I65" i="24"/>
  <c r="J65" i="24"/>
  <c r="K65" i="24"/>
  <c r="L65" i="24"/>
  <c r="Q65" i="24"/>
  <c r="D67" i="24"/>
  <c r="E67" i="24"/>
  <c r="F67" i="24"/>
  <c r="G67" i="24"/>
  <c r="H67" i="24"/>
  <c r="I67" i="24"/>
  <c r="J67" i="24"/>
  <c r="K67" i="24"/>
  <c r="Q67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E66" i="34"/>
  <c r="K66" i="30"/>
  <c r="Q43" i="38"/>
  <c r="J43" i="38"/>
  <c r="K47" i="38"/>
  <c r="Q48" i="38"/>
  <c r="J48" i="38"/>
  <c r="K49" i="38"/>
  <c r="J50" i="38"/>
  <c r="Q52" i="38"/>
  <c r="J52" i="38"/>
  <c r="K56" i="38"/>
  <c r="K59" i="38"/>
  <c r="Q60" i="38"/>
  <c r="J60" i="38"/>
  <c r="K62" i="38"/>
  <c r="Q63" i="38"/>
  <c r="J63" i="38"/>
  <c r="K64" i="38"/>
  <c r="P45" i="38"/>
  <c r="P54" i="38"/>
  <c r="K44" i="38"/>
  <c r="Q45" i="38"/>
  <c r="J45" i="38"/>
  <c r="K46" i="38"/>
  <c r="Q54" i="38"/>
  <c r="J54" i="38"/>
  <c r="P48" i="38"/>
  <c r="P50" i="38"/>
  <c r="P52" i="38"/>
  <c r="P60" i="38"/>
  <c r="P63" i="38"/>
  <c r="P68" i="38"/>
  <c r="O23" i="38"/>
  <c r="P23" i="38"/>
  <c r="Q69" i="38"/>
  <c r="J69" i="38"/>
  <c r="Q67" i="38"/>
  <c r="J67" i="38"/>
  <c r="Q65" i="38"/>
  <c r="J65" i="38"/>
  <c r="K63" i="38"/>
  <c r="K60" i="38"/>
  <c r="J53" i="38"/>
  <c r="J51" i="38"/>
  <c r="K48" i="38"/>
  <c r="Q46" i="38"/>
  <c r="J46" i="38"/>
  <c r="Q44" i="38"/>
  <c r="J44" i="38"/>
  <c r="Q50" i="38"/>
  <c r="Q64" i="38"/>
  <c r="J64" i="38"/>
  <c r="Q62" i="38"/>
  <c r="J62" i="38"/>
  <c r="Q59" i="38"/>
  <c r="J59" i="38"/>
  <c r="Q56" i="38"/>
  <c r="J56" i="38"/>
  <c r="K54" i="38"/>
  <c r="K52" i="38"/>
  <c r="J49" i="38"/>
  <c r="Q47" i="38"/>
  <c r="J47" i="38"/>
  <c r="K45" i="38"/>
  <c r="P43" i="38"/>
  <c r="I43" i="38"/>
  <c r="Q51" i="38"/>
  <c r="Q53" i="38"/>
  <c r="Q99" i="17"/>
  <c r="K43" i="38"/>
  <c r="M51" i="26"/>
  <c r="M47" i="26"/>
  <c r="P60" i="26"/>
  <c r="E60" i="26"/>
  <c r="H49" i="26"/>
  <c r="D51" i="26"/>
  <c r="D43" i="26"/>
  <c r="E16" i="26"/>
  <c r="E52" i="26"/>
  <c r="E12" i="26"/>
  <c r="E48" i="26"/>
  <c r="H15" i="26"/>
  <c r="H51" i="26"/>
  <c r="H11" i="26"/>
  <c r="H47" i="26"/>
  <c r="I8" i="26"/>
  <c r="I44" i="26"/>
  <c r="K10" i="26"/>
  <c r="K46" i="26"/>
  <c r="L9" i="26"/>
  <c r="L45" i="26"/>
  <c r="F63" i="45"/>
  <c r="D49" i="26"/>
  <c r="D47" i="26"/>
  <c r="D45" i="26"/>
  <c r="L60" i="26"/>
  <c r="P47" i="26"/>
  <c r="P45" i="26"/>
  <c r="P43" i="26"/>
  <c r="Q63" i="26"/>
  <c r="Q60" i="26"/>
  <c r="Q52" i="26"/>
  <c r="M22" i="26"/>
  <c r="E26" i="26"/>
  <c r="E20" i="26"/>
  <c r="I26" i="26"/>
  <c r="D48" i="26"/>
  <c r="E22" i="26"/>
  <c r="E58" i="26"/>
  <c r="E63" i="26"/>
  <c r="E46" i="26"/>
  <c r="J62" i="26"/>
  <c r="J56" i="26"/>
  <c r="J51" i="26"/>
  <c r="J49" i="26"/>
  <c r="J47" i="26"/>
  <c r="J45" i="26"/>
  <c r="J43" i="26"/>
  <c r="K68" i="26"/>
  <c r="K60" i="26"/>
  <c r="K54" i="26"/>
  <c r="K52" i="26"/>
  <c r="K48" i="26"/>
  <c r="L47" i="26"/>
  <c r="M63" i="26"/>
  <c r="M60" i="26"/>
  <c r="M52" i="26"/>
  <c r="M48" i="26"/>
  <c r="M44" i="26"/>
  <c r="N51" i="26"/>
  <c r="N47" i="26"/>
  <c r="N45" i="26"/>
  <c r="N43" i="26"/>
  <c r="O63" i="26"/>
  <c r="O54" i="26"/>
  <c r="O52" i="26"/>
  <c r="O46" i="26"/>
  <c r="P62" i="26"/>
  <c r="P56" i="26"/>
  <c r="P53" i="26"/>
  <c r="P51" i="26"/>
  <c r="M26" i="26"/>
  <c r="M20" i="26"/>
  <c r="M17" i="26"/>
  <c r="M15" i="26"/>
  <c r="M11" i="26"/>
  <c r="M9" i="26"/>
  <c r="M7" i="26"/>
  <c r="N24" i="26"/>
  <c r="P27" i="26"/>
  <c r="P14" i="26"/>
  <c r="P12" i="26"/>
  <c r="Q62" i="26"/>
  <c r="Q20" i="26"/>
  <c r="Q53" i="26"/>
  <c r="I22" i="26"/>
  <c r="D27" i="26"/>
  <c r="Q22" i="26"/>
  <c r="Q58" i="26"/>
  <c r="O56" i="26"/>
  <c r="I28" i="26"/>
  <c r="I20" i="26"/>
  <c r="J24" i="26"/>
  <c r="K26" i="26"/>
  <c r="H60" i="26"/>
  <c r="H54" i="26"/>
  <c r="H52" i="26"/>
  <c r="H48" i="26"/>
  <c r="H46" i="26"/>
  <c r="I62" i="26"/>
  <c r="I56" i="26"/>
  <c r="I51" i="26"/>
  <c r="I49" i="26"/>
  <c r="I47" i="26"/>
  <c r="I43" i="26"/>
  <c r="G60" i="26"/>
  <c r="H45" i="26"/>
  <c r="O24" i="26"/>
  <c r="P7" i="26"/>
  <c r="Q16" i="26"/>
  <c r="O22" i="26"/>
  <c r="D56" i="26"/>
  <c r="J29" i="26"/>
  <c r="E67" i="26"/>
  <c r="K44" i="26"/>
  <c r="L53" i="26"/>
  <c r="G10" i="26"/>
  <c r="G46" i="26"/>
  <c r="G22" i="26"/>
  <c r="G58" i="26"/>
  <c r="K22" i="26"/>
  <c r="K58" i="26"/>
  <c r="F57" i="26"/>
  <c r="Q59" i="26"/>
  <c r="N63" i="26"/>
  <c r="N60" i="26"/>
  <c r="Q64" i="26"/>
  <c r="Q56" i="26"/>
  <c r="Q51" i="26"/>
  <c r="I17" i="26"/>
  <c r="I15" i="26"/>
  <c r="I13" i="26"/>
  <c r="I11" i="26"/>
  <c r="I9" i="26"/>
  <c r="I7" i="26"/>
  <c r="J16" i="26"/>
  <c r="J14" i="26"/>
  <c r="J12" i="26"/>
  <c r="J10" i="26"/>
  <c r="K20" i="26"/>
  <c r="N17" i="26"/>
  <c r="N9" i="26"/>
  <c r="O27" i="26"/>
  <c r="O16" i="26"/>
  <c r="O12" i="26"/>
  <c r="O10" i="26"/>
  <c r="O8" i="26"/>
  <c r="P20" i="26"/>
  <c r="Q18" i="26"/>
  <c r="Q14" i="26"/>
  <c r="Q10" i="26"/>
  <c r="O57" i="26"/>
  <c r="O21" i="26"/>
  <c r="J66" i="28"/>
  <c r="G66" i="31"/>
  <c r="I30" i="49"/>
  <c r="G34" i="49"/>
  <c r="D92" i="49"/>
  <c r="E76" i="50"/>
  <c r="Q12" i="50"/>
  <c r="O69" i="39"/>
  <c r="Q30" i="49"/>
  <c r="K92" i="47"/>
  <c r="H55" i="28"/>
  <c r="N19" i="47"/>
  <c r="L66" i="28"/>
  <c r="M20" i="27"/>
  <c r="K59" i="26"/>
  <c r="Q44" i="26"/>
  <c r="E27" i="26"/>
  <c r="E24" i="26"/>
  <c r="F24" i="26"/>
  <c r="G26" i="26"/>
  <c r="H27" i="26"/>
  <c r="M24" i="26"/>
  <c r="M16" i="26"/>
  <c r="M14" i="26"/>
  <c r="M12" i="26"/>
  <c r="M10" i="26"/>
  <c r="M8" i="26"/>
  <c r="G54" i="26"/>
  <c r="I48" i="26"/>
  <c r="J17" i="26"/>
  <c r="J13" i="26"/>
  <c r="L27" i="26"/>
  <c r="N27" i="26"/>
  <c r="O26" i="26"/>
  <c r="O20" i="26"/>
  <c r="Q26" i="26"/>
  <c r="L22" i="26"/>
  <c r="K21" i="26"/>
  <c r="N62" i="26"/>
  <c r="D15" i="26"/>
  <c r="D11" i="26"/>
  <c r="F58" i="26"/>
  <c r="H22" i="26"/>
  <c r="H58" i="26"/>
  <c r="J58" i="26"/>
  <c r="N22" i="26"/>
  <c r="N58" i="26"/>
  <c r="P22" i="26"/>
  <c r="P58" i="26"/>
  <c r="N56" i="26"/>
  <c r="D17" i="26"/>
  <c r="D13" i="26"/>
  <c r="D9" i="26"/>
  <c r="Q65" i="26"/>
  <c r="K63" i="26"/>
  <c r="I63" i="26"/>
  <c r="I60" i="26"/>
  <c r="M56" i="26"/>
  <c r="L51" i="26"/>
  <c r="Q46" i="26"/>
  <c r="M46" i="26"/>
  <c r="I46" i="26"/>
  <c r="M45" i="26"/>
  <c r="G44" i="26"/>
  <c r="L43" i="26"/>
  <c r="E59" i="26"/>
  <c r="I59" i="26"/>
  <c r="M59" i="26"/>
  <c r="D23" i="26"/>
  <c r="E23" i="26"/>
  <c r="I23" i="26"/>
  <c r="M23" i="26"/>
  <c r="K27" i="26"/>
  <c r="K24" i="26"/>
  <c r="D22" i="26"/>
  <c r="D58" i="26"/>
  <c r="F62" i="26"/>
  <c r="F56" i="26"/>
  <c r="F51" i="26"/>
  <c r="F49" i="26"/>
  <c r="F47" i="26"/>
  <c r="F45" i="26"/>
  <c r="F43" i="26"/>
  <c r="G63" i="26"/>
  <c r="G52" i="26"/>
  <c r="G48" i="26"/>
  <c r="J52" i="26"/>
  <c r="J48" i="26"/>
  <c r="J46" i="26"/>
  <c r="O44" i="26"/>
  <c r="D20" i="26"/>
  <c r="D8" i="26"/>
  <c r="F14" i="26"/>
  <c r="G62" i="26"/>
  <c r="G20" i="26"/>
  <c r="G17" i="26"/>
  <c r="G15" i="26"/>
  <c r="G13" i="26"/>
  <c r="G11" i="26"/>
  <c r="G9" i="26"/>
  <c r="G7" i="26"/>
  <c r="H64" i="26"/>
  <c r="H62" i="26"/>
  <c r="H56" i="26"/>
  <c r="K62" i="26"/>
  <c r="K17" i="26"/>
  <c r="K15" i="26"/>
  <c r="K13" i="26"/>
  <c r="K11" i="26"/>
  <c r="K9" i="26"/>
  <c r="K7" i="26"/>
  <c r="N16" i="26"/>
  <c r="N14" i="26"/>
  <c r="N12" i="26"/>
  <c r="N10" i="26"/>
  <c r="O62" i="26"/>
  <c r="O17" i="26"/>
  <c r="O15" i="26"/>
  <c r="O11" i="26"/>
  <c r="O9" i="26"/>
  <c r="O7" i="26"/>
  <c r="Q17" i="26"/>
  <c r="Q15" i="26"/>
  <c r="Q11" i="26"/>
  <c r="Q9" i="26"/>
  <c r="G27" i="26"/>
  <c r="G24" i="26"/>
  <c r="G16" i="26"/>
  <c r="G12" i="26"/>
  <c r="N26" i="26"/>
  <c r="N15" i="26"/>
  <c r="N11" i="26"/>
  <c r="P15" i="26"/>
  <c r="P11" i="26"/>
  <c r="Q27" i="26"/>
  <c r="Q24" i="26"/>
  <c r="Q57" i="26"/>
  <c r="M57" i="26"/>
  <c r="I57" i="26"/>
  <c r="E57" i="26"/>
  <c r="Q21" i="26"/>
  <c r="M21" i="26"/>
  <c r="I21" i="26"/>
  <c r="E21" i="26"/>
  <c r="Q23" i="26"/>
  <c r="F59" i="26"/>
  <c r="H23" i="26"/>
  <c r="H59" i="26"/>
  <c r="J59" i="26"/>
  <c r="L23" i="26"/>
  <c r="L59" i="26"/>
  <c r="N59" i="26"/>
  <c r="P23" i="26"/>
  <c r="P59" i="26"/>
  <c r="J44" i="26"/>
  <c r="L54" i="26"/>
  <c r="L52" i="26"/>
  <c r="L50" i="26"/>
  <c r="L48" i="26"/>
  <c r="L46" i="26"/>
  <c r="L44" i="26"/>
  <c r="P44" i="26"/>
  <c r="P48" i="26"/>
  <c r="P12" i="45"/>
  <c r="D63" i="26"/>
  <c r="D60" i="26"/>
  <c r="H44" i="26"/>
  <c r="I45" i="26"/>
  <c r="Q43" i="26"/>
  <c r="G30" i="45"/>
  <c r="G66" i="24"/>
  <c r="F16" i="26"/>
  <c r="F52" i="26"/>
  <c r="F12" i="26"/>
  <c r="F48" i="26"/>
  <c r="F10" i="26"/>
  <c r="F46" i="26"/>
  <c r="F8" i="26"/>
  <c r="F44" i="26"/>
  <c r="O53" i="26"/>
  <c r="G49" i="26"/>
  <c r="O45" i="26"/>
  <c r="K45" i="26"/>
  <c r="G45" i="26"/>
  <c r="O43" i="26"/>
  <c r="H20" i="26"/>
  <c r="G69" i="26"/>
  <c r="L62" i="26"/>
  <c r="L56" i="26"/>
  <c r="N52" i="26"/>
  <c r="N48" i="26"/>
  <c r="N46" i="26"/>
  <c r="E17" i="26"/>
  <c r="E15" i="26"/>
  <c r="E13" i="26"/>
  <c r="E11" i="26"/>
  <c r="E9" i="26"/>
  <c r="E7" i="26"/>
  <c r="H16" i="26"/>
  <c r="H14" i="26"/>
  <c r="H12" i="26"/>
  <c r="H10" i="26"/>
  <c r="H8" i="26"/>
  <c r="I69" i="26"/>
  <c r="L16" i="26"/>
  <c r="L14" i="26"/>
  <c r="L12" i="26"/>
  <c r="L10" i="26"/>
  <c r="L8" i="26"/>
  <c r="P54" i="26"/>
  <c r="P16" i="26"/>
  <c r="P52" i="26"/>
  <c r="P10" i="26"/>
  <c r="P46" i="26"/>
  <c r="P8" i="26"/>
  <c r="J8" i="26"/>
  <c r="N8" i="26"/>
  <c r="N44" i="26"/>
  <c r="Q12" i="45"/>
  <c r="P57" i="26"/>
  <c r="L57" i="26"/>
  <c r="H57" i="26"/>
  <c r="N20" i="27"/>
  <c r="O20" i="27"/>
  <c r="G23" i="26"/>
  <c r="J21" i="26"/>
  <c r="D57" i="26"/>
  <c r="Q31" i="23"/>
  <c r="Q33" i="23"/>
  <c r="Q29" i="23"/>
  <c r="Q7" i="31"/>
  <c r="Q36" i="48"/>
  <c r="Q9" i="30"/>
  <c r="Q36" i="52"/>
  <c r="Q43" i="36"/>
  <c r="Q7" i="26"/>
  <c r="K61" i="45"/>
  <c r="K7" i="42"/>
  <c r="K7" i="38"/>
  <c r="K7" i="28"/>
  <c r="N32" i="59"/>
  <c r="D70" i="23"/>
  <c r="G19" i="49"/>
  <c r="E19" i="47"/>
  <c r="K92" i="49"/>
  <c r="O92" i="45"/>
  <c r="P22" i="42"/>
  <c r="P58" i="42"/>
  <c r="P23" i="42"/>
  <c r="P59" i="42"/>
  <c r="N49" i="42"/>
  <c r="O49" i="38"/>
  <c r="O42" i="51"/>
  <c r="O49" i="35"/>
  <c r="M49" i="34"/>
  <c r="N49" i="34"/>
  <c r="P13" i="46"/>
  <c r="P49" i="25"/>
  <c r="P49" i="24"/>
  <c r="P13" i="45"/>
  <c r="O49" i="26"/>
  <c r="Q58" i="42"/>
  <c r="O49" i="42"/>
  <c r="P49" i="42"/>
  <c r="O49" i="34"/>
  <c r="P48" i="46"/>
  <c r="P13" i="25"/>
  <c r="P42" i="46"/>
  <c r="Q13" i="46"/>
  <c r="Q13" i="45"/>
  <c r="Q19" i="45"/>
  <c r="P42" i="45"/>
  <c r="O13" i="26"/>
  <c r="N49" i="26"/>
  <c r="P49" i="34"/>
  <c r="Q48" i="46"/>
  <c r="P13" i="34"/>
  <c r="L55" i="38"/>
  <c r="M19" i="51"/>
  <c r="M19" i="47"/>
  <c r="E19" i="52"/>
  <c r="D55" i="33"/>
  <c r="G19" i="45"/>
  <c r="J19" i="49"/>
  <c r="I19" i="49"/>
  <c r="N49" i="25"/>
  <c r="N48" i="46"/>
  <c r="G55" i="24"/>
  <c r="P49" i="23"/>
  <c r="P13" i="23"/>
  <c r="Q49" i="23"/>
  <c r="F19" i="52"/>
  <c r="N19" i="49"/>
  <c r="O19" i="47"/>
  <c r="L19" i="47"/>
  <c r="L49" i="31"/>
  <c r="K49" i="26"/>
  <c r="Q49" i="26"/>
  <c r="Q48" i="26"/>
  <c r="L49" i="26"/>
  <c r="N13" i="26"/>
  <c r="M13" i="26"/>
  <c r="P13" i="26"/>
  <c r="Q59" i="34"/>
  <c r="Q12" i="26"/>
  <c r="N12" i="34"/>
  <c r="O19" i="49"/>
  <c r="M77" i="47"/>
  <c r="M12" i="28"/>
  <c r="M70" i="47"/>
  <c r="P19" i="47"/>
  <c r="P19" i="46"/>
  <c r="F19" i="46"/>
  <c r="K55" i="24"/>
  <c r="M12" i="23"/>
  <c r="N48" i="23"/>
  <c r="N12" i="24"/>
  <c r="N41" i="45"/>
  <c r="G19" i="46"/>
  <c r="L19" i="46"/>
  <c r="I19" i="52"/>
  <c r="D19" i="51"/>
  <c r="H19" i="46"/>
  <c r="I19" i="45"/>
  <c r="F19" i="45"/>
  <c r="K19" i="45"/>
  <c r="H19" i="45"/>
  <c r="M19" i="46"/>
  <c r="E55" i="24"/>
  <c r="H19" i="52"/>
  <c r="H19" i="51"/>
  <c r="J19" i="51"/>
  <c r="D55" i="42"/>
  <c r="E19" i="46"/>
  <c r="D19" i="45"/>
  <c r="L19" i="49"/>
  <c r="M19" i="45"/>
  <c r="O12" i="34"/>
  <c r="N12" i="28"/>
  <c r="N70" i="47"/>
  <c r="N12" i="23"/>
  <c r="O12" i="23"/>
  <c r="O48" i="23"/>
  <c r="O41" i="45"/>
  <c r="O12" i="24"/>
  <c r="O48" i="24"/>
  <c r="P12" i="34"/>
  <c r="O70" i="47"/>
  <c r="O12" i="57" s="1"/>
  <c r="O12" i="28"/>
  <c r="Q48" i="23"/>
  <c r="P48" i="23"/>
  <c r="P12" i="23"/>
  <c r="P12" i="24"/>
  <c r="P48" i="24"/>
  <c r="P41" i="45"/>
  <c r="P12" i="55" s="1"/>
  <c r="Q70" i="47"/>
  <c r="Q12" i="57" s="1"/>
  <c r="P70" i="47"/>
  <c r="P77" i="47"/>
  <c r="P12" i="28"/>
  <c r="Q12" i="24"/>
  <c r="Q41" i="45"/>
  <c r="Q48" i="24"/>
  <c r="M31" i="42"/>
  <c r="M67" i="42"/>
  <c r="M31" i="41"/>
  <c r="M67" i="41"/>
  <c r="O31" i="40"/>
  <c r="N31" i="40"/>
  <c r="M67" i="40"/>
  <c r="M31" i="39"/>
  <c r="M67" i="39"/>
  <c r="M31" i="38"/>
  <c r="M67" i="38"/>
  <c r="M31" i="37"/>
  <c r="M67" i="37"/>
  <c r="M31" i="36"/>
  <c r="M60" i="52"/>
  <c r="M63" i="52"/>
  <c r="G63" i="52"/>
  <c r="M31" i="52"/>
  <c r="M67" i="36"/>
  <c r="K34" i="52"/>
  <c r="P92" i="51"/>
  <c r="M67" i="35"/>
  <c r="M31" i="51"/>
  <c r="M70" i="35"/>
  <c r="F34" i="51"/>
  <c r="E34" i="51"/>
  <c r="M31" i="34"/>
  <c r="M67" i="34"/>
  <c r="M31" i="33"/>
  <c r="M34" i="33" s="1"/>
  <c r="M67" i="33"/>
  <c r="M31" i="32"/>
  <c r="M60" i="49"/>
  <c r="M67" i="32"/>
  <c r="M31" i="49"/>
  <c r="M31" i="31"/>
  <c r="M67" i="31"/>
  <c r="M31" i="30"/>
  <c r="M67" i="30"/>
  <c r="M31" i="29"/>
  <c r="M31" i="48"/>
  <c r="M67" i="29"/>
  <c r="F34" i="48"/>
  <c r="M60" i="47"/>
  <c r="M63" i="47"/>
  <c r="M31" i="28"/>
  <c r="M34" i="47"/>
  <c r="M67" i="28"/>
  <c r="M31" i="47"/>
  <c r="M31" i="27"/>
  <c r="M67" i="27"/>
  <c r="O92" i="46"/>
  <c r="M67" i="25"/>
  <c r="M31" i="46"/>
  <c r="H92" i="45"/>
  <c r="M60" i="45"/>
  <c r="M63" i="45"/>
  <c r="M31" i="24"/>
  <c r="M31" i="45"/>
  <c r="M31" i="23"/>
  <c r="M67" i="23"/>
  <c r="M28" i="42"/>
  <c r="N64" i="42"/>
  <c r="M64" i="42"/>
  <c r="M64" i="41"/>
  <c r="M64" i="40"/>
  <c r="M28" i="39"/>
  <c r="M64" i="39"/>
  <c r="M64" i="38"/>
  <c r="M28" i="38"/>
  <c r="N64" i="38"/>
  <c r="M28" i="37"/>
  <c r="M64" i="37"/>
  <c r="H66" i="36"/>
  <c r="M28" i="36"/>
  <c r="M57" i="52"/>
  <c r="M64" i="36"/>
  <c r="M28" i="52"/>
  <c r="F88" i="51"/>
  <c r="M64" i="35"/>
  <c r="M57" i="51"/>
  <c r="M28" i="35"/>
  <c r="H30" i="51"/>
  <c r="D30" i="34"/>
  <c r="N28" i="34"/>
  <c r="M28" i="34"/>
  <c r="M64" i="34"/>
  <c r="M28" i="33"/>
  <c r="M64" i="33"/>
  <c r="M57" i="49"/>
  <c r="M28" i="32"/>
  <c r="M64" i="32"/>
  <c r="M28" i="49"/>
  <c r="M28" i="31"/>
  <c r="M64" i="31"/>
  <c r="N28" i="30"/>
  <c r="N64" i="30"/>
  <c r="M28" i="29"/>
  <c r="M57" i="48"/>
  <c r="M64" i="29"/>
  <c r="M28" i="28"/>
  <c r="M28" i="47"/>
  <c r="M64" i="28"/>
  <c r="N28" i="27"/>
  <c r="M28" i="27"/>
  <c r="M64" i="27"/>
  <c r="M57" i="46"/>
  <c r="M28" i="25"/>
  <c r="M28" i="46"/>
  <c r="M64" i="25"/>
  <c r="M64" i="24"/>
  <c r="M28" i="45"/>
  <c r="L64" i="24"/>
  <c r="M64" i="23"/>
  <c r="M29" i="42"/>
  <c r="M65" i="42"/>
  <c r="N29" i="41"/>
  <c r="N65" i="41"/>
  <c r="M65" i="41"/>
  <c r="M29" i="40"/>
  <c r="M29" i="39"/>
  <c r="M66" i="39"/>
  <c r="M65" i="39"/>
  <c r="N29" i="38"/>
  <c r="M65" i="38"/>
  <c r="M29" i="37"/>
  <c r="M65" i="37"/>
  <c r="M29" i="36"/>
  <c r="M58" i="52"/>
  <c r="M65" i="36"/>
  <c r="M29" i="52"/>
  <c r="M58" i="51"/>
  <c r="M29" i="35"/>
  <c r="M65" i="35"/>
  <c r="M29" i="51"/>
  <c r="M29" i="34"/>
  <c r="M65" i="34"/>
  <c r="M29" i="33"/>
  <c r="M65" i="33"/>
  <c r="H88" i="49"/>
  <c r="M58" i="49"/>
  <c r="M29" i="32"/>
  <c r="M59" i="49"/>
  <c r="M30" i="49"/>
  <c r="M29" i="49"/>
  <c r="M65" i="32"/>
  <c r="M29" i="31"/>
  <c r="M65" i="31"/>
  <c r="M29" i="30"/>
  <c r="M65" i="30"/>
  <c r="M58" i="48"/>
  <c r="M29" i="29"/>
  <c r="M65" i="29"/>
  <c r="M29" i="48"/>
  <c r="M58" i="47"/>
  <c r="M65" i="28"/>
  <c r="M29" i="28"/>
  <c r="K59" i="47"/>
  <c r="N65" i="28"/>
  <c r="N29" i="47"/>
  <c r="M29" i="27"/>
  <c r="M65" i="27"/>
  <c r="M58" i="46"/>
  <c r="M29" i="25"/>
  <c r="I59" i="46"/>
  <c r="Q59" i="46"/>
  <c r="M65" i="25"/>
  <c r="M29" i="46"/>
  <c r="I59" i="45"/>
  <c r="M29" i="24"/>
  <c r="N65" i="24"/>
  <c r="M65" i="24"/>
  <c r="M58" i="45"/>
  <c r="N29" i="45"/>
  <c r="H66" i="23"/>
  <c r="N31" i="42"/>
  <c r="N70" i="42"/>
  <c r="N67" i="42"/>
  <c r="N31" i="41"/>
  <c r="N67" i="41"/>
  <c r="P31" i="40"/>
  <c r="N67" i="40"/>
  <c r="N31" i="39"/>
  <c r="N67" i="39"/>
  <c r="N31" i="38"/>
  <c r="M70" i="38"/>
  <c r="N67" i="38"/>
  <c r="N31" i="37"/>
  <c r="N67" i="37"/>
  <c r="N31" i="36"/>
  <c r="N60" i="52"/>
  <c r="N31" i="52"/>
  <c r="N67" i="36"/>
  <c r="N60" i="51"/>
  <c r="N63" i="51"/>
  <c r="N31" i="35"/>
  <c r="N31" i="51"/>
  <c r="N67" i="35"/>
  <c r="N31" i="34"/>
  <c r="N67" i="34"/>
  <c r="N31" i="33"/>
  <c r="N67" i="33"/>
  <c r="N60" i="49"/>
  <c r="N31" i="32"/>
  <c r="N34" i="49"/>
  <c r="N31" i="49"/>
  <c r="N67" i="32"/>
  <c r="N31" i="31"/>
  <c r="N67" i="31"/>
  <c r="N31" i="30"/>
  <c r="N67" i="30"/>
  <c r="N63" i="48"/>
  <c r="N31" i="29"/>
  <c r="N60" i="48"/>
  <c r="M34" i="48"/>
  <c r="M70" i="29"/>
  <c r="N67" i="29"/>
  <c r="N31" i="48"/>
  <c r="N60" i="47"/>
  <c r="N31" i="28"/>
  <c r="N67" i="28"/>
  <c r="N31" i="47"/>
  <c r="N31" i="27"/>
  <c r="N67" i="27"/>
  <c r="O60" i="46"/>
  <c r="O31" i="56" s="1"/>
  <c r="O31" i="25"/>
  <c r="N67" i="25"/>
  <c r="N31" i="46"/>
  <c r="N31" i="24"/>
  <c r="N60" i="45"/>
  <c r="N63" i="45"/>
  <c r="N31" i="23"/>
  <c r="N28" i="42"/>
  <c r="O64" i="42"/>
  <c r="N28" i="41"/>
  <c r="N64" i="41"/>
  <c r="N28" i="40"/>
  <c r="N64" i="40"/>
  <c r="N28" i="39"/>
  <c r="N64" i="39"/>
  <c r="N28" i="38"/>
  <c r="O64" i="38"/>
  <c r="N28" i="37"/>
  <c r="N64" i="37"/>
  <c r="N57" i="52"/>
  <c r="N28" i="36"/>
  <c r="N64" i="36"/>
  <c r="N28" i="52"/>
  <c r="N57" i="51"/>
  <c r="N28" i="35"/>
  <c r="N64" i="35"/>
  <c r="N28" i="51"/>
  <c r="O28" i="34"/>
  <c r="N64" i="34"/>
  <c r="N28" i="33"/>
  <c r="N64" i="33"/>
  <c r="N57" i="49"/>
  <c r="N28" i="32"/>
  <c r="N28" i="49"/>
  <c r="N64" i="32"/>
  <c r="N28" i="31"/>
  <c r="N64" i="31"/>
  <c r="O28" i="30"/>
  <c r="O64" i="30"/>
  <c r="N28" i="29"/>
  <c r="N57" i="48"/>
  <c r="N28" i="58" s="1"/>
  <c r="N28" i="48"/>
  <c r="N64" i="29"/>
  <c r="N57" i="47"/>
  <c r="N28" i="28"/>
  <c r="O30" i="47"/>
  <c r="N28" i="47"/>
  <c r="N64" i="28"/>
  <c r="O28" i="27"/>
  <c r="N64" i="27"/>
  <c r="N28" i="25"/>
  <c r="N57" i="46"/>
  <c r="N28" i="56" s="1"/>
  <c r="N28" i="46"/>
  <c r="N64" i="25"/>
  <c r="N28" i="24"/>
  <c r="N57" i="45"/>
  <c r="N30" i="45"/>
  <c r="N64" i="24"/>
  <c r="N28" i="45"/>
  <c r="N29" i="42"/>
  <c r="N65" i="42"/>
  <c r="O29" i="41"/>
  <c r="O65" i="41"/>
  <c r="N29" i="40"/>
  <c r="N65" i="40"/>
  <c r="N29" i="39"/>
  <c r="N65" i="39"/>
  <c r="O29" i="38"/>
  <c r="N65" i="38"/>
  <c r="N29" i="37"/>
  <c r="N65" i="37"/>
  <c r="N29" i="36"/>
  <c r="N58" i="52"/>
  <c r="N29" i="52"/>
  <c r="N30" i="52"/>
  <c r="N65" i="36"/>
  <c r="M59" i="51"/>
  <c r="N58" i="51"/>
  <c r="N29" i="35"/>
  <c r="N65" i="35"/>
  <c r="N29" i="51"/>
  <c r="N29" i="34"/>
  <c r="N65" i="34"/>
  <c r="N29" i="33"/>
  <c r="N65" i="33"/>
  <c r="N29" i="32"/>
  <c r="N58" i="49"/>
  <c r="N59" i="49"/>
  <c r="N65" i="32"/>
  <c r="N29" i="49"/>
  <c r="N29" i="31"/>
  <c r="N65" i="31"/>
  <c r="N29" i="30"/>
  <c r="N65" i="30"/>
  <c r="N58" i="48"/>
  <c r="N29" i="29"/>
  <c r="N29" i="48"/>
  <c r="N65" i="29"/>
  <c r="N29" i="28"/>
  <c r="N58" i="47"/>
  <c r="O29" i="47"/>
  <c r="O65" i="28"/>
  <c r="N29" i="27"/>
  <c r="N65" i="27"/>
  <c r="N29" i="25"/>
  <c r="N58" i="46"/>
  <c r="N65" i="25"/>
  <c r="N29" i="46"/>
  <c r="N58" i="45"/>
  <c r="N29" i="24"/>
  <c r="O29" i="45"/>
  <c r="O65" i="24"/>
  <c r="O30" i="45"/>
  <c r="O31" i="42"/>
  <c r="O67" i="42"/>
  <c r="O31" i="41"/>
  <c r="O67" i="41"/>
  <c r="O67" i="40"/>
  <c r="O31" i="39"/>
  <c r="O67" i="39"/>
  <c r="O70" i="38"/>
  <c r="O31" i="38"/>
  <c r="O67" i="38"/>
  <c r="O31" i="37"/>
  <c r="O67" i="37"/>
  <c r="O60" i="52"/>
  <c r="O31" i="62" s="1"/>
  <c r="O63" i="52"/>
  <c r="O31" i="36"/>
  <c r="O67" i="36"/>
  <c r="O31" i="52"/>
  <c r="O31" i="35"/>
  <c r="O60" i="51"/>
  <c r="O31" i="51"/>
  <c r="O67" i="35"/>
  <c r="O34" i="51"/>
  <c r="O31" i="34"/>
  <c r="O67" i="34"/>
  <c r="O31" i="33"/>
  <c r="O67" i="33"/>
  <c r="O60" i="49"/>
  <c r="O31" i="32"/>
  <c r="O63" i="49"/>
  <c r="O31" i="49"/>
  <c r="O67" i="32"/>
  <c r="O34" i="49"/>
  <c r="O31" i="31"/>
  <c r="O67" i="31"/>
  <c r="O31" i="30"/>
  <c r="O67" i="30"/>
  <c r="O60" i="48"/>
  <c r="O31" i="29"/>
  <c r="O31" i="48"/>
  <c r="O67" i="29"/>
  <c r="O31" i="28"/>
  <c r="O60" i="47"/>
  <c r="O31" i="47"/>
  <c r="O34" i="47"/>
  <c r="O67" i="28"/>
  <c r="O31" i="27"/>
  <c r="O70" i="27"/>
  <c r="O67" i="27"/>
  <c r="P31" i="25"/>
  <c r="P60" i="46"/>
  <c r="P63" i="46"/>
  <c r="O31" i="46"/>
  <c r="O67" i="25"/>
  <c r="O34" i="46"/>
  <c r="N34" i="46"/>
  <c r="O31" i="24"/>
  <c r="O60" i="45"/>
  <c r="O31" i="23"/>
  <c r="O28" i="42"/>
  <c r="P64" i="42"/>
  <c r="O28" i="41"/>
  <c r="O64" i="41"/>
  <c r="O28" i="40"/>
  <c r="O64" i="40"/>
  <c r="O28" i="39"/>
  <c r="O64" i="39"/>
  <c r="O28" i="38"/>
  <c r="P64" i="38"/>
  <c r="O28" i="37"/>
  <c r="O64" i="37"/>
  <c r="O28" i="36"/>
  <c r="O57" i="52"/>
  <c r="O28" i="52"/>
  <c r="O64" i="36"/>
  <c r="O57" i="51"/>
  <c r="O28" i="35"/>
  <c r="O64" i="35"/>
  <c r="O28" i="51"/>
  <c r="P28" i="34"/>
  <c r="O64" i="34"/>
  <c r="O28" i="33"/>
  <c r="O64" i="33"/>
  <c r="O57" i="49"/>
  <c r="O28" i="32"/>
  <c r="O64" i="32"/>
  <c r="O28" i="49"/>
  <c r="O28" i="31"/>
  <c r="O64" i="31"/>
  <c r="P28" i="30"/>
  <c r="P64" i="30"/>
  <c r="O28" i="29"/>
  <c r="O57" i="48"/>
  <c r="O64" i="29"/>
  <c r="O28" i="48"/>
  <c r="O57" i="47"/>
  <c r="O28" i="28"/>
  <c r="O28" i="47"/>
  <c r="O64" i="28"/>
  <c r="P28" i="27"/>
  <c r="O64" i="27"/>
  <c r="O28" i="26"/>
  <c r="O57" i="46"/>
  <c r="O28" i="25"/>
  <c r="O28" i="46"/>
  <c r="O64" i="25"/>
  <c r="O28" i="24"/>
  <c r="O57" i="45"/>
  <c r="O28" i="45"/>
  <c r="O64" i="24"/>
  <c r="O29" i="42"/>
  <c r="O65" i="42"/>
  <c r="P29" i="41"/>
  <c r="P65" i="41"/>
  <c r="O29" i="40"/>
  <c r="N66" i="40"/>
  <c r="O65" i="40"/>
  <c r="O29" i="39"/>
  <c r="O65" i="39"/>
  <c r="P29" i="38"/>
  <c r="O65" i="38"/>
  <c r="O29" i="37"/>
  <c r="O65" i="37"/>
  <c r="O29" i="36"/>
  <c r="O58" i="52"/>
  <c r="O29" i="52"/>
  <c r="O65" i="36"/>
  <c r="O29" i="35"/>
  <c r="O58" i="51"/>
  <c r="O30" i="51"/>
  <c r="O29" i="51"/>
  <c r="O65" i="35"/>
  <c r="O29" i="34"/>
  <c r="O65" i="34"/>
  <c r="O29" i="33"/>
  <c r="O65" i="33"/>
  <c r="O58" i="49"/>
  <c r="O59" i="49"/>
  <c r="O29" i="32"/>
  <c r="O29" i="49"/>
  <c r="O65" i="32"/>
  <c r="O29" i="31"/>
  <c r="O65" i="31"/>
  <c r="O29" i="30"/>
  <c r="O65" i="30"/>
  <c r="N59" i="48"/>
  <c r="O58" i="48"/>
  <c r="O29" i="29"/>
  <c r="N66" i="29"/>
  <c r="N30" i="48"/>
  <c r="O29" i="48"/>
  <c r="O65" i="29"/>
  <c r="N59" i="47"/>
  <c r="O29" i="28"/>
  <c r="O58" i="47"/>
  <c r="P65" i="28"/>
  <c r="P30" i="47"/>
  <c r="P29" i="47"/>
  <c r="O29" i="27"/>
  <c r="O65" i="27"/>
  <c r="P29" i="26"/>
  <c r="O65" i="26"/>
  <c r="O58" i="46"/>
  <c r="O29" i="25"/>
  <c r="N59" i="46"/>
  <c r="O29" i="46"/>
  <c r="O65" i="25"/>
  <c r="O30" i="46"/>
  <c r="O29" i="24"/>
  <c r="O58" i="45"/>
  <c r="N59" i="45"/>
  <c r="O66" i="24"/>
  <c r="P29" i="45"/>
  <c r="P65" i="24"/>
  <c r="P31" i="42"/>
  <c r="P67" i="42"/>
  <c r="P31" i="41"/>
  <c r="P67" i="41"/>
  <c r="P67" i="40"/>
  <c r="P31" i="39"/>
  <c r="P67" i="39"/>
  <c r="P31" i="38"/>
  <c r="P67" i="38"/>
  <c r="P31" i="37"/>
  <c r="P67" i="37"/>
  <c r="P60" i="52"/>
  <c r="P63" i="52"/>
  <c r="P31" i="36"/>
  <c r="P34" i="52"/>
  <c r="P31" i="52"/>
  <c r="P67" i="36"/>
  <c r="P60" i="51"/>
  <c r="P63" i="51"/>
  <c r="P31" i="35"/>
  <c r="P34" i="51"/>
  <c r="P31" i="51"/>
  <c r="P67" i="35"/>
  <c r="P31" i="34"/>
  <c r="P67" i="34"/>
  <c r="P31" i="33"/>
  <c r="P67" i="33"/>
  <c r="P63" i="49"/>
  <c r="P60" i="49"/>
  <c r="P31" i="32"/>
  <c r="P31" i="49"/>
  <c r="P67" i="32"/>
  <c r="P34" i="49"/>
  <c r="P31" i="31"/>
  <c r="P67" i="31"/>
  <c r="P31" i="30"/>
  <c r="P67" i="30"/>
  <c r="P31" i="29"/>
  <c r="P60" i="48"/>
  <c r="P67" i="29"/>
  <c r="P31" i="48"/>
  <c r="P34" i="48"/>
  <c r="P31" i="28"/>
  <c r="P60" i="47"/>
  <c r="P31" i="47"/>
  <c r="P67" i="28"/>
  <c r="P31" i="27"/>
  <c r="P67" i="27"/>
  <c r="P67" i="25"/>
  <c r="P31" i="46"/>
  <c r="P63" i="45"/>
  <c r="P60" i="45"/>
  <c r="P31" i="24"/>
  <c r="P31" i="23"/>
  <c r="P28" i="42"/>
  <c r="P28" i="41"/>
  <c r="P64" i="41"/>
  <c r="P28" i="40"/>
  <c r="P64" i="40"/>
  <c r="P28" i="39"/>
  <c r="P64" i="39"/>
  <c r="P28" i="38"/>
  <c r="P28" i="37"/>
  <c r="P64" i="37"/>
  <c r="P57" i="52"/>
  <c r="P28" i="36"/>
  <c r="P64" i="36"/>
  <c r="P28" i="52"/>
  <c r="P28" i="35"/>
  <c r="P57" i="51"/>
  <c r="P64" i="35"/>
  <c r="P28" i="51"/>
  <c r="P28" i="50" s="1"/>
  <c r="P64" i="34"/>
  <c r="P28" i="33"/>
  <c r="P64" i="33"/>
  <c r="P28" i="32"/>
  <c r="P57" i="49"/>
  <c r="P28" i="49"/>
  <c r="P64" i="32"/>
  <c r="P28" i="31"/>
  <c r="P64" i="31"/>
  <c r="P57" i="48"/>
  <c r="P28" i="58" s="1"/>
  <c r="P28" i="29"/>
  <c r="P28" i="48"/>
  <c r="P64" i="29"/>
  <c r="P28" i="28"/>
  <c r="P57" i="47"/>
  <c r="P28" i="47"/>
  <c r="P64" i="28"/>
  <c r="P64" i="27"/>
  <c r="P28" i="25"/>
  <c r="P57" i="46"/>
  <c r="P64" i="25"/>
  <c r="P28" i="46"/>
  <c r="P28" i="24"/>
  <c r="P57" i="45"/>
  <c r="P28" i="45"/>
  <c r="P64" i="24"/>
  <c r="P66" i="42"/>
  <c r="P29" i="42"/>
  <c r="P65" i="42"/>
  <c r="P29" i="40"/>
  <c r="P66" i="40"/>
  <c r="P65" i="40"/>
  <c r="P29" i="39"/>
  <c r="P65" i="39"/>
  <c r="P65" i="38"/>
  <c r="P30" i="37"/>
  <c r="P29" i="37"/>
  <c r="P65" i="37"/>
  <c r="P58" i="52"/>
  <c r="P29" i="36"/>
  <c r="P59" i="52"/>
  <c r="P65" i="36"/>
  <c r="P30" i="52"/>
  <c r="P29" i="52"/>
  <c r="P59" i="51"/>
  <c r="P59" i="50" s="1"/>
  <c r="P58" i="51"/>
  <c r="P29" i="35"/>
  <c r="P29" i="51"/>
  <c r="P29" i="50" s="1"/>
  <c r="P65" i="35"/>
  <c r="P29" i="34"/>
  <c r="P65" i="34"/>
  <c r="P29" i="33"/>
  <c r="P65" i="33"/>
  <c r="P58" i="49"/>
  <c r="P29" i="32"/>
  <c r="P29" i="49"/>
  <c r="P65" i="32"/>
  <c r="P29" i="31"/>
  <c r="P65" i="31"/>
  <c r="P29" i="30"/>
  <c r="P65" i="30"/>
  <c r="P59" i="48"/>
  <c r="P58" i="48"/>
  <c r="P29" i="29"/>
  <c r="O30" i="48"/>
  <c r="P29" i="48"/>
  <c r="P65" i="29"/>
  <c r="P29" i="28"/>
  <c r="P58" i="47"/>
  <c r="P59" i="47"/>
  <c r="P29" i="27"/>
  <c r="P65" i="27"/>
  <c r="P59" i="46"/>
  <c r="P58" i="46"/>
  <c r="P29" i="56" s="1"/>
  <c r="P29" i="25"/>
  <c r="P65" i="25"/>
  <c r="P29" i="46"/>
  <c r="O59" i="45"/>
  <c r="P29" i="24"/>
  <c r="P66" i="24"/>
  <c r="P58" i="45"/>
  <c r="P30" i="45"/>
  <c r="P30" i="51"/>
  <c r="P30" i="50" s="1"/>
  <c r="P66" i="34"/>
  <c r="K19" i="49"/>
  <c r="L19" i="52"/>
  <c r="M19" i="49"/>
  <c r="N19" i="52"/>
  <c r="K19" i="47"/>
  <c r="O19" i="52"/>
  <c r="P19" i="49"/>
  <c r="K19" i="46"/>
  <c r="N19" i="46"/>
  <c r="N55" i="32"/>
  <c r="Q34" i="51"/>
  <c r="L88" i="46"/>
  <c r="S88" i="46" s="1"/>
  <c r="M88" i="49"/>
  <c r="Q88" i="52"/>
  <c r="Q63" i="49"/>
  <c r="L70" i="39"/>
  <c r="Q63" i="48"/>
  <c r="K63" i="52"/>
  <c r="L63" i="49"/>
  <c r="S63" i="49" s="1"/>
  <c r="L59" i="48"/>
  <c r="N66" i="36"/>
  <c r="L59" i="47"/>
  <c r="Q66" i="34"/>
  <c r="N34" i="52"/>
  <c r="L70" i="34"/>
  <c r="L70" i="31"/>
  <c r="Q70" i="33"/>
  <c r="K34" i="47"/>
  <c r="M30" i="52"/>
  <c r="Q30" i="52"/>
  <c r="K66" i="34"/>
  <c r="K66" i="37"/>
  <c r="K30" i="47"/>
  <c r="K66" i="28"/>
  <c r="L66" i="42"/>
  <c r="L66" i="41"/>
  <c r="L66" i="31"/>
  <c r="K30" i="49"/>
  <c r="K30" i="51"/>
  <c r="P88" i="45"/>
  <c r="P59" i="45"/>
  <c r="Q66" i="24"/>
  <c r="N31" i="45"/>
  <c r="N67" i="24"/>
  <c r="N34" i="45"/>
  <c r="M67" i="24"/>
  <c r="L67" i="24"/>
  <c r="N70" i="24"/>
  <c r="L30" i="45"/>
  <c r="N28" i="23"/>
  <c r="N64" i="23"/>
  <c r="M28" i="23"/>
  <c r="L65" i="23"/>
  <c r="N67" i="23"/>
  <c r="O67" i="24"/>
  <c r="O31" i="45"/>
  <c r="O64" i="23"/>
  <c r="O28" i="23"/>
  <c r="M29" i="23"/>
  <c r="M65" i="23"/>
  <c r="O67" i="23"/>
  <c r="L70" i="23"/>
  <c r="P31" i="45"/>
  <c r="P67" i="24"/>
  <c r="P28" i="23"/>
  <c r="P64" i="23"/>
  <c r="N65" i="23"/>
  <c r="N29" i="23"/>
  <c r="N66" i="23"/>
  <c r="P67" i="23"/>
  <c r="P34" i="45"/>
  <c r="O29" i="23"/>
  <c r="O65" i="23"/>
  <c r="O66" i="23"/>
  <c r="P29" i="23"/>
  <c r="P65" i="23"/>
  <c r="Q10" i="56"/>
  <c r="Q9" i="50"/>
  <c r="K26" i="50"/>
  <c r="Q51" i="50"/>
  <c r="F73" i="50"/>
  <c r="Q70" i="39"/>
  <c r="P82" i="50"/>
  <c r="N21" i="56"/>
  <c r="Q16" i="61"/>
  <c r="Q11" i="61"/>
  <c r="Q16" i="50"/>
  <c r="Q26" i="62"/>
  <c r="Q15" i="50"/>
  <c r="H9" i="61"/>
  <c r="E82" i="50"/>
  <c r="G72" i="50"/>
  <c r="I17" i="56"/>
  <c r="K7" i="57"/>
  <c r="G67" i="50"/>
  <c r="L22" i="50"/>
  <c r="K55" i="39"/>
  <c r="P76" i="50"/>
  <c r="N55" i="28"/>
  <c r="M48" i="45"/>
  <c r="E70" i="42"/>
  <c r="H70" i="42"/>
  <c r="Q70" i="42"/>
  <c r="J66" i="42"/>
  <c r="D66" i="42"/>
  <c r="E66" i="41"/>
  <c r="M70" i="41"/>
  <c r="Q66" i="41"/>
  <c r="N66" i="41"/>
  <c r="D66" i="40"/>
  <c r="G66" i="40"/>
  <c r="F66" i="40"/>
  <c r="P71" i="39"/>
  <c r="H66" i="39"/>
  <c r="K66" i="38"/>
  <c r="K70" i="38"/>
  <c r="G66" i="38"/>
  <c r="P66" i="38"/>
  <c r="L66" i="38"/>
  <c r="H66" i="38"/>
  <c r="K70" i="37"/>
  <c r="I70" i="36"/>
  <c r="I70" i="35"/>
  <c r="M30" i="51"/>
  <c r="D70" i="34"/>
  <c r="I66" i="34"/>
  <c r="G66" i="34"/>
  <c r="M66" i="34"/>
  <c r="L92" i="49"/>
  <c r="D88" i="49"/>
  <c r="K63" i="49"/>
  <c r="L70" i="32"/>
  <c r="G66" i="32"/>
  <c r="K70" i="32"/>
  <c r="K66" i="32"/>
  <c r="O30" i="49"/>
  <c r="I70" i="31"/>
  <c r="Q70" i="31"/>
  <c r="D70" i="30"/>
  <c r="G70" i="30"/>
  <c r="D63" i="48"/>
  <c r="F63" i="48"/>
  <c r="K59" i="48"/>
  <c r="G66" i="28"/>
  <c r="H66" i="28"/>
  <c r="D66" i="27"/>
  <c r="L34" i="46"/>
  <c r="K70" i="25"/>
  <c r="P34" i="46"/>
  <c r="M70" i="24"/>
  <c r="Q63" i="45"/>
  <c r="J70" i="24"/>
  <c r="E70" i="24"/>
  <c r="D59" i="45"/>
  <c r="P70" i="24"/>
  <c r="L66" i="24"/>
  <c r="E70" i="23"/>
  <c r="P66" i="23"/>
  <c r="M66" i="23"/>
  <c r="Q66" i="23"/>
  <c r="E66" i="23"/>
  <c r="K66" i="23"/>
  <c r="K55" i="40"/>
  <c r="K55" i="38"/>
  <c r="M48" i="47"/>
  <c r="L48" i="46"/>
  <c r="N55" i="33"/>
  <c r="Q55" i="29"/>
  <c r="M55" i="28"/>
  <c r="N25" i="59"/>
  <c r="K24" i="57"/>
  <c r="Q61" i="26"/>
  <c r="Q23" i="56"/>
  <c r="O20" i="55"/>
  <c r="L55" i="39"/>
  <c r="G55" i="38"/>
  <c r="H55" i="36"/>
  <c r="J55" i="36"/>
  <c r="K16" i="62"/>
  <c r="K48" i="51"/>
  <c r="H48" i="51"/>
  <c r="E55" i="28"/>
  <c r="L48" i="45"/>
  <c r="F55" i="23"/>
  <c r="J55" i="23"/>
  <c r="K36" i="50"/>
  <c r="I55" i="33"/>
  <c r="Q55" i="33"/>
  <c r="F55" i="32"/>
  <c r="K48" i="47"/>
  <c r="Q48" i="47"/>
  <c r="H55" i="27"/>
  <c r="F77" i="45"/>
  <c r="E55" i="23"/>
  <c r="K55" i="42"/>
  <c r="P55" i="37"/>
  <c r="K55" i="36"/>
  <c r="F48" i="52"/>
  <c r="K48" i="52"/>
  <c r="Q19" i="52"/>
  <c r="E77" i="51"/>
  <c r="M48" i="51"/>
  <c r="E55" i="25"/>
  <c r="K77" i="45"/>
  <c r="F48" i="45"/>
  <c r="L55" i="23"/>
  <c r="I55" i="23"/>
  <c r="O55" i="23"/>
  <c r="P55" i="23"/>
  <c r="L48" i="52"/>
  <c r="Q48" i="52"/>
  <c r="G55" i="36"/>
  <c r="I48" i="52"/>
  <c r="I55" i="36"/>
  <c r="N55" i="36"/>
  <c r="Q55" i="36"/>
  <c r="J55" i="42"/>
  <c r="P55" i="42"/>
  <c r="J55" i="41"/>
  <c r="D55" i="38"/>
  <c r="M71" i="50"/>
  <c r="J72" i="50"/>
  <c r="K15" i="62"/>
  <c r="O55" i="36"/>
  <c r="K77" i="51"/>
  <c r="K77" i="50" s="1"/>
  <c r="E55" i="35"/>
  <c r="D55" i="35"/>
  <c r="L55" i="35"/>
  <c r="I48" i="51"/>
  <c r="I55" i="34"/>
  <c r="D55" i="34"/>
  <c r="Q49" i="32"/>
  <c r="O14" i="63"/>
  <c r="D55" i="30"/>
  <c r="D55" i="29"/>
  <c r="J13" i="58"/>
  <c r="P55" i="28"/>
  <c r="O48" i="47"/>
  <c r="F55" i="28"/>
  <c r="Q13" i="27"/>
  <c r="Q49" i="27"/>
  <c r="M48" i="46"/>
  <c r="K55" i="25"/>
  <c r="J55" i="24"/>
  <c r="G55" i="23"/>
  <c r="H55" i="23"/>
  <c r="M55" i="23"/>
  <c r="F92" i="52"/>
  <c r="M34" i="37"/>
  <c r="K18" i="63"/>
  <c r="L92" i="52"/>
  <c r="K92" i="48"/>
  <c r="E34" i="37"/>
  <c r="M80" i="50"/>
  <c r="Q22" i="42"/>
  <c r="E78" i="50"/>
  <c r="N88" i="48"/>
  <c r="P16" i="63"/>
  <c r="G82" i="50"/>
  <c r="F30" i="34"/>
  <c r="M85" i="50"/>
  <c r="K19" i="63"/>
  <c r="F27" i="58"/>
  <c r="N77" i="47"/>
  <c r="I67" i="50"/>
  <c r="H73" i="50"/>
  <c r="E67" i="50"/>
  <c r="G66" i="50"/>
  <c r="E77" i="52"/>
  <c r="P17" i="62"/>
  <c r="Q71" i="47"/>
  <c r="Q13" i="57" s="1"/>
  <c r="Q13" i="28"/>
  <c r="Q12" i="28"/>
  <c r="Q71" i="48"/>
  <c r="Q12" i="40"/>
  <c r="Q13" i="29"/>
  <c r="M77" i="51"/>
  <c r="D76" i="50"/>
  <c r="Q12" i="39"/>
  <c r="Q100" i="18"/>
  <c r="Q101" i="18" s="1"/>
  <c r="Q102" i="18" s="1"/>
  <c r="O77" i="47"/>
  <c r="E77" i="47"/>
  <c r="F77" i="48"/>
  <c r="O14" i="62"/>
  <c r="F16" i="58"/>
  <c r="O17" i="59"/>
  <c r="I11" i="57"/>
  <c r="I34" i="37"/>
  <c r="E70" i="35"/>
  <c r="E63" i="51"/>
  <c r="M63" i="51"/>
  <c r="H70" i="34"/>
  <c r="H70" i="33"/>
  <c r="G63" i="49"/>
  <c r="L63" i="48"/>
  <c r="H70" i="37"/>
  <c r="H71" i="37"/>
  <c r="P70" i="41"/>
  <c r="P70" i="31"/>
  <c r="D70" i="39"/>
  <c r="P70" i="32"/>
  <c r="P70" i="30"/>
  <c r="P70" i="33"/>
  <c r="D34" i="37"/>
  <c r="P70" i="37"/>
  <c r="O70" i="39"/>
  <c r="L70" i="41"/>
  <c r="F70" i="41"/>
  <c r="I63" i="47"/>
  <c r="I70" i="28"/>
  <c r="P70" i="39"/>
  <c r="P70" i="42"/>
  <c r="O70" i="31"/>
  <c r="O70" i="42"/>
  <c r="N70" i="34"/>
  <c r="N70" i="39"/>
  <c r="M70" i="34"/>
  <c r="I63" i="49"/>
  <c r="G63" i="47"/>
  <c r="D70" i="42"/>
  <c r="N70" i="31"/>
  <c r="I70" i="40"/>
  <c r="H70" i="30"/>
  <c r="K70" i="39"/>
  <c r="I70" i="38"/>
  <c r="K59" i="49"/>
  <c r="N66" i="32"/>
  <c r="N66" i="42"/>
  <c r="N66" i="28"/>
  <c r="I66" i="32"/>
  <c r="G66" i="30"/>
  <c r="Q23" i="42"/>
  <c r="Q59" i="42"/>
  <c r="D66" i="38"/>
  <c r="P59" i="49"/>
  <c r="E56" i="50"/>
  <c r="E66" i="36"/>
  <c r="F66" i="42"/>
  <c r="E66" i="35"/>
  <c r="F66" i="32"/>
  <c r="D66" i="41"/>
  <c r="O59" i="51"/>
  <c r="L59" i="52"/>
  <c r="S59" i="52" s="1"/>
  <c r="P66" i="31"/>
  <c r="D66" i="31"/>
  <c r="J71" i="36"/>
  <c r="O59" i="52"/>
  <c r="O59" i="48"/>
  <c r="O66" i="32"/>
  <c r="O66" i="34"/>
  <c r="F66" i="37"/>
  <c r="I66" i="36"/>
  <c r="L66" i="32"/>
  <c r="P66" i="39"/>
  <c r="F66" i="30"/>
  <c r="J66" i="30"/>
  <c r="D66" i="37"/>
  <c r="D66" i="28"/>
  <c r="F48" i="51"/>
  <c r="F55" i="35"/>
  <c r="G48" i="51"/>
  <c r="E55" i="34"/>
  <c r="G55" i="32"/>
  <c r="G71" i="32"/>
  <c r="H55" i="32"/>
  <c r="I55" i="31"/>
  <c r="E9" i="58"/>
  <c r="I55" i="30"/>
  <c r="D55" i="32"/>
  <c r="L55" i="32"/>
  <c r="K55" i="32"/>
  <c r="F55" i="40"/>
  <c r="H55" i="38"/>
  <c r="E55" i="36"/>
  <c r="J55" i="30"/>
  <c r="F55" i="29"/>
  <c r="F71" i="29"/>
  <c r="G48" i="47"/>
  <c r="I48" i="47"/>
  <c r="I55" i="28"/>
  <c r="K14" i="62"/>
  <c r="J55" i="39"/>
  <c r="N55" i="39"/>
  <c r="E55" i="38"/>
  <c r="M48" i="52"/>
  <c r="M55" i="36"/>
  <c r="P48" i="52"/>
  <c r="P55" i="36"/>
  <c r="D55" i="28"/>
  <c r="D48" i="47"/>
  <c r="L55" i="40"/>
  <c r="I55" i="39"/>
  <c r="H55" i="42"/>
  <c r="I55" i="42"/>
  <c r="H55" i="41"/>
  <c r="K55" i="41"/>
  <c r="M55" i="41"/>
  <c r="N55" i="40"/>
  <c r="E55" i="39"/>
  <c r="G55" i="42"/>
  <c r="H55" i="39"/>
  <c r="K55" i="29"/>
  <c r="J48" i="47"/>
  <c r="L48" i="47"/>
  <c r="F55" i="30"/>
  <c r="J48" i="51"/>
  <c r="J55" i="35"/>
  <c r="J55" i="37"/>
  <c r="D48" i="52"/>
  <c r="O70" i="36"/>
  <c r="O70" i="40"/>
  <c r="M34" i="51"/>
  <c r="L34" i="52"/>
  <c r="N34" i="48"/>
  <c r="M15" i="63"/>
  <c r="F70" i="31"/>
  <c r="L70" i="42"/>
  <c r="P34" i="47"/>
  <c r="N70" i="29"/>
  <c r="H70" i="41"/>
  <c r="O34" i="52"/>
  <c r="M70" i="36"/>
  <c r="E70" i="36"/>
  <c r="H34" i="52"/>
  <c r="H70" i="36"/>
  <c r="D34" i="52"/>
  <c r="D70" i="36"/>
  <c r="D70" i="32"/>
  <c r="D34" i="48"/>
  <c r="P70" i="34"/>
  <c r="P70" i="29"/>
  <c r="N70" i="33"/>
  <c r="J70" i="35"/>
  <c r="D34" i="47"/>
  <c r="G34" i="51"/>
  <c r="L34" i="49"/>
  <c r="D26" i="63"/>
  <c r="H70" i="32"/>
  <c r="J70" i="36"/>
  <c r="L34" i="47"/>
  <c r="S34" i="47" s="1"/>
  <c r="H70" i="39"/>
  <c r="D70" i="37"/>
  <c r="J30" i="51"/>
  <c r="F30" i="51"/>
  <c r="H66" i="42"/>
  <c r="F30" i="52"/>
  <c r="I30" i="51"/>
  <c r="L30" i="48"/>
  <c r="P66" i="37"/>
  <c r="N30" i="49"/>
  <c r="M66" i="30"/>
  <c r="O66" i="31"/>
  <c r="P30" i="48"/>
  <c r="G30" i="51"/>
  <c r="N66" i="30"/>
  <c r="M66" i="33"/>
  <c r="M29" i="50"/>
  <c r="H66" i="35"/>
  <c r="L66" i="40"/>
  <c r="D66" i="29"/>
  <c r="D30" i="48"/>
  <c r="O66" i="42"/>
  <c r="O66" i="30"/>
  <c r="J30" i="48"/>
  <c r="J66" i="29"/>
  <c r="N30" i="47"/>
  <c r="P66" i="33"/>
  <c r="N30" i="51"/>
  <c r="J66" i="32"/>
  <c r="F66" i="28"/>
  <c r="D30" i="47"/>
  <c r="H66" i="40"/>
  <c r="J30" i="52"/>
  <c r="L30" i="51"/>
  <c r="E66" i="30"/>
  <c r="D30" i="52"/>
  <c r="D66" i="32"/>
  <c r="P66" i="28"/>
  <c r="I66" i="33"/>
  <c r="E30" i="49"/>
  <c r="F30" i="48"/>
  <c r="L25" i="50"/>
  <c r="O55" i="30"/>
  <c r="P13" i="42"/>
  <c r="M20" i="56"/>
  <c r="Q12" i="27"/>
  <c r="G77" i="46"/>
  <c r="Q77" i="46"/>
  <c r="I77" i="46"/>
  <c r="D77" i="46"/>
  <c r="L77" i="46"/>
  <c r="K77" i="46"/>
  <c r="I18" i="56"/>
  <c r="F77" i="46"/>
  <c r="H77" i="46"/>
  <c r="F63" i="46"/>
  <c r="M70" i="27"/>
  <c r="D66" i="25"/>
  <c r="M59" i="46"/>
  <c r="M66" i="25"/>
  <c r="N66" i="27"/>
  <c r="L66" i="27"/>
  <c r="O66" i="27"/>
  <c r="F66" i="27"/>
  <c r="G48" i="46"/>
  <c r="J55" i="25"/>
  <c r="F55" i="25"/>
  <c r="J48" i="46"/>
  <c r="I55" i="25"/>
  <c r="L55" i="27"/>
  <c r="F55" i="27"/>
  <c r="H48" i="46"/>
  <c r="H55" i="25"/>
  <c r="D48" i="46"/>
  <c r="G55" i="27"/>
  <c r="N55" i="27"/>
  <c r="G34" i="46"/>
  <c r="E34" i="46"/>
  <c r="F34" i="46"/>
  <c r="N66" i="25"/>
  <c r="P66" i="27"/>
  <c r="Q58" i="25"/>
  <c r="E30" i="46"/>
  <c r="G30" i="46"/>
  <c r="J30" i="46"/>
  <c r="L30" i="46"/>
  <c r="F66" i="25"/>
  <c r="H66" i="25"/>
  <c r="D30" i="46"/>
  <c r="L66" i="25"/>
  <c r="P30" i="46"/>
  <c r="P55" i="25"/>
  <c r="N55" i="25"/>
  <c r="O49" i="25"/>
  <c r="O42" i="46"/>
  <c r="O13" i="25"/>
  <c r="D88" i="45"/>
  <c r="L88" i="45"/>
  <c r="H18" i="26"/>
  <c r="G18" i="26"/>
  <c r="O77" i="45"/>
  <c r="K18" i="26"/>
  <c r="D18" i="26"/>
  <c r="L18" i="26"/>
  <c r="L70" i="24"/>
  <c r="L59" i="45"/>
  <c r="H66" i="24"/>
  <c r="E18" i="26"/>
  <c r="E54" i="26"/>
  <c r="I54" i="26"/>
  <c r="I18" i="26"/>
  <c r="M54" i="26"/>
  <c r="M18" i="26"/>
  <c r="K48" i="45"/>
  <c r="H48" i="45"/>
  <c r="D48" i="45"/>
  <c r="F18" i="26"/>
  <c r="F54" i="26"/>
  <c r="J18" i="26"/>
  <c r="J54" i="26"/>
  <c r="N54" i="26"/>
  <c r="N18" i="26"/>
  <c r="D55" i="24"/>
  <c r="I48" i="45"/>
  <c r="F70" i="24"/>
  <c r="N55" i="24"/>
  <c r="N49" i="24"/>
  <c r="O49" i="24"/>
  <c r="O55" i="24"/>
  <c r="N42" i="45"/>
  <c r="N13" i="55" s="1"/>
  <c r="O42" i="45"/>
  <c r="N13" i="24"/>
  <c r="Q49" i="24"/>
  <c r="Q42" i="45"/>
  <c r="Q13" i="24"/>
  <c r="O42" i="49"/>
  <c r="O49" i="30"/>
  <c r="P55" i="24"/>
  <c r="N55" i="41"/>
  <c r="Q19" i="46"/>
  <c r="N55" i="35"/>
  <c r="N13" i="35"/>
  <c r="N42" i="51"/>
  <c r="O19" i="45"/>
  <c r="O13" i="35"/>
  <c r="K19" i="50"/>
  <c r="P48" i="45"/>
  <c r="K13" i="31"/>
  <c r="P19" i="45"/>
  <c r="M13" i="42"/>
  <c r="O15" i="34"/>
  <c r="Q13" i="47"/>
  <c r="M42" i="48"/>
  <c r="M13" i="29"/>
  <c r="O13" i="27"/>
  <c r="E7" i="50"/>
  <c r="J12" i="50"/>
  <c r="O55" i="25"/>
  <c r="O48" i="46"/>
  <c r="O55" i="42"/>
  <c r="Q55" i="25"/>
  <c r="Q49" i="42"/>
  <c r="P13" i="29"/>
  <c r="L42" i="48"/>
  <c r="P49" i="32"/>
  <c r="N7" i="50"/>
  <c r="L13" i="29"/>
  <c r="M13" i="34"/>
  <c r="K55" i="31"/>
  <c r="O13" i="38"/>
  <c r="L55" i="34"/>
  <c r="L15" i="34"/>
  <c r="P15" i="34"/>
  <c r="Q49" i="39"/>
  <c r="Q42" i="46"/>
  <c r="Q13" i="25"/>
  <c r="M49" i="31"/>
  <c r="L13" i="31"/>
  <c r="P13" i="32"/>
  <c r="N13" i="38"/>
  <c r="Q55" i="39"/>
  <c r="N42" i="48"/>
  <c r="N13" i="29"/>
  <c r="M13" i="24"/>
  <c r="M42" i="45"/>
  <c r="O42" i="48"/>
  <c r="O13" i="58" s="1"/>
  <c r="L13" i="30"/>
  <c r="L55" i="30"/>
  <c r="P13" i="30"/>
  <c r="F7" i="63"/>
  <c r="F66" i="23"/>
  <c r="D55" i="23"/>
  <c r="Q12" i="23"/>
  <c r="K55" i="23"/>
  <c r="K70" i="23"/>
  <c r="O70" i="23"/>
  <c r="E15" i="63"/>
  <c r="D71" i="34"/>
  <c r="Q55" i="32"/>
  <c r="Q55" i="27"/>
  <c r="F25" i="63"/>
  <c r="D71" i="39"/>
  <c r="Q49" i="30"/>
  <c r="O55" i="32"/>
  <c r="O55" i="34"/>
  <c r="O48" i="45"/>
  <c r="M55" i="29"/>
  <c r="P55" i="27"/>
  <c r="O55" i="27"/>
  <c r="M55" i="42"/>
  <c r="Q49" i="34"/>
  <c r="O48" i="51"/>
  <c r="Q13" i="34"/>
  <c r="Q19" i="47"/>
  <c r="Q55" i="28"/>
  <c r="N48" i="51"/>
  <c r="P55" i="30"/>
  <c r="P55" i="29"/>
  <c r="O55" i="29"/>
  <c r="O13" i="41"/>
  <c r="O49" i="41"/>
  <c r="N55" i="29"/>
  <c r="O19" i="51"/>
  <c r="O55" i="35"/>
  <c r="P55" i="32"/>
  <c r="N71" i="42"/>
  <c r="N55" i="42"/>
  <c r="N71" i="38"/>
  <c r="N55" i="38"/>
  <c r="N55" i="34"/>
  <c r="P55" i="34"/>
  <c r="O55" i="38"/>
  <c r="P13" i="51"/>
  <c r="P49" i="35"/>
  <c r="P13" i="38"/>
  <c r="P49" i="38"/>
  <c r="Q13" i="30"/>
  <c r="N49" i="31"/>
  <c r="M13" i="31"/>
  <c r="Q55" i="23"/>
  <c r="E7" i="63"/>
  <c r="N55" i="23"/>
  <c r="O55" i="41"/>
  <c r="Q55" i="30"/>
  <c r="Q13" i="38"/>
  <c r="P13" i="41"/>
  <c r="P19" i="51"/>
  <c r="M55" i="31"/>
  <c r="P55" i="38"/>
  <c r="Q13" i="51"/>
  <c r="Q13" i="50" s="1"/>
  <c r="P13" i="35"/>
  <c r="P42" i="51"/>
  <c r="P55" i="35"/>
  <c r="Q49" i="38"/>
  <c r="P49" i="41"/>
  <c r="O49" i="31"/>
  <c r="N13" i="31"/>
  <c r="Q55" i="38"/>
  <c r="P55" i="41"/>
  <c r="N55" i="31"/>
  <c r="Q42" i="51"/>
  <c r="Q13" i="35"/>
  <c r="Q49" i="35"/>
  <c r="Q13" i="41"/>
  <c r="P48" i="51"/>
  <c r="Q19" i="51"/>
  <c r="Q49" i="41"/>
  <c r="P49" i="31"/>
  <c r="O13" i="31"/>
  <c r="O55" i="31"/>
  <c r="Q55" i="41"/>
  <c r="Q48" i="51"/>
  <c r="P13" i="31"/>
  <c r="P55" i="31"/>
  <c r="Q13" i="31"/>
  <c r="Q49" i="31"/>
  <c r="P13" i="50" l="1"/>
  <c r="P7" i="50"/>
  <c r="S27" i="45"/>
  <c r="G20" i="62"/>
  <c r="J20" i="62"/>
  <c r="K49" i="50"/>
  <c r="Q8" i="50"/>
  <c r="S90" i="48"/>
  <c r="D8" i="61"/>
  <c r="G16" i="61"/>
  <c r="G7" i="61"/>
  <c r="H11" i="61"/>
  <c r="J16" i="61"/>
  <c r="O9" i="61"/>
  <c r="S75" i="47"/>
  <c r="K27" i="57"/>
  <c r="D9" i="50"/>
  <c r="J33" i="50"/>
  <c r="P33" i="50"/>
  <c r="R18" i="47"/>
  <c r="S11" i="46"/>
  <c r="S78" i="51"/>
  <c r="K18" i="62"/>
  <c r="E21" i="44"/>
  <c r="S82" i="46"/>
  <c r="S75" i="46"/>
  <c r="Q18" i="55"/>
  <c r="Q29" i="57"/>
  <c r="N28" i="50"/>
  <c r="Q12" i="55"/>
  <c r="D23" i="59"/>
  <c r="S8" i="52"/>
  <c r="R9" i="46"/>
  <c r="S39" i="48"/>
  <c r="E27" i="58"/>
  <c r="E26" i="58"/>
  <c r="O22" i="58"/>
  <c r="E90" i="50"/>
  <c r="Q9" i="61"/>
  <c r="M8" i="57"/>
  <c r="R56" i="47"/>
  <c r="R40" i="47"/>
  <c r="F13" i="50"/>
  <c r="J16" i="50"/>
  <c r="K21" i="57"/>
  <c r="F23" i="58"/>
  <c r="J23" i="61"/>
  <c r="S73" i="51"/>
  <c r="Q20" i="62"/>
  <c r="K8" i="61"/>
  <c r="M21" i="50"/>
  <c r="S47" i="45"/>
  <c r="Q14" i="55"/>
  <c r="I90" i="50"/>
  <c r="N13" i="61"/>
  <c r="O77" i="50"/>
  <c r="S53" i="52"/>
  <c r="Q20" i="61"/>
  <c r="P21" i="55"/>
  <c r="M29" i="58"/>
  <c r="P23" i="58"/>
  <c r="O8" i="50"/>
  <c r="O12" i="50"/>
  <c r="F22" i="44"/>
  <c r="L8" i="62"/>
  <c r="R85" i="47"/>
  <c r="Q24" i="58"/>
  <c r="K18" i="57"/>
  <c r="G29" i="62"/>
  <c r="F29" i="50"/>
  <c r="H29" i="50"/>
  <c r="R29" i="48"/>
  <c r="S91" i="47"/>
  <c r="S89" i="47"/>
  <c r="S87" i="45"/>
  <c r="O28" i="55"/>
  <c r="S32" i="45"/>
  <c r="Q30" i="23"/>
  <c r="E9" i="50"/>
  <c r="I9" i="50"/>
  <c r="K9" i="61"/>
  <c r="H9" i="50"/>
  <c r="S67" i="47"/>
  <c r="Q9" i="56"/>
  <c r="S38" i="46"/>
  <c r="G26" i="62"/>
  <c r="H26" i="62"/>
  <c r="E24" i="59"/>
  <c r="R83" i="48"/>
  <c r="F25" i="58"/>
  <c r="Q26" i="58"/>
  <c r="S54" i="46"/>
  <c r="Q25" i="56"/>
  <c r="R24" i="46"/>
  <c r="O26" i="55"/>
  <c r="K24" i="55"/>
  <c r="E12" i="50"/>
  <c r="D12" i="61"/>
  <c r="H12" i="61"/>
  <c r="I12" i="61"/>
  <c r="I12" i="56"/>
  <c r="S70" i="45"/>
  <c r="N13" i="58"/>
  <c r="R44" i="48"/>
  <c r="I15" i="56"/>
  <c r="I13" i="56"/>
  <c r="M13" i="56"/>
  <c r="R13" i="46"/>
  <c r="O13" i="55"/>
  <c r="G27" i="62"/>
  <c r="H27" i="62"/>
  <c r="J27" i="62"/>
  <c r="E22" i="62"/>
  <c r="G22" i="62"/>
  <c r="H22" i="62"/>
  <c r="O80" i="50"/>
  <c r="G22" i="61"/>
  <c r="E27" i="59"/>
  <c r="R81" i="48"/>
  <c r="S78" i="47"/>
  <c r="S22" i="47"/>
  <c r="E20" i="56"/>
  <c r="I22" i="56"/>
  <c r="Q21" i="56"/>
  <c r="S20" i="46"/>
  <c r="S23" i="45"/>
  <c r="R20" i="45"/>
  <c r="E8" i="50"/>
  <c r="J7" i="50"/>
  <c r="K8" i="55"/>
  <c r="S8" i="45"/>
  <c r="E11" i="61"/>
  <c r="J48" i="49"/>
  <c r="I19" i="48"/>
  <c r="O11" i="56"/>
  <c r="S16" i="45"/>
  <c r="J10" i="50"/>
  <c r="G19" i="50"/>
  <c r="S10" i="47"/>
  <c r="R10" i="45"/>
  <c r="H30" i="38"/>
  <c r="J29" i="50"/>
  <c r="J32" i="61"/>
  <c r="D91" i="50"/>
  <c r="K34" i="50"/>
  <c r="I28" i="50"/>
  <c r="Q30" i="31"/>
  <c r="K30" i="30"/>
  <c r="Q32" i="58"/>
  <c r="R32" i="48"/>
  <c r="S86" i="47"/>
  <c r="R60" i="46"/>
  <c r="R61" i="46"/>
  <c r="R62" i="46"/>
  <c r="G33" i="56"/>
  <c r="R57" i="46"/>
  <c r="R31" i="46"/>
  <c r="R33" i="46"/>
  <c r="R28" i="46"/>
  <c r="S62" i="45"/>
  <c r="I28" i="55"/>
  <c r="S60" i="45"/>
  <c r="S29" i="45"/>
  <c r="S77" i="52"/>
  <c r="I50" i="50"/>
  <c r="N24" i="50"/>
  <c r="R27" i="52"/>
  <c r="F7" i="50"/>
  <c r="H7" i="50"/>
  <c r="M7" i="50"/>
  <c r="O7" i="50"/>
  <c r="F8" i="50"/>
  <c r="H8" i="50"/>
  <c r="J8" i="50"/>
  <c r="F9" i="50"/>
  <c r="J9" i="50"/>
  <c r="M9" i="50"/>
  <c r="D12" i="50"/>
  <c r="F12" i="50"/>
  <c r="H12" i="50"/>
  <c r="M12" i="50"/>
  <c r="D13" i="50"/>
  <c r="M13" i="50"/>
  <c r="M21" i="61"/>
  <c r="S65" i="51"/>
  <c r="P13" i="61"/>
  <c r="F23" i="61"/>
  <c r="H23" i="61"/>
  <c r="I54" i="50"/>
  <c r="N27" i="61"/>
  <c r="N26" i="61"/>
  <c r="N24" i="61"/>
  <c r="N20" i="61"/>
  <c r="S55" i="51"/>
  <c r="N56" i="50"/>
  <c r="N55" i="50"/>
  <c r="N53" i="50"/>
  <c r="N51" i="50"/>
  <c r="N49" i="50"/>
  <c r="K44" i="50"/>
  <c r="N17" i="61"/>
  <c r="N15" i="61"/>
  <c r="N14" i="61"/>
  <c r="O12" i="61"/>
  <c r="O11" i="61"/>
  <c r="O10" i="61"/>
  <c r="O8" i="61"/>
  <c r="O7" i="61"/>
  <c r="N47" i="50"/>
  <c r="N46" i="50"/>
  <c r="O40" i="50"/>
  <c r="O39" i="50"/>
  <c r="O38" i="50"/>
  <c r="O37" i="50"/>
  <c r="O36" i="50"/>
  <c r="K46" i="50"/>
  <c r="M23" i="50"/>
  <c r="D25" i="50"/>
  <c r="R25" i="50" s="1"/>
  <c r="P23" i="50"/>
  <c r="H26" i="50"/>
  <c r="P20" i="50"/>
  <c r="P26" i="50"/>
  <c r="H14" i="50"/>
  <c r="N14" i="50"/>
  <c r="P14" i="50"/>
  <c r="F15" i="50"/>
  <c r="H15" i="50"/>
  <c r="J15" i="50"/>
  <c r="O15" i="50"/>
  <c r="H16" i="50"/>
  <c r="O16" i="50"/>
  <c r="F17" i="50"/>
  <c r="H17" i="50"/>
  <c r="M17" i="50"/>
  <c r="O17" i="50"/>
  <c r="F18" i="50"/>
  <c r="H18" i="50"/>
  <c r="J18" i="50"/>
  <c r="M18" i="50"/>
  <c r="O18" i="50"/>
  <c r="S84" i="49"/>
  <c r="S78" i="49"/>
  <c r="S80" i="49"/>
  <c r="J7" i="59"/>
  <c r="S69" i="49"/>
  <c r="E23" i="58"/>
  <c r="D24" i="58"/>
  <c r="N22" i="44"/>
  <c r="O24" i="57"/>
  <c r="O22" i="57"/>
  <c r="P12" i="57"/>
  <c r="K10" i="57"/>
  <c r="K8" i="57"/>
  <c r="S25" i="47"/>
  <c r="R85" i="46"/>
  <c r="R83" i="46"/>
  <c r="I27" i="56"/>
  <c r="J7" i="56"/>
  <c r="F14" i="56"/>
  <c r="F8" i="56"/>
  <c r="S21" i="46"/>
  <c r="G33" i="62"/>
  <c r="I33" i="62"/>
  <c r="J33" i="62"/>
  <c r="G25" i="62"/>
  <c r="E20" i="62"/>
  <c r="F29" i="62"/>
  <c r="F27" i="62"/>
  <c r="F26" i="62"/>
  <c r="F24" i="62"/>
  <c r="H20" i="62"/>
  <c r="I29" i="62"/>
  <c r="I26" i="62"/>
  <c r="L66" i="50"/>
  <c r="J75" i="50"/>
  <c r="E18" i="62"/>
  <c r="E17" i="62"/>
  <c r="E15" i="62"/>
  <c r="E14" i="62"/>
  <c r="E9" i="62"/>
  <c r="F17" i="62"/>
  <c r="F15" i="62"/>
  <c r="F9" i="62"/>
  <c r="G18" i="62"/>
  <c r="G14" i="62"/>
  <c r="H18" i="62"/>
  <c r="I18" i="62"/>
  <c r="I9" i="62"/>
  <c r="J18" i="62"/>
  <c r="J17" i="62"/>
  <c r="J14" i="62"/>
  <c r="J13" i="62"/>
  <c r="O73" i="50"/>
  <c r="E54" i="50"/>
  <c r="F54" i="50"/>
  <c r="H22" i="50"/>
  <c r="N22" i="50"/>
  <c r="F25" i="50"/>
  <c r="E25" i="50"/>
  <c r="E18" i="50"/>
  <c r="F90" i="50"/>
  <c r="P90" i="50"/>
  <c r="P91" i="50"/>
  <c r="D86" i="50"/>
  <c r="D85" i="50"/>
  <c r="D84" i="50"/>
  <c r="E84" i="50"/>
  <c r="E80" i="50"/>
  <c r="F87" i="50"/>
  <c r="F85" i="50"/>
  <c r="F84" i="50"/>
  <c r="F78" i="50"/>
  <c r="G86" i="50"/>
  <c r="G84" i="50"/>
  <c r="G80" i="50"/>
  <c r="M27" i="61"/>
  <c r="M26" i="61"/>
  <c r="M24" i="61"/>
  <c r="M22" i="61"/>
  <c r="M20" i="61"/>
  <c r="P27" i="61"/>
  <c r="P26" i="61"/>
  <c r="P24" i="61"/>
  <c r="P22" i="61"/>
  <c r="P20" i="61"/>
  <c r="N29" i="61"/>
  <c r="M82" i="50"/>
  <c r="M78" i="50"/>
  <c r="P86" i="50"/>
  <c r="P85" i="50"/>
  <c r="E77" i="50"/>
  <c r="D71" i="50"/>
  <c r="D70" i="50"/>
  <c r="D69" i="50"/>
  <c r="D66" i="50"/>
  <c r="D65" i="50"/>
  <c r="E74" i="50"/>
  <c r="E73" i="50"/>
  <c r="E72" i="50"/>
  <c r="E70" i="50"/>
  <c r="E69" i="50"/>
  <c r="E68" i="50"/>
  <c r="E65" i="50"/>
  <c r="F72" i="50"/>
  <c r="F71" i="50"/>
  <c r="F70" i="50"/>
  <c r="F69" i="50"/>
  <c r="F68" i="50"/>
  <c r="F65" i="50"/>
  <c r="G76" i="50"/>
  <c r="G70" i="50"/>
  <c r="G69" i="50"/>
  <c r="G65" i="50"/>
  <c r="K11" i="61"/>
  <c r="K12" i="61"/>
  <c r="M18" i="61"/>
  <c r="M17" i="61"/>
  <c r="M16" i="61"/>
  <c r="M15" i="61"/>
  <c r="M14" i="61"/>
  <c r="M13" i="61"/>
  <c r="M12" i="61"/>
  <c r="M11" i="61"/>
  <c r="M10" i="61"/>
  <c r="M9" i="61"/>
  <c r="M8" i="61"/>
  <c r="M7" i="61"/>
  <c r="P18" i="61"/>
  <c r="P17" i="61"/>
  <c r="P16" i="61"/>
  <c r="P15" i="61"/>
  <c r="P14" i="61"/>
  <c r="M76" i="50"/>
  <c r="M73" i="50"/>
  <c r="M70" i="50"/>
  <c r="M69" i="50"/>
  <c r="M67" i="50"/>
  <c r="M65" i="50"/>
  <c r="P75" i="50"/>
  <c r="P74" i="50"/>
  <c r="P72" i="50"/>
  <c r="N32" i="61"/>
  <c r="N33" i="61"/>
  <c r="N61" i="50"/>
  <c r="Q24" i="50"/>
  <c r="D29" i="50"/>
  <c r="Q27" i="50"/>
  <c r="E14" i="50"/>
  <c r="K14" i="50"/>
  <c r="M14" i="50"/>
  <c r="O14" i="50"/>
  <c r="Q14" i="50"/>
  <c r="E15" i="50"/>
  <c r="G15" i="50"/>
  <c r="I15" i="50"/>
  <c r="N15" i="50"/>
  <c r="P15" i="50"/>
  <c r="E16" i="50"/>
  <c r="I17" i="50"/>
  <c r="N17" i="50"/>
  <c r="L18" i="50"/>
  <c r="P18" i="50"/>
  <c r="I30" i="33"/>
  <c r="E30" i="32"/>
  <c r="K23" i="59"/>
  <c r="J21" i="59"/>
  <c r="M25" i="59"/>
  <c r="P27" i="59"/>
  <c r="K18" i="59"/>
  <c r="K16" i="59"/>
  <c r="K14" i="59"/>
  <c r="J15" i="59"/>
  <c r="D17" i="59"/>
  <c r="D8" i="59"/>
  <c r="E16" i="59"/>
  <c r="K13" i="59"/>
  <c r="E7" i="44"/>
  <c r="E34" i="30"/>
  <c r="J30" i="30"/>
  <c r="H30" i="30"/>
  <c r="G30" i="30"/>
  <c r="F30" i="30"/>
  <c r="J25" i="58"/>
  <c r="E13" i="58"/>
  <c r="E25" i="58"/>
  <c r="G25" i="58"/>
  <c r="N25" i="58"/>
  <c r="P25" i="58"/>
  <c r="M15" i="58"/>
  <c r="I26" i="57"/>
  <c r="I22" i="57"/>
  <c r="J25" i="57"/>
  <c r="H11" i="57"/>
  <c r="F33" i="56"/>
  <c r="M28" i="56"/>
  <c r="K28" i="56"/>
  <c r="J26" i="56"/>
  <c r="J24" i="56"/>
  <c r="H24" i="56"/>
  <c r="G27" i="56"/>
  <c r="G26" i="56"/>
  <c r="O13" i="56"/>
  <c r="J17" i="56"/>
  <c r="J14" i="56"/>
  <c r="J11" i="56"/>
  <c r="J13" i="56"/>
  <c r="J10" i="56"/>
  <c r="J18" i="56"/>
  <c r="H17" i="56"/>
  <c r="H15" i="56"/>
  <c r="H11" i="56"/>
  <c r="H9" i="56"/>
  <c r="H8" i="56"/>
  <c r="G17" i="56"/>
  <c r="G16" i="56"/>
  <c r="G15" i="56"/>
  <c r="G14" i="56"/>
  <c r="G9" i="56"/>
  <c r="G8" i="56"/>
  <c r="G18" i="56"/>
  <c r="F9" i="56"/>
  <c r="F18" i="56"/>
  <c r="D11" i="56"/>
  <c r="D8" i="56"/>
  <c r="E16" i="56"/>
  <c r="E14" i="56"/>
  <c r="D13" i="56"/>
  <c r="D7" i="56"/>
  <c r="K34" i="24"/>
  <c r="I14" i="55"/>
  <c r="I30" i="23"/>
  <c r="R28" i="51"/>
  <c r="D34" i="33"/>
  <c r="H34" i="40"/>
  <c r="J30" i="40"/>
  <c r="L34" i="33"/>
  <c r="O13" i="61"/>
  <c r="K67" i="50"/>
  <c r="L21" i="55"/>
  <c r="E21" i="56"/>
  <c r="L21" i="57"/>
  <c r="P27" i="58"/>
  <c r="P9" i="59"/>
  <c r="P9" i="55"/>
  <c r="N9" i="59"/>
  <c r="N9" i="55"/>
  <c r="L24" i="58"/>
  <c r="L13" i="59"/>
  <c r="I27" i="57"/>
  <c r="O26" i="58"/>
  <c r="I25" i="57"/>
  <c r="I24" i="59"/>
  <c r="I23" i="57"/>
  <c r="I21" i="57"/>
  <c r="I14" i="57"/>
  <c r="O10" i="57"/>
  <c r="Q29" i="56"/>
  <c r="Q27" i="55"/>
  <c r="K25" i="56"/>
  <c r="Q25" i="55"/>
  <c r="K22" i="58"/>
  <c r="Q21" i="55"/>
  <c r="K13" i="56"/>
  <c r="K11" i="56"/>
  <c r="Q9" i="55"/>
  <c r="K7" i="56"/>
  <c r="K19" i="23"/>
  <c r="Q12" i="61"/>
  <c r="Q15" i="57"/>
  <c r="M30" i="41"/>
  <c r="N29" i="50"/>
  <c r="P24" i="50"/>
  <c r="P27" i="50"/>
  <c r="F25" i="62"/>
  <c r="D13" i="61"/>
  <c r="D11" i="61"/>
  <c r="E31" i="61"/>
  <c r="E28" i="61"/>
  <c r="E26" i="61"/>
  <c r="E22" i="61"/>
  <c r="E20" i="61"/>
  <c r="E18" i="61"/>
  <c r="E15" i="61"/>
  <c r="N11" i="62"/>
  <c r="G15" i="57"/>
  <c r="D13" i="57"/>
  <c r="D36" i="44"/>
  <c r="I7" i="55"/>
  <c r="H82" i="50"/>
  <c r="H75" i="50"/>
  <c r="H71" i="50"/>
  <c r="H68" i="50"/>
  <c r="H65" i="50"/>
  <c r="I76" i="50"/>
  <c r="I69" i="50"/>
  <c r="I66" i="50"/>
  <c r="I65" i="50"/>
  <c r="J89" i="50"/>
  <c r="J85" i="50"/>
  <c r="J84" i="50"/>
  <c r="J78" i="50"/>
  <c r="J76" i="50"/>
  <c r="J74" i="50"/>
  <c r="J73" i="50"/>
  <c r="J70" i="50"/>
  <c r="J69" i="50"/>
  <c r="J67" i="50"/>
  <c r="J66" i="50"/>
  <c r="J65" i="50"/>
  <c r="K89" i="50"/>
  <c r="K90" i="50"/>
  <c r="K91" i="50"/>
  <c r="K27" i="62"/>
  <c r="K26" i="62"/>
  <c r="P20" i="56"/>
  <c r="P24" i="56"/>
  <c r="P17" i="55"/>
  <c r="P16" i="55"/>
  <c r="P15" i="56"/>
  <c r="P15" i="55"/>
  <c r="P14" i="55"/>
  <c r="P7" i="55"/>
  <c r="N27" i="56"/>
  <c r="N26" i="55"/>
  <c r="N20" i="55"/>
  <c r="N24" i="55"/>
  <c r="N22" i="56"/>
  <c r="N17" i="56"/>
  <c r="N17" i="55"/>
  <c r="N16" i="56"/>
  <c r="N16" i="55"/>
  <c r="N15" i="55"/>
  <c r="N14" i="56"/>
  <c r="N14" i="55"/>
  <c r="M33" i="56"/>
  <c r="M17" i="55"/>
  <c r="M16" i="55"/>
  <c r="M15" i="55"/>
  <c r="M14" i="56"/>
  <c r="M14" i="55"/>
  <c r="M7" i="55"/>
  <c r="L27" i="55"/>
  <c r="L20" i="56"/>
  <c r="L22" i="56"/>
  <c r="L11" i="56"/>
  <c r="D27" i="55"/>
  <c r="E18" i="58"/>
  <c r="O8" i="59"/>
  <c r="Q22" i="59"/>
  <c r="K18" i="58"/>
  <c r="Q9" i="57"/>
  <c r="J22" i="55"/>
  <c r="J25" i="55"/>
  <c r="G81" i="50"/>
  <c r="E25" i="56"/>
  <c r="J26" i="58"/>
  <c r="J20" i="58"/>
  <c r="J31" i="58"/>
  <c r="J33" i="58"/>
  <c r="J29" i="58"/>
  <c r="J17" i="58"/>
  <c r="J15" i="58"/>
  <c r="J14" i="58"/>
  <c r="J12" i="58"/>
  <c r="J11" i="58"/>
  <c r="J9" i="58"/>
  <c r="J8" i="58"/>
  <c r="J7" i="58"/>
  <c r="J18" i="58"/>
  <c r="H26" i="58"/>
  <c r="H20" i="58"/>
  <c r="H24" i="58"/>
  <c r="H32" i="58"/>
  <c r="H33" i="58"/>
  <c r="H28" i="58"/>
  <c r="H29" i="58"/>
  <c r="H17" i="58"/>
  <c r="H15" i="58"/>
  <c r="H14" i="58"/>
  <c r="H12" i="58"/>
  <c r="H8" i="58"/>
  <c r="G26" i="58"/>
  <c r="G24" i="58"/>
  <c r="G28" i="58"/>
  <c r="G17" i="58"/>
  <c r="G15" i="58"/>
  <c r="G14" i="58"/>
  <c r="G11" i="58"/>
  <c r="G8" i="58"/>
  <c r="G13" i="58"/>
  <c r="G7" i="58"/>
  <c r="F26" i="58"/>
  <c r="F24" i="58"/>
  <c r="F22" i="58"/>
  <c r="F17" i="58"/>
  <c r="F14" i="58"/>
  <c r="F12" i="58"/>
  <c r="F11" i="58"/>
  <c r="F9" i="58"/>
  <c r="F8" i="58"/>
  <c r="F7" i="58"/>
  <c r="E24" i="58"/>
  <c r="D22" i="58"/>
  <c r="E22" i="58"/>
  <c r="D8" i="58"/>
  <c r="E15" i="58"/>
  <c r="E7" i="58"/>
  <c r="I18" i="58"/>
  <c r="K7" i="58"/>
  <c r="E8" i="62"/>
  <c r="K7" i="62"/>
  <c r="Q10" i="50"/>
  <c r="N16" i="61"/>
  <c r="K45" i="50"/>
  <c r="J77" i="49"/>
  <c r="J93" i="49" s="1"/>
  <c r="M12" i="58"/>
  <c r="H11" i="58"/>
  <c r="R69" i="46"/>
  <c r="P16" i="56"/>
  <c r="O12" i="55"/>
  <c r="O48" i="50"/>
  <c r="O19" i="50"/>
  <c r="E19" i="37"/>
  <c r="E35" i="37" s="1"/>
  <c r="E10" i="62"/>
  <c r="F10" i="62"/>
  <c r="G10" i="62"/>
  <c r="H10" i="62"/>
  <c r="I10" i="62"/>
  <c r="J10" i="62"/>
  <c r="D10" i="58"/>
  <c r="E10" i="58"/>
  <c r="F10" i="58"/>
  <c r="O10" i="58"/>
  <c r="P10" i="55"/>
  <c r="G19" i="23"/>
  <c r="K17" i="56"/>
  <c r="E12" i="62"/>
  <c r="J12" i="62"/>
  <c r="Q16" i="59"/>
  <c r="Q11" i="59"/>
  <c r="J12" i="59"/>
  <c r="K12" i="59"/>
  <c r="P12" i="58"/>
  <c r="P12" i="56"/>
  <c r="J12" i="56"/>
  <c r="H12" i="56"/>
  <c r="G12" i="56"/>
  <c r="D12" i="56"/>
  <c r="K12" i="56"/>
  <c r="I19" i="23"/>
  <c r="Q101" i="21"/>
  <c r="Q102" i="21" s="1"/>
  <c r="L19" i="40"/>
  <c r="K101" i="18"/>
  <c r="K102" i="18" s="1"/>
  <c r="G16" i="62"/>
  <c r="J16" i="62"/>
  <c r="G11" i="62"/>
  <c r="H11" i="62"/>
  <c r="J11" i="62"/>
  <c r="L19" i="50"/>
  <c r="Q11" i="50"/>
  <c r="D74" i="50"/>
  <c r="F74" i="50"/>
  <c r="G74" i="50"/>
  <c r="H74" i="50"/>
  <c r="S74" i="51"/>
  <c r="Q74" i="50"/>
  <c r="D16" i="61"/>
  <c r="E16" i="61"/>
  <c r="J19" i="34"/>
  <c r="H19" i="30"/>
  <c r="D19" i="30"/>
  <c r="J16" i="58"/>
  <c r="H16" i="58"/>
  <c r="K16" i="58"/>
  <c r="P77" i="48"/>
  <c r="P93" i="48" s="1"/>
  <c r="Q11" i="57"/>
  <c r="I11" i="55"/>
  <c r="P11" i="55"/>
  <c r="N11" i="55"/>
  <c r="H19" i="24"/>
  <c r="E66" i="50"/>
  <c r="F7" i="62"/>
  <c r="G8" i="62"/>
  <c r="G7" i="62"/>
  <c r="I8" i="62"/>
  <c r="I7" i="62"/>
  <c r="Q37" i="50"/>
  <c r="M77" i="50"/>
  <c r="K101" i="17"/>
  <c r="K102" i="17" s="1"/>
  <c r="F19" i="38"/>
  <c r="N19" i="38"/>
  <c r="G19" i="37"/>
  <c r="K10" i="62"/>
  <c r="E27" i="62"/>
  <c r="N42" i="50"/>
  <c r="D87" i="50"/>
  <c r="D73" i="50"/>
  <c r="P60" i="50"/>
  <c r="M57" i="50"/>
  <c r="S61" i="52"/>
  <c r="S57" i="52"/>
  <c r="S47" i="52"/>
  <c r="L11" i="62"/>
  <c r="L10" i="62"/>
  <c r="N12" i="62"/>
  <c r="N8" i="62"/>
  <c r="N7" i="62"/>
  <c r="O32" i="62"/>
  <c r="O27" i="62"/>
  <c r="O24" i="62"/>
  <c r="O20" i="62"/>
  <c r="O16" i="62"/>
  <c r="P12" i="62"/>
  <c r="P10" i="62"/>
  <c r="P9" i="62"/>
  <c r="P8" i="62"/>
  <c r="P7" i="62"/>
  <c r="Q29" i="62"/>
  <c r="Q14" i="62"/>
  <c r="P48" i="50"/>
  <c r="D72" i="50"/>
  <c r="R72" i="50" s="1"/>
  <c r="D78" i="50"/>
  <c r="N31" i="62"/>
  <c r="G40" i="50"/>
  <c r="H47" i="50"/>
  <c r="H40" i="50"/>
  <c r="S85" i="52"/>
  <c r="S82" i="52"/>
  <c r="S80" i="52"/>
  <c r="S71" i="52"/>
  <c r="S68" i="52"/>
  <c r="S66" i="52"/>
  <c r="S65" i="52"/>
  <c r="K11" i="62"/>
  <c r="K12" i="62"/>
  <c r="S9" i="51"/>
  <c r="L9" i="50"/>
  <c r="S9" i="50" s="1"/>
  <c r="I19" i="35"/>
  <c r="S70" i="51"/>
  <c r="L70" i="50"/>
  <c r="S70" i="50" s="1"/>
  <c r="J79" i="50"/>
  <c r="J21" i="61"/>
  <c r="L8" i="61"/>
  <c r="S60" i="51"/>
  <c r="S61" i="51"/>
  <c r="S62" i="51"/>
  <c r="L9" i="61"/>
  <c r="O19" i="35"/>
  <c r="F11" i="50"/>
  <c r="H11" i="50"/>
  <c r="J11" i="50"/>
  <c r="M11" i="50"/>
  <c r="O11" i="50"/>
  <c r="N81" i="50"/>
  <c r="P81" i="50"/>
  <c r="N40" i="50"/>
  <c r="N39" i="50"/>
  <c r="N38" i="50"/>
  <c r="O75" i="50"/>
  <c r="O72" i="50"/>
  <c r="O71" i="50"/>
  <c r="P69" i="50"/>
  <c r="M30" i="35"/>
  <c r="H19" i="50"/>
  <c r="S15" i="51"/>
  <c r="S16" i="51"/>
  <c r="S17" i="51"/>
  <c r="R26" i="51"/>
  <c r="R51" i="51"/>
  <c r="R36" i="51"/>
  <c r="E14" i="61"/>
  <c r="E13" i="61"/>
  <c r="E12" i="61"/>
  <c r="E10" i="61"/>
  <c r="E8" i="61"/>
  <c r="E7" i="61"/>
  <c r="F31" i="61"/>
  <c r="F32" i="61"/>
  <c r="F27" i="61"/>
  <c r="F24" i="61"/>
  <c r="F22" i="61"/>
  <c r="F20" i="61"/>
  <c r="F18" i="61"/>
  <c r="F16" i="61"/>
  <c r="F15" i="61"/>
  <c r="F14" i="61"/>
  <c r="F13" i="61"/>
  <c r="F12" i="61"/>
  <c r="F11" i="61"/>
  <c r="F8" i="61"/>
  <c r="G33" i="61"/>
  <c r="G29" i="61"/>
  <c r="G26" i="61"/>
  <c r="G24" i="61"/>
  <c r="G20" i="61"/>
  <c r="G18" i="61"/>
  <c r="G17" i="61"/>
  <c r="G12" i="61"/>
  <c r="G10" i="61"/>
  <c r="G9" i="61"/>
  <c r="H33" i="61"/>
  <c r="H27" i="61"/>
  <c r="H26" i="61"/>
  <c r="H24" i="61"/>
  <c r="H22" i="61"/>
  <c r="H20" i="61"/>
  <c r="H17" i="61"/>
  <c r="H16" i="61"/>
  <c r="H15" i="61"/>
  <c r="H13" i="61"/>
  <c r="H8" i="61"/>
  <c r="I27" i="61"/>
  <c r="I26" i="61"/>
  <c r="I22" i="61"/>
  <c r="I20" i="61"/>
  <c r="I17" i="61"/>
  <c r="I16" i="61"/>
  <c r="I10" i="61"/>
  <c r="J27" i="61"/>
  <c r="J22" i="61"/>
  <c r="J18" i="61"/>
  <c r="J15" i="61"/>
  <c r="J14" i="61"/>
  <c r="J12" i="61"/>
  <c r="J10" i="61"/>
  <c r="J8" i="61"/>
  <c r="J7" i="61"/>
  <c r="L76" i="50"/>
  <c r="O42" i="50"/>
  <c r="O13" i="60" s="1"/>
  <c r="P31" i="59"/>
  <c r="M77" i="49"/>
  <c r="M93" i="49" s="1"/>
  <c r="S60" i="49"/>
  <c r="S62" i="49"/>
  <c r="S45" i="49"/>
  <c r="S41" i="49"/>
  <c r="I23" i="59"/>
  <c r="I18" i="59"/>
  <c r="I14" i="59"/>
  <c r="I77" i="49"/>
  <c r="K26" i="59"/>
  <c r="Q77" i="49"/>
  <c r="O13" i="59"/>
  <c r="P12" i="59"/>
  <c r="N48" i="49"/>
  <c r="G77" i="49"/>
  <c r="G93" i="49" s="1"/>
  <c r="M77" i="48"/>
  <c r="M93" i="48" s="1"/>
  <c r="J19" i="29"/>
  <c r="Q26" i="44"/>
  <c r="D15" i="58"/>
  <c r="D7" i="58"/>
  <c r="S18" i="48"/>
  <c r="R21" i="48"/>
  <c r="R50" i="48"/>
  <c r="P17" i="58"/>
  <c r="P16" i="58"/>
  <c r="P15" i="58"/>
  <c r="P14" i="58"/>
  <c r="P10" i="58"/>
  <c r="P18" i="58"/>
  <c r="N27" i="58"/>
  <c r="N26" i="58"/>
  <c r="N20" i="58"/>
  <c r="N24" i="58"/>
  <c r="N22" i="58"/>
  <c r="N17" i="58"/>
  <c r="N16" i="58"/>
  <c r="N15" i="58"/>
  <c r="N14" i="58"/>
  <c r="M17" i="58"/>
  <c r="M16" i="58"/>
  <c r="M14" i="58"/>
  <c r="M8" i="58"/>
  <c r="M10" i="58"/>
  <c r="M18" i="58"/>
  <c r="L27" i="58"/>
  <c r="S55" i="48"/>
  <c r="S53" i="48"/>
  <c r="S51" i="48"/>
  <c r="S61" i="48"/>
  <c r="S57" i="48"/>
  <c r="S40" i="48"/>
  <c r="I25" i="58"/>
  <c r="O8" i="58"/>
  <c r="I26" i="58"/>
  <c r="I24" i="58"/>
  <c r="I22" i="58"/>
  <c r="I17" i="58"/>
  <c r="I15" i="58"/>
  <c r="I12" i="58"/>
  <c r="O11" i="58"/>
  <c r="O9" i="58"/>
  <c r="K13" i="58"/>
  <c r="K9" i="58"/>
  <c r="K77" i="48"/>
  <c r="Q21" i="58"/>
  <c r="S42" i="48"/>
  <c r="D12" i="58"/>
  <c r="P11" i="58"/>
  <c r="P9" i="58"/>
  <c r="P8" i="58"/>
  <c r="N11" i="58"/>
  <c r="N9" i="58"/>
  <c r="N8" i="58"/>
  <c r="N7" i="58"/>
  <c r="N18" i="58"/>
  <c r="M26" i="58"/>
  <c r="M24" i="58"/>
  <c r="M9" i="57"/>
  <c r="L23" i="56"/>
  <c r="G25" i="56"/>
  <c r="L25" i="56"/>
  <c r="S18" i="46"/>
  <c r="N11" i="56"/>
  <c r="N8" i="56"/>
  <c r="N13" i="56"/>
  <c r="N7" i="56"/>
  <c r="M26" i="56"/>
  <c r="M24" i="56"/>
  <c r="O15" i="56"/>
  <c r="I10" i="56"/>
  <c r="I8" i="56"/>
  <c r="Q14" i="56"/>
  <c r="I11" i="56"/>
  <c r="S34" i="46"/>
  <c r="D14" i="56"/>
  <c r="M23" i="56"/>
  <c r="R15" i="46"/>
  <c r="R11" i="46"/>
  <c r="R7" i="46"/>
  <c r="M19" i="25"/>
  <c r="S55" i="46"/>
  <c r="S61" i="46"/>
  <c r="S57" i="46"/>
  <c r="P27" i="55"/>
  <c r="P26" i="55"/>
  <c r="P24" i="55"/>
  <c r="G18" i="55"/>
  <c r="F12" i="55"/>
  <c r="R82" i="45"/>
  <c r="R75" i="45"/>
  <c r="R73" i="45"/>
  <c r="D12" i="55"/>
  <c r="R69" i="45"/>
  <c r="E17" i="55"/>
  <c r="R71" i="45"/>
  <c r="K23" i="55"/>
  <c r="K17" i="55"/>
  <c r="K15" i="55"/>
  <c r="Q17" i="55"/>
  <c r="L26" i="55"/>
  <c r="N31" i="55"/>
  <c r="P13" i="55"/>
  <c r="K12" i="55"/>
  <c r="R81" i="47"/>
  <c r="G25" i="57"/>
  <c r="M11" i="57"/>
  <c r="F76" i="44"/>
  <c r="N28" i="57"/>
  <c r="M12" i="57"/>
  <c r="S81" i="47"/>
  <c r="E21" i="57"/>
  <c r="L22" i="57"/>
  <c r="R60" i="47"/>
  <c r="R62" i="47"/>
  <c r="R57" i="47"/>
  <c r="E19" i="42"/>
  <c r="F19" i="42"/>
  <c r="H19" i="42"/>
  <c r="K101" i="21"/>
  <c r="K102" i="21" s="1"/>
  <c r="I19" i="41"/>
  <c r="N19" i="41"/>
  <c r="F19" i="40"/>
  <c r="M19" i="40"/>
  <c r="E30" i="40"/>
  <c r="Q101" i="17"/>
  <c r="Q102" i="17" s="1"/>
  <c r="I30" i="38"/>
  <c r="H19" i="38"/>
  <c r="M19" i="38"/>
  <c r="N30" i="38"/>
  <c r="H19" i="37"/>
  <c r="N19" i="37"/>
  <c r="O19" i="37"/>
  <c r="P19" i="37"/>
  <c r="S58" i="52"/>
  <c r="L58" i="50"/>
  <c r="S55" i="52"/>
  <c r="L26" i="62"/>
  <c r="S46" i="52"/>
  <c r="L17" i="62"/>
  <c r="O84" i="50"/>
  <c r="O26" i="62"/>
  <c r="Q11" i="62"/>
  <c r="Q12" i="62"/>
  <c r="S17" i="52"/>
  <c r="L17" i="50"/>
  <c r="S17" i="50" s="1"/>
  <c r="S18" i="52"/>
  <c r="N79" i="50"/>
  <c r="N21" i="60" s="1"/>
  <c r="Q9" i="62"/>
  <c r="K13" i="62"/>
  <c r="O33" i="62"/>
  <c r="O22" i="62"/>
  <c r="O18" i="62"/>
  <c r="O15" i="62"/>
  <c r="R34" i="52"/>
  <c r="L67" i="50"/>
  <c r="O29" i="50"/>
  <c r="E26" i="50"/>
  <c r="F24" i="50"/>
  <c r="J26" i="50"/>
  <c r="E48" i="50"/>
  <c r="L83" i="50"/>
  <c r="R57" i="52"/>
  <c r="R47" i="52"/>
  <c r="R39" i="52"/>
  <c r="K57" i="50"/>
  <c r="O82" i="50"/>
  <c r="O76" i="50"/>
  <c r="P67" i="50"/>
  <c r="P66" i="50"/>
  <c r="K17" i="62"/>
  <c r="K20" i="62"/>
  <c r="K47" i="50"/>
  <c r="K76" i="50"/>
  <c r="R76" i="50" s="1"/>
  <c r="R77" i="52"/>
  <c r="Q47" i="50"/>
  <c r="O19" i="36"/>
  <c r="Q25" i="62"/>
  <c r="S89" i="52"/>
  <c r="S90" i="52"/>
  <c r="S91" i="52"/>
  <c r="S86" i="52"/>
  <c r="L20" i="62"/>
  <c r="L16" i="62"/>
  <c r="S70" i="52"/>
  <c r="S69" i="52"/>
  <c r="D15" i="50"/>
  <c r="D14" i="50"/>
  <c r="R14" i="50" s="1"/>
  <c r="R30" i="52"/>
  <c r="G48" i="50"/>
  <c r="N25" i="62"/>
  <c r="F16" i="50"/>
  <c r="J17" i="50"/>
  <c r="R81" i="52"/>
  <c r="S81" i="52"/>
  <c r="D24" i="50"/>
  <c r="H59" i="50"/>
  <c r="J77" i="50"/>
  <c r="R22" i="52"/>
  <c r="E25" i="62"/>
  <c r="H25" i="62"/>
  <c r="R74" i="52"/>
  <c r="R70" i="52"/>
  <c r="R69" i="52"/>
  <c r="E32" i="62"/>
  <c r="M18" i="62"/>
  <c r="N17" i="62"/>
  <c r="N65" i="50"/>
  <c r="O46" i="50"/>
  <c r="O43" i="50"/>
  <c r="O8" i="62"/>
  <c r="P33" i="62"/>
  <c r="P27" i="62"/>
  <c r="P26" i="62"/>
  <c r="P18" i="62"/>
  <c r="P13" i="62"/>
  <c r="P39" i="50"/>
  <c r="Q60" i="50"/>
  <c r="Q61" i="50"/>
  <c r="Q62" i="50"/>
  <c r="K9" i="62"/>
  <c r="K40" i="50"/>
  <c r="K41" i="50"/>
  <c r="Q15" i="62"/>
  <c r="Q16" i="62"/>
  <c r="K18" i="50"/>
  <c r="K24" i="50"/>
  <c r="K69" i="50"/>
  <c r="K70" i="50"/>
  <c r="K73" i="50"/>
  <c r="K74" i="50"/>
  <c r="K75" i="50"/>
  <c r="Q66" i="50"/>
  <c r="S66" i="50" s="1"/>
  <c r="Q71" i="50"/>
  <c r="Q85" i="50"/>
  <c r="Q84" i="50"/>
  <c r="G11" i="61"/>
  <c r="S37" i="51"/>
  <c r="L37" i="50"/>
  <c r="L19" i="35"/>
  <c r="R56" i="51"/>
  <c r="D27" i="61"/>
  <c r="I48" i="50"/>
  <c r="S67" i="51"/>
  <c r="P23" i="61"/>
  <c r="R34" i="51"/>
  <c r="E63" i="50"/>
  <c r="F25" i="61"/>
  <c r="I25" i="61"/>
  <c r="G14" i="61"/>
  <c r="G13" i="61"/>
  <c r="H14" i="61"/>
  <c r="H7" i="61"/>
  <c r="I13" i="61"/>
  <c r="N19" i="35"/>
  <c r="Q52" i="50"/>
  <c r="M81" i="50"/>
  <c r="Q81" i="50"/>
  <c r="S26" i="51"/>
  <c r="F22" i="50"/>
  <c r="P22" i="50"/>
  <c r="J25" i="50"/>
  <c r="M25" i="50"/>
  <c r="O25" i="50"/>
  <c r="Q25" i="50"/>
  <c r="S25" i="50" s="1"/>
  <c r="J25" i="61"/>
  <c r="K25" i="61"/>
  <c r="M25" i="61"/>
  <c r="N25" i="61"/>
  <c r="O25" i="61"/>
  <c r="E42" i="50"/>
  <c r="E13" i="60" s="1"/>
  <c r="E40" i="50"/>
  <c r="E11" i="60" s="1"/>
  <c r="H60" i="50"/>
  <c r="H61" i="50"/>
  <c r="H53" i="50"/>
  <c r="H46" i="50"/>
  <c r="H45" i="50"/>
  <c r="I60" i="50"/>
  <c r="I61" i="50"/>
  <c r="I32" i="60" s="1"/>
  <c r="I53" i="50"/>
  <c r="I45" i="50"/>
  <c r="I40" i="50"/>
  <c r="J36" i="50"/>
  <c r="J7" i="60" s="1"/>
  <c r="K61" i="50"/>
  <c r="K62" i="50"/>
  <c r="S47" i="51"/>
  <c r="S45" i="51"/>
  <c r="S41" i="51"/>
  <c r="S40" i="51"/>
  <c r="N90" i="50"/>
  <c r="N86" i="50"/>
  <c r="P46" i="50"/>
  <c r="P7" i="61"/>
  <c r="Q14" i="61"/>
  <c r="K10" i="61"/>
  <c r="K53" i="50"/>
  <c r="K7" i="50"/>
  <c r="K20" i="61"/>
  <c r="Q18" i="61"/>
  <c r="K21" i="61"/>
  <c r="K50" i="50"/>
  <c r="F19" i="34"/>
  <c r="D19" i="33"/>
  <c r="G19" i="33"/>
  <c r="H19" i="33"/>
  <c r="Q35" i="49"/>
  <c r="P20" i="59"/>
  <c r="P26" i="59"/>
  <c r="P24" i="59"/>
  <c r="P15" i="59"/>
  <c r="P18" i="59"/>
  <c r="N24" i="59"/>
  <c r="M17" i="59"/>
  <c r="M14" i="59"/>
  <c r="S70" i="49"/>
  <c r="J20" i="59"/>
  <c r="J17" i="59"/>
  <c r="J16" i="59"/>
  <c r="J14" i="59"/>
  <c r="J11" i="59"/>
  <c r="J9" i="59"/>
  <c r="J13" i="59"/>
  <c r="J10" i="59"/>
  <c r="J18" i="59"/>
  <c r="H26" i="59"/>
  <c r="H24" i="59"/>
  <c r="H8" i="59"/>
  <c r="H7" i="59"/>
  <c r="G26" i="59"/>
  <c r="G8" i="59"/>
  <c r="F15" i="59"/>
  <c r="F8" i="59"/>
  <c r="F7" i="59"/>
  <c r="E26" i="59"/>
  <c r="R60" i="49"/>
  <c r="R57" i="49"/>
  <c r="E31" i="59"/>
  <c r="E32" i="59"/>
  <c r="E33" i="59"/>
  <c r="E28" i="59"/>
  <c r="E29" i="59"/>
  <c r="D12" i="59"/>
  <c r="D11" i="59"/>
  <c r="E17" i="59"/>
  <c r="E15" i="59"/>
  <c r="E14" i="59"/>
  <c r="E12" i="59"/>
  <c r="E9" i="59"/>
  <c r="E8" i="59"/>
  <c r="E13" i="59"/>
  <c r="E7" i="59"/>
  <c r="E18" i="59"/>
  <c r="I31" i="59"/>
  <c r="O16" i="59"/>
  <c r="O67" i="44"/>
  <c r="Q48" i="49"/>
  <c r="Q64" i="49" s="1"/>
  <c r="K32" i="59"/>
  <c r="R88" i="49"/>
  <c r="S19" i="49"/>
  <c r="R81" i="49"/>
  <c r="P33" i="59"/>
  <c r="N11" i="59"/>
  <c r="N77" i="49"/>
  <c r="N93" i="49" s="1"/>
  <c r="O15" i="59"/>
  <c r="O12" i="59"/>
  <c r="I10" i="59"/>
  <c r="P34" i="31"/>
  <c r="O55" i="44"/>
  <c r="N30" i="30"/>
  <c r="J75" i="44"/>
  <c r="H74" i="44"/>
  <c r="F69" i="44"/>
  <c r="E85" i="44"/>
  <c r="D73" i="44"/>
  <c r="I27" i="55"/>
  <c r="I25" i="55"/>
  <c r="I23" i="55"/>
  <c r="O69" i="44"/>
  <c r="I26" i="55"/>
  <c r="I24" i="55"/>
  <c r="I15" i="55"/>
  <c r="O7" i="55"/>
  <c r="K9" i="55"/>
  <c r="L17" i="55"/>
  <c r="S71" i="45"/>
  <c r="J16" i="55"/>
  <c r="J15" i="55"/>
  <c r="J14" i="55"/>
  <c r="J12" i="55"/>
  <c r="J11" i="55"/>
  <c r="J8" i="55"/>
  <c r="J10" i="55"/>
  <c r="H27" i="55"/>
  <c r="H15" i="55"/>
  <c r="H12" i="55"/>
  <c r="H11" i="55"/>
  <c r="H8" i="55"/>
  <c r="H10" i="55"/>
  <c r="G15" i="55"/>
  <c r="G13" i="55"/>
  <c r="Q22" i="55"/>
  <c r="Q20" i="55"/>
  <c r="Q13" i="55"/>
  <c r="G76" i="44"/>
  <c r="S18" i="45"/>
  <c r="S9" i="45"/>
  <c r="O25" i="56"/>
  <c r="O23" i="56"/>
  <c r="I9" i="56"/>
  <c r="I7" i="56"/>
  <c r="L7" i="56"/>
  <c r="L15" i="56"/>
  <c r="L18" i="56"/>
  <c r="S23" i="46"/>
  <c r="S16" i="46"/>
  <c r="S8" i="46"/>
  <c r="P32" i="56"/>
  <c r="P33" i="56"/>
  <c r="P11" i="56"/>
  <c r="P67" i="44"/>
  <c r="P9" i="56"/>
  <c r="P8" i="56"/>
  <c r="N9" i="56"/>
  <c r="N65" i="44"/>
  <c r="N18" i="56"/>
  <c r="M31" i="56"/>
  <c r="M41" i="44"/>
  <c r="S68" i="46"/>
  <c r="J20" i="56"/>
  <c r="H27" i="56"/>
  <c r="H20" i="56"/>
  <c r="G22" i="56"/>
  <c r="F26" i="56"/>
  <c r="F20" i="56"/>
  <c r="F24" i="56"/>
  <c r="F32" i="56"/>
  <c r="F28" i="56"/>
  <c r="F29" i="56"/>
  <c r="F17" i="56"/>
  <c r="F16" i="56"/>
  <c r="F11" i="56"/>
  <c r="D26" i="56"/>
  <c r="E26" i="56"/>
  <c r="E24" i="56"/>
  <c r="E28" i="56"/>
  <c r="E29" i="56"/>
  <c r="E15" i="56"/>
  <c r="E12" i="56"/>
  <c r="E11" i="56"/>
  <c r="E8" i="56"/>
  <c r="E7" i="56"/>
  <c r="E10" i="56"/>
  <c r="I25" i="56"/>
  <c r="I16" i="56"/>
  <c r="I14" i="56"/>
  <c r="K10" i="56"/>
  <c r="K8" i="56"/>
  <c r="K9" i="56"/>
  <c r="J22" i="56"/>
  <c r="P23" i="56"/>
  <c r="Q13" i="56"/>
  <c r="S48" i="46"/>
  <c r="O29" i="56"/>
  <c r="L21" i="56"/>
  <c r="P17" i="56"/>
  <c r="P14" i="56"/>
  <c r="N26" i="56"/>
  <c r="N20" i="56"/>
  <c r="M17" i="56"/>
  <c r="M16" i="56"/>
  <c r="M15" i="56"/>
  <c r="M11" i="56"/>
  <c r="M9" i="56"/>
  <c r="M7" i="56"/>
  <c r="L12" i="56"/>
  <c r="L8" i="56"/>
  <c r="I32" i="56"/>
  <c r="O12" i="56"/>
  <c r="K24" i="56"/>
  <c r="K22" i="56"/>
  <c r="K20" i="56"/>
  <c r="H19" i="27"/>
  <c r="I19" i="27"/>
  <c r="H12" i="44"/>
  <c r="N11" i="57"/>
  <c r="N13" i="57"/>
  <c r="O20" i="57"/>
  <c r="O13" i="57"/>
  <c r="H69" i="44"/>
  <c r="G16" i="44"/>
  <c r="J11" i="44"/>
  <c r="E25" i="57"/>
  <c r="N25" i="57"/>
  <c r="P26" i="57"/>
  <c r="P69" i="44"/>
  <c r="S90" i="47"/>
  <c r="S87" i="47"/>
  <c r="S79" i="47"/>
  <c r="S62" i="47"/>
  <c r="S45" i="47"/>
  <c r="K26" i="57"/>
  <c r="K13" i="57"/>
  <c r="K11" i="57"/>
  <c r="Q25" i="57"/>
  <c r="Q23" i="57"/>
  <c r="Q7" i="57"/>
  <c r="P21" i="57"/>
  <c r="P54" i="44"/>
  <c r="J21" i="57"/>
  <c r="S66" i="47"/>
  <c r="L10" i="57"/>
  <c r="J24" i="57"/>
  <c r="J31" i="57"/>
  <c r="J28" i="57"/>
  <c r="J17" i="57"/>
  <c r="J16" i="57"/>
  <c r="J15" i="57"/>
  <c r="J14" i="57"/>
  <c r="J12" i="57"/>
  <c r="J11" i="57"/>
  <c r="J9" i="57"/>
  <c r="J8" i="57"/>
  <c r="J13" i="57"/>
  <c r="J65" i="44"/>
  <c r="J7" i="57"/>
  <c r="J10" i="57"/>
  <c r="J18" i="57"/>
  <c r="H27" i="57"/>
  <c r="H26" i="57"/>
  <c r="H24" i="57"/>
  <c r="H17" i="57"/>
  <c r="H16" i="57"/>
  <c r="H15" i="57"/>
  <c r="H14" i="57"/>
  <c r="H12" i="57"/>
  <c r="H9" i="57"/>
  <c r="H8" i="57"/>
  <c r="G16" i="57"/>
  <c r="G14" i="57"/>
  <c r="G9" i="57"/>
  <c r="G8" i="57"/>
  <c r="G13" i="57"/>
  <c r="G7" i="57"/>
  <c r="G10" i="57"/>
  <c r="F27" i="57"/>
  <c r="F26" i="57"/>
  <c r="F20" i="57"/>
  <c r="F24" i="57"/>
  <c r="F22" i="57"/>
  <c r="F31" i="57"/>
  <c r="F33" i="57"/>
  <c r="F29" i="57"/>
  <c r="F17" i="57"/>
  <c r="F16" i="57"/>
  <c r="F15" i="57"/>
  <c r="F14" i="57"/>
  <c r="F12" i="57"/>
  <c r="F11" i="57"/>
  <c r="F9" i="57"/>
  <c r="F8" i="57"/>
  <c r="F13" i="57"/>
  <c r="F7" i="57"/>
  <c r="F10" i="57"/>
  <c r="F18" i="57"/>
  <c r="D20" i="57"/>
  <c r="E27" i="57"/>
  <c r="E26" i="57"/>
  <c r="E20" i="57"/>
  <c r="R53" i="47"/>
  <c r="E24" i="57"/>
  <c r="D22" i="57"/>
  <c r="E22" i="57"/>
  <c r="E17" i="57"/>
  <c r="E16" i="57"/>
  <c r="E15" i="57"/>
  <c r="E14" i="57"/>
  <c r="E12" i="57"/>
  <c r="E11" i="57"/>
  <c r="E9" i="57"/>
  <c r="E8" i="57"/>
  <c r="E13" i="57"/>
  <c r="E7" i="57"/>
  <c r="E10" i="57"/>
  <c r="E18" i="57"/>
  <c r="O75" i="44"/>
  <c r="O73" i="44"/>
  <c r="I66" i="44"/>
  <c r="I33" i="57"/>
  <c r="O21" i="57"/>
  <c r="I9" i="57"/>
  <c r="O18" i="44"/>
  <c r="O16" i="44"/>
  <c r="I12" i="44"/>
  <c r="O12" i="44"/>
  <c r="E23" i="57"/>
  <c r="J23" i="57"/>
  <c r="R9" i="47"/>
  <c r="K17" i="57"/>
  <c r="K15" i="57"/>
  <c r="D11" i="57"/>
  <c r="D18" i="57"/>
  <c r="S33" i="47"/>
  <c r="G21" i="57"/>
  <c r="N26" i="57"/>
  <c r="S56" i="47"/>
  <c r="S58" i="47"/>
  <c r="S37" i="47"/>
  <c r="J69" i="44"/>
  <c r="J67" i="44"/>
  <c r="E72" i="44"/>
  <c r="E65" i="44"/>
  <c r="I18" i="57"/>
  <c r="I16" i="57"/>
  <c r="O8" i="57"/>
  <c r="Q8" i="57"/>
  <c r="J19" i="28"/>
  <c r="D24" i="57"/>
  <c r="S59" i="47"/>
  <c r="R79" i="47"/>
  <c r="P11" i="57"/>
  <c r="P9" i="57"/>
  <c r="P8" i="57"/>
  <c r="N9" i="57"/>
  <c r="N8" i="57"/>
  <c r="N7" i="57"/>
  <c r="N10" i="57"/>
  <c r="N18" i="57"/>
  <c r="M26" i="57"/>
  <c r="M20" i="57"/>
  <c r="M24" i="57"/>
  <c r="D48" i="49"/>
  <c r="I9" i="59"/>
  <c r="I7" i="59"/>
  <c r="Q27" i="59"/>
  <c r="N13" i="59"/>
  <c r="L17" i="59"/>
  <c r="I48" i="49"/>
  <c r="P25" i="59"/>
  <c r="S20" i="49"/>
  <c r="R22" i="49"/>
  <c r="N21" i="59"/>
  <c r="L21" i="59"/>
  <c r="G21" i="59"/>
  <c r="E21" i="59"/>
  <c r="P8" i="59"/>
  <c r="N84" i="44"/>
  <c r="N74" i="44"/>
  <c r="N7" i="59"/>
  <c r="M27" i="59"/>
  <c r="M24" i="59"/>
  <c r="K77" i="49"/>
  <c r="K93" i="49" s="1"/>
  <c r="Q26" i="59"/>
  <c r="K9" i="59"/>
  <c r="K7" i="59"/>
  <c r="P13" i="59"/>
  <c r="F48" i="49"/>
  <c r="F64" i="49" s="1"/>
  <c r="L14" i="59"/>
  <c r="O28" i="59"/>
  <c r="P17" i="59"/>
  <c r="P16" i="59"/>
  <c r="P14" i="59"/>
  <c r="P10" i="59"/>
  <c r="N27" i="59"/>
  <c r="N26" i="59"/>
  <c r="N20" i="59"/>
  <c r="N22" i="59"/>
  <c r="N29" i="59"/>
  <c r="N17" i="59"/>
  <c r="N16" i="59"/>
  <c r="N15" i="59"/>
  <c r="N14" i="59"/>
  <c r="M16" i="59"/>
  <c r="M15" i="59"/>
  <c r="M13" i="59"/>
  <c r="M7" i="59"/>
  <c r="M10" i="59"/>
  <c r="M18" i="59"/>
  <c r="S56" i="49"/>
  <c r="L24" i="59"/>
  <c r="L22" i="59"/>
  <c r="L28" i="59"/>
  <c r="L29" i="59"/>
  <c r="S38" i="49"/>
  <c r="L8" i="59"/>
  <c r="O77" i="49"/>
  <c r="I26" i="59"/>
  <c r="I22" i="59"/>
  <c r="I17" i="59"/>
  <c r="I12" i="59"/>
  <c r="O11" i="59"/>
  <c r="O9" i="59"/>
  <c r="K24" i="59"/>
  <c r="Q18" i="59"/>
  <c r="Q12" i="59"/>
  <c r="J25" i="59"/>
  <c r="Q13" i="59"/>
  <c r="I34" i="31"/>
  <c r="I19" i="31"/>
  <c r="F19" i="31"/>
  <c r="O34" i="30"/>
  <c r="R46" i="48"/>
  <c r="R47" i="48"/>
  <c r="P48" i="48"/>
  <c r="P64" i="48" s="1"/>
  <c r="M48" i="48"/>
  <c r="M64" i="48" s="1"/>
  <c r="K26" i="58"/>
  <c r="M19" i="29"/>
  <c r="M7" i="58"/>
  <c r="P7" i="58"/>
  <c r="L14" i="58"/>
  <c r="E19" i="29"/>
  <c r="N19" i="29"/>
  <c r="L8" i="58"/>
  <c r="S71" i="48"/>
  <c r="O21" i="58"/>
  <c r="L26" i="58"/>
  <c r="D18" i="58"/>
  <c r="P26" i="58"/>
  <c r="P24" i="58"/>
  <c r="S76" i="48"/>
  <c r="R84" i="48"/>
  <c r="R89" i="48"/>
  <c r="R91" i="48"/>
  <c r="R86" i="48"/>
  <c r="R70" i="48"/>
  <c r="I20" i="58"/>
  <c r="I13" i="58"/>
  <c r="O7" i="58"/>
  <c r="Q13" i="58"/>
  <c r="K12" i="58"/>
  <c r="L22" i="58"/>
  <c r="S28" i="48"/>
  <c r="S33" i="48"/>
  <c r="S24" i="48"/>
  <c r="H24" i="44"/>
  <c r="D19" i="29"/>
  <c r="P71" i="44"/>
  <c r="N12" i="58"/>
  <c r="M72" i="44"/>
  <c r="E45" i="44"/>
  <c r="O28" i="58"/>
  <c r="O24" i="58"/>
  <c r="O17" i="58"/>
  <c r="O15" i="58"/>
  <c r="I8" i="58"/>
  <c r="K21" i="58"/>
  <c r="K17" i="44"/>
  <c r="P44" i="44"/>
  <c r="J19" i="30"/>
  <c r="F19" i="30"/>
  <c r="F35" i="30" s="1"/>
  <c r="I43" i="44"/>
  <c r="R27" i="49"/>
  <c r="P48" i="49"/>
  <c r="P64" i="49" s="1"/>
  <c r="S49" i="49"/>
  <c r="L15" i="59"/>
  <c r="M29" i="59"/>
  <c r="S23" i="49"/>
  <c r="S32" i="49"/>
  <c r="R20" i="49"/>
  <c r="L19" i="32"/>
  <c r="P77" i="49"/>
  <c r="P93" i="49" s="1"/>
  <c r="S66" i="49"/>
  <c r="L48" i="49"/>
  <c r="S47" i="49"/>
  <c r="L18" i="59"/>
  <c r="H48" i="49"/>
  <c r="H64" i="49" s="1"/>
  <c r="G48" i="49"/>
  <c r="G64" i="49" s="1"/>
  <c r="R51" i="49"/>
  <c r="R61" i="49"/>
  <c r="R62" i="49"/>
  <c r="D33" i="59"/>
  <c r="R58" i="49"/>
  <c r="R38" i="49"/>
  <c r="D9" i="59"/>
  <c r="R37" i="49"/>
  <c r="R39" i="49"/>
  <c r="O25" i="59"/>
  <c r="O21" i="59"/>
  <c r="O18" i="59"/>
  <c r="I11" i="59"/>
  <c r="K22" i="59"/>
  <c r="K20" i="59"/>
  <c r="Q68" i="44"/>
  <c r="Q66" i="44"/>
  <c r="Q25" i="59"/>
  <c r="Q23" i="59"/>
  <c r="Q45" i="44"/>
  <c r="L16" i="59"/>
  <c r="P7" i="59"/>
  <c r="L20" i="59"/>
  <c r="L31" i="59"/>
  <c r="D32" i="59"/>
  <c r="L9" i="59"/>
  <c r="S29" i="49"/>
  <c r="G23" i="59"/>
  <c r="M23" i="59"/>
  <c r="E23" i="59"/>
  <c r="J23" i="59"/>
  <c r="P23" i="59"/>
  <c r="S16" i="49"/>
  <c r="S8" i="49"/>
  <c r="S25" i="49"/>
  <c r="S83" i="49"/>
  <c r="S42" i="49"/>
  <c r="L77" i="49"/>
  <c r="L93" i="49" s="1"/>
  <c r="S68" i="49"/>
  <c r="S76" i="49"/>
  <c r="J28" i="59"/>
  <c r="J29" i="59"/>
  <c r="J8" i="59"/>
  <c r="H27" i="59"/>
  <c r="H20" i="59"/>
  <c r="H22" i="59"/>
  <c r="H17" i="59"/>
  <c r="H16" i="59"/>
  <c r="H15" i="59"/>
  <c r="H14" i="59"/>
  <c r="H12" i="59"/>
  <c r="H11" i="59"/>
  <c r="H9" i="59"/>
  <c r="H13" i="59"/>
  <c r="H71" i="44"/>
  <c r="H10" i="59"/>
  <c r="H18" i="59"/>
  <c r="G27" i="59"/>
  <c r="G20" i="59"/>
  <c r="G24" i="59"/>
  <c r="G22" i="59"/>
  <c r="G31" i="59"/>
  <c r="G32" i="59"/>
  <c r="G28" i="59"/>
  <c r="G29" i="59"/>
  <c r="G17" i="59"/>
  <c r="G16" i="59"/>
  <c r="G15" i="59"/>
  <c r="G14" i="59"/>
  <c r="G12" i="59"/>
  <c r="G11" i="59"/>
  <c r="G9" i="59"/>
  <c r="G13" i="59"/>
  <c r="G7" i="59"/>
  <c r="G10" i="59"/>
  <c r="F77" i="49"/>
  <c r="R84" i="49"/>
  <c r="R78" i="49"/>
  <c r="D22" i="59"/>
  <c r="E22" i="59"/>
  <c r="R75" i="49"/>
  <c r="R70" i="49"/>
  <c r="D70" i="44"/>
  <c r="R69" i="49"/>
  <c r="D69" i="44"/>
  <c r="R67" i="49"/>
  <c r="R66" i="49"/>
  <c r="R71" i="49"/>
  <c r="R65" i="49"/>
  <c r="R68" i="49"/>
  <c r="I80" i="44"/>
  <c r="I15" i="59"/>
  <c r="I73" i="44"/>
  <c r="I16" i="59"/>
  <c r="K48" i="49"/>
  <c r="S55" i="49"/>
  <c r="L26" i="59"/>
  <c r="S53" i="49"/>
  <c r="K10" i="59"/>
  <c r="J22" i="59"/>
  <c r="Q25" i="44"/>
  <c r="K14" i="44"/>
  <c r="Q16" i="44"/>
  <c r="Q8" i="44"/>
  <c r="S34" i="49"/>
  <c r="R23" i="49"/>
  <c r="R13" i="49"/>
  <c r="R10" i="49"/>
  <c r="R9" i="49"/>
  <c r="S54" i="49"/>
  <c r="P72" i="44"/>
  <c r="P11" i="59"/>
  <c r="N72" i="44"/>
  <c r="N12" i="59"/>
  <c r="N8" i="59"/>
  <c r="N10" i="59"/>
  <c r="M26" i="59"/>
  <c r="M20" i="59"/>
  <c r="M22" i="59"/>
  <c r="M12" i="59"/>
  <c r="M11" i="59"/>
  <c r="M9" i="59"/>
  <c r="M65" i="44"/>
  <c r="Q75" i="44"/>
  <c r="Q15" i="59"/>
  <c r="Q9" i="59"/>
  <c r="K27" i="59"/>
  <c r="K11" i="59"/>
  <c r="Q10" i="59"/>
  <c r="P21" i="59"/>
  <c r="Q17" i="59"/>
  <c r="Q19" i="31"/>
  <c r="P19" i="31"/>
  <c r="I54" i="44"/>
  <c r="K34" i="31"/>
  <c r="Q47" i="44"/>
  <c r="J19" i="31"/>
  <c r="H19" i="31"/>
  <c r="G19" i="31"/>
  <c r="N34" i="31"/>
  <c r="Q43" i="44"/>
  <c r="G19" i="30"/>
  <c r="G35" i="30" s="1"/>
  <c r="E19" i="30"/>
  <c r="E35" i="30" s="1"/>
  <c r="N19" i="30"/>
  <c r="S70" i="47"/>
  <c r="L12" i="57"/>
  <c r="S71" i="47"/>
  <c r="S36" i="47"/>
  <c r="L7" i="57"/>
  <c r="S47" i="47"/>
  <c r="L18" i="57"/>
  <c r="R55" i="47"/>
  <c r="D26" i="57"/>
  <c r="R46" i="47"/>
  <c r="D17" i="57"/>
  <c r="R45" i="47"/>
  <c r="D16" i="57"/>
  <c r="R44" i="47"/>
  <c r="D15" i="57"/>
  <c r="R43" i="47"/>
  <c r="D14" i="57"/>
  <c r="R41" i="47"/>
  <c r="D12" i="57"/>
  <c r="R36" i="47"/>
  <c r="D7" i="57"/>
  <c r="R39" i="47"/>
  <c r="D10" i="57"/>
  <c r="O27" i="57"/>
  <c r="O14" i="57"/>
  <c r="I7" i="57"/>
  <c r="Q26" i="57"/>
  <c r="S52" i="47"/>
  <c r="D12" i="44"/>
  <c r="E16" i="44"/>
  <c r="F17" i="44"/>
  <c r="J8" i="44"/>
  <c r="R22" i="47"/>
  <c r="F25" i="57"/>
  <c r="H25" i="57"/>
  <c r="M25" i="57"/>
  <c r="N33" i="57"/>
  <c r="M69" i="44"/>
  <c r="M67" i="44"/>
  <c r="M71" i="44"/>
  <c r="J27" i="57"/>
  <c r="J20" i="57"/>
  <c r="H22" i="57"/>
  <c r="H33" i="57"/>
  <c r="H28" i="57"/>
  <c r="G27" i="57"/>
  <c r="G20" i="57"/>
  <c r="R80" i="47"/>
  <c r="R75" i="47"/>
  <c r="R74" i="47"/>
  <c r="R73" i="47"/>
  <c r="R69" i="47"/>
  <c r="R67" i="47"/>
  <c r="R71" i="47"/>
  <c r="R65" i="47"/>
  <c r="R76" i="47"/>
  <c r="I76" i="44"/>
  <c r="O71" i="44"/>
  <c r="I40" i="44"/>
  <c r="O24" i="44"/>
  <c r="O17" i="44"/>
  <c r="O14" i="44"/>
  <c r="O13" i="44"/>
  <c r="O9" i="44"/>
  <c r="O8" i="44"/>
  <c r="K75" i="44"/>
  <c r="K73" i="44"/>
  <c r="K69" i="44"/>
  <c r="K22" i="57"/>
  <c r="S83" i="47"/>
  <c r="K11" i="44"/>
  <c r="Q71" i="44"/>
  <c r="L25" i="57"/>
  <c r="S19" i="47"/>
  <c r="R31" i="47"/>
  <c r="S12" i="47"/>
  <c r="S11" i="47"/>
  <c r="S7" i="47"/>
  <c r="S54" i="47"/>
  <c r="P20" i="57"/>
  <c r="P17" i="57"/>
  <c r="P16" i="57"/>
  <c r="P15" i="57"/>
  <c r="P13" i="57"/>
  <c r="P10" i="57"/>
  <c r="P18" i="57"/>
  <c r="N24" i="57"/>
  <c r="N17" i="57"/>
  <c r="N16" i="57"/>
  <c r="N15" i="57"/>
  <c r="N67" i="44"/>
  <c r="N66" i="44"/>
  <c r="M33" i="57"/>
  <c r="M17" i="57"/>
  <c r="M16" i="57"/>
  <c r="M14" i="57"/>
  <c r="M13" i="57"/>
  <c r="M10" i="57"/>
  <c r="S82" i="47"/>
  <c r="S51" i="47"/>
  <c r="S61" i="47"/>
  <c r="S57" i="47"/>
  <c r="S40" i="47"/>
  <c r="J73" i="44"/>
  <c r="G84" i="44"/>
  <c r="G74" i="44"/>
  <c r="G65" i="44"/>
  <c r="D85" i="44"/>
  <c r="D45" i="44"/>
  <c r="E73" i="44"/>
  <c r="I24" i="57"/>
  <c r="I17" i="57"/>
  <c r="I13" i="57"/>
  <c r="O11" i="57"/>
  <c r="O9" i="57"/>
  <c r="I20" i="44"/>
  <c r="I18" i="44"/>
  <c r="K85" i="44"/>
  <c r="K83" i="44"/>
  <c r="N23" i="58"/>
  <c r="O19" i="48"/>
  <c r="O35" i="48" s="1"/>
  <c r="K19" i="48"/>
  <c r="D17" i="58"/>
  <c r="E48" i="48"/>
  <c r="E64" i="48" s="1"/>
  <c r="N29" i="58"/>
  <c r="N30" i="58" s="1"/>
  <c r="M30" i="29"/>
  <c r="G23" i="58"/>
  <c r="M23" i="58"/>
  <c r="J23" i="58"/>
  <c r="R16" i="48"/>
  <c r="R12" i="48"/>
  <c r="R8" i="48"/>
  <c r="S10" i="48"/>
  <c r="N54" i="44"/>
  <c r="G21" i="58"/>
  <c r="E21" i="58"/>
  <c r="P70" i="44"/>
  <c r="S85" i="48"/>
  <c r="S82" i="48"/>
  <c r="S58" i="48"/>
  <c r="J47" i="44"/>
  <c r="D53" i="44"/>
  <c r="D40" i="44"/>
  <c r="D37" i="44"/>
  <c r="E46" i="44"/>
  <c r="I32" i="58"/>
  <c r="O11" i="44"/>
  <c r="K23" i="58"/>
  <c r="Q27" i="58"/>
  <c r="Q25" i="58"/>
  <c r="Q23" i="58"/>
  <c r="Q17" i="58"/>
  <c r="Q27" i="44"/>
  <c r="Q19" i="48"/>
  <c r="P21" i="58"/>
  <c r="J54" i="44"/>
  <c r="J21" i="58"/>
  <c r="P13" i="58"/>
  <c r="S36" i="48"/>
  <c r="J48" i="48"/>
  <c r="O12" i="58"/>
  <c r="O18" i="58"/>
  <c r="O14" i="58"/>
  <c r="I32" i="44"/>
  <c r="O22" i="44"/>
  <c r="Q70" i="44"/>
  <c r="Q29" i="44"/>
  <c r="M13" i="58"/>
  <c r="D7" i="44"/>
  <c r="D15" i="44"/>
  <c r="L10" i="58"/>
  <c r="R18" i="48"/>
  <c r="E15" i="44"/>
  <c r="E13" i="44"/>
  <c r="F14" i="44"/>
  <c r="G18" i="44"/>
  <c r="G8" i="44"/>
  <c r="P7" i="44"/>
  <c r="S26" i="48"/>
  <c r="G19" i="29"/>
  <c r="H25" i="58"/>
  <c r="M25" i="58"/>
  <c r="N77" i="48"/>
  <c r="N93" i="48" s="1"/>
  <c r="M46" i="44"/>
  <c r="M11" i="58"/>
  <c r="M9" i="58"/>
  <c r="J77" i="48"/>
  <c r="J93" i="48" s="1"/>
  <c r="G77" i="48"/>
  <c r="G93" i="48" s="1"/>
  <c r="R78" i="48"/>
  <c r="R80" i="48"/>
  <c r="R74" i="48"/>
  <c r="R76" i="48"/>
  <c r="I16" i="58"/>
  <c r="K27" i="58"/>
  <c r="K25" i="58"/>
  <c r="O19" i="23"/>
  <c r="N19" i="23"/>
  <c r="F19" i="23"/>
  <c r="L19" i="24"/>
  <c r="K7" i="55"/>
  <c r="L15" i="55"/>
  <c r="L20" i="55"/>
  <c r="R29" i="45"/>
  <c r="R27" i="45"/>
  <c r="F11" i="44"/>
  <c r="F9" i="44"/>
  <c r="G15" i="44"/>
  <c r="G11" i="44"/>
  <c r="N15" i="44"/>
  <c r="F25" i="55"/>
  <c r="N21" i="55"/>
  <c r="G21" i="55"/>
  <c r="E21" i="55"/>
  <c r="N45" i="44"/>
  <c r="M12" i="55"/>
  <c r="M11" i="55"/>
  <c r="M9" i="55"/>
  <c r="L53" i="44"/>
  <c r="F26" i="55"/>
  <c r="F15" i="55"/>
  <c r="F72" i="44"/>
  <c r="F14" i="55"/>
  <c r="F11" i="55"/>
  <c r="F67" i="44"/>
  <c r="F66" i="44"/>
  <c r="F10" i="55"/>
  <c r="F18" i="55"/>
  <c r="E26" i="55"/>
  <c r="E24" i="55"/>
  <c r="D22" i="55"/>
  <c r="E22" i="55"/>
  <c r="R58" i="45"/>
  <c r="E33" i="55"/>
  <c r="E29" i="55"/>
  <c r="D15" i="55"/>
  <c r="E16" i="55"/>
  <c r="E15" i="55"/>
  <c r="E12" i="55"/>
  <c r="E11" i="55"/>
  <c r="E13" i="55"/>
  <c r="E7" i="55"/>
  <c r="D18" i="55"/>
  <c r="O65" i="44"/>
  <c r="I33" i="55"/>
  <c r="I52" i="44"/>
  <c r="O16" i="55"/>
  <c r="I26" i="44"/>
  <c r="I24" i="44"/>
  <c r="I22" i="44"/>
  <c r="I16" i="44"/>
  <c r="I14" i="44"/>
  <c r="I8" i="44"/>
  <c r="Q26" i="55"/>
  <c r="K13" i="55"/>
  <c r="K25" i="44"/>
  <c r="Q21" i="44"/>
  <c r="D17" i="55"/>
  <c r="D72" i="44"/>
  <c r="R72" i="44" s="1"/>
  <c r="D14" i="55"/>
  <c r="M29" i="55"/>
  <c r="R15" i="45"/>
  <c r="R11" i="45"/>
  <c r="R7" i="45"/>
  <c r="S51" i="45"/>
  <c r="S61" i="45"/>
  <c r="S57" i="45"/>
  <c r="Q24" i="55"/>
  <c r="N40" i="44"/>
  <c r="Q73" i="44"/>
  <c r="E40" i="44"/>
  <c r="S13" i="45"/>
  <c r="S12" i="45"/>
  <c r="S10" i="45"/>
  <c r="S24" i="45"/>
  <c r="N38" i="44"/>
  <c r="J41" i="44"/>
  <c r="H44" i="44"/>
  <c r="R67" i="45"/>
  <c r="I9" i="44"/>
  <c r="M21" i="44"/>
  <c r="L66" i="44"/>
  <c r="Q78" i="44"/>
  <c r="Q50" i="44"/>
  <c r="P50" i="44"/>
  <c r="S88" i="45"/>
  <c r="J37" i="44"/>
  <c r="E25" i="55"/>
  <c r="P18" i="55"/>
  <c r="N27" i="55"/>
  <c r="N22" i="55"/>
  <c r="M32" i="55"/>
  <c r="M18" i="55"/>
  <c r="S78" i="45"/>
  <c r="L24" i="55"/>
  <c r="P25" i="55"/>
  <c r="O18" i="56"/>
  <c r="K18" i="56"/>
  <c r="K16" i="56"/>
  <c r="Q11" i="56"/>
  <c r="D17" i="44"/>
  <c r="D13" i="44"/>
  <c r="S9" i="46"/>
  <c r="L9" i="44"/>
  <c r="M12" i="56"/>
  <c r="M70" i="44"/>
  <c r="M66" i="44"/>
  <c r="M8" i="56"/>
  <c r="F15" i="56"/>
  <c r="F73" i="44"/>
  <c r="F13" i="56"/>
  <c r="F71" i="44"/>
  <c r="R75" i="46"/>
  <c r="D17" i="56"/>
  <c r="D75" i="44"/>
  <c r="R74" i="46"/>
  <c r="D16" i="56"/>
  <c r="D74" i="44"/>
  <c r="R73" i="46"/>
  <c r="D15" i="56"/>
  <c r="R67" i="46"/>
  <c r="D9" i="56"/>
  <c r="D67" i="44"/>
  <c r="E17" i="56"/>
  <c r="E75" i="44"/>
  <c r="E67" i="44"/>
  <c r="E9" i="56"/>
  <c r="E71" i="44"/>
  <c r="E13" i="56"/>
  <c r="R65" i="46"/>
  <c r="D65" i="44"/>
  <c r="E18" i="56"/>
  <c r="E76" i="44"/>
  <c r="I31" i="56"/>
  <c r="D14" i="44"/>
  <c r="R14" i="44" s="1"/>
  <c r="H16" i="44"/>
  <c r="H8" i="44"/>
  <c r="J16" i="44"/>
  <c r="J13" i="44"/>
  <c r="M11" i="44"/>
  <c r="N17" i="44"/>
  <c r="M10" i="56"/>
  <c r="K79" i="44"/>
  <c r="Q10" i="44"/>
  <c r="L37" i="44"/>
  <c r="R48" i="46"/>
  <c r="O7" i="56"/>
  <c r="P13" i="56"/>
  <c r="S77" i="46"/>
  <c r="R32" i="46"/>
  <c r="S81" i="46"/>
  <c r="E10" i="44"/>
  <c r="P27" i="56"/>
  <c r="S91" i="46"/>
  <c r="S86" i="46"/>
  <c r="S69" i="46"/>
  <c r="S67" i="46"/>
  <c r="S71" i="46"/>
  <c r="J33" i="56"/>
  <c r="J29" i="56"/>
  <c r="J16" i="56"/>
  <c r="J15" i="56"/>
  <c r="J9" i="56"/>
  <c r="J8" i="56"/>
  <c r="H26" i="56"/>
  <c r="H28" i="56"/>
  <c r="H29" i="56"/>
  <c r="H16" i="56"/>
  <c r="H14" i="56"/>
  <c r="H7" i="56"/>
  <c r="H10" i="56"/>
  <c r="H18" i="56"/>
  <c r="G24" i="56"/>
  <c r="G31" i="56"/>
  <c r="G34" i="56" s="1"/>
  <c r="G32" i="56"/>
  <c r="G28" i="56"/>
  <c r="G29" i="56"/>
  <c r="G11" i="56"/>
  <c r="I23" i="56"/>
  <c r="I75" i="44"/>
  <c r="O74" i="44"/>
  <c r="O72" i="44"/>
  <c r="I71" i="44"/>
  <c r="O20" i="56"/>
  <c r="I47" i="44"/>
  <c r="O45" i="44"/>
  <c r="O7" i="44"/>
  <c r="O15" i="44"/>
  <c r="K15" i="56"/>
  <c r="Q9" i="44"/>
  <c r="Q18" i="44"/>
  <c r="P22" i="56"/>
  <c r="P25" i="56"/>
  <c r="Q8" i="56"/>
  <c r="H13" i="44"/>
  <c r="H9" i="44"/>
  <c r="J18" i="44"/>
  <c r="L11" i="44"/>
  <c r="M17" i="44"/>
  <c r="N18" i="44"/>
  <c r="N24" i="56"/>
  <c r="E78" i="44"/>
  <c r="I78" i="44"/>
  <c r="Q69" i="44"/>
  <c r="K21" i="44"/>
  <c r="L17" i="56"/>
  <c r="L9" i="56"/>
  <c r="L14" i="56"/>
  <c r="P19" i="25"/>
  <c r="R29" i="46"/>
  <c r="S79" i="46"/>
  <c r="L79" i="44"/>
  <c r="M27" i="56"/>
  <c r="D27" i="56"/>
  <c r="E27" i="56"/>
  <c r="D22" i="56"/>
  <c r="E22" i="56"/>
  <c r="R58" i="46"/>
  <c r="R44" i="46"/>
  <c r="R38" i="46"/>
  <c r="O27" i="56"/>
  <c r="O8" i="56"/>
  <c r="O9" i="56"/>
  <c r="I36" i="44"/>
  <c r="P19" i="27"/>
  <c r="M19" i="33"/>
  <c r="P76" i="44"/>
  <c r="I19" i="24"/>
  <c r="F47" i="44"/>
  <c r="J19" i="23"/>
  <c r="L19" i="23"/>
  <c r="P34" i="42"/>
  <c r="H34" i="42"/>
  <c r="N34" i="41"/>
  <c r="L33" i="62"/>
  <c r="E31" i="62"/>
  <c r="K31" i="62"/>
  <c r="G34" i="36"/>
  <c r="L34" i="36"/>
  <c r="P31" i="62"/>
  <c r="I34" i="36"/>
  <c r="S34" i="52"/>
  <c r="Q57" i="50"/>
  <c r="K33" i="61"/>
  <c r="M32" i="61"/>
  <c r="P32" i="61"/>
  <c r="S88" i="51"/>
  <c r="D33" i="61"/>
  <c r="H32" i="61"/>
  <c r="I32" i="61"/>
  <c r="O34" i="35"/>
  <c r="S59" i="51"/>
  <c r="H34" i="33"/>
  <c r="O34" i="33"/>
  <c r="D30" i="33"/>
  <c r="R91" i="49"/>
  <c r="I33" i="59"/>
  <c r="I32" i="59"/>
  <c r="R89" i="49"/>
  <c r="D31" i="59"/>
  <c r="S89" i="49"/>
  <c r="P28" i="59"/>
  <c r="R86" i="49"/>
  <c r="M30" i="32"/>
  <c r="D29" i="59"/>
  <c r="R33" i="49"/>
  <c r="R32" i="49"/>
  <c r="R31" i="49"/>
  <c r="R28" i="49"/>
  <c r="S28" i="49"/>
  <c r="H30" i="31"/>
  <c r="J30" i="31"/>
  <c r="G30" i="31"/>
  <c r="L30" i="31"/>
  <c r="L59" i="44" s="1"/>
  <c r="K30" i="31"/>
  <c r="G34" i="31"/>
  <c r="H34" i="31"/>
  <c r="J34" i="31"/>
  <c r="I34" i="30"/>
  <c r="K33" i="58"/>
  <c r="E32" i="58"/>
  <c r="I31" i="58"/>
  <c r="E31" i="58"/>
  <c r="E28" i="58"/>
  <c r="R61" i="48"/>
  <c r="S31" i="48"/>
  <c r="O34" i="28"/>
  <c r="R87" i="47"/>
  <c r="R88" i="47"/>
  <c r="D33" i="57"/>
  <c r="R33" i="47"/>
  <c r="R34" i="47"/>
  <c r="R28" i="47"/>
  <c r="S28" i="47"/>
  <c r="S30" i="47"/>
  <c r="J34" i="27"/>
  <c r="E34" i="27"/>
  <c r="I34" i="27"/>
  <c r="O32" i="56"/>
  <c r="L32" i="56"/>
  <c r="S89" i="46"/>
  <c r="N29" i="56"/>
  <c r="N30" i="56" s="1"/>
  <c r="D29" i="56"/>
  <c r="F31" i="56"/>
  <c r="R30" i="46"/>
  <c r="N30" i="25"/>
  <c r="S29" i="46"/>
  <c r="S59" i="46"/>
  <c r="K33" i="55"/>
  <c r="P33" i="55"/>
  <c r="J33" i="55"/>
  <c r="R90" i="45"/>
  <c r="P32" i="55"/>
  <c r="N32" i="55"/>
  <c r="J32" i="55"/>
  <c r="M31" i="55"/>
  <c r="S89" i="45"/>
  <c r="J31" i="55"/>
  <c r="R87" i="45"/>
  <c r="S86" i="45"/>
  <c r="J28" i="55"/>
  <c r="P34" i="24"/>
  <c r="R61" i="45"/>
  <c r="P31" i="55"/>
  <c r="N30" i="23"/>
  <c r="I19" i="42"/>
  <c r="O19" i="42"/>
  <c r="L19" i="42"/>
  <c r="H19" i="41"/>
  <c r="K19" i="41"/>
  <c r="G19" i="41"/>
  <c r="P19" i="40"/>
  <c r="I19" i="40"/>
  <c r="D19" i="40"/>
  <c r="G19" i="39"/>
  <c r="E19" i="39"/>
  <c r="I19" i="39"/>
  <c r="H19" i="39"/>
  <c r="N19" i="39"/>
  <c r="O19" i="39"/>
  <c r="P19" i="39"/>
  <c r="Q19" i="39"/>
  <c r="P19" i="38"/>
  <c r="D19" i="38"/>
  <c r="K19" i="38"/>
  <c r="L19" i="38"/>
  <c r="J19" i="37"/>
  <c r="D19" i="37"/>
  <c r="D35" i="37" s="1"/>
  <c r="H77" i="50"/>
  <c r="N10" i="62"/>
  <c r="M48" i="50"/>
  <c r="N19" i="50"/>
  <c r="N10" i="50"/>
  <c r="P10" i="50"/>
  <c r="I19" i="50"/>
  <c r="P19" i="50"/>
  <c r="D19" i="35"/>
  <c r="R77" i="51"/>
  <c r="P19" i="35"/>
  <c r="Q48" i="50"/>
  <c r="N48" i="50"/>
  <c r="H10" i="61"/>
  <c r="L10" i="50"/>
  <c r="M19" i="50"/>
  <c r="F10" i="50"/>
  <c r="H10" i="50"/>
  <c r="M10" i="50"/>
  <c r="O10" i="50"/>
  <c r="D19" i="34"/>
  <c r="K19" i="34"/>
  <c r="N19" i="34"/>
  <c r="J19" i="33"/>
  <c r="L19" i="33"/>
  <c r="N19" i="33"/>
  <c r="F10" i="59"/>
  <c r="F68" i="44"/>
  <c r="E10" i="59"/>
  <c r="O10" i="59"/>
  <c r="E19" i="32"/>
  <c r="I19" i="32"/>
  <c r="M19" i="32"/>
  <c r="O48" i="49"/>
  <c r="O64" i="49" s="1"/>
  <c r="I39" i="44"/>
  <c r="L19" i="30"/>
  <c r="I19" i="30"/>
  <c r="P39" i="44"/>
  <c r="M39" i="44"/>
  <c r="K19" i="30"/>
  <c r="O19" i="30"/>
  <c r="J68" i="44"/>
  <c r="N10" i="58"/>
  <c r="J10" i="58"/>
  <c r="H10" i="58"/>
  <c r="G10" i="58"/>
  <c r="I10" i="58"/>
  <c r="K10" i="58"/>
  <c r="L19" i="29"/>
  <c r="K48" i="48"/>
  <c r="K64" i="48" s="1"/>
  <c r="I68" i="44"/>
  <c r="D48" i="48"/>
  <c r="O68" i="44"/>
  <c r="I48" i="48"/>
  <c r="I64" i="48" s="1"/>
  <c r="Q10" i="58"/>
  <c r="P19" i="29"/>
  <c r="K10" i="44"/>
  <c r="O10" i="44"/>
  <c r="S68" i="47"/>
  <c r="Q10" i="57"/>
  <c r="P68" i="44"/>
  <c r="G19" i="28"/>
  <c r="I19" i="28"/>
  <c r="O19" i="28"/>
  <c r="S39" i="47"/>
  <c r="R10" i="47"/>
  <c r="F19" i="27"/>
  <c r="D19" i="27"/>
  <c r="E19" i="27"/>
  <c r="J19" i="27"/>
  <c r="L19" i="27"/>
  <c r="O19" i="27"/>
  <c r="G19" i="27"/>
  <c r="K19" i="27"/>
  <c r="F10" i="56"/>
  <c r="R77" i="46"/>
  <c r="P10" i="56"/>
  <c r="N10" i="56"/>
  <c r="E68" i="44"/>
  <c r="O39" i="44"/>
  <c r="O10" i="56"/>
  <c r="S19" i="46"/>
  <c r="I10" i="44"/>
  <c r="E19" i="24"/>
  <c r="M10" i="55"/>
  <c r="O10" i="55"/>
  <c r="K19" i="24"/>
  <c r="P19" i="24"/>
  <c r="F19" i="24"/>
  <c r="G19" i="24"/>
  <c r="S19" i="45"/>
  <c r="E19" i="23"/>
  <c r="M19" i="23"/>
  <c r="D19" i="23"/>
  <c r="H19" i="23"/>
  <c r="F83" i="50"/>
  <c r="E25" i="61"/>
  <c r="G83" i="50"/>
  <c r="M83" i="50"/>
  <c r="P83" i="50"/>
  <c r="N84" i="50"/>
  <c r="N26" i="60" s="1"/>
  <c r="K83" i="50"/>
  <c r="I24" i="61"/>
  <c r="D26" i="50"/>
  <c r="R26" i="50" s="1"/>
  <c r="I25" i="50"/>
  <c r="P25" i="50"/>
  <c r="H83" i="44"/>
  <c r="M83" i="44"/>
  <c r="D24" i="56"/>
  <c r="F25" i="56"/>
  <c r="H25" i="56"/>
  <c r="M25" i="56"/>
  <c r="S84" i="46"/>
  <c r="F84" i="44"/>
  <c r="F82" i="44"/>
  <c r="D84" i="44"/>
  <c r="E84" i="44"/>
  <c r="E82" i="44"/>
  <c r="I82" i="44"/>
  <c r="S83" i="46"/>
  <c r="O82" i="44"/>
  <c r="J25" i="56"/>
  <c r="L84" i="44"/>
  <c r="K82" i="44"/>
  <c r="N25" i="56"/>
  <c r="I24" i="56"/>
  <c r="Q82" i="44"/>
  <c r="L26" i="56"/>
  <c r="N53" i="44"/>
  <c r="Q24" i="56"/>
  <c r="D25" i="56"/>
  <c r="G54" i="44"/>
  <c r="K26" i="56"/>
  <c r="G35" i="46"/>
  <c r="M25" i="44"/>
  <c r="O26" i="44"/>
  <c r="D83" i="44"/>
  <c r="R83" i="44" s="1"/>
  <c r="D82" i="44"/>
  <c r="O24" i="55"/>
  <c r="M24" i="55"/>
  <c r="J26" i="55"/>
  <c r="M25" i="55"/>
  <c r="S82" i="45"/>
  <c r="O54" i="44"/>
  <c r="E54" i="44"/>
  <c r="L54" i="44"/>
  <c r="O25" i="44"/>
  <c r="O85" i="50"/>
  <c r="D23" i="62"/>
  <c r="J81" i="50"/>
  <c r="L22" i="62"/>
  <c r="Q22" i="62"/>
  <c r="D79" i="50"/>
  <c r="N21" i="62"/>
  <c r="H21" i="62"/>
  <c r="F21" i="62"/>
  <c r="Q56" i="50"/>
  <c r="Q50" i="50"/>
  <c r="Q21" i="62"/>
  <c r="M21" i="62"/>
  <c r="G21" i="62"/>
  <c r="J22" i="50"/>
  <c r="K22" i="50"/>
  <c r="P21" i="50"/>
  <c r="H21" i="50"/>
  <c r="N35" i="52"/>
  <c r="I80" i="50"/>
  <c r="P21" i="61"/>
  <c r="F21" i="61"/>
  <c r="Q78" i="50"/>
  <c r="E27" i="61"/>
  <c r="M56" i="50"/>
  <c r="M27" i="60" s="1"/>
  <c r="I52" i="50"/>
  <c r="N23" i="61"/>
  <c r="N22" i="61"/>
  <c r="F51" i="50"/>
  <c r="I21" i="61"/>
  <c r="R50" i="51"/>
  <c r="E21" i="61"/>
  <c r="F23" i="50"/>
  <c r="H23" i="50"/>
  <c r="N23" i="50"/>
  <c r="R23" i="51"/>
  <c r="S23" i="51"/>
  <c r="S22" i="51"/>
  <c r="G22" i="50"/>
  <c r="I22" i="50"/>
  <c r="Q22" i="50"/>
  <c r="S22" i="50" s="1"/>
  <c r="R21" i="51"/>
  <c r="N21" i="50"/>
  <c r="J21" i="50"/>
  <c r="I27" i="59"/>
  <c r="S81" i="49"/>
  <c r="Q81" i="44"/>
  <c r="K21" i="59"/>
  <c r="R79" i="49"/>
  <c r="I20" i="59"/>
  <c r="E20" i="59"/>
  <c r="F78" i="44"/>
  <c r="Q20" i="59"/>
  <c r="L27" i="59"/>
  <c r="O27" i="59"/>
  <c r="S50" i="49"/>
  <c r="Q21" i="59"/>
  <c r="F27" i="44"/>
  <c r="O20" i="44"/>
  <c r="D20" i="44"/>
  <c r="E56" i="44"/>
  <c r="O56" i="44"/>
  <c r="G50" i="44"/>
  <c r="G21" i="54" s="1"/>
  <c r="I50" i="44"/>
  <c r="D49" i="44"/>
  <c r="M27" i="58"/>
  <c r="J27" i="58"/>
  <c r="H27" i="58"/>
  <c r="G27" i="58"/>
  <c r="O23" i="58"/>
  <c r="M22" i="58"/>
  <c r="G22" i="58"/>
  <c r="J22" i="58"/>
  <c r="F20" i="58"/>
  <c r="E20" i="58"/>
  <c r="Q20" i="58"/>
  <c r="K20" i="58"/>
  <c r="D78" i="44"/>
  <c r="M20" i="58"/>
  <c r="G20" i="58"/>
  <c r="Q56" i="44"/>
  <c r="O27" i="58"/>
  <c r="R52" i="48"/>
  <c r="L20" i="58"/>
  <c r="P20" i="58"/>
  <c r="E22" i="44"/>
  <c r="J20" i="44"/>
  <c r="M27" i="57"/>
  <c r="O23" i="57"/>
  <c r="M22" i="57"/>
  <c r="S80" i="47"/>
  <c r="M80" i="44"/>
  <c r="O79" i="44"/>
  <c r="M21" i="57"/>
  <c r="H20" i="57"/>
  <c r="D27" i="57"/>
  <c r="L23" i="57"/>
  <c r="R51" i="47"/>
  <c r="N21" i="57"/>
  <c r="R49" i="47"/>
  <c r="K20" i="57"/>
  <c r="N20" i="57"/>
  <c r="S27" i="47"/>
  <c r="S23" i="47"/>
  <c r="P23" i="44"/>
  <c r="Q23" i="44"/>
  <c r="M22" i="44"/>
  <c r="P21" i="44"/>
  <c r="E20" i="44"/>
  <c r="R20" i="47"/>
  <c r="J27" i="56"/>
  <c r="K27" i="56"/>
  <c r="Q85" i="44"/>
  <c r="S85" i="46"/>
  <c r="K23" i="56"/>
  <c r="M22" i="56"/>
  <c r="S80" i="46"/>
  <c r="H22" i="56"/>
  <c r="P80" i="44"/>
  <c r="R80" i="46"/>
  <c r="E80" i="44"/>
  <c r="G21" i="56"/>
  <c r="I21" i="56"/>
  <c r="K21" i="56"/>
  <c r="J21" i="56"/>
  <c r="M21" i="56"/>
  <c r="H21" i="56"/>
  <c r="F21" i="56"/>
  <c r="G20" i="56"/>
  <c r="M78" i="44"/>
  <c r="J78" i="44"/>
  <c r="H78" i="44"/>
  <c r="K51" i="44"/>
  <c r="F22" i="56"/>
  <c r="S51" i="46"/>
  <c r="D20" i="56"/>
  <c r="S49" i="46"/>
  <c r="F64" i="46"/>
  <c r="Q20" i="56"/>
  <c r="R27" i="46"/>
  <c r="R23" i="46"/>
  <c r="O35" i="46"/>
  <c r="P20" i="44"/>
  <c r="K20" i="44"/>
  <c r="R20" i="46"/>
  <c r="N85" i="44"/>
  <c r="E27" i="55"/>
  <c r="R85" i="45"/>
  <c r="S81" i="45"/>
  <c r="N80" i="44"/>
  <c r="F22" i="55"/>
  <c r="E79" i="44"/>
  <c r="I20" i="55"/>
  <c r="J64" i="45"/>
  <c r="O23" i="44"/>
  <c r="F21" i="44"/>
  <c r="N21" i="44"/>
  <c r="G21" i="44"/>
  <c r="M20" i="44"/>
  <c r="P19" i="26"/>
  <c r="P34" i="30"/>
  <c r="O32" i="55"/>
  <c r="N34" i="33"/>
  <c r="M33" i="55"/>
  <c r="M63" i="50"/>
  <c r="N34" i="30"/>
  <c r="O34" i="32"/>
  <c r="P19" i="42"/>
  <c r="O34" i="42"/>
  <c r="D19" i="42"/>
  <c r="G19" i="42"/>
  <c r="O34" i="41"/>
  <c r="Q19" i="41"/>
  <c r="E19" i="40"/>
  <c r="H19" i="40"/>
  <c r="J19" i="40"/>
  <c r="N19" i="40"/>
  <c r="Q19" i="40"/>
  <c r="O19" i="38"/>
  <c r="O34" i="38"/>
  <c r="M34" i="38"/>
  <c r="Q19" i="38"/>
  <c r="F52" i="50"/>
  <c r="F23" i="62"/>
  <c r="J23" i="62"/>
  <c r="J52" i="50"/>
  <c r="S27" i="52"/>
  <c r="L27" i="50"/>
  <c r="K25" i="62"/>
  <c r="K54" i="50"/>
  <c r="O54" i="50"/>
  <c r="O25" i="62"/>
  <c r="R46" i="52"/>
  <c r="D17" i="62"/>
  <c r="R44" i="52"/>
  <c r="D15" i="62"/>
  <c r="R37" i="52"/>
  <c r="D8" i="62"/>
  <c r="R36" i="52"/>
  <c r="D7" i="62"/>
  <c r="D36" i="50"/>
  <c r="R36" i="50" s="1"/>
  <c r="E36" i="50"/>
  <c r="E7" i="60" s="1"/>
  <c r="E7" i="62"/>
  <c r="F47" i="50"/>
  <c r="F18" i="60" s="1"/>
  <c r="F18" i="62"/>
  <c r="F45" i="50"/>
  <c r="F16" i="60" s="1"/>
  <c r="F16" i="62"/>
  <c r="F14" i="62"/>
  <c r="F43" i="50"/>
  <c r="F14" i="60" s="1"/>
  <c r="F41" i="50"/>
  <c r="F12" i="60" s="1"/>
  <c r="F12" i="62"/>
  <c r="G17" i="62"/>
  <c r="G46" i="50"/>
  <c r="G41" i="50"/>
  <c r="G12" i="60" s="1"/>
  <c r="G12" i="62"/>
  <c r="G9" i="62"/>
  <c r="G38" i="50"/>
  <c r="G9" i="60" s="1"/>
  <c r="H15" i="62"/>
  <c r="H44" i="50"/>
  <c r="H15" i="60" s="1"/>
  <c r="H42" i="50"/>
  <c r="H13" i="62"/>
  <c r="H12" i="62"/>
  <c r="H41" i="50"/>
  <c r="H37" i="50"/>
  <c r="H8" i="62"/>
  <c r="H36" i="50"/>
  <c r="H7" i="60" s="1"/>
  <c r="H7" i="62"/>
  <c r="I56" i="50"/>
  <c r="I27" i="60" s="1"/>
  <c r="I27" i="62"/>
  <c r="I17" i="62"/>
  <c r="I46" i="50"/>
  <c r="I15" i="62"/>
  <c r="I44" i="50"/>
  <c r="J24" i="62"/>
  <c r="J53" i="50"/>
  <c r="J51" i="50"/>
  <c r="J22" i="60" s="1"/>
  <c r="J22" i="62"/>
  <c r="J15" i="62"/>
  <c r="J44" i="50"/>
  <c r="J15" i="60" s="1"/>
  <c r="M40" i="50"/>
  <c r="M11" i="60" s="1"/>
  <c r="M11" i="62"/>
  <c r="M8" i="62"/>
  <c r="M37" i="50"/>
  <c r="M8" i="60" s="1"/>
  <c r="J21" i="62"/>
  <c r="J50" i="50"/>
  <c r="E13" i="62"/>
  <c r="M19" i="36"/>
  <c r="P19" i="36"/>
  <c r="D48" i="50"/>
  <c r="R48" i="52"/>
  <c r="E11" i="62"/>
  <c r="I55" i="50"/>
  <c r="S52" i="52"/>
  <c r="L23" i="62"/>
  <c r="S24" i="52"/>
  <c r="L24" i="50"/>
  <c r="S24" i="50" s="1"/>
  <c r="J19" i="36"/>
  <c r="K19" i="36"/>
  <c r="M25" i="62"/>
  <c r="M54" i="50"/>
  <c r="R62" i="52"/>
  <c r="D62" i="50"/>
  <c r="D33" i="62"/>
  <c r="D27" i="62"/>
  <c r="R56" i="52"/>
  <c r="R55" i="52"/>
  <c r="D26" i="62"/>
  <c r="R53" i="52"/>
  <c r="D24" i="62"/>
  <c r="R51" i="52"/>
  <c r="D22" i="62"/>
  <c r="D51" i="50"/>
  <c r="R49" i="52"/>
  <c r="D20" i="62"/>
  <c r="R43" i="52"/>
  <c r="D14" i="62"/>
  <c r="R42" i="52"/>
  <c r="D13" i="62"/>
  <c r="R41" i="52"/>
  <c r="D41" i="50"/>
  <c r="D12" i="62"/>
  <c r="R40" i="52"/>
  <c r="D11" i="62"/>
  <c r="E45" i="50"/>
  <c r="E16" i="60" s="1"/>
  <c r="E16" i="62"/>
  <c r="F42" i="50"/>
  <c r="F13" i="62"/>
  <c r="F40" i="50"/>
  <c r="F11" i="62"/>
  <c r="F8" i="62"/>
  <c r="F37" i="50"/>
  <c r="G15" i="62"/>
  <c r="G44" i="50"/>
  <c r="G42" i="50"/>
  <c r="G13" i="60" s="1"/>
  <c r="G13" i="62"/>
  <c r="H43" i="50"/>
  <c r="H14" i="60" s="1"/>
  <c r="H14" i="62"/>
  <c r="H38" i="50"/>
  <c r="H9" i="62"/>
  <c r="I51" i="50"/>
  <c r="I22" i="62"/>
  <c r="I20" i="62"/>
  <c r="I49" i="50"/>
  <c r="I14" i="62"/>
  <c r="I43" i="50"/>
  <c r="I13" i="62"/>
  <c r="I42" i="50"/>
  <c r="I13" i="60" s="1"/>
  <c r="I41" i="50"/>
  <c r="I12" i="62"/>
  <c r="J37" i="50"/>
  <c r="J8" i="62"/>
  <c r="Q13" i="62"/>
  <c r="Q42" i="50"/>
  <c r="P21" i="62"/>
  <c r="P50" i="50"/>
  <c r="S50" i="52"/>
  <c r="L21" i="62"/>
  <c r="R50" i="52"/>
  <c r="D21" i="62"/>
  <c r="F35" i="52"/>
  <c r="D47" i="50"/>
  <c r="D18" i="60" s="1"/>
  <c r="H39" i="50"/>
  <c r="F53" i="50"/>
  <c r="F24" i="60" s="1"/>
  <c r="J56" i="50"/>
  <c r="K24" i="62"/>
  <c r="H16" i="62"/>
  <c r="F22" i="62"/>
  <c r="H31" i="62"/>
  <c r="H19" i="36"/>
  <c r="N19" i="36"/>
  <c r="G64" i="52"/>
  <c r="P42" i="50"/>
  <c r="P13" i="60" s="1"/>
  <c r="I47" i="50"/>
  <c r="I18" i="60" s="1"/>
  <c r="E47" i="50"/>
  <c r="E18" i="60" s="1"/>
  <c r="G36" i="50"/>
  <c r="G7" i="60" s="1"/>
  <c r="I24" i="62"/>
  <c r="I16" i="62"/>
  <c r="D18" i="62"/>
  <c r="H24" i="62"/>
  <c r="H52" i="50"/>
  <c r="H51" i="50"/>
  <c r="E53" i="50"/>
  <c r="E24" i="60" s="1"/>
  <c r="E38" i="50"/>
  <c r="E9" i="60" s="1"/>
  <c r="F60" i="50"/>
  <c r="F56" i="50"/>
  <c r="F27" i="60" s="1"/>
  <c r="F44" i="50"/>
  <c r="F15" i="60" s="1"/>
  <c r="F38" i="50"/>
  <c r="F9" i="60" s="1"/>
  <c r="G61" i="50"/>
  <c r="G56" i="50"/>
  <c r="G27" i="60" s="1"/>
  <c r="G51" i="50"/>
  <c r="G22" i="60" s="1"/>
  <c r="G43" i="50"/>
  <c r="G14" i="60" s="1"/>
  <c r="G37" i="50"/>
  <c r="G8" i="60" s="1"/>
  <c r="H56" i="50"/>
  <c r="I39" i="50"/>
  <c r="I36" i="50"/>
  <c r="I7" i="60" s="1"/>
  <c r="J58" i="50"/>
  <c r="J49" i="50"/>
  <c r="J20" i="60" s="1"/>
  <c r="J46" i="50"/>
  <c r="J17" i="60" s="1"/>
  <c r="J43" i="50"/>
  <c r="J14" i="60" s="1"/>
  <c r="K60" i="50"/>
  <c r="K31" i="60" s="1"/>
  <c r="S84" i="52"/>
  <c r="L84" i="50"/>
  <c r="S76" i="52"/>
  <c r="L18" i="62"/>
  <c r="Q45" i="50"/>
  <c r="Q16" i="60" s="1"/>
  <c r="K9" i="50"/>
  <c r="R9" i="50" s="1"/>
  <c r="K12" i="50"/>
  <c r="R12" i="50" s="1"/>
  <c r="K16" i="50"/>
  <c r="K20" i="50"/>
  <c r="K27" i="50"/>
  <c r="K10" i="50"/>
  <c r="Q17" i="62"/>
  <c r="N9" i="62"/>
  <c r="L12" i="62"/>
  <c r="K65" i="50"/>
  <c r="R65" i="50" s="1"/>
  <c r="O17" i="62"/>
  <c r="L13" i="62"/>
  <c r="H48" i="50"/>
  <c r="P11" i="62"/>
  <c r="D25" i="62"/>
  <c r="G16" i="50"/>
  <c r="I16" i="50"/>
  <c r="N16" i="50"/>
  <c r="P16" i="50"/>
  <c r="E17" i="50"/>
  <c r="G17" i="50"/>
  <c r="P17" i="50"/>
  <c r="G18" i="50"/>
  <c r="I18" i="50"/>
  <c r="N18" i="50"/>
  <c r="E23" i="50"/>
  <c r="G23" i="50"/>
  <c r="I23" i="50"/>
  <c r="K23" i="50"/>
  <c r="O23" i="50"/>
  <c r="Q23" i="50"/>
  <c r="E28" i="50"/>
  <c r="G28" i="50"/>
  <c r="K28" i="50"/>
  <c r="S48" i="52"/>
  <c r="S16" i="52"/>
  <c r="L16" i="50"/>
  <c r="S16" i="50" s="1"/>
  <c r="E51" i="50"/>
  <c r="E22" i="60" s="1"/>
  <c r="E43" i="50"/>
  <c r="F61" i="50"/>
  <c r="F58" i="50"/>
  <c r="F46" i="50"/>
  <c r="F17" i="60" s="1"/>
  <c r="F39" i="50"/>
  <c r="F36" i="50"/>
  <c r="F7" i="60" s="1"/>
  <c r="G62" i="50"/>
  <c r="G55" i="50"/>
  <c r="G26" i="60" s="1"/>
  <c r="G45" i="50"/>
  <c r="G39" i="50"/>
  <c r="G10" i="60" s="1"/>
  <c r="H55" i="50"/>
  <c r="I37" i="50"/>
  <c r="I8" i="60" s="1"/>
  <c r="J57" i="50"/>
  <c r="J55" i="50"/>
  <c r="J45" i="50"/>
  <c r="J16" i="60" s="1"/>
  <c r="J42" i="50"/>
  <c r="J13" i="60" s="1"/>
  <c r="S78" i="52"/>
  <c r="L78" i="50"/>
  <c r="S74" i="52"/>
  <c r="L74" i="50"/>
  <c r="S74" i="50" s="1"/>
  <c r="S36" i="52"/>
  <c r="L7" i="62"/>
  <c r="K38" i="50"/>
  <c r="K9" i="60" s="1"/>
  <c r="K55" i="50"/>
  <c r="K11" i="50"/>
  <c r="K15" i="50"/>
  <c r="K17" i="50"/>
  <c r="K8" i="50"/>
  <c r="R8" i="50" s="1"/>
  <c r="K13" i="50"/>
  <c r="D22" i="50"/>
  <c r="J48" i="50"/>
  <c r="D77" i="50"/>
  <c r="R77" i="50" s="1"/>
  <c r="P70" i="50"/>
  <c r="Q19" i="50"/>
  <c r="L15" i="50"/>
  <c r="S15" i="50" s="1"/>
  <c r="N36" i="50"/>
  <c r="L36" i="50"/>
  <c r="O64" i="52"/>
  <c r="O13" i="62"/>
  <c r="L9" i="62"/>
  <c r="L72" i="50"/>
  <c r="S72" i="50" s="1"/>
  <c r="L71" i="50"/>
  <c r="L85" i="50"/>
  <c r="E83" i="50"/>
  <c r="E25" i="60" s="1"/>
  <c r="S92" i="52"/>
  <c r="L15" i="62"/>
  <c r="K48" i="50"/>
  <c r="Q34" i="50"/>
  <c r="P65" i="50"/>
  <c r="S19" i="52"/>
  <c r="P30" i="36"/>
  <c r="G7" i="50"/>
  <c r="I7" i="50"/>
  <c r="G8" i="50"/>
  <c r="N8" i="50"/>
  <c r="P8" i="50"/>
  <c r="G9" i="50"/>
  <c r="N9" i="50"/>
  <c r="P9" i="50"/>
  <c r="E10" i="50"/>
  <c r="G10" i="50"/>
  <c r="I10" i="50"/>
  <c r="E11" i="50"/>
  <c r="I11" i="50"/>
  <c r="P11" i="50"/>
  <c r="I12" i="50"/>
  <c r="R23" i="52"/>
  <c r="S23" i="52"/>
  <c r="R28" i="52"/>
  <c r="S28" i="52"/>
  <c r="K31" i="50"/>
  <c r="K32" i="50"/>
  <c r="P52" i="50"/>
  <c r="F81" i="50"/>
  <c r="H81" i="50"/>
  <c r="D20" i="50"/>
  <c r="R20" i="52"/>
  <c r="L26" i="50"/>
  <c r="S26" i="50" s="1"/>
  <c r="S26" i="52"/>
  <c r="M24" i="50"/>
  <c r="M27" i="50"/>
  <c r="N27" i="50"/>
  <c r="O24" i="50"/>
  <c r="O27" i="50"/>
  <c r="F19" i="50"/>
  <c r="E22" i="50"/>
  <c r="M22" i="50"/>
  <c r="O22" i="50"/>
  <c r="G25" i="50"/>
  <c r="K25" i="50"/>
  <c r="N25" i="50"/>
  <c r="H83" i="50"/>
  <c r="R86" i="52"/>
  <c r="R85" i="52"/>
  <c r="R84" i="52"/>
  <c r="R82" i="52"/>
  <c r="R80" i="52"/>
  <c r="R76" i="52"/>
  <c r="R71" i="52"/>
  <c r="R68" i="52"/>
  <c r="R66" i="52"/>
  <c r="R65" i="52"/>
  <c r="I11" i="62"/>
  <c r="K72" i="50"/>
  <c r="N41" i="50"/>
  <c r="N37" i="50"/>
  <c r="O78" i="50"/>
  <c r="O74" i="50"/>
  <c r="P68" i="50"/>
  <c r="Q87" i="50"/>
  <c r="Q38" i="50"/>
  <c r="Q40" i="50"/>
  <c r="Q11" i="60" s="1"/>
  <c r="Q18" i="50"/>
  <c r="S18" i="50" s="1"/>
  <c r="Q67" i="50"/>
  <c r="K80" i="50"/>
  <c r="K85" i="50"/>
  <c r="K84" i="50"/>
  <c r="R84" i="50" s="1"/>
  <c r="F21" i="50"/>
  <c r="D59" i="50"/>
  <c r="R59" i="52"/>
  <c r="R63" i="52"/>
  <c r="O28" i="62"/>
  <c r="R7" i="52"/>
  <c r="R8" i="52"/>
  <c r="R10" i="52"/>
  <c r="R13" i="52"/>
  <c r="F14" i="50"/>
  <c r="M15" i="50"/>
  <c r="M16" i="50"/>
  <c r="J23" i="50"/>
  <c r="R31" i="52"/>
  <c r="R32" i="52"/>
  <c r="S32" i="52"/>
  <c r="R52" i="52"/>
  <c r="K52" i="50"/>
  <c r="G23" i="62"/>
  <c r="H27" i="50"/>
  <c r="I24" i="50"/>
  <c r="I27" i="50"/>
  <c r="J20" i="50"/>
  <c r="S88" i="52"/>
  <c r="S22" i="52"/>
  <c r="J83" i="50"/>
  <c r="N83" i="50"/>
  <c r="N25" i="60" s="1"/>
  <c r="O83" i="50"/>
  <c r="Q83" i="50"/>
  <c r="F80" i="50"/>
  <c r="F66" i="50"/>
  <c r="G75" i="50"/>
  <c r="H85" i="50"/>
  <c r="H84" i="50"/>
  <c r="H80" i="50"/>
  <c r="H78" i="50"/>
  <c r="H70" i="50"/>
  <c r="H69" i="50"/>
  <c r="H11" i="60" s="1"/>
  <c r="H66" i="50"/>
  <c r="I87" i="50"/>
  <c r="I84" i="50"/>
  <c r="I78" i="50"/>
  <c r="I75" i="50"/>
  <c r="I74" i="50"/>
  <c r="I70" i="50"/>
  <c r="I68" i="50"/>
  <c r="S56" i="52"/>
  <c r="S42" i="52"/>
  <c r="S40" i="52"/>
  <c r="S39" i="52"/>
  <c r="M91" i="50"/>
  <c r="N87" i="50"/>
  <c r="O41" i="50"/>
  <c r="S79" i="52"/>
  <c r="K14" i="61"/>
  <c r="K43" i="50"/>
  <c r="S57" i="51"/>
  <c r="L28" i="61"/>
  <c r="S56" i="51"/>
  <c r="L27" i="61"/>
  <c r="S51" i="51"/>
  <c r="L51" i="50"/>
  <c r="S51" i="50" s="1"/>
  <c r="L22" i="61"/>
  <c r="S49" i="51"/>
  <c r="L49" i="50"/>
  <c r="S46" i="51"/>
  <c r="L17" i="61"/>
  <c r="S44" i="51"/>
  <c r="L44" i="50"/>
  <c r="L42" i="50"/>
  <c r="S42" i="51"/>
  <c r="O45" i="50"/>
  <c r="O16" i="61"/>
  <c r="Q22" i="61"/>
  <c r="Q80" i="50"/>
  <c r="Q22" i="60" s="1"/>
  <c r="S21" i="51"/>
  <c r="L21" i="50"/>
  <c r="S21" i="50" s="1"/>
  <c r="O50" i="50"/>
  <c r="O21" i="61"/>
  <c r="L45" i="50"/>
  <c r="L16" i="61"/>
  <c r="R57" i="51"/>
  <c r="R55" i="51"/>
  <c r="D55" i="50"/>
  <c r="R53" i="51"/>
  <c r="D53" i="50"/>
  <c r="R49" i="51"/>
  <c r="D49" i="50"/>
  <c r="R47" i="51"/>
  <c r="D18" i="61"/>
  <c r="R45" i="51"/>
  <c r="D45" i="50"/>
  <c r="R43" i="51"/>
  <c r="D43" i="50"/>
  <c r="R42" i="51"/>
  <c r="D42" i="50"/>
  <c r="R42" i="50" s="1"/>
  <c r="R41" i="51"/>
  <c r="R40" i="51"/>
  <c r="D40" i="50"/>
  <c r="R39" i="51"/>
  <c r="R38" i="51"/>
  <c r="D38" i="50"/>
  <c r="R37" i="51"/>
  <c r="D37" i="50"/>
  <c r="E32" i="61"/>
  <c r="E61" i="50"/>
  <c r="E32" i="60" s="1"/>
  <c r="E17" i="61"/>
  <c r="E46" i="50"/>
  <c r="E17" i="60" s="1"/>
  <c r="F62" i="50"/>
  <c r="F33" i="61"/>
  <c r="F26" i="61"/>
  <c r="F55" i="50"/>
  <c r="I38" i="50"/>
  <c r="I9" i="60" s="1"/>
  <c r="I9" i="61"/>
  <c r="J40" i="50"/>
  <c r="J11" i="60" s="1"/>
  <c r="J11" i="61"/>
  <c r="J38" i="50"/>
  <c r="J9" i="60" s="1"/>
  <c r="J9" i="61"/>
  <c r="S38" i="51"/>
  <c r="L38" i="50"/>
  <c r="Q44" i="50"/>
  <c r="Q15" i="60" s="1"/>
  <c r="Q15" i="61"/>
  <c r="Q46" i="50"/>
  <c r="Q17" i="60" s="1"/>
  <c r="Q17" i="61"/>
  <c r="S79" i="51"/>
  <c r="L21" i="61"/>
  <c r="S13" i="50"/>
  <c r="G35" i="51"/>
  <c r="J41" i="50"/>
  <c r="E37" i="50"/>
  <c r="E39" i="50"/>
  <c r="E10" i="60" s="1"/>
  <c r="E41" i="50"/>
  <c r="E12" i="60" s="1"/>
  <c r="J13" i="61"/>
  <c r="D14" i="61"/>
  <c r="D46" i="50"/>
  <c r="E9" i="61"/>
  <c r="G47" i="50"/>
  <c r="G18" i="60" s="1"/>
  <c r="D10" i="61"/>
  <c r="J47" i="50"/>
  <c r="J18" i="60" s="1"/>
  <c r="L20" i="61"/>
  <c r="D50" i="50"/>
  <c r="F50" i="50"/>
  <c r="F21" i="60" s="1"/>
  <c r="E24" i="61"/>
  <c r="G49" i="50"/>
  <c r="G20" i="60" s="1"/>
  <c r="L61" i="50"/>
  <c r="E64" i="51"/>
  <c r="F10" i="61"/>
  <c r="D15" i="61"/>
  <c r="D7" i="61"/>
  <c r="D20" i="61"/>
  <c r="E85" i="50"/>
  <c r="E27" i="60" s="1"/>
  <c r="F17" i="61"/>
  <c r="R71" i="50"/>
  <c r="E49" i="50"/>
  <c r="E20" i="60" s="1"/>
  <c r="L15" i="61"/>
  <c r="F9" i="61"/>
  <c r="S7" i="51"/>
  <c r="L7" i="50"/>
  <c r="S7" i="50" s="1"/>
  <c r="L11" i="50"/>
  <c r="S11" i="50" s="1"/>
  <c r="S11" i="51"/>
  <c r="S13" i="51"/>
  <c r="R81" i="51"/>
  <c r="D81" i="50"/>
  <c r="S81" i="51"/>
  <c r="L81" i="50"/>
  <c r="S19" i="51"/>
  <c r="L77" i="50"/>
  <c r="R22" i="51"/>
  <c r="R83" i="51"/>
  <c r="D83" i="50"/>
  <c r="R83" i="50" s="1"/>
  <c r="D44" i="50"/>
  <c r="R44" i="50" s="1"/>
  <c r="I8" i="61"/>
  <c r="D9" i="61"/>
  <c r="J17" i="61"/>
  <c r="L46" i="50"/>
  <c r="D39" i="50"/>
  <c r="L29" i="61"/>
  <c r="D21" i="61"/>
  <c r="G53" i="50"/>
  <c r="G24" i="60" s="1"/>
  <c r="P55" i="50"/>
  <c r="D64" i="51"/>
  <c r="I7" i="61"/>
  <c r="J26" i="61"/>
  <c r="G27" i="61"/>
  <c r="K16" i="61"/>
  <c r="G11" i="60"/>
  <c r="J20" i="61"/>
  <c r="L18" i="61"/>
  <c r="Q21" i="61"/>
  <c r="L24" i="61"/>
  <c r="Q41" i="50"/>
  <c r="Q12" i="60" s="1"/>
  <c r="P28" i="61"/>
  <c r="P57" i="50"/>
  <c r="O28" i="61"/>
  <c r="O57" i="50"/>
  <c r="N28" i="61"/>
  <c r="N30" i="61" s="1"/>
  <c r="M58" i="50"/>
  <c r="R19" i="51"/>
  <c r="D19" i="50"/>
  <c r="R19" i="50" s="1"/>
  <c r="R15" i="51"/>
  <c r="R16" i="51"/>
  <c r="D16" i="50"/>
  <c r="R17" i="51"/>
  <c r="D17" i="50"/>
  <c r="R17" i="50" s="1"/>
  <c r="R18" i="51"/>
  <c r="S28" i="51"/>
  <c r="M23" i="61"/>
  <c r="M52" i="50"/>
  <c r="R20" i="51"/>
  <c r="S20" i="51"/>
  <c r="S83" i="51"/>
  <c r="L25" i="61"/>
  <c r="G73" i="50"/>
  <c r="G15" i="61"/>
  <c r="H76" i="50"/>
  <c r="H18" i="61"/>
  <c r="I15" i="61"/>
  <c r="I73" i="50"/>
  <c r="I14" i="61"/>
  <c r="I72" i="50"/>
  <c r="P34" i="35"/>
  <c r="O28" i="50"/>
  <c r="R7" i="51"/>
  <c r="R8" i="51"/>
  <c r="R9" i="51"/>
  <c r="R10" i="51"/>
  <c r="R11" i="51"/>
  <c r="R12" i="51"/>
  <c r="R13" i="51"/>
  <c r="R31" i="51"/>
  <c r="S31" i="51"/>
  <c r="D32" i="50"/>
  <c r="R32" i="51"/>
  <c r="S32" i="51"/>
  <c r="R33" i="51"/>
  <c r="S33" i="51"/>
  <c r="R52" i="51"/>
  <c r="G19" i="35"/>
  <c r="K34" i="35"/>
  <c r="L64" i="51"/>
  <c r="S48" i="51"/>
  <c r="F77" i="50"/>
  <c r="N77" i="50"/>
  <c r="P77" i="50"/>
  <c r="S25" i="51"/>
  <c r="S85" i="51"/>
  <c r="S84" i="51"/>
  <c r="S82" i="51"/>
  <c r="S80" i="51"/>
  <c r="S76" i="51"/>
  <c r="L75" i="50"/>
  <c r="S75" i="50" s="1"/>
  <c r="S75" i="51"/>
  <c r="S71" i="51"/>
  <c r="S68" i="51"/>
  <c r="S50" i="51"/>
  <c r="S34" i="51"/>
  <c r="R88" i="51"/>
  <c r="D7" i="50"/>
  <c r="O34" i="50"/>
  <c r="R66" i="50"/>
  <c r="L69" i="50"/>
  <c r="S69" i="50" s="1"/>
  <c r="L73" i="50"/>
  <c r="S73" i="50" s="1"/>
  <c r="L68" i="50"/>
  <c r="D31" i="50"/>
  <c r="L82" i="50"/>
  <c r="D23" i="61"/>
  <c r="L80" i="50"/>
  <c r="K35" i="51"/>
  <c r="M28" i="50"/>
  <c r="S18" i="51"/>
  <c r="Q28" i="50"/>
  <c r="Q29" i="50"/>
  <c r="E31" i="50"/>
  <c r="G31" i="50"/>
  <c r="I31" i="50"/>
  <c r="Q31" i="50"/>
  <c r="S31" i="50" s="1"/>
  <c r="E32" i="50"/>
  <c r="G32" i="50"/>
  <c r="I32" i="50"/>
  <c r="M32" i="50"/>
  <c r="O32" i="50"/>
  <c r="Q32" i="50"/>
  <c r="S32" i="50" s="1"/>
  <c r="G33" i="50"/>
  <c r="M33" i="50"/>
  <c r="O33" i="50"/>
  <c r="Q33" i="50"/>
  <c r="S33" i="50" s="1"/>
  <c r="S52" i="51"/>
  <c r="R24" i="51"/>
  <c r="R27" i="51"/>
  <c r="S24" i="51"/>
  <c r="S27" i="51"/>
  <c r="P25" i="61"/>
  <c r="R86" i="51"/>
  <c r="R87" i="51"/>
  <c r="R85" i="51"/>
  <c r="R84" i="51"/>
  <c r="R82" i="51"/>
  <c r="R80" i="51"/>
  <c r="R78" i="51"/>
  <c r="R76" i="51"/>
  <c r="R75" i="51"/>
  <c r="R74" i="51"/>
  <c r="R73" i="51"/>
  <c r="R71" i="51"/>
  <c r="R70" i="51"/>
  <c r="R69" i="51"/>
  <c r="R68" i="51"/>
  <c r="R67" i="51"/>
  <c r="R66" i="51"/>
  <c r="R65" i="51"/>
  <c r="E33" i="61"/>
  <c r="F7" i="61"/>
  <c r="I18" i="61"/>
  <c r="K31" i="61"/>
  <c r="K32" i="61"/>
  <c r="L57" i="50"/>
  <c r="S66" i="51"/>
  <c r="Q43" i="50"/>
  <c r="Q20" i="50"/>
  <c r="K78" i="50"/>
  <c r="R79" i="51"/>
  <c r="R48" i="51"/>
  <c r="L19" i="34"/>
  <c r="I19" i="34"/>
  <c r="I35" i="34" s="1"/>
  <c r="M19" i="34"/>
  <c r="Q19" i="34"/>
  <c r="F34" i="33"/>
  <c r="F19" i="33"/>
  <c r="H30" i="33"/>
  <c r="R92" i="49"/>
  <c r="H23" i="44"/>
  <c r="L23" i="59"/>
  <c r="S52" i="49"/>
  <c r="E26" i="44"/>
  <c r="D25" i="59"/>
  <c r="R54" i="49"/>
  <c r="F25" i="59"/>
  <c r="H25" i="59"/>
  <c r="O78" i="44"/>
  <c r="K76" i="44"/>
  <c r="K72" i="44"/>
  <c r="Q67" i="44"/>
  <c r="R63" i="49"/>
  <c r="P19" i="32"/>
  <c r="I13" i="59"/>
  <c r="Q36" i="44"/>
  <c r="R21" i="49"/>
  <c r="R50" i="49"/>
  <c r="N71" i="44"/>
  <c r="N76" i="44"/>
  <c r="M82" i="44"/>
  <c r="S65" i="49"/>
  <c r="L7" i="59"/>
  <c r="J85" i="44"/>
  <c r="J74" i="44"/>
  <c r="J72" i="44"/>
  <c r="J71" i="44"/>
  <c r="J76" i="44"/>
  <c r="H85" i="44"/>
  <c r="H84" i="44"/>
  <c r="H82" i="44"/>
  <c r="H73" i="44"/>
  <c r="H70" i="44"/>
  <c r="F27" i="59"/>
  <c r="F26" i="59"/>
  <c r="F20" i="59"/>
  <c r="F24" i="59"/>
  <c r="F22" i="59"/>
  <c r="F28" i="59"/>
  <c r="F29" i="59"/>
  <c r="F75" i="44"/>
  <c r="F74" i="44"/>
  <c r="F16" i="59"/>
  <c r="F14" i="59"/>
  <c r="F70" i="44"/>
  <c r="F12" i="59"/>
  <c r="F11" i="59"/>
  <c r="F9" i="59"/>
  <c r="F13" i="59"/>
  <c r="F18" i="59"/>
  <c r="R56" i="49"/>
  <c r="D27" i="59"/>
  <c r="R55" i="49"/>
  <c r="D26" i="59"/>
  <c r="R49" i="49"/>
  <c r="D20" i="59"/>
  <c r="R53" i="49"/>
  <c r="D24" i="59"/>
  <c r="R45" i="49"/>
  <c r="D16" i="59"/>
  <c r="R41" i="49"/>
  <c r="R40" i="49"/>
  <c r="R42" i="49"/>
  <c r="D13" i="59"/>
  <c r="D7" i="59"/>
  <c r="R36" i="49"/>
  <c r="R47" i="49"/>
  <c r="O32" i="59"/>
  <c r="O83" i="44"/>
  <c r="I21" i="59"/>
  <c r="O20" i="59"/>
  <c r="Q24" i="59"/>
  <c r="R34" i="49"/>
  <c r="S79" i="49"/>
  <c r="N69" i="44"/>
  <c r="N68" i="44"/>
  <c r="J70" i="44"/>
  <c r="J66" i="44"/>
  <c r="G85" i="44"/>
  <c r="R85" i="49"/>
  <c r="R82" i="49"/>
  <c r="R80" i="49"/>
  <c r="D80" i="44"/>
  <c r="R90" i="49"/>
  <c r="R74" i="49"/>
  <c r="D15" i="59"/>
  <c r="R73" i="49"/>
  <c r="E11" i="59"/>
  <c r="E77" i="49"/>
  <c r="E93" i="49" s="1"/>
  <c r="R76" i="49"/>
  <c r="I28" i="59"/>
  <c r="O81" i="44"/>
  <c r="R52" i="49"/>
  <c r="R18" i="49"/>
  <c r="R16" i="49"/>
  <c r="R12" i="49"/>
  <c r="R11" i="49"/>
  <c r="R8" i="49"/>
  <c r="R7" i="49"/>
  <c r="S88" i="49"/>
  <c r="S21" i="49"/>
  <c r="M21" i="59"/>
  <c r="H21" i="59"/>
  <c r="F21" i="59"/>
  <c r="P46" i="44"/>
  <c r="P45" i="44"/>
  <c r="P43" i="44"/>
  <c r="P47" i="44"/>
  <c r="N56" i="44"/>
  <c r="N51" i="44"/>
  <c r="N46" i="44"/>
  <c r="N44" i="44"/>
  <c r="N43" i="44"/>
  <c r="M45" i="44"/>
  <c r="M44" i="44"/>
  <c r="M43" i="44"/>
  <c r="M36" i="44"/>
  <c r="L56" i="44"/>
  <c r="L55" i="44"/>
  <c r="L49" i="44"/>
  <c r="L32" i="59"/>
  <c r="S90" i="49"/>
  <c r="S74" i="49"/>
  <c r="S67" i="49"/>
  <c r="S36" i="49"/>
  <c r="S39" i="49"/>
  <c r="J27" i="59"/>
  <c r="J26" i="59"/>
  <c r="J24" i="59"/>
  <c r="J33" i="59"/>
  <c r="F36" i="44"/>
  <c r="E55" i="44"/>
  <c r="E53" i="44"/>
  <c r="D46" i="44"/>
  <c r="D41" i="44"/>
  <c r="E42" i="44"/>
  <c r="I25" i="59"/>
  <c r="I56" i="44"/>
  <c r="O53" i="44"/>
  <c r="O51" i="44"/>
  <c r="O49" i="44"/>
  <c r="O46" i="44"/>
  <c r="I45" i="44"/>
  <c r="O44" i="44"/>
  <c r="O41" i="44"/>
  <c r="I37" i="44"/>
  <c r="O37" i="44"/>
  <c r="Q72" i="44"/>
  <c r="K70" i="44"/>
  <c r="K65" i="44"/>
  <c r="Q55" i="44"/>
  <c r="K52" i="44"/>
  <c r="Q46" i="44"/>
  <c r="K33" i="44"/>
  <c r="K27" i="44"/>
  <c r="K26" i="44"/>
  <c r="K24" i="44"/>
  <c r="K23" i="44"/>
  <c r="K22" i="44"/>
  <c r="Q22" i="44"/>
  <c r="Q20" i="44"/>
  <c r="K16" i="44"/>
  <c r="K15" i="44"/>
  <c r="K13" i="44"/>
  <c r="K9" i="44"/>
  <c r="K7" i="44"/>
  <c r="Q15" i="44"/>
  <c r="Q11" i="44"/>
  <c r="Q7" i="44"/>
  <c r="Q17" i="44"/>
  <c r="J22" i="44"/>
  <c r="P22" i="44"/>
  <c r="J21" i="44"/>
  <c r="J25" i="44"/>
  <c r="S30" i="49"/>
  <c r="K35" i="49"/>
  <c r="R29" i="49"/>
  <c r="S18" i="49"/>
  <c r="S13" i="49"/>
  <c r="S10" i="49"/>
  <c r="S9" i="49"/>
  <c r="S24" i="49"/>
  <c r="E27" i="44"/>
  <c r="G19" i="32"/>
  <c r="H30" i="32"/>
  <c r="H19" i="32"/>
  <c r="J19" i="32"/>
  <c r="L30" i="32"/>
  <c r="N19" i="32"/>
  <c r="S22" i="49"/>
  <c r="H22" i="44"/>
  <c r="G25" i="59"/>
  <c r="S85" i="49"/>
  <c r="S82" i="49"/>
  <c r="S51" i="49"/>
  <c r="S61" i="49"/>
  <c r="S57" i="49"/>
  <c r="S58" i="49"/>
  <c r="S40" i="49"/>
  <c r="S37" i="49"/>
  <c r="O26" i="59"/>
  <c r="O24" i="59"/>
  <c r="O33" i="59"/>
  <c r="K31" i="59"/>
  <c r="K17" i="59"/>
  <c r="R19" i="49"/>
  <c r="S59" i="49"/>
  <c r="Q53" i="44"/>
  <c r="Q51" i="44"/>
  <c r="Q49" i="44"/>
  <c r="K46" i="44"/>
  <c r="K44" i="44"/>
  <c r="K38" i="44"/>
  <c r="Q37" i="44"/>
  <c r="P51" i="44"/>
  <c r="O19" i="31"/>
  <c r="M19" i="31"/>
  <c r="N19" i="31"/>
  <c r="D19" i="31"/>
  <c r="Q41" i="44"/>
  <c r="P56" i="44"/>
  <c r="P55" i="44"/>
  <c r="P53" i="44"/>
  <c r="P41" i="44"/>
  <c r="P36" i="44"/>
  <c r="N55" i="44"/>
  <c r="F55" i="44"/>
  <c r="F46" i="44"/>
  <c r="F41" i="44"/>
  <c r="F40" i="44"/>
  <c r="F39" i="44"/>
  <c r="E51" i="44"/>
  <c r="E41" i="44"/>
  <c r="I49" i="44"/>
  <c r="I44" i="44"/>
  <c r="I41" i="44"/>
  <c r="O36" i="44"/>
  <c r="Q38" i="44"/>
  <c r="Q39" i="44"/>
  <c r="Q19" i="30"/>
  <c r="M34" i="30"/>
  <c r="N50" i="44"/>
  <c r="E50" i="44"/>
  <c r="K53" i="44"/>
  <c r="K24" i="58"/>
  <c r="Q12" i="58"/>
  <c r="S74" i="48"/>
  <c r="L16" i="58"/>
  <c r="S69" i="48"/>
  <c r="L11" i="58"/>
  <c r="S34" i="48"/>
  <c r="O48" i="48"/>
  <c r="O64" i="48" s="1"/>
  <c r="P83" i="44"/>
  <c r="K49" i="44"/>
  <c r="R30" i="48"/>
  <c r="K17" i="58"/>
  <c r="L7" i="58"/>
  <c r="K15" i="58"/>
  <c r="K8" i="58"/>
  <c r="K11" i="58"/>
  <c r="P22" i="58"/>
  <c r="R63" i="48"/>
  <c r="Q18" i="58"/>
  <c r="S29" i="48"/>
  <c r="R10" i="48"/>
  <c r="R20" i="48"/>
  <c r="S16" i="48"/>
  <c r="S12" i="48"/>
  <c r="S8" i="48"/>
  <c r="P26" i="44"/>
  <c r="R22" i="48"/>
  <c r="R54" i="48"/>
  <c r="D25" i="58"/>
  <c r="N21" i="58"/>
  <c r="N79" i="44"/>
  <c r="S79" i="48"/>
  <c r="L21" i="58"/>
  <c r="P32" i="58"/>
  <c r="M31" i="58"/>
  <c r="S65" i="48"/>
  <c r="L77" i="48"/>
  <c r="S68" i="48"/>
  <c r="J24" i="58"/>
  <c r="J28" i="58"/>
  <c r="J43" i="44"/>
  <c r="J40" i="44"/>
  <c r="J39" i="44"/>
  <c r="H45" i="44"/>
  <c r="H77" i="48"/>
  <c r="H93" i="48" s="1"/>
  <c r="G18" i="58"/>
  <c r="F15" i="58"/>
  <c r="F44" i="44"/>
  <c r="F48" i="48"/>
  <c r="F64" i="48" s="1"/>
  <c r="R56" i="48"/>
  <c r="D27" i="58"/>
  <c r="R55" i="48"/>
  <c r="D26" i="58"/>
  <c r="R49" i="48"/>
  <c r="R53" i="48"/>
  <c r="R51" i="48"/>
  <c r="R60" i="48"/>
  <c r="R62" i="48"/>
  <c r="R57" i="48"/>
  <c r="R45" i="48"/>
  <c r="D16" i="58"/>
  <c r="R40" i="48"/>
  <c r="D11" i="58"/>
  <c r="R38" i="48"/>
  <c r="D9" i="58"/>
  <c r="R37" i="48"/>
  <c r="R42" i="48"/>
  <c r="D13" i="58"/>
  <c r="R39" i="48"/>
  <c r="O25" i="58"/>
  <c r="Q22" i="58"/>
  <c r="Q80" i="44"/>
  <c r="J51" i="44"/>
  <c r="K55" i="44"/>
  <c r="S63" i="48"/>
  <c r="K71" i="44"/>
  <c r="S89" i="48"/>
  <c r="L31" i="58"/>
  <c r="S87" i="48"/>
  <c r="L29" i="58"/>
  <c r="S70" i="48"/>
  <c r="S66" i="48"/>
  <c r="S47" i="48"/>
  <c r="L18" i="58"/>
  <c r="K37" i="44"/>
  <c r="O47" i="44"/>
  <c r="G48" i="48"/>
  <c r="G64" i="48" s="1"/>
  <c r="K39" i="44"/>
  <c r="O77" i="48"/>
  <c r="O93" i="48" s="1"/>
  <c r="L15" i="58"/>
  <c r="J79" i="44"/>
  <c r="J58" i="44"/>
  <c r="L17" i="58"/>
  <c r="L9" i="58"/>
  <c r="Q7" i="58"/>
  <c r="Q48" i="48"/>
  <c r="Q64" i="48" s="1"/>
  <c r="S52" i="48"/>
  <c r="M52" i="44"/>
  <c r="S81" i="48"/>
  <c r="R17" i="48"/>
  <c r="R13" i="48"/>
  <c r="R24" i="48"/>
  <c r="S15" i="48"/>
  <c r="S11" i="48"/>
  <c r="S7" i="48"/>
  <c r="S27" i="48"/>
  <c r="K34" i="29"/>
  <c r="S22" i="48"/>
  <c r="L22" i="44"/>
  <c r="S25" i="48"/>
  <c r="S83" i="48"/>
  <c r="L25" i="58"/>
  <c r="S59" i="48"/>
  <c r="Q12" i="44"/>
  <c r="R26" i="48"/>
  <c r="S54" i="48"/>
  <c r="S56" i="48"/>
  <c r="F13" i="58"/>
  <c r="R85" i="48"/>
  <c r="R82" i="48"/>
  <c r="R90" i="48"/>
  <c r="R87" i="48"/>
  <c r="R75" i="48"/>
  <c r="R73" i="48"/>
  <c r="R69" i="48"/>
  <c r="R67" i="48"/>
  <c r="E17" i="58"/>
  <c r="E14" i="58"/>
  <c r="E12" i="58"/>
  <c r="R71" i="48"/>
  <c r="R65" i="48"/>
  <c r="R59" i="48"/>
  <c r="R92" i="48"/>
  <c r="P31" i="58"/>
  <c r="S23" i="48"/>
  <c r="R28" i="48"/>
  <c r="R31" i="48"/>
  <c r="S32" i="48"/>
  <c r="R33" i="48"/>
  <c r="G19" i="48"/>
  <c r="S17" i="48"/>
  <c r="H21" i="58"/>
  <c r="F21" i="58"/>
  <c r="R79" i="48"/>
  <c r="S84" i="48"/>
  <c r="S78" i="48"/>
  <c r="S80" i="48"/>
  <c r="S60" i="48"/>
  <c r="S62" i="48"/>
  <c r="S46" i="48"/>
  <c r="S45" i="48"/>
  <c r="S44" i="48"/>
  <c r="L12" i="58"/>
  <c r="S41" i="48"/>
  <c r="S37" i="48"/>
  <c r="I69" i="44"/>
  <c r="I67" i="44"/>
  <c r="I65" i="44"/>
  <c r="I62" i="44"/>
  <c r="O52" i="44"/>
  <c r="O23" i="54" s="1"/>
  <c r="O27" i="44"/>
  <c r="Q16" i="58"/>
  <c r="Q14" i="58"/>
  <c r="S92" i="48"/>
  <c r="N19" i="28"/>
  <c r="S41" i="47"/>
  <c r="L41" i="44"/>
  <c r="S38" i="47"/>
  <c r="L9" i="57"/>
  <c r="J80" i="44"/>
  <c r="J22" i="57"/>
  <c r="P74" i="44"/>
  <c r="D33" i="44"/>
  <c r="L51" i="44"/>
  <c r="P24" i="57"/>
  <c r="P12" i="44"/>
  <c r="D19" i="28"/>
  <c r="M19" i="28"/>
  <c r="S74" i="47"/>
  <c r="J26" i="57"/>
  <c r="J55" i="44"/>
  <c r="I29" i="57"/>
  <c r="L38" i="44"/>
  <c r="K12" i="57"/>
  <c r="I12" i="57"/>
  <c r="Q19" i="28"/>
  <c r="N73" i="44"/>
  <c r="P49" i="44"/>
  <c r="N14" i="57"/>
  <c r="P27" i="57"/>
  <c r="L8" i="57"/>
  <c r="Q24" i="57"/>
  <c r="L20" i="57"/>
  <c r="L46" i="44"/>
  <c r="M68" i="44"/>
  <c r="F54" i="44"/>
  <c r="F25" i="54" s="1"/>
  <c r="P73" i="44"/>
  <c r="N82" i="44"/>
  <c r="R48" i="47"/>
  <c r="P14" i="57"/>
  <c r="P22" i="57"/>
  <c r="I15" i="57"/>
  <c r="N27" i="57"/>
  <c r="L14" i="57"/>
  <c r="N22" i="57"/>
  <c r="K9" i="57"/>
  <c r="P7" i="57"/>
  <c r="P65" i="44"/>
  <c r="S85" i="47"/>
  <c r="L85" i="44"/>
  <c r="L26" i="57"/>
  <c r="S84" i="47"/>
  <c r="K81" i="44"/>
  <c r="K23" i="57"/>
  <c r="R59" i="47"/>
  <c r="L43" i="44"/>
  <c r="S43" i="44" s="1"/>
  <c r="D54" i="44"/>
  <c r="J83" i="44"/>
  <c r="L82" i="44"/>
  <c r="D50" i="44"/>
  <c r="P75" i="44"/>
  <c r="N75" i="44"/>
  <c r="N78" i="44"/>
  <c r="D81" i="44"/>
  <c r="R30" i="47"/>
  <c r="L16" i="57"/>
  <c r="S48" i="47"/>
  <c r="L45" i="44"/>
  <c r="Q14" i="57"/>
  <c r="L11" i="57"/>
  <c r="D23" i="57"/>
  <c r="R23" i="47"/>
  <c r="R32" i="47"/>
  <c r="G32" i="44"/>
  <c r="E81" i="44"/>
  <c r="S18" i="47"/>
  <c r="S13" i="47"/>
  <c r="S9" i="47"/>
  <c r="H20" i="44"/>
  <c r="N20" i="44"/>
  <c r="E25" i="44"/>
  <c r="S76" i="47"/>
  <c r="G55" i="44"/>
  <c r="R61" i="47"/>
  <c r="R58" i="47"/>
  <c r="R38" i="47"/>
  <c r="D8" i="57"/>
  <c r="R37" i="47"/>
  <c r="I15" i="44"/>
  <c r="Q22" i="57"/>
  <c r="R19" i="47"/>
  <c r="F23" i="44"/>
  <c r="R29" i="47"/>
  <c r="N52" i="44"/>
  <c r="P23" i="57"/>
  <c r="G23" i="57"/>
  <c r="H81" i="44"/>
  <c r="N81" i="44"/>
  <c r="R11" i="47"/>
  <c r="R7" i="47"/>
  <c r="R27" i="47"/>
  <c r="F24" i="44"/>
  <c r="L27" i="44"/>
  <c r="H21" i="57"/>
  <c r="S53" i="47"/>
  <c r="F32" i="57"/>
  <c r="F28" i="57"/>
  <c r="F30" i="57" s="1"/>
  <c r="R84" i="47"/>
  <c r="R78" i="47"/>
  <c r="R89" i="47"/>
  <c r="D32" i="57"/>
  <c r="R90" i="47"/>
  <c r="R91" i="47"/>
  <c r="R86" i="47"/>
  <c r="R70" i="47"/>
  <c r="R66" i="47"/>
  <c r="R68" i="47"/>
  <c r="O7" i="57"/>
  <c r="Q20" i="57"/>
  <c r="S92" i="47"/>
  <c r="E36" i="44"/>
  <c r="I20" i="57"/>
  <c r="O76" i="44"/>
  <c r="O21" i="44"/>
  <c r="Q84" i="44"/>
  <c r="Q83" i="44"/>
  <c r="R77" i="47"/>
  <c r="R92" i="47"/>
  <c r="M19" i="27"/>
  <c r="N19" i="27"/>
  <c r="O34" i="27"/>
  <c r="H19" i="26"/>
  <c r="L19" i="26"/>
  <c r="K19" i="26"/>
  <c r="D19" i="26"/>
  <c r="F19" i="26"/>
  <c r="I19" i="26"/>
  <c r="G19" i="26"/>
  <c r="K36" i="44"/>
  <c r="S50" i="46"/>
  <c r="L50" i="44"/>
  <c r="S74" i="46"/>
  <c r="L16" i="56"/>
  <c r="S70" i="46"/>
  <c r="L70" i="44"/>
  <c r="S42" i="46"/>
  <c r="L13" i="56"/>
  <c r="S39" i="46"/>
  <c r="L10" i="56"/>
  <c r="K47" i="44"/>
  <c r="L20" i="44"/>
  <c r="E23" i="56"/>
  <c r="J23" i="56"/>
  <c r="R18" i="46"/>
  <c r="R16" i="46"/>
  <c r="R12" i="46"/>
  <c r="R8" i="46"/>
  <c r="S26" i="46"/>
  <c r="J26" i="44"/>
  <c r="J19" i="25"/>
  <c r="M23" i="44"/>
  <c r="S28" i="46"/>
  <c r="S31" i="46"/>
  <c r="M32" i="44"/>
  <c r="E33" i="44"/>
  <c r="J33" i="44"/>
  <c r="S33" i="46"/>
  <c r="P33" i="44"/>
  <c r="J81" i="44"/>
  <c r="S13" i="46"/>
  <c r="S10" i="46"/>
  <c r="G20" i="44"/>
  <c r="S24" i="46"/>
  <c r="R79" i="46"/>
  <c r="P84" i="44"/>
  <c r="P82" i="44"/>
  <c r="N37" i="44"/>
  <c r="N47" i="44"/>
  <c r="S65" i="46"/>
  <c r="S76" i="46"/>
  <c r="J45" i="44"/>
  <c r="J44" i="44"/>
  <c r="J42" i="44"/>
  <c r="H49" i="44"/>
  <c r="H46" i="44"/>
  <c r="H43" i="44"/>
  <c r="H37" i="44"/>
  <c r="H36" i="44"/>
  <c r="G56" i="44"/>
  <c r="G53" i="44"/>
  <c r="G51" i="44"/>
  <c r="G43" i="44"/>
  <c r="G36" i="44"/>
  <c r="G39" i="44"/>
  <c r="R56" i="46"/>
  <c r="R55" i="46"/>
  <c r="R49" i="46"/>
  <c r="R53" i="46"/>
  <c r="R51" i="46"/>
  <c r="R45" i="46"/>
  <c r="R41" i="46"/>
  <c r="R40" i="46"/>
  <c r="R37" i="46"/>
  <c r="R42" i="46"/>
  <c r="R36" i="46"/>
  <c r="R39" i="46"/>
  <c r="R47" i="46"/>
  <c r="I83" i="44"/>
  <c r="I81" i="44"/>
  <c r="I72" i="44"/>
  <c r="I70" i="44"/>
  <c r="O70" i="44"/>
  <c r="I55" i="44"/>
  <c r="I53" i="44"/>
  <c r="I51" i="44"/>
  <c r="O16" i="56"/>
  <c r="O14" i="56"/>
  <c r="O38" i="44"/>
  <c r="I27" i="44"/>
  <c r="I25" i="44"/>
  <c r="I23" i="44"/>
  <c r="I21" i="44"/>
  <c r="I7" i="44"/>
  <c r="I17" i="44"/>
  <c r="I13" i="44"/>
  <c r="I11" i="44"/>
  <c r="K84" i="44"/>
  <c r="Q76" i="44"/>
  <c r="Q65" i="44"/>
  <c r="K56" i="44"/>
  <c r="Q26" i="56"/>
  <c r="Q22" i="56"/>
  <c r="K41" i="44"/>
  <c r="Q24" i="44"/>
  <c r="K12" i="44"/>
  <c r="K8" i="44"/>
  <c r="K18" i="44"/>
  <c r="P25" i="44"/>
  <c r="P79" i="44"/>
  <c r="R92" i="46"/>
  <c r="R19" i="46"/>
  <c r="Q44" i="44"/>
  <c r="G22" i="44"/>
  <c r="G25" i="44"/>
  <c r="R21" i="46"/>
  <c r="R50" i="46"/>
  <c r="L27" i="56"/>
  <c r="S56" i="46"/>
  <c r="L24" i="56"/>
  <c r="S53" i="46"/>
  <c r="R84" i="46"/>
  <c r="R78" i="46"/>
  <c r="R89" i="46"/>
  <c r="R91" i="46"/>
  <c r="R86" i="46"/>
  <c r="R70" i="46"/>
  <c r="R66" i="46"/>
  <c r="R68" i="46"/>
  <c r="D18" i="56"/>
  <c r="R76" i="46"/>
  <c r="Q15" i="56"/>
  <c r="Q13" i="44"/>
  <c r="N49" i="44"/>
  <c r="P7" i="56"/>
  <c r="S32" i="46"/>
  <c r="R52" i="46"/>
  <c r="P52" i="44"/>
  <c r="R81" i="46"/>
  <c r="G24" i="44"/>
  <c r="S27" i="46"/>
  <c r="J27" i="44"/>
  <c r="M26" i="44"/>
  <c r="N26" i="44"/>
  <c r="D19" i="25"/>
  <c r="G30" i="25"/>
  <c r="Q30" i="25"/>
  <c r="S25" i="46"/>
  <c r="H25" i="44"/>
  <c r="G83" i="44"/>
  <c r="P26" i="56"/>
  <c r="S78" i="46"/>
  <c r="S60" i="46"/>
  <c r="S62" i="46"/>
  <c r="S58" i="46"/>
  <c r="S45" i="46"/>
  <c r="S44" i="46"/>
  <c r="S41" i="46"/>
  <c r="S40" i="46"/>
  <c r="S37" i="46"/>
  <c r="I20" i="56"/>
  <c r="K22" i="55"/>
  <c r="K80" i="44"/>
  <c r="Q23" i="55"/>
  <c r="Q52" i="44"/>
  <c r="S63" i="45"/>
  <c r="J19" i="24"/>
  <c r="Q11" i="55"/>
  <c r="Q40" i="44"/>
  <c r="S52" i="45"/>
  <c r="S15" i="45"/>
  <c r="R22" i="45"/>
  <c r="R25" i="45"/>
  <c r="D25" i="44"/>
  <c r="R25" i="44" s="1"/>
  <c r="R54" i="45"/>
  <c r="D25" i="55"/>
  <c r="S21" i="45"/>
  <c r="L21" i="44"/>
  <c r="N7" i="55"/>
  <c r="N36" i="44"/>
  <c r="M49" i="44"/>
  <c r="M20" i="55"/>
  <c r="S72" i="45"/>
  <c r="L14" i="55"/>
  <c r="L72" i="44"/>
  <c r="S72" i="44" s="1"/>
  <c r="S69" i="45"/>
  <c r="S67" i="45"/>
  <c r="L67" i="44"/>
  <c r="L9" i="55"/>
  <c r="S66" i="45"/>
  <c r="L8" i="55"/>
  <c r="J27" i="55"/>
  <c r="J56" i="44"/>
  <c r="J20" i="55"/>
  <c r="J49" i="44"/>
  <c r="J17" i="55"/>
  <c r="J46" i="44"/>
  <c r="J36" i="44"/>
  <c r="J7" i="55"/>
  <c r="H26" i="55"/>
  <c r="H55" i="44"/>
  <c r="I17" i="55"/>
  <c r="I46" i="44"/>
  <c r="I42" i="44"/>
  <c r="I13" i="55"/>
  <c r="I12" i="55"/>
  <c r="O11" i="55"/>
  <c r="O40" i="44"/>
  <c r="K31" i="55"/>
  <c r="K20" i="55"/>
  <c r="K78" i="44"/>
  <c r="K68" i="44"/>
  <c r="K10" i="55"/>
  <c r="K54" i="44"/>
  <c r="K25" i="55"/>
  <c r="K18" i="55"/>
  <c r="K14" i="55"/>
  <c r="K11" i="55"/>
  <c r="K40" i="44"/>
  <c r="J21" i="55"/>
  <c r="N42" i="44"/>
  <c r="H40" i="44"/>
  <c r="H14" i="55"/>
  <c r="I22" i="55"/>
  <c r="D22" i="44"/>
  <c r="O80" i="44"/>
  <c r="Q7" i="55"/>
  <c r="P85" i="44"/>
  <c r="R18" i="45"/>
  <c r="R16" i="45"/>
  <c r="D16" i="44"/>
  <c r="R13" i="45"/>
  <c r="R12" i="45"/>
  <c r="R9" i="45"/>
  <c r="R8" i="45"/>
  <c r="R24" i="45"/>
  <c r="E18" i="44"/>
  <c r="E17" i="44"/>
  <c r="E14" i="44"/>
  <c r="E12" i="44"/>
  <c r="E9" i="44"/>
  <c r="E8" i="44"/>
  <c r="F18" i="44"/>
  <c r="F15" i="44"/>
  <c r="F13" i="44"/>
  <c r="F10" i="44"/>
  <c r="F7" i="44"/>
  <c r="G17" i="44"/>
  <c r="G14" i="44"/>
  <c r="G13" i="44"/>
  <c r="G10" i="44"/>
  <c r="G9" i="44"/>
  <c r="G7" i="44"/>
  <c r="H18" i="44"/>
  <c r="H17" i="44"/>
  <c r="H15" i="44"/>
  <c r="H14" i="44"/>
  <c r="H11" i="44"/>
  <c r="H10" i="44"/>
  <c r="H7" i="44"/>
  <c r="J15" i="44"/>
  <c r="J14" i="44"/>
  <c r="J12" i="44"/>
  <c r="J10" i="44"/>
  <c r="J7" i="44"/>
  <c r="L18" i="44"/>
  <c r="N9" i="44"/>
  <c r="P15" i="44"/>
  <c r="L26" i="44"/>
  <c r="S26" i="45"/>
  <c r="S22" i="45"/>
  <c r="S25" i="45"/>
  <c r="L25" i="44"/>
  <c r="S83" i="45"/>
  <c r="L25" i="55"/>
  <c r="L83" i="44"/>
  <c r="N83" i="44"/>
  <c r="N25" i="55"/>
  <c r="H20" i="55"/>
  <c r="R21" i="45"/>
  <c r="D21" i="44"/>
  <c r="M21" i="55"/>
  <c r="D21" i="55"/>
  <c r="R50" i="45"/>
  <c r="N33" i="55"/>
  <c r="M56" i="44"/>
  <c r="M53" i="44"/>
  <c r="M22" i="55"/>
  <c r="M51" i="44"/>
  <c r="M8" i="55"/>
  <c r="M37" i="44"/>
  <c r="S65" i="45"/>
  <c r="S76" i="45"/>
  <c r="L76" i="44"/>
  <c r="H22" i="55"/>
  <c r="H80" i="44"/>
  <c r="H31" i="55"/>
  <c r="H32" i="55"/>
  <c r="H29" i="55"/>
  <c r="H16" i="55"/>
  <c r="H9" i="55"/>
  <c r="H67" i="44"/>
  <c r="H13" i="55"/>
  <c r="H18" i="55"/>
  <c r="H76" i="44"/>
  <c r="G27" i="55"/>
  <c r="G26" i="55"/>
  <c r="G20" i="55"/>
  <c r="G24" i="55"/>
  <c r="G82" i="44"/>
  <c r="G32" i="55"/>
  <c r="G28" i="55"/>
  <c r="G29" i="55"/>
  <c r="G17" i="55"/>
  <c r="G16" i="55"/>
  <c r="G45" i="44"/>
  <c r="G14" i="55"/>
  <c r="G72" i="44"/>
  <c r="G12" i="55"/>
  <c r="G41" i="44"/>
  <c r="G8" i="55"/>
  <c r="G7" i="55"/>
  <c r="G10" i="55"/>
  <c r="G68" i="44"/>
  <c r="F27" i="55"/>
  <c r="F56" i="44"/>
  <c r="F24" i="55"/>
  <c r="F53" i="44"/>
  <c r="F16" i="55"/>
  <c r="F45" i="44"/>
  <c r="F9" i="55"/>
  <c r="F38" i="44"/>
  <c r="F13" i="55"/>
  <c r="F42" i="44"/>
  <c r="R56" i="45"/>
  <c r="D56" i="44"/>
  <c r="R55" i="45"/>
  <c r="D55" i="44"/>
  <c r="D26" i="55"/>
  <c r="R49" i="45"/>
  <c r="D20" i="55"/>
  <c r="E49" i="44"/>
  <c r="E20" i="55"/>
  <c r="R53" i="45"/>
  <c r="D24" i="55"/>
  <c r="R51" i="45"/>
  <c r="D51" i="44"/>
  <c r="R60" i="45"/>
  <c r="D31" i="55"/>
  <c r="R62" i="45"/>
  <c r="R57" i="45"/>
  <c r="R45" i="45"/>
  <c r="D16" i="55"/>
  <c r="R44" i="45"/>
  <c r="D44" i="44"/>
  <c r="R41" i="45"/>
  <c r="R40" i="45"/>
  <c r="D11" i="55"/>
  <c r="R38" i="45"/>
  <c r="D38" i="44"/>
  <c r="D9" i="55"/>
  <c r="R37" i="45"/>
  <c r="D8" i="55"/>
  <c r="E43" i="44"/>
  <c r="E14" i="55"/>
  <c r="E38" i="44"/>
  <c r="E9" i="55"/>
  <c r="E37" i="44"/>
  <c r="E8" i="55"/>
  <c r="R42" i="45"/>
  <c r="D42" i="44"/>
  <c r="R36" i="45"/>
  <c r="R39" i="45"/>
  <c r="D10" i="55"/>
  <c r="E10" i="55"/>
  <c r="E39" i="44"/>
  <c r="D47" i="44"/>
  <c r="R47" i="45"/>
  <c r="I21" i="55"/>
  <c r="I79" i="44"/>
  <c r="O25" i="55"/>
  <c r="O21" i="55"/>
  <c r="O50" i="44"/>
  <c r="O18" i="55"/>
  <c r="O43" i="44"/>
  <c r="O14" i="55"/>
  <c r="I38" i="44"/>
  <c r="I9" i="55"/>
  <c r="N12" i="55"/>
  <c r="N41" i="44"/>
  <c r="D19" i="24"/>
  <c r="M19" i="24"/>
  <c r="R23" i="45"/>
  <c r="D23" i="44"/>
  <c r="R32" i="45"/>
  <c r="D32" i="44"/>
  <c r="S11" i="45"/>
  <c r="S7" i="45"/>
  <c r="H25" i="55"/>
  <c r="H54" i="44"/>
  <c r="R79" i="45"/>
  <c r="D79" i="44"/>
  <c r="P20" i="55"/>
  <c r="P78" i="44"/>
  <c r="P37" i="44"/>
  <c r="P8" i="54" s="1"/>
  <c r="P8" i="55"/>
  <c r="N39" i="44"/>
  <c r="N10" i="55"/>
  <c r="M28" i="55"/>
  <c r="S80" i="45"/>
  <c r="L22" i="55"/>
  <c r="L80" i="44"/>
  <c r="S75" i="45"/>
  <c r="L75" i="44"/>
  <c r="S74" i="45"/>
  <c r="L16" i="55"/>
  <c r="S42" i="45"/>
  <c r="L13" i="55"/>
  <c r="S36" i="45"/>
  <c r="L7" i="55"/>
  <c r="S39" i="45"/>
  <c r="L10" i="55"/>
  <c r="L39" i="44"/>
  <c r="J24" i="55"/>
  <c r="J53" i="44"/>
  <c r="J38" i="44"/>
  <c r="J9" i="55"/>
  <c r="H24" i="55"/>
  <c r="H53" i="44"/>
  <c r="O8" i="55"/>
  <c r="O66" i="44"/>
  <c r="K21" i="55"/>
  <c r="K50" i="44"/>
  <c r="K16" i="55"/>
  <c r="H93" i="45"/>
  <c r="O19" i="24"/>
  <c r="H7" i="55"/>
  <c r="H41" i="44"/>
  <c r="O9" i="55"/>
  <c r="K26" i="55"/>
  <c r="K43" i="44"/>
  <c r="P38" i="44"/>
  <c r="H17" i="55"/>
  <c r="N8" i="55"/>
  <c r="L16" i="44"/>
  <c r="L15" i="44"/>
  <c r="L7" i="44"/>
  <c r="K45" i="44"/>
  <c r="J13" i="55"/>
  <c r="L36" i="44"/>
  <c r="L71" i="44"/>
  <c r="P40" i="44"/>
  <c r="H56" i="44"/>
  <c r="M54" i="44"/>
  <c r="Q54" i="44"/>
  <c r="Q8" i="55"/>
  <c r="Q19" i="24"/>
  <c r="N19" i="24"/>
  <c r="R48" i="45"/>
  <c r="R59" i="45"/>
  <c r="P28" i="55"/>
  <c r="N30" i="24"/>
  <c r="N28" i="44"/>
  <c r="R28" i="45"/>
  <c r="R31" i="45"/>
  <c r="R33" i="45"/>
  <c r="R52" i="45"/>
  <c r="E52" i="44"/>
  <c r="R81" i="45"/>
  <c r="H23" i="55"/>
  <c r="R26" i="45"/>
  <c r="S54" i="45"/>
  <c r="S79" i="45"/>
  <c r="S56" i="45"/>
  <c r="F7" i="55"/>
  <c r="R84" i="45"/>
  <c r="R78" i="45"/>
  <c r="R80" i="45"/>
  <c r="R89" i="45"/>
  <c r="R91" i="45"/>
  <c r="R86" i="45"/>
  <c r="R74" i="45"/>
  <c r="R70" i="45"/>
  <c r="R66" i="45"/>
  <c r="R65" i="45"/>
  <c r="R68" i="45"/>
  <c r="R76" i="45"/>
  <c r="Q79" i="44"/>
  <c r="K74" i="44"/>
  <c r="R30" i="45"/>
  <c r="S31" i="45"/>
  <c r="H64" i="45"/>
  <c r="O30" i="24"/>
  <c r="R19" i="45"/>
  <c r="E23" i="44"/>
  <c r="J23" i="44"/>
  <c r="N23" i="44"/>
  <c r="G28" i="44"/>
  <c r="G29" i="44"/>
  <c r="F31" i="44"/>
  <c r="H32" i="44"/>
  <c r="G23" i="55"/>
  <c r="L52" i="44"/>
  <c r="M23" i="55"/>
  <c r="E23" i="55"/>
  <c r="F81" i="44"/>
  <c r="L81" i="44"/>
  <c r="M81" i="44"/>
  <c r="E11" i="44"/>
  <c r="G12" i="44"/>
  <c r="G26" i="44"/>
  <c r="H26" i="44"/>
  <c r="J17" i="44"/>
  <c r="J9" i="44"/>
  <c r="S20" i="45"/>
  <c r="S50" i="45"/>
  <c r="S84" i="45"/>
  <c r="S58" i="45"/>
  <c r="S44" i="45"/>
  <c r="S41" i="45"/>
  <c r="S40" i="45"/>
  <c r="S38" i="45"/>
  <c r="S37" i="45"/>
  <c r="S92" i="45"/>
  <c r="R77" i="45"/>
  <c r="M30" i="23"/>
  <c r="N34" i="23"/>
  <c r="Q19" i="23"/>
  <c r="P19" i="23"/>
  <c r="P30" i="23"/>
  <c r="G23" i="44"/>
  <c r="D23" i="55"/>
  <c r="F23" i="57"/>
  <c r="F52" i="44"/>
  <c r="G23" i="56"/>
  <c r="G52" i="44"/>
  <c r="L14" i="50"/>
  <c r="S14" i="50" s="1"/>
  <c r="D8" i="44"/>
  <c r="D26" i="44"/>
  <c r="D24" i="44"/>
  <c r="E19" i="48"/>
  <c r="F16" i="44"/>
  <c r="F12" i="44"/>
  <c r="F8" i="44"/>
  <c r="H19" i="48"/>
  <c r="H35" i="48" s="1"/>
  <c r="L13" i="44"/>
  <c r="D10" i="62"/>
  <c r="D9" i="62"/>
  <c r="D67" i="50"/>
  <c r="L14" i="62"/>
  <c r="L14" i="61"/>
  <c r="L43" i="50"/>
  <c r="S43" i="50" s="1"/>
  <c r="L11" i="61"/>
  <c r="L40" i="50"/>
  <c r="L10" i="61"/>
  <c r="L39" i="50"/>
  <c r="M62" i="50"/>
  <c r="M33" i="62"/>
  <c r="M29" i="62"/>
  <c r="M87" i="50"/>
  <c r="M55" i="50"/>
  <c r="M26" i="60" s="1"/>
  <c r="M26" i="62"/>
  <c r="M24" i="62"/>
  <c r="M53" i="50"/>
  <c r="M51" i="50"/>
  <c r="M22" i="60" s="1"/>
  <c r="M22" i="62"/>
  <c r="M20" i="62"/>
  <c r="M49" i="50"/>
  <c r="M20" i="60" s="1"/>
  <c r="M13" i="62"/>
  <c r="M42" i="50"/>
  <c r="M13" i="60" s="1"/>
  <c r="M41" i="50"/>
  <c r="M12" i="62"/>
  <c r="M10" i="62"/>
  <c r="M39" i="50"/>
  <c r="M10" i="60" s="1"/>
  <c r="M38" i="50"/>
  <c r="M9" i="60" s="1"/>
  <c r="M9" i="62"/>
  <c r="N27" i="62"/>
  <c r="N85" i="50"/>
  <c r="N27" i="60" s="1"/>
  <c r="N24" i="62"/>
  <c r="N82" i="50"/>
  <c r="N24" i="60" s="1"/>
  <c r="N80" i="50"/>
  <c r="N22" i="60" s="1"/>
  <c r="N22" i="62"/>
  <c r="N78" i="50"/>
  <c r="N20" i="60" s="1"/>
  <c r="N20" i="62"/>
  <c r="N16" i="62"/>
  <c r="N74" i="50"/>
  <c r="N16" i="60" s="1"/>
  <c r="N14" i="62"/>
  <c r="N72" i="50"/>
  <c r="N14" i="60" s="1"/>
  <c r="N12" i="61"/>
  <c r="N70" i="50"/>
  <c r="N69" i="50"/>
  <c r="N11" i="61"/>
  <c r="N8" i="61"/>
  <c r="N66" i="50"/>
  <c r="O89" i="50"/>
  <c r="O31" i="61"/>
  <c r="O56" i="50"/>
  <c r="O27" i="61"/>
  <c r="O26" i="61"/>
  <c r="O55" i="50"/>
  <c r="O24" i="61"/>
  <c r="O53" i="50"/>
  <c r="O51" i="50"/>
  <c r="O22" i="61"/>
  <c r="O49" i="50"/>
  <c r="O20" i="61"/>
  <c r="O47" i="50"/>
  <c r="O18" i="61"/>
  <c r="O44" i="50"/>
  <c r="O15" i="60" s="1"/>
  <c r="O15" i="61"/>
  <c r="O12" i="62"/>
  <c r="O70" i="50"/>
  <c r="O11" i="62"/>
  <c r="O69" i="50"/>
  <c r="O11" i="60" s="1"/>
  <c r="O68" i="50"/>
  <c r="O10" i="62"/>
  <c r="O67" i="50"/>
  <c r="O9" i="60" s="1"/>
  <c r="O9" i="62"/>
  <c r="O7" i="62"/>
  <c r="O65" i="50"/>
  <c r="P24" i="62"/>
  <c r="P53" i="50"/>
  <c r="P24" i="60" s="1"/>
  <c r="P51" i="50"/>
  <c r="P22" i="60" s="1"/>
  <c r="P22" i="62"/>
  <c r="P49" i="50"/>
  <c r="P20" i="60" s="1"/>
  <c r="P20" i="62"/>
  <c r="P45" i="50"/>
  <c r="P16" i="60" s="1"/>
  <c r="P16" i="62"/>
  <c r="P15" i="62"/>
  <c r="P44" i="50"/>
  <c r="P15" i="60" s="1"/>
  <c r="P14" i="62"/>
  <c r="P43" i="50"/>
  <c r="P14" i="60" s="1"/>
  <c r="P41" i="50"/>
  <c r="P12" i="61"/>
  <c r="P11" i="61"/>
  <c r="P40" i="50"/>
  <c r="P11" i="60" s="1"/>
  <c r="P38" i="50"/>
  <c r="P9" i="61"/>
  <c r="Q26" i="61"/>
  <c r="Q55" i="50"/>
  <c r="K37" i="50"/>
  <c r="K8" i="60" s="1"/>
  <c r="K8" i="62"/>
  <c r="K51" i="50"/>
  <c r="K22" i="62"/>
  <c r="Q68" i="50"/>
  <c r="Q10" i="60" s="1"/>
  <c r="Q10" i="61"/>
  <c r="Q24" i="61"/>
  <c r="Q82" i="50"/>
  <c r="D21" i="50"/>
  <c r="R21" i="50" s="1"/>
  <c r="H21" i="55"/>
  <c r="H50" i="44"/>
  <c r="F50" i="44"/>
  <c r="F21" i="55"/>
  <c r="F21" i="57"/>
  <c r="F79" i="44"/>
  <c r="D21" i="57"/>
  <c r="M21" i="58"/>
  <c r="M79" i="44"/>
  <c r="D21" i="58"/>
  <c r="D21" i="59"/>
  <c r="G79" i="50"/>
  <c r="G21" i="60" s="1"/>
  <c r="G21" i="61"/>
  <c r="O79" i="50"/>
  <c r="O21" i="62"/>
  <c r="K79" i="50"/>
  <c r="K21" i="62"/>
  <c r="I79" i="50"/>
  <c r="I21" i="60" s="1"/>
  <c r="I21" i="62"/>
  <c r="E79" i="50"/>
  <c r="E21" i="60" s="1"/>
  <c r="E21" i="62"/>
  <c r="O42" i="44"/>
  <c r="N48" i="48"/>
  <c r="N64" i="48" s="1"/>
  <c r="J19" i="48"/>
  <c r="J35" i="48" s="1"/>
  <c r="L17" i="44"/>
  <c r="K67" i="44"/>
  <c r="M50" i="44"/>
  <c r="N7" i="61"/>
  <c r="P36" i="50"/>
  <c r="M47" i="50"/>
  <c r="M18" i="60" s="1"/>
  <c r="D52" i="44"/>
  <c r="O14" i="61"/>
  <c r="P10" i="61"/>
  <c r="D68" i="50"/>
  <c r="N26" i="62"/>
  <c r="M27" i="62"/>
  <c r="Q76" i="50"/>
  <c r="S76" i="50" s="1"/>
  <c r="P42" i="44"/>
  <c r="P19" i="30"/>
  <c r="F26" i="44"/>
  <c r="H27" i="44"/>
  <c r="Q19" i="35"/>
  <c r="P19" i="34"/>
  <c r="F35" i="49"/>
  <c r="Q13" i="61"/>
  <c r="F19" i="48"/>
  <c r="F35" i="48" s="1"/>
  <c r="D18" i="44"/>
  <c r="L23" i="44"/>
  <c r="J19" i="26"/>
  <c r="D27" i="44"/>
  <c r="D21" i="56"/>
  <c r="D27" i="50"/>
  <c r="L20" i="50"/>
  <c r="P56" i="50"/>
  <c r="P27" i="60" s="1"/>
  <c r="N75" i="50"/>
  <c r="N17" i="60" s="1"/>
  <c r="O17" i="61"/>
  <c r="M79" i="50"/>
  <c r="O19" i="26"/>
  <c r="P81" i="44"/>
  <c r="P23" i="55"/>
  <c r="D52" i="50"/>
  <c r="O52" i="50"/>
  <c r="O23" i="61"/>
  <c r="E23" i="62"/>
  <c r="E81" i="50"/>
  <c r="I23" i="62"/>
  <c r="I81" i="50"/>
  <c r="K81" i="50"/>
  <c r="K23" i="62"/>
  <c r="O81" i="50"/>
  <c r="O23" i="62"/>
  <c r="M27" i="44"/>
  <c r="N27" i="44"/>
  <c r="P27" i="44"/>
  <c r="D19" i="41"/>
  <c r="D19" i="39"/>
  <c r="D19" i="36"/>
  <c r="D19" i="32"/>
  <c r="J19" i="42"/>
  <c r="K19" i="42"/>
  <c r="N19" i="42"/>
  <c r="Q19" i="42"/>
  <c r="E19" i="41"/>
  <c r="F19" i="41"/>
  <c r="J19" i="41"/>
  <c r="L19" i="41"/>
  <c r="M19" i="41"/>
  <c r="G19" i="40"/>
  <c r="K19" i="40"/>
  <c r="O19" i="40"/>
  <c r="F19" i="39"/>
  <c r="J19" i="39"/>
  <c r="K19" i="39"/>
  <c r="L19" i="39"/>
  <c r="M19" i="39"/>
  <c r="E19" i="38"/>
  <c r="G19" i="38"/>
  <c r="I19" i="38"/>
  <c r="J19" i="38"/>
  <c r="F19" i="37"/>
  <c r="I19" i="37"/>
  <c r="I35" i="37" s="1"/>
  <c r="K19" i="37"/>
  <c r="L19" i="37"/>
  <c r="M19" i="37"/>
  <c r="M35" i="37" s="1"/>
  <c r="Q19" i="37"/>
  <c r="E19" i="36"/>
  <c r="F19" i="36"/>
  <c r="G19" i="36"/>
  <c r="I19" i="36"/>
  <c r="L19" i="36"/>
  <c r="Q19" i="36"/>
  <c r="E19" i="35"/>
  <c r="F19" i="35"/>
  <c r="H19" i="35"/>
  <c r="J19" i="35"/>
  <c r="K19" i="35"/>
  <c r="M19" i="35"/>
  <c r="E19" i="34"/>
  <c r="G19" i="34"/>
  <c r="H19" i="34"/>
  <c r="E19" i="33"/>
  <c r="I19" i="33"/>
  <c r="K19" i="33"/>
  <c r="O19" i="33"/>
  <c r="P19" i="33"/>
  <c r="Q19" i="33"/>
  <c r="F19" i="32"/>
  <c r="K19" i="32"/>
  <c r="O19" i="32"/>
  <c r="Q19" i="32"/>
  <c r="F19" i="29"/>
  <c r="H19" i="29"/>
  <c r="I19" i="29"/>
  <c r="K19" i="29"/>
  <c r="O19" i="29"/>
  <c r="E19" i="28"/>
  <c r="F19" i="28"/>
  <c r="H19" i="28"/>
  <c r="L19" i="28"/>
  <c r="P19" i="28"/>
  <c r="D25" i="61"/>
  <c r="D54" i="50"/>
  <c r="G54" i="50"/>
  <c r="G25" i="61"/>
  <c r="H25" i="61"/>
  <c r="H54" i="50"/>
  <c r="J54" i="50"/>
  <c r="J25" i="62"/>
  <c r="L25" i="62"/>
  <c r="L54" i="50"/>
  <c r="P25" i="62"/>
  <c r="P54" i="50"/>
  <c r="D26" i="61"/>
  <c r="D82" i="50"/>
  <c r="D24" i="61"/>
  <c r="D80" i="50"/>
  <c r="D22" i="61"/>
  <c r="M27" i="55"/>
  <c r="M85" i="44"/>
  <c r="M26" i="55"/>
  <c r="M84" i="44"/>
  <c r="M15" i="57"/>
  <c r="M73" i="44"/>
  <c r="M40" i="44"/>
  <c r="M8" i="59"/>
  <c r="M48" i="49"/>
  <c r="M64" i="49" s="1"/>
  <c r="M19" i="30"/>
  <c r="M18" i="57"/>
  <c r="M76" i="44"/>
  <c r="M47" i="44"/>
  <c r="M18" i="56"/>
  <c r="L78" i="44"/>
  <c r="L15" i="57"/>
  <c r="L73" i="44"/>
  <c r="H22" i="58"/>
  <c r="H51" i="44"/>
  <c r="H75" i="44"/>
  <c r="H72" i="44"/>
  <c r="H9" i="58"/>
  <c r="H38" i="44"/>
  <c r="H66" i="44"/>
  <c r="H77" i="49"/>
  <c r="H93" i="49" s="1"/>
  <c r="H7" i="58"/>
  <c r="H48" i="48"/>
  <c r="H68" i="44"/>
  <c r="H47" i="44"/>
  <c r="H18" i="58"/>
  <c r="G22" i="55"/>
  <c r="G80" i="44"/>
  <c r="G11" i="55"/>
  <c r="G69" i="44"/>
  <c r="G9" i="55"/>
  <c r="G67" i="44"/>
  <c r="G9" i="58"/>
  <c r="G38" i="44"/>
  <c r="G71" i="44"/>
  <c r="G47" i="44"/>
  <c r="F27" i="56"/>
  <c r="F85" i="44"/>
  <c r="F20" i="55"/>
  <c r="F49" i="44"/>
  <c r="F51" i="44"/>
  <c r="F8" i="55"/>
  <c r="F37" i="44"/>
  <c r="F65" i="44"/>
  <c r="F7" i="56"/>
  <c r="D77" i="49"/>
  <c r="D43" i="44"/>
  <c r="R43" i="44" s="1"/>
  <c r="D14" i="59"/>
  <c r="E16" i="58"/>
  <c r="E74" i="44"/>
  <c r="E11" i="58"/>
  <c r="E69" i="44"/>
  <c r="E66" i="44"/>
  <c r="E8" i="58"/>
  <c r="E77" i="48"/>
  <c r="E93" i="48" s="1"/>
  <c r="E19" i="31"/>
  <c r="E35" i="31" s="1"/>
  <c r="D71" i="44"/>
  <c r="D13" i="55"/>
  <c r="D7" i="55"/>
  <c r="D10" i="56"/>
  <c r="D68" i="44"/>
  <c r="D10" i="59"/>
  <c r="D39" i="44"/>
  <c r="D18" i="59"/>
  <c r="E47" i="44"/>
  <c r="I27" i="58"/>
  <c r="I85" i="44"/>
  <c r="I84" i="44"/>
  <c r="I26" i="56"/>
  <c r="O84" i="44"/>
  <c r="O26" i="57"/>
  <c r="Q16" i="55"/>
  <c r="Q74" i="44"/>
  <c r="P19" i="41"/>
  <c r="O19" i="41"/>
  <c r="L14" i="44"/>
  <c r="S14" i="44" s="1"/>
  <c r="D10" i="44"/>
  <c r="O19" i="34"/>
  <c r="M19" i="42"/>
  <c r="L8" i="50"/>
  <c r="S8" i="50" s="1"/>
  <c r="H39" i="44"/>
  <c r="E44" i="44"/>
  <c r="M75" i="44"/>
  <c r="D66" i="44"/>
  <c r="G81" i="44"/>
  <c r="F80" i="44"/>
  <c r="F43" i="44"/>
  <c r="G40" i="44"/>
  <c r="M38" i="44"/>
  <c r="M55" i="44"/>
  <c r="O21" i="56"/>
  <c r="E70" i="44"/>
  <c r="F12" i="56"/>
  <c r="D76" i="44"/>
  <c r="G70" i="44"/>
  <c r="E48" i="49"/>
  <c r="E64" i="49" s="1"/>
  <c r="D56" i="50"/>
  <c r="G52" i="50"/>
  <c r="G23" i="60" s="1"/>
  <c r="G16" i="58"/>
  <c r="M74" i="44"/>
  <c r="G12" i="58"/>
  <c r="D9" i="57"/>
  <c r="G75" i="44"/>
  <c r="D77" i="48"/>
  <c r="D23" i="58"/>
  <c r="O85" i="44"/>
  <c r="M7" i="57"/>
  <c r="M23" i="62"/>
  <c r="M23" i="57"/>
  <c r="Q23" i="62"/>
  <c r="Q19" i="29"/>
  <c r="L93" i="52"/>
  <c r="P34" i="25"/>
  <c r="N34" i="39"/>
  <c r="M29" i="56"/>
  <c r="M30" i="56" s="1"/>
  <c r="N12" i="57"/>
  <c r="N70" i="44"/>
  <c r="F48" i="50"/>
  <c r="O34" i="36"/>
  <c r="N30" i="29"/>
  <c r="N30" i="41"/>
  <c r="M31" i="59"/>
  <c r="O30" i="32"/>
  <c r="K19" i="28"/>
  <c r="K25" i="59"/>
  <c r="P34" i="39"/>
  <c r="O30" i="35"/>
  <c r="O30" i="36"/>
  <c r="O31" i="50"/>
  <c r="N19" i="26"/>
  <c r="G35" i="49"/>
  <c r="M19" i="26"/>
  <c r="H13" i="58"/>
  <c r="G31" i="58"/>
  <c r="G29" i="58"/>
  <c r="F17" i="59"/>
  <c r="F17" i="55"/>
  <c r="D14" i="58"/>
  <c r="I8" i="57"/>
  <c r="Q17" i="57"/>
  <c r="P30" i="25"/>
  <c r="P30" i="32"/>
  <c r="P30" i="41"/>
  <c r="P31" i="50"/>
  <c r="O29" i="55"/>
  <c r="O30" i="55" s="1"/>
  <c r="N34" i="32"/>
  <c r="N31" i="50"/>
  <c r="M34" i="31"/>
  <c r="H30" i="25"/>
  <c r="L30" i="25"/>
  <c r="H25" i="50"/>
  <c r="E83" i="44"/>
  <c r="J82" i="50"/>
  <c r="J24" i="61"/>
  <c r="G12" i="50"/>
  <c r="N12" i="50"/>
  <c r="P12" i="50"/>
  <c r="E13" i="50"/>
  <c r="G13" i="50"/>
  <c r="I13" i="50"/>
  <c r="N13" i="50"/>
  <c r="G14" i="50"/>
  <c r="I14" i="50"/>
  <c r="N52" i="50"/>
  <c r="N23" i="60" s="1"/>
  <c r="M18" i="44"/>
  <c r="M16" i="44"/>
  <c r="M15" i="44"/>
  <c r="M14" i="44"/>
  <c r="M13" i="44"/>
  <c r="M12" i="44"/>
  <c r="M10" i="44"/>
  <c r="M9" i="44"/>
  <c r="M8" i="44"/>
  <c r="M7" i="44"/>
  <c r="N16" i="44"/>
  <c r="N14" i="44"/>
  <c r="N13" i="44"/>
  <c r="N12" i="44"/>
  <c r="N11" i="44"/>
  <c r="N10" i="44"/>
  <c r="N8" i="44"/>
  <c r="N7" i="44"/>
  <c r="P18" i="44"/>
  <c r="P17" i="44"/>
  <c r="P16" i="44"/>
  <c r="P14" i="44"/>
  <c r="P11" i="44"/>
  <c r="P10" i="44"/>
  <c r="P8" i="44"/>
  <c r="E19" i="50"/>
  <c r="E24" i="50"/>
  <c r="E27" i="50"/>
  <c r="F20" i="50"/>
  <c r="F26" i="50"/>
  <c r="G20" i="50"/>
  <c r="G26" i="50"/>
  <c r="H20" i="50"/>
  <c r="I20" i="50"/>
  <c r="I26" i="50"/>
  <c r="J24" i="50"/>
  <c r="J27" i="50"/>
  <c r="M20" i="50"/>
  <c r="M26" i="50"/>
  <c r="N20" i="50"/>
  <c r="N26" i="50"/>
  <c r="O20" i="50"/>
  <c r="O26" i="50"/>
  <c r="M24" i="44"/>
  <c r="N24" i="44"/>
  <c r="P24" i="44"/>
  <c r="E24" i="44"/>
  <c r="F20" i="44"/>
  <c r="G27" i="44"/>
  <c r="H35" i="47"/>
  <c r="J24" i="44"/>
  <c r="L30" i="41"/>
  <c r="Q30" i="41"/>
  <c r="E30" i="38"/>
  <c r="G30" i="36"/>
  <c r="F30" i="35"/>
  <c r="I30" i="32"/>
  <c r="L19" i="25"/>
  <c r="O19" i="25"/>
  <c r="Q19" i="25"/>
  <c r="L50" i="50"/>
  <c r="D29" i="55"/>
  <c r="E31" i="55"/>
  <c r="E32" i="55"/>
  <c r="E28" i="55"/>
  <c r="E30" i="55" s="1"/>
  <c r="K27" i="55"/>
  <c r="Q9" i="58"/>
  <c r="Q8" i="61"/>
  <c r="F23" i="59"/>
  <c r="F23" i="55"/>
  <c r="O9" i="50"/>
  <c r="E52" i="50"/>
  <c r="D34" i="38"/>
  <c r="D30" i="36"/>
  <c r="D30" i="35"/>
  <c r="D34" i="32"/>
  <c r="D30" i="25"/>
  <c r="Q30" i="42"/>
  <c r="L34" i="41"/>
  <c r="J34" i="40"/>
  <c r="G30" i="38"/>
  <c r="L30" i="38"/>
  <c r="L30" i="36"/>
  <c r="P34" i="36"/>
  <c r="L30" i="29"/>
  <c r="E30" i="28"/>
  <c r="K30" i="25"/>
  <c r="H35" i="46"/>
  <c r="G25" i="55"/>
  <c r="O61" i="50"/>
  <c r="O62" i="50"/>
  <c r="K7" i="61"/>
  <c r="K39" i="50"/>
  <c r="P18" i="56"/>
  <c r="N91" i="44"/>
  <c r="N15" i="56"/>
  <c r="L27" i="57"/>
  <c r="I29" i="59"/>
  <c r="Q32" i="55"/>
  <c r="K29" i="59"/>
  <c r="E86" i="50"/>
  <c r="F31" i="62"/>
  <c r="F32" i="62"/>
  <c r="F91" i="50"/>
  <c r="F28" i="62"/>
  <c r="H49" i="50"/>
  <c r="H17" i="62"/>
  <c r="J9" i="62"/>
  <c r="J7" i="62"/>
  <c r="K29" i="61"/>
  <c r="O91" i="50"/>
  <c r="P84" i="50"/>
  <c r="Q72" i="50"/>
  <c r="Q27" i="61"/>
  <c r="Q8" i="62"/>
  <c r="H79" i="44"/>
  <c r="Q79" i="50"/>
  <c r="S79" i="50" s="1"/>
  <c r="N21" i="61"/>
  <c r="L28" i="56"/>
  <c r="J29" i="55"/>
  <c r="J18" i="55"/>
  <c r="F18" i="58"/>
  <c r="D33" i="56"/>
  <c r="O17" i="57"/>
  <c r="O25" i="57"/>
  <c r="I23" i="58"/>
  <c r="O22" i="59"/>
  <c r="I21" i="58"/>
  <c r="O17" i="55"/>
  <c r="O15" i="55"/>
  <c r="I8" i="59"/>
  <c r="Q32" i="59"/>
  <c r="K28" i="58"/>
  <c r="Q28" i="59"/>
  <c r="K30" i="24"/>
  <c r="D30" i="23"/>
  <c r="H30" i="23"/>
  <c r="L30" i="23"/>
  <c r="F30" i="23"/>
  <c r="D32" i="62"/>
  <c r="D17" i="61"/>
  <c r="E55" i="50"/>
  <c r="E44" i="50"/>
  <c r="H67" i="50"/>
  <c r="J39" i="50"/>
  <c r="J10" i="60" s="1"/>
  <c r="L56" i="50"/>
  <c r="L26" i="61"/>
  <c r="L13" i="61"/>
  <c r="O66" i="50"/>
  <c r="P87" i="50"/>
  <c r="P47" i="50"/>
  <c r="P18" i="60" s="1"/>
  <c r="Q10" i="62"/>
  <c r="K68" i="50"/>
  <c r="L74" i="44"/>
  <c r="L44" i="44"/>
  <c r="L11" i="59"/>
  <c r="J84" i="44"/>
  <c r="J82" i="44"/>
  <c r="H29" i="57"/>
  <c r="H13" i="57"/>
  <c r="H42" i="44"/>
  <c r="H10" i="57"/>
  <c r="H18" i="57"/>
  <c r="G26" i="57"/>
  <c r="G78" i="44"/>
  <c r="G49" i="44"/>
  <c r="G24" i="57"/>
  <c r="G22" i="57"/>
  <c r="G31" i="57"/>
  <c r="G32" i="57"/>
  <c r="G33" i="57"/>
  <c r="G28" i="57"/>
  <c r="G17" i="57"/>
  <c r="G46" i="44"/>
  <c r="G73" i="44"/>
  <c r="G44" i="44"/>
  <c r="G12" i="57"/>
  <c r="G11" i="57"/>
  <c r="G66" i="44"/>
  <c r="G37" i="44"/>
  <c r="G42" i="44"/>
  <c r="G13" i="56"/>
  <c r="G7" i="56"/>
  <c r="G10" i="56"/>
  <c r="G18" i="57"/>
  <c r="F28" i="58"/>
  <c r="E32" i="57"/>
  <c r="E33" i="57"/>
  <c r="E18" i="55"/>
  <c r="I32" i="57"/>
  <c r="I31" i="55"/>
  <c r="O7" i="59"/>
  <c r="I18" i="55"/>
  <c r="O16" i="58"/>
  <c r="J50" i="44"/>
  <c r="P21" i="56"/>
  <c r="Q30" i="24"/>
  <c r="K30" i="23"/>
  <c r="M13" i="55"/>
  <c r="M42" i="44"/>
  <c r="D35" i="47"/>
  <c r="H23" i="58"/>
  <c r="H52" i="44"/>
  <c r="J52" i="44"/>
  <c r="J23" i="55"/>
  <c r="D10" i="50"/>
  <c r="D11" i="50"/>
  <c r="L12" i="50"/>
  <c r="S12" i="50" s="1"/>
  <c r="D18" i="50"/>
  <c r="D23" i="50"/>
  <c r="L23" i="50"/>
  <c r="L52" i="50"/>
  <c r="L23" i="61"/>
  <c r="D11" i="44"/>
  <c r="D9" i="44"/>
  <c r="D19" i="48"/>
  <c r="L12" i="44"/>
  <c r="L10" i="44"/>
  <c r="L8" i="44"/>
  <c r="L19" i="48"/>
  <c r="L24" i="44"/>
  <c r="M19" i="48"/>
  <c r="N19" i="48"/>
  <c r="N35" i="48" s="1"/>
  <c r="P19" i="48"/>
  <c r="P35" i="48" s="1"/>
  <c r="P9" i="44"/>
  <c r="E19" i="25"/>
  <c r="F19" i="25"/>
  <c r="G19" i="25"/>
  <c r="H19" i="25"/>
  <c r="I19" i="25"/>
  <c r="K19" i="25"/>
  <c r="E19" i="26"/>
  <c r="L42" i="44"/>
  <c r="L19" i="31"/>
  <c r="Q55" i="42"/>
  <c r="Q55" i="31"/>
  <c r="Q42" i="44"/>
  <c r="Q55" i="35"/>
  <c r="Q55" i="34"/>
  <c r="L13" i="58"/>
  <c r="L48" i="48"/>
  <c r="L64" i="48" s="1"/>
  <c r="Q77" i="47"/>
  <c r="S77" i="47" s="1"/>
  <c r="Q55" i="24"/>
  <c r="J35" i="46"/>
  <c r="J25" i="63"/>
  <c r="K71" i="32"/>
  <c r="P13" i="44"/>
  <c r="F49" i="50"/>
  <c r="F20" i="62"/>
  <c r="L55" i="50"/>
  <c r="L53" i="50"/>
  <c r="L24" i="62"/>
  <c r="L47" i="50"/>
  <c r="L41" i="50"/>
  <c r="L12" i="61"/>
  <c r="L7" i="61"/>
  <c r="L65" i="50"/>
  <c r="M31" i="61"/>
  <c r="M89" i="50"/>
  <c r="M46" i="50"/>
  <c r="M17" i="60" s="1"/>
  <c r="M17" i="62"/>
  <c r="M16" i="62"/>
  <c r="M45" i="50"/>
  <c r="M16" i="60" s="1"/>
  <c r="M44" i="50"/>
  <c r="M15" i="62"/>
  <c r="M43" i="50"/>
  <c r="M14" i="60" s="1"/>
  <c r="M14" i="62"/>
  <c r="M7" i="62"/>
  <c r="M36" i="50"/>
  <c r="M7" i="60" s="1"/>
  <c r="N33" i="62"/>
  <c r="N91" i="50"/>
  <c r="N18" i="62"/>
  <c r="N76" i="50"/>
  <c r="N18" i="60" s="1"/>
  <c r="N73" i="50"/>
  <c r="N15" i="60" s="1"/>
  <c r="N15" i="62"/>
  <c r="N71" i="50"/>
  <c r="N13" i="62"/>
  <c r="N10" i="61"/>
  <c r="N68" i="50"/>
  <c r="N9" i="61"/>
  <c r="N67" i="50"/>
  <c r="P37" i="50"/>
  <c r="P8" i="61"/>
  <c r="Q29" i="61"/>
  <c r="Q58" i="50"/>
  <c r="Q77" i="51"/>
  <c r="Q93" i="51" s="1"/>
  <c r="Q7" i="61"/>
  <c r="Q65" i="50"/>
  <c r="K18" i="61"/>
  <c r="K22" i="61"/>
  <c r="K82" i="50"/>
  <c r="K27" i="61"/>
  <c r="H21" i="61"/>
  <c r="H79" i="50"/>
  <c r="H21" i="60" s="1"/>
  <c r="L24" i="57"/>
  <c r="L17" i="57"/>
  <c r="L12" i="59"/>
  <c r="L12" i="55"/>
  <c r="L69" i="44"/>
  <c r="L11" i="55"/>
  <c r="L40" i="44"/>
  <c r="L13" i="57"/>
  <c r="L65" i="44"/>
  <c r="L10" i="59"/>
  <c r="L68" i="44"/>
  <c r="L18" i="55"/>
  <c r="L47" i="44"/>
  <c r="H7" i="57"/>
  <c r="H65" i="44"/>
  <c r="I74" i="44"/>
  <c r="I16" i="55"/>
  <c r="I7" i="58"/>
  <c r="I77" i="48"/>
  <c r="K66" i="44"/>
  <c r="Q8" i="58"/>
  <c r="D21" i="26"/>
  <c r="L21" i="26"/>
  <c r="L24" i="26"/>
  <c r="D26" i="26"/>
  <c r="L26" i="26"/>
  <c r="J77" i="46"/>
  <c r="N77" i="46"/>
  <c r="N93" i="46" s="1"/>
  <c r="N19" i="25"/>
  <c r="Q70" i="38"/>
  <c r="D75" i="50"/>
  <c r="Q48" i="45"/>
  <c r="S48" i="45" s="1"/>
  <c r="D35" i="46"/>
  <c r="Q77" i="48"/>
  <c r="E71" i="27"/>
  <c r="N71" i="32"/>
  <c r="L48" i="50"/>
  <c r="O35" i="47"/>
  <c r="J19" i="50"/>
  <c r="Q19" i="26"/>
  <c r="K42" i="44"/>
  <c r="K19" i="31"/>
  <c r="Q19" i="27"/>
  <c r="E30" i="59"/>
  <c r="Q55" i="40"/>
  <c r="J71" i="29"/>
  <c r="M71" i="23"/>
  <c r="I83" i="50"/>
  <c r="I25" i="62"/>
  <c r="Q54" i="50"/>
  <c r="Q25" i="61"/>
  <c r="P35" i="46"/>
  <c r="D25" i="57"/>
  <c r="I82" i="50"/>
  <c r="O16" i="57"/>
  <c r="I8" i="55"/>
  <c r="D64" i="45"/>
  <c r="D35" i="52"/>
  <c r="G71" i="40"/>
  <c r="K13" i="60"/>
  <c r="M64" i="51"/>
  <c r="N25" i="63"/>
  <c r="J16" i="63"/>
  <c r="N71" i="36"/>
  <c r="O71" i="36"/>
  <c r="P58" i="44"/>
  <c r="P34" i="50"/>
  <c r="P64" i="52"/>
  <c r="N30" i="36"/>
  <c r="M30" i="31"/>
  <c r="M31" i="50"/>
  <c r="F93" i="52"/>
  <c r="P28" i="62"/>
  <c r="Q77" i="45"/>
  <c r="S77" i="45" s="1"/>
  <c r="N28" i="55"/>
  <c r="N18" i="55"/>
  <c r="M28" i="59"/>
  <c r="O30" i="30"/>
  <c r="N29" i="44"/>
  <c r="Q36" i="50"/>
  <c r="Q7" i="62"/>
  <c r="F28" i="44"/>
  <c r="D30" i="40"/>
  <c r="F30" i="41"/>
  <c r="J30" i="41"/>
  <c r="G30" i="40"/>
  <c r="K30" i="40"/>
  <c r="K30" i="38"/>
  <c r="E30" i="36"/>
  <c r="I30" i="36"/>
  <c r="Q30" i="36"/>
  <c r="J34" i="33"/>
  <c r="E30" i="29"/>
  <c r="I30" i="29"/>
  <c r="F34" i="27"/>
  <c r="F30" i="25"/>
  <c r="J30" i="25"/>
  <c r="Q34" i="25"/>
  <c r="E18" i="63"/>
  <c r="D29" i="61"/>
  <c r="E89" i="50"/>
  <c r="E87" i="50"/>
  <c r="H89" i="50"/>
  <c r="H91" i="50"/>
  <c r="H87" i="50"/>
  <c r="M29" i="61"/>
  <c r="O87" i="50"/>
  <c r="Q35" i="52"/>
  <c r="P29" i="59"/>
  <c r="P30" i="59" s="1"/>
  <c r="P29" i="55"/>
  <c r="Q28" i="56"/>
  <c r="Q30" i="56" s="1"/>
  <c r="M34" i="23"/>
  <c r="P35" i="52"/>
  <c r="P30" i="31"/>
  <c r="O30" i="28"/>
  <c r="O30" i="31"/>
  <c r="O30" i="38"/>
  <c r="N30" i="33"/>
  <c r="N30" i="32"/>
  <c r="N64" i="45"/>
  <c r="O93" i="46"/>
  <c r="M34" i="39"/>
  <c r="K92" i="44"/>
  <c r="D34" i="41"/>
  <c r="D34" i="25"/>
  <c r="Q30" i="40"/>
  <c r="G34" i="39"/>
  <c r="H30" i="39"/>
  <c r="F30" i="36"/>
  <c r="F30" i="29"/>
  <c r="D16" i="62"/>
  <c r="D29" i="62"/>
  <c r="E60" i="50"/>
  <c r="E29" i="62"/>
  <c r="F28" i="61"/>
  <c r="F29" i="61"/>
  <c r="G60" i="50"/>
  <c r="G58" i="50"/>
  <c r="H62" i="50"/>
  <c r="H58" i="50"/>
  <c r="I62" i="50"/>
  <c r="J31" i="62"/>
  <c r="J32" i="62"/>
  <c r="J28" i="62"/>
  <c r="K58" i="50"/>
  <c r="L60" i="50"/>
  <c r="O90" i="50"/>
  <c r="P89" i="50"/>
  <c r="P29" i="62"/>
  <c r="E93" i="46"/>
  <c r="Q16" i="63"/>
  <c r="Q49" i="50"/>
  <c r="Q53" i="50"/>
  <c r="M50" i="50"/>
  <c r="P62" i="44"/>
  <c r="P29" i="58"/>
  <c r="P30" i="58" s="1"/>
  <c r="L33" i="55"/>
  <c r="H32" i="59"/>
  <c r="H33" i="59"/>
  <c r="G18" i="59"/>
  <c r="I33" i="56"/>
  <c r="O34" i="31"/>
  <c r="Q15" i="58"/>
  <c r="Q14" i="44"/>
  <c r="G34" i="24"/>
  <c r="F33" i="50"/>
  <c r="J64" i="49"/>
  <c r="G34" i="38"/>
  <c r="H30" i="36"/>
  <c r="G30" i="35"/>
  <c r="H34" i="35"/>
  <c r="G30" i="33"/>
  <c r="K30" i="33"/>
  <c r="F30" i="32"/>
  <c r="G34" i="32"/>
  <c r="H34" i="28"/>
  <c r="E30" i="25"/>
  <c r="I17" i="63"/>
  <c r="D28" i="62"/>
  <c r="F57" i="50"/>
  <c r="G32" i="62"/>
  <c r="G91" i="50"/>
  <c r="G28" i="62"/>
  <c r="G30" i="62" s="1"/>
  <c r="I31" i="62"/>
  <c r="I32" i="62"/>
  <c r="I28" i="62"/>
  <c r="I30" i="62" s="1"/>
  <c r="J28" i="61"/>
  <c r="J29" i="61"/>
  <c r="K28" i="62"/>
  <c r="K87" i="50"/>
  <c r="L31" i="62"/>
  <c r="L32" i="62"/>
  <c r="L86" i="50"/>
  <c r="L87" i="50"/>
  <c r="M28" i="61"/>
  <c r="O32" i="61"/>
  <c r="P31" i="61"/>
  <c r="P79" i="50"/>
  <c r="P28" i="56"/>
  <c r="P30" i="56" s="1"/>
  <c r="P29" i="57"/>
  <c r="L32" i="58"/>
  <c r="L33" i="58"/>
  <c r="J31" i="56"/>
  <c r="J29" i="57"/>
  <c r="O28" i="56"/>
  <c r="O30" i="56" s="1"/>
  <c r="Q21" i="57"/>
  <c r="K15" i="59"/>
  <c r="Q12" i="56"/>
  <c r="Q8" i="59"/>
  <c r="P22" i="59"/>
  <c r="Q31" i="62"/>
  <c r="Q32" i="62"/>
  <c r="Q33" i="62"/>
  <c r="Q28" i="62"/>
  <c r="P32" i="59"/>
  <c r="N32" i="56"/>
  <c r="N33" i="56"/>
  <c r="J89" i="44"/>
  <c r="H31" i="57"/>
  <c r="H32" i="57"/>
  <c r="G33" i="59"/>
  <c r="F31" i="59"/>
  <c r="F32" i="58"/>
  <c r="F33" i="59"/>
  <c r="F33" i="58"/>
  <c r="D34" i="30"/>
  <c r="D91" i="44"/>
  <c r="D33" i="58"/>
  <c r="E28" i="57"/>
  <c r="E29" i="57"/>
  <c r="O33" i="55"/>
  <c r="O31" i="59"/>
  <c r="O31" i="55"/>
  <c r="O29" i="57"/>
  <c r="I28" i="58"/>
  <c r="I30" i="58" s="1"/>
  <c r="I29" i="44"/>
  <c r="Q33" i="59"/>
  <c r="E30" i="23"/>
  <c r="P71" i="30"/>
  <c r="H15" i="63"/>
  <c r="J71" i="33"/>
  <c r="N31" i="56"/>
  <c r="N33" i="59"/>
  <c r="M32" i="59"/>
  <c r="M33" i="59"/>
  <c r="L33" i="59"/>
  <c r="L33" i="56"/>
  <c r="F57" i="44"/>
  <c r="F29" i="58"/>
  <c r="D30" i="31"/>
  <c r="I29" i="56"/>
  <c r="I33" i="44"/>
  <c r="Q90" i="44"/>
  <c r="Q29" i="55"/>
  <c r="Q33" i="58"/>
  <c r="Q31" i="58"/>
  <c r="Q30" i="30"/>
  <c r="L35" i="45"/>
  <c r="L34" i="24"/>
  <c r="J30" i="24"/>
  <c r="F30" i="24"/>
  <c r="J30" i="23"/>
  <c r="O66" i="28"/>
  <c r="K93" i="47"/>
  <c r="J66" i="31"/>
  <c r="N66" i="31"/>
  <c r="F66" i="34"/>
  <c r="D71" i="40"/>
  <c r="L31" i="44"/>
  <c r="L70" i="26"/>
  <c r="P13" i="63"/>
  <c r="F35" i="47"/>
  <c r="N35" i="47"/>
  <c r="M55" i="24"/>
  <c r="I70" i="23"/>
  <c r="E70" i="41"/>
  <c r="I70" i="41"/>
  <c r="M24" i="63"/>
  <c r="G34" i="50"/>
  <c r="D70" i="41"/>
  <c r="J70" i="40"/>
  <c r="N70" i="40"/>
  <c r="F70" i="38"/>
  <c r="J70" i="38"/>
  <c r="N70" i="38"/>
  <c r="F70" i="36"/>
  <c r="D70" i="35"/>
  <c r="F70" i="32"/>
  <c r="N70" i="32"/>
  <c r="H70" i="31"/>
  <c r="G70" i="28"/>
  <c r="O70" i="28"/>
  <c r="I27" i="63"/>
  <c r="H92" i="50"/>
  <c r="L34" i="37"/>
  <c r="J17" i="63"/>
  <c r="N17" i="63"/>
  <c r="P93" i="45"/>
  <c r="F31" i="26"/>
  <c r="H32" i="26"/>
  <c r="P32" i="26"/>
  <c r="N33" i="26"/>
  <c r="O70" i="41"/>
  <c r="E70" i="40"/>
  <c r="I35" i="52"/>
  <c r="M71" i="36"/>
  <c r="K17" i="63"/>
  <c r="O71" i="33"/>
  <c r="O15" i="63"/>
  <c r="E70" i="30"/>
  <c r="M70" i="30"/>
  <c r="K71" i="29"/>
  <c r="I35" i="46"/>
  <c r="F70" i="23"/>
  <c r="N70" i="41"/>
  <c r="D70" i="40"/>
  <c r="H70" i="38"/>
  <c r="J70" i="37"/>
  <c r="P70" i="36"/>
  <c r="M70" i="25"/>
  <c r="J34" i="34"/>
  <c r="N34" i="34"/>
  <c r="J14" i="63"/>
  <c r="I11" i="63"/>
  <c r="D31" i="26"/>
  <c r="H31" i="26"/>
  <c r="F32" i="26"/>
  <c r="J32" i="26"/>
  <c r="N32" i="26"/>
  <c r="D69" i="26"/>
  <c r="H33" i="26"/>
  <c r="E70" i="39"/>
  <c r="I70" i="39"/>
  <c r="M70" i="39"/>
  <c r="O71" i="34"/>
  <c r="E71" i="33"/>
  <c r="I70" i="33"/>
  <c r="M70" i="33"/>
  <c r="D70" i="28"/>
  <c r="L70" i="28"/>
  <c r="P70" i="28"/>
  <c r="F71" i="27"/>
  <c r="J70" i="27"/>
  <c r="N70" i="27"/>
  <c r="P70" i="25"/>
  <c r="P7" i="63"/>
  <c r="G19" i="63"/>
  <c r="O93" i="51"/>
  <c r="G93" i="46"/>
  <c r="F9" i="63"/>
  <c r="F70" i="30"/>
  <c r="I66" i="30"/>
  <c r="K66" i="31"/>
  <c r="M66" i="32"/>
  <c r="E66" i="33"/>
  <c r="Q66" i="33"/>
  <c r="O66" i="33"/>
  <c r="G30" i="34"/>
  <c r="O30" i="34"/>
  <c r="Q66" i="35"/>
  <c r="K66" i="35"/>
  <c r="O66" i="35"/>
  <c r="M66" i="37"/>
  <c r="O64" i="26"/>
  <c r="E65" i="26"/>
  <c r="I65" i="26"/>
  <c r="M67" i="26"/>
  <c r="Q67" i="26"/>
  <c r="O68" i="26"/>
  <c r="M69" i="26"/>
  <c r="Q69" i="26"/>
  <c r="E28" i="26"/>
  <c r="M28" i="26"/>
  <c r="Q28" i="26"/>
  <c r="G29" i="26"/>
  <c r="O29" i="26"/>
  <c r="O30" i="26" s="1"/>
  <c r="E31" i="26"/>
  <c r="M31" i="26"/>
  <c r="O32" i="26"/>
  <c r="M70" i="40"/>
  <c r="G70" i="37"/>
  <c r="K70" i="35"/>
  <c r="E71" i="34"/>
  <c r="O70" i="33"/>
  <c r="I70" i="32"/>
  <c r="F70" i="28"/>
  <c r="N70" i="28"/>
  <c r="D70" i="27"/>
  <c r="H70" i="27"/>
  <c r="O34" i="34"/>
  <c r="M93" i="46"/>
  <c r="Q71" i="29"/>
  <c r="E71" i="38"/>
  <c r="I71" i="40"/>
  <c r="I66" i="42"/>
  <c r="E64" i="26"/>
  <c r="I64" i="26"/>
  <c r="M64" i="26"/>
  <c r="G65" i="26"/>
  <c r="K65" i="26"/>
  <c r="G67" i="26"/>
  <c r="O67" i="26"/>
  <c r="I68" i="26"/>
  <c r="K69" i="26"/>
  <c r="I29" i="26"/>
  <c r="I30" i="26" s="1"/>
  <c r="O31" i="26"/>
  <c r="P71" i="38"/>
  <c r="O71" i="38"/>
  <c r="I64" i="47"/>
  <c r="P55" i="26"/>
  <c r="M55" i="26"/>
  <c r="O55" i="26"/>
  <c r="I55" i="26"/>
  <c r="E55" i="26"/>
  <c r="P64" i="45"/>
  <c r="I64" i="45"/>
  <c r="F55" i="26"/>
  <c r="G55" i="26"/>
  <c r="H55" i="26"/>
  <c r="J55" i="26"/>
  <c r="K55" i="26"/>
  <c r="L55" i="26"/>
  <c r="N55" i="26"/>
  <c r="D55" i="26"/>
  <c r="D35" i="45"/>
  <c r="O14" i="60"/>
  <c r="Q55" i="26"/>
  <c r="J35" i="51"/>
  <c r="Q19" i="63"/>
  <c r="L18" i="63"/>
  <c r="M71" i="34"/>
  <c r="M66" i="42"/>
  <c r="L71" i="42"/>
  <c r="L67" i="26"/>
  <c r="O30" i="33"/>
  <c r="L30" i="33"/>
  <c r="M30" i="33"/>
  <c r="P30" i="33"/>
  <c r="K71" i="28"/>
  <c r="K70" i="28"/>
  <c r="Q31" i="57"/>
  <c r="O63" i="47"/>
  <c r="O64" i="47" s="1"/>
  <c r="N34" i="27"/>
  <c r="J11" i="63"/>
  <c r="Q11" i="63"/>
  <c r="M30" i="42"/>
  <c r="D34" i="42"/>
  <c r="P34" i="41"/>
  <c r="E30" i="41"/>
  <c r="I30" i="41"/>
  <c r="D30" i="41"/>
  <c r="K30" i="41"/>
  <c r="F71" i="41"/>
  <c r="P66" i="41"/>
  <c r="P34" i="40"/>
  <c r="G34" i="40"/>
  <c r="K34" i="40"/>
  <c r="N34" i="40"/>
  <c r="Q34" i="40"/>
  <c r="E66" i="40"/>
  <c r="J71" i="40"/>
  <c r="P30" i="40"/>
  <c r="M30" i="40"/>
  <c r="F30" i="40"/>
  <c r="O34" i="39"/>
  <c r="F71" i="39"/>
  <c r="F66" i="39"/>
  <c r="N66" i="39"/>
  <c r="N34" i="38"/>
  <c r="I34" i="38"/>
  <c r="L23" i="63"/>
  <c r="F30" i="38"/>
  <c r="P30" i="38"/>
  <c r="G70" i="38"/>
  <c r="J66" i="38"/>
  <c r="Q30" i="38"/>
  <c r="P71" i="37"/>
  <c r="O30" i="37"/>
  <c r="L66" i="37"/>
  <c r="L30" i="37"/>
  <c r="G66" i="37"/>
  <c r="N34" i="37"/>
  <c r="P34" i="37"/>
  <c r="K34" i="37"/>
  <c r="H34" i="37"/>
  <c r="P92" i="50"/>
  <c r="Q30" i="37"/>
  <c r="F88" i="50"/>
  <c r="D90" i="50"/>
  <c r="R90" i="50" s="1"/>
  <c r="J90" i="50"/>
  <c r="F89" i="50"/>
  <c r="M32" i="62"/>
  <c r="F20" i="63"/>
  <c r="J93" i="52"/>
  <c r="N93" i="52"/>
  <c r="D31" i="62"/>
  <c r="P93" i="52"/>
  <c r="D89" i="50"/>
  <c r="R89" i="50" s="1"/>
  <c r="E20" i="63"/>
  <c r="N34" i="36"/>
  <c r="M90" i="50"/>
  <c r="N89" i="50"/>
  <c r="D92" i="50"/>
  <c r="N28" i="62"/>
  <c r="H86" i="50"/>
  <c r="I88" i="50"/>
  <c r="F86" i="50"/>
  <c r="J20" i="63"/>
  <c r="E28" i="62"/>
  <c r="H28" i="62"/>
  <c r="Q86" i="50"/>
  <c r="K30" i="36"/>
  <c r="O19" i="63"/>
  <c r="L92" i="50"/>
  <c r="E34" i="35"/>
  <c r="H93" i="51"/>
  <c r="Q92" i="50"/>
  <c r="I92" i="50"/>
  <c r="E92" i="50"/>
  <c r="P93" i="51"/>
  <c r="G89" i="50"/>
  <c r="M88" i="50"/>
  <c r="M93" i="51"/>
  <c r="H28" i="61"/>
  <c r="E29" i="61"/>
  <c r="E30" i="61" s="1"/>
  <c r="O88" i="50"/>
  <c r="H29" i="61"/>
  <c r="N30" i="35"/>
  <c r="K30" i="35"/>
  <c r="J87" i="50"/>
  <c r="M86" i="50"/>
  <c r="O86" i="50"/>
  <c r="I93" i="51"/>
  <c r="P29" i="61"/>
  <c r="O29" i="61"/>
  <c r="J30" i="35"/>
  <c r="G18" i="63"/>
  <c r="F34" i="34"/>
  <c r="Q34" i="34"/>
  <c r="I18" i="63"/>
  <c r="O18" i="63"/>
  <c r="M34" i="34"/>
  <c r="E70" i="34"/>
  <c r="E34" i="34"/>
  <c r="O70" i="34"/>
  <c r="I70" i="34"/>
  <c r="P34" i="34"/>
  <c r="L71" i="34"/>
  <c r="Q31" i="59"/>
  <c r="N31" i="59"/>
  <c r="Q34" i="32"/>
  <c r="Q92" i="49"/>
  <c r="Q92" i="44" s="1"/>
  <c r="I92" i="49"/>
  <c r="J31" i="59"/>
  <c r="J32" i="59"/>
  <c r="F32" i="59"/>
  <c r="F16" i="63"/>
  <c r="G16" i="63"/>
  <c r="K28" i="59"/>
  <c r="Q71" i="31"/>
  <c r="N30" i="31"/>
  <c r="I30" i="31"/>
  <c r="K32" i="58"/>
  <c r="L34" i="29"/>
  <c r="D90" i="44"/>
  <c r="F34" i="29"/>
  <c r="G32" i="58"/>
  <c r="G33" i="58"/>
  <c r="O32" i="58"/>
  <c r="H13" i="63"/>
  <c r="L13" i="63"/>
  <c r="D28" i="58"/>
  <c r="P30" i="29"/>
  <c r="M28" i="58"/>
  <c r="D30" i="29"/>
  <c r="G30" i="29"/>
  <c r="G87" i="44"/>
  <c r="J30" i="29"/>
  <c r="L88" i="48"/>
  <c r="M71" i="29"/>
  <c r="E70" i="29"/>
  <c r="Q70" i="29"/>
  <c r="N34" i="29"/>
  <c r="I70" i="29"/>
  <c r="H31" i="58"/>
  <c r="H34" i="58" s="1"/>
  <c r="E33" i="58"/>
  <c r="I33" i="58"/>
  <c r="D34" i="29"/>
  <c r="O31" i="58"/>
  <c r="G70" i="29"/>
  <c r="Q33" i="57"/>
  <c r="J93" i="47"/>
  <c r="J12" i="63"/>
  <c r="N31" i="57"/>
  <c r="I31" i="57"/>
  <c r="M12" i="63"/>
  <c r="N93" i="47"/>
  <c r="P32" i="57"/>
  <c r="P91" i="44"/>
  <c r="P33" i="57"/>
  <c r="N89" i="44"/>
  <c r="O32" i="57"/>
  <c r="P30" i="28"/>
  <c r="K28" i="57"/>
  <c r="H87" i="44"/>
  <c r="Q93" i="46"/>
  <c r="O92" i="44"/>
  <c r="L93" i="46"/>
  <c r="E34" i="25"/>
  <c r="I34" i="25"/>
  <c r="I93" i="46"/>
  <c r="P93" i="46"/>
  <c r="K93" i="46"/>
  <c r="H31" i="56"/>
  <c r="H32" i="56"/>
  <c r="H33" i="56"/>
  <c r="D32" i="56"/>
  <c r="E33" i="56"/>
  <c r="Q33" i="56"/>
  <c r="Q31" i="56"/>
  <c r="P31" i="56"/>
  <c r="H93" i="46"/>
  <c r="H89" i="44"/>
  <c r="H90" i="44"/>
  <c r="O33" i="56"/>
  <c r="Q91" i="44"/>
  <c r="Q89" i="44"/>
  <c r="K33" i="56"/>
  <c r="K32" i="56"/>
  <c r="E9" i="63"/>
  <c r="L9" i="63"/>
  <c r="D28" i="56"/>
  <c r="Q87" i="44"/>
  <c r="O30" i="25"/>
  <c r="D88" i="46"/>
  <c r="R88" i="46" s="1"/>
  <c r="I30" i="25"/>
  <c r="F88" i="46"/>
  <c r="F93" i="46" s="1"/>
  <c r="J88" i="46"/>
  <c r="M87" i="44"/>
  <c r="O86" i="44"/>
  <c r="G28" i="26"/>
  <c r="E29" i="26"/>
  <c r="M29" i="26"/>
  <c r="Q29" i="26"/>
  <c r="P9" i="63"/>
  <c r="H9" i="63"/>
  <c r="K30" i="56"/>
  <c r="M30" i="25"/>
  <c r="L29" i="56"/>
  <c r="I28" i="56"/>
  <c r="P89" i="44"/>
  <c r="M89" i="44"/>
  <c r="L89" i="44"/>
  <c r="D92" i="45"/>
  <c r="R92" i="45" s="1"/>
  <c r="E90" i="44"/>
  <c r="O90" i="44"/>
  <c r="I89" i="44"/>
  <c r="Q31" i="55"/>
  <c r="L93" i="45"/>
  <c r="L31" i="55"/>
  <c r="K89" i="44"/>
  <c r="H28" i="55"/>
  <c r="M93" i="45"/>
  <c r="I88" i="45"/>
  <c r="I93" i="45" s="1"/>
  <c r="I30" i="24"/>
  <c r="E30" i="24"/>
  <c r="H30" i="24"/>
  <c r="D30" i="24"/>
  <c r="F28" i="26"/>
  <c r="F30" i="26" s="1"/>
  <c r="J28" i="26"/>
  <c r="J30" i="26" s="1"/>
  <c r="N28" i="26"/>
  <c r="E86" i="44"/>
  <c r="L87" i="44"/>
  <c r="F28" i="55"/>
  <c r="G88" i="45"/>
  <c r="G93" i="45" s="1"/>
  <c r="K34" i="23"/>
  <c r="F34" i="23"/>
  <c r="J34" i="23"/>
  <c r="G34" i="23"/>
  <c r="O30" i="23"/>
  <c r="G30" i="23"/>
  <c r="P64" i="51"/>
  <c r="O58" i="50"/>
  <c r="Q30" i="35"/>
  <c r="I13" i="63"/>
  <c r="K31" i="58"/>
  <c r="D89" i="44"/>
  <c r="D31" i="58"/>
  <c r="Q13" i="63"/>
  <c r="M13" i="63"/>
  <c r="I88" i="48"/>
  <c r="P86" i="44"/>
  <c r="E88" i="44"/>
  <c r="Q28" i="58"/>
  <c r="H30" i="29"/>
  <c r="Q30" i="29"/>
  <c r="J87" i="44"/>
  <c r="G29" i="57"/>
  <c r="N30" i="28"/>
  <c r="F11" i="63"/>
  <c r="M34" i="42"/>
  <c r="E34" i="42"/>
  <c r="G34" i="42"/>
  <c r="I34" i="42"/>
  <c r="K34" i="42"/>
  <c r="Q34" i="42"/>
  <c r="N34" i="42"/>
  <c r="F34" i="42"/>
  <c r="J34" i="42"/>
  <c r="L34" i="42"/>
  <c r="Q27" i="63"/>
  <c r="P30" i="42"/>
  <c r="O30" i="42"/>
  <c r="J30" i="42"/>
  <c r="I30" i="42"/>
  <c r="N30" i="42"/>
  <c r="D30" i="42"/>
  <c r="G30" i="42"/>
  <c r="H30" i="42"/>
  <c r="K30" i="42"/>
  <c r="L30" i="42"/>
  <c r="F27" i="63"/>
  <c r="E30" i="42"/>
  <c r="F30" i="42"/>
  <c r="J70" i="42"/>
  <c r="Q71" i="42"/>
  <c r="I71" i="42"/>
  <c r="Q66" i="42"/>
  <c r="P71" i="42"/>
  <c r="E66" i="42"/>
  <c r="D71" i="42"/>
  <c r="D27" i="63"/>
  <c r="H27" i="63"/>
  <c r="H71" i="42"/>
  <c r="F71" i="42"/>
  <c r="P27" i="63"/>
  <c r="K70" i="42"/>
  <c r="K66" i="42"/>
  <c r="P26" i="63"/>
  <c r="E34" i="41"/>
  <c r="I34" i="41"/>
  <c r="K34" i="41"/>
  <c r="M34" i="41"/>
  <c r="F34" i="41"/>
  <c r="G34" i="41"/>
  <c r="H34" i="41"/>
  <c r="J34" i="41"/>
  <c r="Q34" i="41"/>
  <c r="O26" i="63"/>
  <c r="O30" i="41"/>
  <c r="G30" i="41"/>
  <c r="H30" i="41"/>
  <c r="G71" i="41"/>
  <c r="G66" i="41"/>
  <c r="P71" i="41"/>
  <c r="G26" i="63"/>
  <c r="K70" i="41"/>
  <c r="J71" i="41"/>
  <c r="E71" i="41"/>
  <c r="M71" i="41"/>
  <c r="M26" i="63"/>
  <c r="F26" i="63"/>
  <c r="L26" i="63"/>
  <c r="I26" i="63"/>
  <c r="J66" i="41"/>
  <c r="M66" i="41"/>
  <c r="E34" i="40"/>
  <c r="I34" i="40"/>
  <c r="F34" i="40"/>
  <c r="M34" i="40"/>
  <c r="O34" i="40"/>
  <c r="D34" i="40"/>
  <c r="L34" i="40"/>
  <c r="O30" i="40"/>
  <c r="N30" i="40"/>
  <c r="H30" i="40"/>
  <c r="I30" i="40"/>
  <c r="L30" i="40"/>
  <c r="H70" i="40"/>
  <c r="F71" i="40"/>
  <c r="N71" i="40"/>
  <c r="E71" i="40"/>
  <c r="L71" i="40"/>
  <c r="I66" i="40"/>
  <c r="M66" i="40"/>
  <c r="H71" i="40"/>
  <c r="H25" i="63"/>
  <c r="O71" i="40"/>
  <c r="P71" i="40"/>
  <c r="P25" i="63"/>
  <c r="E25" i="63"/>
  <c r="K70" i="40"/>
  <c r="P70" i="40"/>
  <c r="G25" i="63"/>
  <c r="K71" i="40"/>
  <c r="O30" i="39"/>
  <c r="N30" i="39"/>
  <c r="Q30" i="39"/>
  <c r="J30" i="39"/>
  <c r="H34" i="39"/>
  <c r="K34" i="39"/>
  <c r="Q34" i="39"/>
  <c r="H71" i="39"/>
  <c r="F34" i="39"/>
  <c r="J34" i="39"/>
  <c r="L34" i="39"/>
  <c r="G70" i="39"/>
  <c r="L66" i="39"/>
  <c r="N71" i="39"/>
  <c r="D30" i="39"/>
  <c r="E30" i="39"/>
  <c r="I30" i="39"/>
  <c r="O71" i="39"/>
  <c r="G71" i="39"/>
  <c r="M30" i="39"/>
  <c r="G30" i="39"/>
  <c r="K30" i="39"/>
  <c r="L30" i="39"/>
  <c r="F70" i="39"/>
  <c r="J71" i="39"/>
  <c r="I71" i="39"/>
  <c r="K71" i="39"/>
  <c r="J66" i="39"/>
  <c r="D24" i="63"/>
  <c r="H24" i="63"/>
  <c r="G24" i="63"/>
  <c r="Q71" i="39"/>
  <c r="O24" i="63"/>
  <c r="F30" i="39"/>
  <c r="P30" i="39"/>
  <c r="D34" i="39"/>
  <c r="E34" i="39"/>
  <c r="I34" i="39"/>
  <c r="K24" i="63"/>
  <c r="L24" i="63"/>
  <c r="E34" i="38"/>
  <c r="H34" i="38"/>
  <c r="L34" i="38"/>
  <c r="E23" i="63"/>
  <c r="P34" i="38"/>
  <c r="F34" i="38"/>
  <c r="J34" i="38"/>
  <c r="K34" i="38"/>
  <c r="Q34" i="38"/>
  <c r="O23" i="63"/>
  <c r="F23" i="63"/>
  <c r="M30" i="38"/>
  <c r="D30" i="38"/>
  <c r="J30" i="38"/>
  <c r="P23" i="63"/>
  <c r="D70" i="38"/>
  <c r="L70" i="38"/>
  <c r="P70" i="38"/>
  <c r="F71" i="38"/>
  <c r="I71" i="38"/>
  <c r="E66" i="38"/>
  <c r="I66" i="38"/>
  <c r="J71" i="38"/>
  <c r="K23" i="63"/>
  <c r="H71" i="38"/>
  <c r="H23" i="63"/>
  <c r="G23" i="63"/>
  <c r="M71" i="38"/>
  <c r="L71" i="38"/>
  <c r="M66" i="38"/>
  <c r="K71" i="38"/>
  <c r="G34" i="37"/>
  <c r="O34" i="37"/>
  <c r="O92" i="50"/>
  <c r="Q88" i="50"/>
  <c r="J30" i="37"/>
  <c r="N30" i="37"/>
  <c r="N70" i="37"/>
  <c r="F70" i="37"/>
  <c r="J71" i="37"/>
  <c r="O70" i="37"/>
  <c r="J63" i="50"/>
  <c r="F34" i="37"/>
  <c r="N63" i="50"/>
  <c r="G71" i="37"/>
  <c r="O71" i="37"/>
  <c r="L71" i="37"/>
  <c r="N71" i="37"/>
  <c r="D71" i="37"/>
  <c r="G59" i="50"/>
  <c r="E71" i="37"/>
  <c r="I71" i="37"/>
  <c r="Q70" i="37"/>
  <c r="M71" i="37"/>
  <c r="Q66" i="37"/>
  <c r="Q71" i="37"/>
  <c r="I30" i="50"/>
  <c r="E66" i="37"/>
  <c r="I66" i="37"/>
  <c r="J30" i="50"/>
  <c r="N30" i="50"/>
  <c r="K93" i="52"/>
  <c r="O20" i="63"/>
  <c r="F33" i="62"/>
  <c r="G31" i="62"/>
  <c r="G34" i="62" s="1"/>
  <c r="M92" i="52"/>
  <c r="M31" i="62"/>
  <c r="H34" i="36"/>
  <c r="K34" i="36"/>
  <c r="M34" i="36"/>
  <c r="I93" i="52"/>
  <c r="E33" i="62"/>
  <c r="H32" i="62"/>
  <c r="K33" i="62"/>
  <c r="N32" i="62"/>
  <c r="P32" i="62"/>
  <c r="Q89" i="50"/>
  <c r="Q90" i="50"/>
  <c r="Q91" i="50"/>
  <c r="J92" i="50"/>
  <c r="N92" i="50"/>
  <c r="H93" i="52"/>
  <c r="P20" i="63"/>
  <c r="G92" i="50"/>
  <c r="D34" i="36"/>
  <c r="E34" i="36"/>
  <c r="F34" i="36"/>
  <c r="J34" i="36"/>
  <c r="Q34" i="36"/>
  <c r="E93" i="52"/>
  <c r="G90" i="50"/>
  <c r="I89" i="50"/>
  <c r="I91" i="50"/>
  <c r="L91" i="50"/>
  <c r="H88" i="50"/>
  <c r="Q93" i="52"/>
  <c r="J86" i="50"/>
  <c r="L20" i="63"/>
  <c r="L29" i="62"/>
  <c r="I86" i="50"/>
  <c r="M30" i="36"/>
  <c r="E88" i="50"/>
  <c r="P88" i="50"/>
  <c r="G87" i="50"/>
  <c r="K86" i="50"/>
  <c r="D88" i="52"/>
  <c r="G88" i="52"/>
  <c r="O93" i="52"/>
  <c r="J29" i="62"/>
  <c r="K29" i="62"/>
  <c r="N20" i="63"/>
  <c r="N29" i="62"/>
  <c r="M28" i="62"/>
  <c r="J30" i="36"/>
  <c r="D63" i="50"/>
  <c r="L64" i="52"/>
  <c r="N70" i="36"/>
  <c r="E62" i="50"/>
  <c r="E33" i="60" s="1"/>
  <c r="F71" i="36"/>
  <c r="H33" i="62"/>
  <c r="F63" i="52"/>
  <c r="F64" i="52" s="1"/>
  <c r="H64" i="52"/>
  <c r="I63" i="50"/>
  <c r="J61" i="50"/>
  <c r="M60" i="50"/>
  <c r="M61" i="50"/>
  <c r="K64" i="52"/>
  <c r="J64" i="52"/>
  <c r="N64" i="52"/>
  <c r="P63" i="50"/>
  <c r="L70" i="36"/>
  <c r="O60" i="50"/>
  <c r="K32" i="62"/>
  <c r="D61" i="50"/>
  <c r="N62" i="50"/>
  <c r="P61" i="50"/>
  <c r="P32" i="60" s="1"/>
  <c r="E59" i="50"/>
  <c r="E64" i="52"/>
  <c r="Q64" i="52"/>
  <c r="Q59" i="50"/>
  <c r="N57" i="50"/>
  <c r="E57" i="50"/>
  <c r="E58" i="50"/>
  <c r="H57" i="50"/>
  <c r="E71" i="36"/>
  <c r="D58" i="50"/>
  <c r="I59" i="52"/>
  <c r="N58" i="50"/>
  <c r="O59" i="50"/>
  <c r="H29" i="62"/>
  <c r="H71" i="36"/>
  <c r="D64" i="52"/>
  <c r="D71" i="36"/>
  <c r="M59" i="52"/>
  <c r="O29" i="62"/>
  <c r="L28" i="62"/>
  <c r="Q66" i="36"/>
  <c r="M34" i="52"/>
  <c r="M34" i="50" s="1"/>
  <c r="E33" i="50"/>
  <c r="I33" i="50"/>
  <c r="K33" i="50"/>
  <c r="R33" i="50" s="1"/>
  <c r="G70" i="36"/>
  <c r="H35" i="52"/>
  <c r="E34" i="52"/>
  <c r="H20" i="63"/>
  <c r="F34" i="50"/>
  <c r="Q70" i="36"/>
  <c r="I34" i="50"/>
  <c r="K30" i="50"/>
  <c r="K35" i="52"/>
  <c r="O30" i="50"/>
  <c r="O35" i="52"/>
  <c r="J35" i="52"/>
  <c r="L66" i="36"/>
  <c r="M30" i="50"/>
  <c r="O66" i="36"/>
  <c r="D28" i="50"/>
  <c r="F28" i="50"/>
  <c r="H28" i="50"/>
  <c r="J28" i="50"/>
  <c r="L28" i="50"/>
  <c r="E29" i="50"/>
  <c r="G29" i="50"/>
  <c r="I29" i="50"/>
  <c r="K29" i="50"/>
  <c r="R29" i="50" s="1"/>
  <c r="L30" i="52"/>
  <c r="S30" i="52" s="1"/>
  <c r="G30" i="52"/>
  <c r="G35" i="52" s="1"/>
  <c r="L71" i="36"/>
  <c r="K66" i="36"/>
  <c r="P71" i="36"/>
  <c r="H30" i="50"/>
  <c r="G93" i="51"/>
  <c r="O33" i="61"/>
  <c r="L90" i="50"/>
  <c r="H90" i="50"/>
  <c r="H31" i="61"/>
  <c r="L89" i="50"/>
  <c r="D34" i="35"/>
  <c r="F34" i="35"/>
  <c r="G34" i="35"/>
  <c r="J34" i="35"/>
  <c r="N34" i="35"/>
  <c r="Q34" i="35"/>
  <c r="F92" i="51"/>
  <c r="F92" i="50" s="1"/>
  <c r="G32" i="61"/>
  <c r="I31" i="61"/>
  <c r="L32" i="61"/>
  <c r="L33" i="61"/>
  <c r="J19" i="63"/>
  <c r="M33" i="61"/>
  <c r="Q33" i="61"/>
  <c r="I34" i="35"/>
  <c r="L34" i="35"/>
  <c r="M34" i="35"/>
  <c r="K92" i="51"/>
  <c r="K93" i="51" s="1"/>
  <c r="J93" i="51"/>
  <c r="J88" i="50"/>
  <c r="N88" i="50"/>
  <c r="N93" i="51"/>
  <c r="D93" i="51"/>
  <c r="L88" i="50"/>
  <c r="L93" i="51"/>
  <c r="K88" i="50"/>
  <c r="E93" i="51"/>
  <c r="P30" i="35"/>
  <c r="G28" i="61"/>
  <c r="G30" i="61" s="1"/>
  <c r="I28" i="61"/>
  <c r="K28" i="61"/>
  <c r="H19" i="63"/>
  <c r="H30" i="35"/>
  <c r="I30" i="35"/>
  <c r="L30" i="35"/>
  <c r="N60" i="50"/>
  <c r="N31" i="61"/>
  <c r="Q63" i="51"/>
  <c r="S63" i="51" s="1"/>
  <c r="Q70" i="35"/>
  <c r="Q71" i="35"/>
  <c r="G70" i="35"/>
  <c r="G63" i="51"/>
  <c r="G63" i="50" s="1"/>
  <c r="O71" i="35"/>
  <c r="O63" i="51"/>
  <c r="K63" i="51"/>
  <c r="K63" i="50" s="1"/>
  <c r="O70" i="35"/>
  <c r="D60" i="50"/>
  <c r="D31" i="61"/>
  <c r="J31" i="61"/>
  <c r="J60" i="50"/>
  <c r="J31" i="60" s="1"/>
  <c r="J33" i="61"/>
  <c r="J62" i="50"/>
  <c r="J33" i="60" s="1"/>
  <c r="P33" i="61"/>
  <c r="P62" i="50"/>
  <c r="L63" i="50"/>
  <c r="E71" i="35"/>
  <c r="D32" i="61"/>
  <c r="H63" i="51"/>
  <c r="H63" i="50" s="1"/>
  <c r="I33" i="61"/>
  <c r="Q31" i="61"/>
  <c r="G31" i="61"/>
  <c r="I64" i="51"/>
  <c r="P70" i="35"/>
  <c r="H70" i="35"/>
  <c r="L31" i="61"/>
  <c r="L62" i="50"/>
  <c r="D71" i="35"/>
  <c r="Q32" i="61"/>
  <c r="F66" i="35"/>
  <c r="F59" i="51"/>
  <c r="J59" i="51"/>
  <c r="J66" i="35"/>
  <c r="N59" i="51"/>
  <c r="L59" i="50"/>
  <c r="I57" i="50"/>
  <c r="E30" i="35"/>
  <c r="D57" i="50"/>
  <c r="D28" i="61"/>
  <c r="I29" i="61"/>
  <c r="I58" i="50"/>
  <c r="G57" i="50"/>
  <c r="K71" i="35"/>
  <c r="G66" i="35"/>
  <c r="P58" i="50"/>
  <c r="K59" i="51"/>
  <c r="R59" i="51" s="1"/>
  <c r="Q28" i="61"/>
  <c r="Q30" i="61" s="1"/>
  <c r="J71" i="35"/>
  <c r="L34" i="50"/>
  <c r="L35" i="51"/>
  <c r="L70" i="35"/>
  <c r="H34" i="51"/>
  <c r="H34" i="50" s="1"/>
  <c r="J34" i="50"/>
  <c r="N34" i="51"/>
  <c r="E35" i="51"/>
  <c r="I19" i="63"/>
  <c r="M19" i="63"/>
  <c r="G71" i="35"/>
  <c r="D34" i="50"/>
  <c r="F35" i="51"/>
  <c r="O35" i="51"/>
  <c r="D19" i="63"/>
  <c r="M71" i="35"/>
  <c r="L66" i="35"/>
  <c r="L29" i="50"/>
  <c r="P35" i="51"/>
  <c r="F19" i="63"/>
  <c r="F30" i="50"/>
  <c r="I35" i="51"/>
  <c r="I66" i="35"/>
  <c r="D66" i="35"/>
  <c r="D30" i="51"/>
  <c r="R30" i="51" s="1"/>
  <c r="M66" i="35"/>
  <c r="E19" i="63"/>
  <c r="Q30" i="51"/>
  <c r="S30" i="51" s="1"/>
  <c r="H71" i="35"/>
  <c r="E30" i="50"/>
  <c r="M35" i="51"/>
  <c r="L34" i="34"/>
  <c r="P18" i="63"/>
  <c r="M18" i="63"/>
  <c r="D18" i="63"/>
  <c r="D34" i="34"/>
  <c r="H34" i="34"/>
  <c r="H18" i="63"/>
  <c r="J30" i="34"/>
  <c r="N30" i="34"/>
  <c r="K30" i="34"/>
  <c r="K70" i="34"/>
  <c r="K34" i="34"/>
  <c r="N66" i="34"/>
  <c r="J66" i="34"/>
  <c r="L30" i="34"/>
  <c r="N71" i="34"/>
  <c r="I71" i="34"/>
  <c r="G71" i="34"/>
  <c r="Q70" i="34"/>
  <c r="G70" i="34"/>
  <c r="P71" i="34"/>
  <c r="H71" i="34"/>
  <c r="N18" i="63"/>
  <c r="L66" i="34"/>
  <c r="D66" i="34"/>
  <c r="H66" i="34"/>
  <c r="P17" i="63"/>
  <c r="E34" i="33"/>
  <c r="I34" i="33"/>
  <c r="Q34" i="33"/>
  <c r="P34" i="33"/>
  <c r="G34" i="33"/>
  <c r="K34" i="33"/>
  <c r="F17" i="63"/>
  <c r="F30" i="33"/>
  <c r="J30" i="33"/>
  <c r="E17" i="63"/>
  <c r="E30" i="33"/>
  <c r="Q30" i="33"/>
  <c r="G70" i="33"/>
  <c r="M71" i="33"/>
  <c r="E70" i="33"/>
  <c r="I71" i="33"/>
  <c r="J66" i="33"/>
  <c r="N71" i="33"/>
  <c r="Q71" i="33"/>
  <c r="G71" i="33"/>
  <c r="G17" i="63"/>
  <c r="K70" i="33"/>
  <c r="F71" i="33"/>
  <c r="D17" i="63"/>
  <c r="D71" i="33"/>
  <c r="H17" i="63"/>
  <c r="H71" i="33"/>
  <c r="P71" i="33"/>
  <c r="M17" i="63"/>
  <c r="K71" i="33"/>
  <c r="Q17" i="63"/>
  <c r="H66" i="33"/>
  <c r="L66" i="33"/>
  <c r="K33" i="59"/>
  <c r="L90" i="44"/>
  <c r="K34" i="32"/>
  <c r="L34" i="32"/>
  <c r="M34" i="32"/>
  <c r="N90" i="44"/>
  <c r="M90" i="44"/>
  <c r="M91" i="44"/>
  <c r="J90" i="44"/>
  <c r="J91" i="44"/>
  <c r="F89" i="44"/>
  <c r="O91" i="44"/>
  <c r="H31" i="59"/>
  <c r="H91" i="44"/>
  <c r="E34" i="32"/>
  <c r="F34" i="32"/>
  <c r="H34" i="32"/>
  <c r="I34" i="32"/>
  <c r="J34" i="32"/>
  <c r="P34" i="32"/>
  <c r="G92" i="44"/>
  <c r="M92" i="44"/>
  <c r="L91" i="44"/>
  <c r="K91" i="44"/>
  <c r="F88" i="49"/>
  <c r="J30" i="32"/>
  <c r="N16" i="63"/>
  <c r="O87" i="44"/>
  <c r="O88" i="49"/>
  <c r="N28" i="59"/>
  <c r="D30" i="32"/>
  <c r="G30" i="32"/>
  <c r="K30" i="32"/>
  <c r="Q30" i="32"/>
  <c r="N86" i="44"/>
  <c r="D86" i="44"/>
  <c r="K87" i="44"/>
  <c r="Q29" i="59"/>
  <c r="O29" i="59"/>
  <c r="L86" i="44"/>
  <c r="J86" i="44"/>
  <c r="H28" i="59"/>
  <c r="H29" i="59"/>
  <c r="D28" i="59"/>
  <c r="M71" i="32"/>
  <c r="J70" i="32"/>
  <c r="M70" i="32"/>
  <c r="N63" i="49"/>
  <c r="N64" i="49" s="1"/>
  <c r="P71" i="32"/>
  <c r="H66" i="32"/>
  <c r="J71" i="32"/>
  <c r="I59" i="49"/>
  <c r="D59" i="49"/>
  <c r="R59" i="49" s="1"/>
  <c r="Q71" i="32"/>
  <c r="E66" i="32"/>
  <c r="F71" i="32"/>
  <c r="N57" i="44"/>
  <c r="Q66" i="32"/>
  <c r="M16" i="63"/>
  <c r="J35" i="49"/>
  <c r="N35" i="49"/>
  <c r="O35" i="49"/>
  <c r="Q70" i="32"/>
  <c r="P31" i="44"/>
  <c r="M34" i="49"/>
  <c r="M35" i="49" s="1"/>
  <c r="G31" i="44"/>
  <c r="E34" i="49"/>
  <c r="E35" i="49" s="1"/>
  <c r="H35" i="49"/>
  <c r="P35" i="49"/>
  <c r="I35" i="49"/>
  <c r="L35" i="49"/>
  <c r="H30" i="44"/>
  <c r="K16" i="63"/>
  <c r="D30" i="49"/>
  <c r="R30" i="49" s="1"/>
  <c r="O29" i="44"/>
  <c r="Q34" i="31"/>
  <c r="L34" i="31"/>
  <c r="F58" i="44"/>
  <c r="N15" i="63"/>
  <c r="D70" i="31"/>
  <c r="H71" i="31"/>
  <c r="P71" i="31"/>
  <c r="E71" i="31"/>
  <c r="J71" i="31"/>
  <c r="H66" i="31"/>
  <c r="F30" i="31"/>
  <c r="I15" i="63"/>
  <c r="I71" i="31"/>
  <c r="Q15" i="63"/>
  <c r="M71" i="31"/>
  <c r="K70" i="31"/>
  <c r="K71" i="31"/>
  <c r="F71" i="31"/>
  <c r="F15" i="63"/>
  <c r="L71" i="31"/>
  <c r="L15" i="63"/>
  <c r="P15" i="63"/>
  <c r="K15" i="63"/>
  <c r="F66" i="31"/>
  <c r="N71" i="31"/>
  <c r="J15" i="63"/>
  <c r="Q34" i="30"/>
  <c r="F14" i="63"/>
  <c r="L34" i="30"/>
  <c r="I61" i="44"/>
  <c r="K34" i="30"/>
  <c r="O58" i="44"/>
  <c r="J57" i="44"/>
  <c r="G58" i="44"/>
  <c r="D30" i="30"/>
  <c r="I30" i="30"/>
  <c r="M30" i="30"/>
  <c r="P14" i="63"/>
  <c r="P30" i="30"/>
  <c r="O71" i="30"/>
  <c r="F71" i="30"/>
  <c r="K70" i="30"/>
  <c r="Q60" i="44"/>
  <c r="G71" i="30"/>
  <c r="J71" i="30"/>
  <c r="K71" i="30"/>
  <c r="L66" i="30"/>
  <c r="Q66" i="30"/>
  <c r="E57" i="44"/>
  <c r="E58" i="44"/>
  <c r="P66" i="30"/>
  <c r="G57" i="44"/>
  <c r="I71" i="30"/>
  <c r="G14" i="63"/>
  <c r="Q70" i="30"/>
  <c r="E71" i="30"/>
  <c r="M14" i="63"/>
  <c r="L71" i="30"/>
  <c r="E14" i="63"/>
  <c r="Q71" i="30"/>
  <c r="Q14" i="63"/>
  <c r="K14" i="63"/>
  <c r="D66" i="30"/>
  <c r="H92" i="44"/>
  <c r="O33" i="58"/>
  <c r="P92" i="44"/>
  <c r="F13" i="63"/>
  <c r="N13" i="63"/>
  <c r="D13" i="63"/>
  <c r="P33" i="58"/>
  <c r="P34" i="29"/>
  <c r="O34" i="29"/>
  <c r="N31" i="58"/>
  <c r="G34" i="29"/>
  <c r="H34" i="29"/>
  <c r="M34" i="29"/>
  <c r="Q34" i="29"/>
  <c r="J32" i="58"/>
  <c r="F31" i="58"/>
  <c r="E34" i="29"/>
  <c r="I34" i="29"/>
  <c r="J34" i="29"/>
  <c r="F93" i="48"/>
  <c r="P90" i="44"/>
  <c r="N32" i="58"/>
  <c r="N33" i="58"/>
  <c r="M32" i="58"/>
  <c r="M33" i="58"/>
  <c r="E89" i="44"/>
  <c r="E91" i="44"/>
  <c r="I91" i="44"/>
  <c r="O89" i="44"/>
  <c r="M86" i="44"/>
  <c r="K29" i="58"/>
  <c r="O29" i="58"/>
  <c r="O30" i="58" s="1"/>
  <c r="O30" i="29"/>
  <c r="K88" i="48"/>
  <c r="R88" i="48" s="1"/>
  <c r="H86" i="44"/>
  <c r="I86" i="44"/>
  <c r="J13" i="63"/>
  <c r="K30" i="29"/>
  <c r="D32" i="58"/>
  <c r="H70" i="29"/>
  <c r="J63" i="48"/>
  <c r="N62" i="44"/>
  <c r="N60" i="44"/>
  <c r="G61" i="44"/>
  <c r="F60" i="44"/>
  <c r="F61" i="44"/>
  <c r="H30" i="58"/>
  <c r="M57" i="44"/>
  <c r="P71" i="29"/>
  <c r="D29" i="58"/>
  <c r="L28" i="58"/>
  <c r="Q58" i="44"/>
  <c r="L71" i="29"/>
  <c r="H58" i="44"/>
  <c r="E29" i="58"/>
  <c r="H71" i="29"/>
  <c r="Q29" i="58"/>
  <c r="H59" i="48"/>
  <c r="M66" i="29"/>
  <c r="Q66" i="29"/>
  <c r="E66" i="29"/>
  <c r="L57" i="44"/>
  <c r="D71" i="29"/>
  <c r="L34" i="44"/>
  <c r="K70" i="29"/>
  <c r="O70" i="29"/>
  <c r="H31" i="44"/>
  <c r="E32" i="44"/>
  <c r="G34" i="48"/>
  <c r="I31" i="44"/>
  <c r="K32" i="44"/>
  <c r="Q32" i="44"/>
  <c r="Q31" i="44"/>
  <c r="N71" i="29"/>
  <c r="D34" i="44"/>
  <c r="K34" i="48"/>
  <c r="R34" i="48" s="1"/>
  <c r="E71" i="29"/>
  <c r="I71" i="29"/>
  <c r="E30" i="48"/>
  <c r="I30" i="48"/>
  <c r="I35" i="48" s="1"/>
  <c r="G66" i="29"/>
  <c r="Q30" i="48"/>
  <c r="S30" i="48" s="1"/>
  <c r="O28" i="44"/>
  <c r="K29" i="44"/>
  <c r="P28" i="44"/>
  <c r="M30" i="48"/>
  <c r="I66" i="29"/>
  <c r="L28" i="44"/>
  <c r="D29" i="44"/>
  <c r="F29" i="44"/>
  <c r="H29" i="44"/>
  <c r="L29" i="44"/>
  <c r="L92" i="44"/>
  <c r="L32" i="57"/>
  <c r="K33" i="57"/>
  <c r="K31" i="57"/>
  <c r="K32" i="57"/>
  <c r="K90" i="44"/>
  <c r="P31" i="57"/>
  <c r="M31" i="57"/>
  <c r="F34" i="28"/>
  <c r="K34" i="28"/>
  <c r="D31" i="57"/>
  <c r="D34" i="57" s="1"/>
  <c r="F93" i="47"/>
  <c r="L33" i="57"/>
  <c r="I90" i="44"/>
  <c r="E31" i="57"/>
  <c r="G93" i="47"/>
  <c r="N32" i="57"/>
  <c r="M32" i="57"/>
  <c r="J32" i="57"/>
  <c r="J33" i="57"/>
  <c r="G89" i="44"/>
  <c r="G91" i="44"/>
  <c r="F90" i="44"/>
  <c r="F91" i="44"/>
  <c r="Q32" i="57"/>
  <c r="J92" i="44"/>
  <c r="N92" i="44"/>
  <c r="O93" i="47"/>
  <c r="O31" i="57"/>
  <c r="E34" i="28"/>
  <c r="I34" i="28"/>
  <c r="Q34" i="28"/>
  <c r="O33" i="57"/>
  <c r="H93" i="47"/>
  <c r="O12" i="63"/>
  <c r="M29" i="57"/>
  <c r="M30" i="57" s="1"/>
  <c r="I87" i="44"/>
  <c r="G30" i="28"/>
  <c r="K30" i="28"/>
  <c r="L30" i="28"/>
  <c r="P28" i="57"/>
  <c r="D30" i="28"/>
  <c r="I30" i="28"/>
  <c r="L28" i="57"/>
  <c r="D87" i="44"/>
  <c r="F30" i="28"/>
  <c r="J30" i="28"/>
  <c r="M88" i="47"/>
  <c r="M88" i="44" s="1"/>
  <c r="P87" i="44"/>
  <c r="E87" i="44"/>
  <c r="O28" i="57"/>
  <c r="H30" i="28"/>
  <c r="Q30" i="28"/>
  <c r="F87" i="44"/>
  <c r="D29" i="57"/>
  <c r="Q86" i="44"/>
  <c r="D93" i="47"/>
  <c r="P93" i="47"/>
  <c r="P88" i="44"/>
  <c r="I93" i="47"/>
  <c r="F86" i="44"/>
  <c r="E93" i="47"/>
  <c r="L12" i="63"/>
  <c r="G86" i="44"/>
  <c r="N29" i="57"/>
  <c r="L29" i="57"/>
  <c r="D28" i="57"/>
  <c r="H88" i="44"/>
  <c r="L93" i="47"/>
  <c r="P12" i="63"/>
  <c r="H12" i="63"/>
  <c r="Q88" i="44"/>
  <c r="M30" i="28"/>
  <c r="I28" i="57"/>
  <c r="K29" i="57"/>
  <c r="Q28" i="57"/>
  <c r="Q30" i="57" s="1"/>
  <c r="J34" i="28"/>
  <c r="P34" i="28"/>
  <c r="O62" i="44"/>
  <c r="J62" i="44"/>
  <c r="H70" i="28"/>
  <c r="H71" i="28"/>
  <c r="L63" i="47"/>
  <c r="P63" i="47"/>
  <c r="P64" i="47" s="1"/>
  <c r="N34" i="28"/>
  <c r="M62" i="44"/>
  <c r="L71" i="28"/>
  <c r="P61" i="44"/>
  <c r="P60" i="44"/>
  <c r="D63" i="47"/>
  <c r="E60" i="44"/>
  <c r="E61" i="44"/>
  <c r="N61" i="44"/>
  <c r="F71" i="28"/>
  <c r="N63" i="47"/>
  <c r="N64" i="47" s="1"/>
  <c r="D34" i="28"/>
  <c r="G34" i="28"/>
  <c r="L34" i="28"/>
  <c r="M34" i="28"/>
  <c r="O60" i="44"/>
  <c r="J64" i="47"/>
  <c r="Q70" i="28"/>
  <c r="G64" i="47"/>
  <c r="F63" i="47"/>
  <c r="F64" i="47" s="1"/>
  <c r="D60" i="44"/>
  <c r="Q61" i="44"/>
  <c r="J70" i="28"/>
  <c r="J71" i="28"/>
  <c r="Q63" i="47"/>
  <c r="M61" i="44"/>
  <c r="L60" i="44"/>
  <c r="J61" i="44"/>
  <c r="E64" i="47"/>
  <c r="M64" i="47"/>
  <c r="L31" i="57"/>
  <c r="K64" i="47"/>
  <c r="H64" i="47"/>
  <c r="M60" i="44"/>
  <c r="O61" i="44"/>
  <c r="I60" i="44"/>
  <c r="K60" i="44"/>
  <c r="O57" i="44"/>
  <c r="O71" i="28"/>
  <c r="M58" i="44"/>
  <c r="Q66" i="28"/>
  <c r="D58" i="44"/>
  <c r="M66" i="28"/>
  <c r="M71" i="28"/>
  <c r="K57" i="44"/>
  <c r="N34" i="44"/>
  <c r="J34" i="44"/>
  <c r="E71" i="28"/>
  <c r="I35" i="47"/>
  <c r="M35" i="47"/>
  <c r="M70" i="28"/>
  <c r="E70" i="28"/>
  <c r="J35" i="47"/>
  <c r="Q35" i="47"/>
  <c r="O32" i="44"/>
  <c r="P35" i="47"/>
  <c r="F32" i="44"/>
  <c r="P32" i="44"/>
  <c r="G33" i="44"/>
  <c r="M33" i="44"/>
  <c r="G35" i="47"/>
  <c r="L35" i="47"/>
  <c r="P71" i="28"/>
  <c r="F12" i="63"/>
  <c r="E66" i="28"/>
  <c r="E30" i="47"/>
  <c r="E35" i="47" s="1"/>
  <c r="K12" i="63"/>
  <c r="I66" i="28"/>
  <c r="D28" i="44"/>
  <c r="H28" i="44"/>
  <c r="K28" i="44"/>
  <c r="K35" i="47"/>
  <c r="P29" i="44"/>
  <c r="M29" i="44"/>
  <c r="M28" i="44"/>
  <c r="E11" i="63"/>
  <c r="M11" i="63"/>
  <c r="G11" i="63"/>
  <c r="D34" i="27"/>
  <c r="G34" i="27"/>
  <c r="H34" i="27"/>
  <c r="K34" i="27"/>
  <c r="L34" i="27"/>
  <c r="M34" i="27"/>
  <c r="Q34" i="27"/>
  <c r="D11" i="63"/>
  <c r="H11" i="63"/>
  <c r="L11" i="63"/>
  <c r="P34" i="27"/>
  <c r="P30" i="27"/>
  <c r="E30" i="27"/>
  <c r="I30" i="27"/>
  <c r="D30" i="27"/>
  <c r="N30" i="27"/>
  <c r="H30" i="27"/>
  <c r="L30" i="27"/>
  <c r="G30" i="27"/>
  <c r="K30" i="27"/>
  <c r="Q30" i="27"/>
  <c r="M30" i="27"/>
  <c r="O30" i="27"/>
  <c r="N11" i="63"/>
  <c r="F30" i="27"/>
  <c r="J30" i="27"/>
  <c r="N71" i="27"/>
  <c r="P70" i="27"/>
  <c r="J71" i="27"/>
  <c r="M71" i="27"/>
  <c r="Q66" i="27"/>
  <c r="I71" i="27"/>
  <c r="J66" i="27"/>
  <c r="G71" i="27"/>
  <c r="O71" i="27"/>
  <c r="P11" i="63"/>
  <c r="H71" i="27"/>
  <c r="L71" i="27"/>
  <c r="G66" i="27"/>
  <c r="L70" i="25"/>
  <c r="L63" i="46"/>
  <c r="F34" i="25"/>
  <c r="G34" i="25"/>
  <c r="K34" i="25"/>
  <c r="I32" i="26"/>
  <c r="I34" i="26" s="1"/>
  <c r="H63" i="46"/>
  <c r="K67" i="26"/>
  <c r="M68" i="26"/>
  <c r="Q68" i="26"/>
  <c r="E71" i="25"/>
  <c r="E70" i="25"/>
  <c r="E32" i="56"/>
  <c r="M32" i="56"/>
  <c r="M34" i="25"/>
  <c r="P64" i="46"/>
  <c r="J34" i="25"/>
  <c r="E68" i="26"/>
  <c r="O69" i="26"/>
  <c r="H70" i="25"/>
  <c r="D70" i="25"/>
  <c r="K31" i="56"/>
  <c r="O34" i="25"/>
  <c r="G31" i="26"/>
  <c r="E31" i="56"/>
  <c r="N63" i="46"/>
  <c r="J64" i="46"/>
  <c r="K62" i="44"/>
  <c r="E62" i="44"/>
  <c r="L62" i="44"/>
  <c r="Q31" i="26"/>
  <c r="Q33" i="26"/>
  <c r="G68" i="26"/>
  <c r="H34" i="25"/>
  <c r="L34" i="25"/>
  <c r="N34" i="25"/>
  <c r="H60" i="44"/>
  <c r="K31" i="26"/>
  <c r="E32" i="26"/>
  <c r="Q32" i="26"/>
  <c r="G33" i="26"/>
  <c r="K32" i="26"/>
  <c r="J70" i="25"/>
  <c r="M33" i="26"/>
  <c r="J71" i="25"/>
  <c r="H61" i="44"/>
  <c r="L31" i="56"/>
  <c r="F71" i="25"/>
  <c r="N70" i="25"/>
  <c r="Q64" i="46"/>
  <c r="I64" i="46"/>
  <c r="F70" i="26"/>
  <c r="J70" i="26"/>
  <c r="N70" i="26"/>
  <c r="D31" i="56"/>
  <c r="Q70" i="25"/>
  <c r="Q32" i="56"/>
  <c r="M63" i="46"/>
  <c r="M64" i="46" s="1"/>
  <c r="Q71" i="25"/>
  <c r="O64" i="46"/>
  <c r="J31" i="26"/>
  <c r="N31" i="26"/>
  <c r="D32" i="26"/>
  <c r="Q70" i="26"/>
  <c r="I70" i="26"/>
  <c r="J60" i="44"/>
  <c r="J32" i="56"/>
  <c r="D64" i="46"/>
  <c r="E64" i="46"/>
  <c r="G70" i="25"/>
  <c r="O70" i="25"/>
  <c r="K66" i="26"/>
  <c r="N58" i="44"/>
  <c r="L29" i="26"/>
  <c r="L30" i="26" s="1"/>
  <c r="D65" i="26"/>
  <c r="G59" i="46"/>
  <c r="P71" i="25"/>
  <c r="L58" i="44"/>
  <c r="K66" i="25"/>
  <c r="K59" i="46"/>
  <c r="R59" i="46" s="1"/>
  <c r="O66" i="25"/>
  <c r="J28" i="56"/>
  <c r="I58" i="44"/>
  <c r="D71" i="25"/>
  <c r="O71" i="25"/>
  <c r="I57" i="44"/>
  <c r="M65" i="26"/>
  <c r="J64" i="26"/>
  <c r="D66" i="26"/>
  <c r="L66" i="26"/>
  <c r="P66" i="26"/>
  <c r="H28" i="26"/>
  <c r="H30" i="26" s="1"/>
  <c r="P28" i="26"/>
  <c r="P30" i="26" s="1"/>
  <c r="N29" i="26"/>
  <c r="P34" i="44"/>
  <c r="K35" i="46"/>
  <c r="O9" i="63"/>
  <c r="I70" i="25"/>
  <c r="K31" i="44"/>
  <c r="M31" i="44"/>
  <c r="E31" i="44"/>
  <c r="J31" i="44"/>
  <c r="L32" i="44"/>
  <c r="H33" i="44"/>
  <c r="N33" i="44"/>
  <c r="N67" i="26"/>
  <c r="M35" i="46"/>
  <c r="H71" i="25"/>
  <c r="E35" i="46"/>
  <c r="O31" i="44"/>
  <c r="N31" i="44"/>
  <c r="J32" i="44"/>
  <c r="N32" i="44"/>
  <c r="F33" i="44"/>
  <c r="L33" i="44"/>
  <c r="O33" i="44"/>
  <c r="F34" i="44"/>
  <c r="F35" i="46"/>
  <c r="N9" i="63"/>
  <c r="P70" i="26"/>
  <c r="N71" i="25"/>
  <c r="F30" i="44"/>
  <c r="N64" i="26"/>
  <c r="H65" i="26"/>
  <c r="P65" i="26"/>
  <c r="Q9" i="63"/>
  <c r="Q30" i="46"/>
  <c r="Q35" i="46" s="1"/>
  <c r="J9" i="63"/>
  <c r="L30" i="44"/>
  <c r="L71" i="25"/>
  <c r="K30" i="44"/>
  <c r="N30" i="46"/>
  <c r="N35" i="46" s="1"/>
  <c r="Q66" i="25"/>
  <c r="E28" i="44"/>
  <c r="J28" i="44"/>
  <c r="E29" i="44"/>
  <c r="J29" i="44"/>
  <c r="I28" i="44"/>
  <c r="L65" i="26"/>
  <c r="G64" i="26"/>
  <c r="L35" i="46"/>
  <c r="Q28" i="44"/>
  <c r="E93" i="45"/>
  <c r="E92" i="44"/>
  <c r="G90" i="44"/>
  <c r="N34" i="24"/>
  <c r="K33" i="26"/>
  <c r="F92" i="45"/>
  <c r="F92" i="44" s="1"/>
  <c r="M34" i="24"/>
  <c r="I34" i="24"/>
  <c r="E34" i="24"/>
  <c r="F34" i="24"/>
  <c r="H34" i="24"/>
  <c r="D34" i="24"/>
  <c r="O34" i="24"/>
  <c r="G33" i="55"/>
  <c r="I32" i="55"/>
  <c r="K86" i="44"/>
  <c r="N93" i="45"/>
  <c r="N88" i="44"/>
  <c r="K28" i="55"/>
  <c r="O88" i="45"/>
  <c r="N29" i="55"/>
  <c r="N87" i="44"/>
  <c r="L29" i="55"/>
  <c r="Q28" i="55"/>
  <c r="M30" i="24"/>
  <c r="F88" i="45"/>
  <c r="J88" i="45"/>
  <c r="D28" i="26"/>
  <c r="D30" i="26" s="1"/>
  <c r="K88" i="45"/>
  <c r="R88" i="45" s="1"/>
  <c r="K29" i="26"/>
  <c r="G30" i="24"/>
  <c r="D28" i="55"/>
  <c r="D62" i="44"/>
  <c r="O63" i="45"/>
  <c r="L31" i="26"/>
  <c r="D33" i="26"/>
  <c r="P69" i="26"/>
  <c r="P33" i="26"/>
  <c r="F31" i="55"/>
  <c r="F32" i="55"/>
  <c r="L33" i="26"/>
  <c r="D33" i="55"/>
  <c r="Q33" i="55"/>
  <c r="Q62" i="44"/>
  <c r="L64" i="45"/>
  <c r="G62" i="44"/>
  <c r="K32" i="55"/>
  <c r="K61" i="44"/>
  <c r="H62" i="44"/>
  <c r="H33" i="55"/>
  <c r="D32" i="55"/>
  <c r="D61" i="44"/>
  <c r="Q34" i="24"/>
  <c r="J34" i="24"/>
  <c r="D71" i="24"/>
  <c r="E70" i="26"/>
  <c r="E63" i="45"/>
  <c r="E63" i="44" s="1"/>
  <c r="H70" i="26"/>
  <c r="L61" i="44"/>
  <c r="L32" i="55"/>
  <c r="G31" i="55"/>
  <c r="G60" i="44"/>
  <c r="F33" i="55"/>
  <c r="F62" i="44"/>
  <c r="K63" i="45"/>
  <c r="R63" i="45" s="1"/>
  <c r="H67" i="26"/>
  <c r="G63" i="45"/>
  <c r="O71" i="24"/>
  <c r="L69" i="26"/>
  <c r="O70" i="26"/>
  <c r="F67" i="26"/>
  <c r="J67" i="26"/>
  <c r="D68" i="26"/>
  <c r="H68" i="26"/>
  <c r="P68" i="26"/>
  <c r="F69" i="26"/>
  <c r="J69" i="26"/>
  <c r="N69" i="26"/>
  <c r="D67" i="26"/>
  <c r="P67" i="26"/>
  <c r="F68" i="26"/>
  <c r="J68" i="26"/>
  <c r="N68" i="26"/>
  <c r="H69" i="26"/>
  <c r="K29" i="55"/>
  <c r="K58" i="44"/>
  <c r="D57" i="44"/>
  <c r="I29" i="55"/>
  <c r="I30" i="55" s="1"/>
  <c r="Q57" i="44"/>
  <c r="F29" i="55"/>
  <c r="P57" i="44"/>
  <c r="H57" i="44"/>
  <c r="L28" i="55"/>
  <c r="P30" i="24"/>
  <c r="L30" i="24"/>
  <c r="G66" i="26"/>
  <c r="O66" i="26"/>
  <c r="E59" i="45"/>
  <c r="I71" i="24"/>
  <c r="M59" i="45"/>
  <c r="Q59" i="45"/>
  <c r="S59" i="45" s="1"/>
  <c r="J66" i="26"/>
  <c r="F59" i="45"/>
  <c r="F66" i="24"/>
  <c r="K64" i="26"/>
  <c r="K28" i="26"/>
  <c r="F66" i="26"/>
  <c r="H66" i="26"/>
  <c r="E71" i="24"/>
  <c r="E34" i="45"/>
  <c r="Q34" i="45"/>
  <c r="Q34" i="44" s="1"/>
  <c r="L71" i="24"/>
  <c r="I70" i="24"/>
  <c r="I34" i="45"/>
  <c r="I34" i="44" s="1"/>
  <c r="H34" i="44"/>
  <c r="H35" i="45"/>
  <c r="O34" i="45"/>
  <c r="O34" i="44" s="1"/>
  <c r="L68" i="26"/>
  <c r="K34" i="45"/>
  <c r="R34" i="45" s="1"/>
  <c r="L8" i="63"/>
  <c r="G70" i="24"/>
  <c r="K70" i="24"/>
  <c r="H70" i="24"/>
  <c r="P35" i="45"/>
  <c r="D70" i="26"/>
  <c r="D31" i="44"/>
  <c r="Q33" i="44"/>
  <c r="O70" i="24"/>
  <c r="G34" i="45"/>
  <c r="G35" i="45" s="1"/>
  <c r="N71" i="24"/>
  <c r="P30" i="44"/>
  <c r="P71" i="24"/>
  <c r="P8" i="63"/>
  <c r="F35" i="45"/>
  <c r="I8" i="63"/>
  <c r="D8" i="63"/>
  <c r="N35" i="45"/>
  <c r="J8" i="63"/>
  <c r="J71" i="24"/>
  <c r="O30" i="44"/>
  <c r="E30" i="45"/>
  <c r="E66" i="24"/>
  <c r="I30" i="45"/>
  <c r="I66" i="24"/>
  <c r="M30" i="45"/>
  <c r="M66" i="24"/>
  <c r="Q30" i="45"/>
  <c r="S30" i="45" s="1"/>
  <c r="D64" i="26"/>
  <c r="L64" i="26"/>
  <c r="G30" i="44"/>
  <c r="N66" i="24"/>
  <c r="J30" i="45"/>
  <c r="J66" i="24"/>
  <c r="N66" i="26"/>
  <c r="O34" i="23"/>
  <c r="M7" i="63"/>
  <c r="Q34" i="23"/>
  <c r="E34" i="23"/>
  <c r="I34" i="23"/>
  <c r="D34" i="23"/>
  <c r="H34" i="23"/>
  <c r="L34" i="23"/>
  <c r="P34" i="23"/>
  <c r="P71" i="23"/>
  <c r="Q71" i="23"/>
  <c r="F71" i="23"/>
  <c r="L71" i="23"/>
  <c r="E71" i="23"/>
  <c r="N70" i="23"/>
  <c r="Q7" i="63"/>
  <c r="M70" i="23"/>
  <c r="J70" i="23"/>
  <c r="H70" i="23"/>
  <c r="K71" i="23"/>
  <c r="K7" i="63"/>
  <c r="O71" i="23"/>
  <c r="O7" i="63"/>
  <c r="G66" i="23"/>
  <c r="L7" i="63"/>
  <c r="L66" i="23"/>
  <c r="F20" i="60" l="1"/>
  <c r="G30" i="58"/>
  <c r="I34" i="58"/>
  <c r="M30" i="58"/>
  <c r="J26" i="60"/>
  <c r="K17" i="60"/>
  <c r="R46" i="50"/>
  <c r="J30" i="58"/>
  <c r="H35" i="30"/>
  <c r="P34" i="61"/>
  <c r="R91" i="50"/>
  <c r="N28" i="60"/>
  <c r="R86" i="50"/>
  <c r="S61" i="50"/>
  <c r="N32" i="60"/>
  <c r="H35" i="37"/>
  <c r="O34" i="62"/>
  <c r="K33" i="60"/>
  <c r="F30" i="62"/>
  <c r="R34" i="50"/>
  <c r="P33" i="60"/>
  <c r="N34" i="61"/>
  <c r="K32" i="60"/>
  <c r="E34" i="61"/>
  <c r="L30" i="61"/>
  <c r="J59" i="44"/>
  <c r="J35" i="30"/>
  <c r="J34" i="58"/>
  <c r="E35" i="27"/>
  <c r="H24" i="60"/>
  <c r="I25" i="60"/>
  <c r="F25" i="60"/>
  <c r="J12" i="60"/>
  <c r="R70" i="50"/>
  <c r="J19" i="58"/>
  <c r="R13" i="50"/>
  <c r="M15" i="60"/>
  <c r="E15" i="60"/>
  <c r="F13" i="60"/>
  <c r="J64" i="48"/>
  <c r="R85" i="50"/>
  <c r="O22" i="60"/>
  <c r="O8" i="60"/>
  <c r="O7" i="60"/>
  <c r="J8" i="60"/>
  <c r="J19" i="60" s="1"/>
  <c r="S19" i="48"/>
  <c r="R19" i="48"/>
  <c r="M19" i="61"/>
  <c r="I11" i="60"/>
  <c r="O10" i="60"/>
  <c r="H10" i="60"/>
  <c r="F10" i="60"/>
  <c r="I35" i="42"/>
  <c r="P28" i="60"/>
  <c r="G28" i="60"/>
  <c r="F29" i="60"/>
  <c r="F32" i="60"/>
  <c r="N30" i="57"/>
  <c r="E26" i="60"/>
  <c r="M24" i="60"/>
  <c r="F26" i="60"/>
  <c r="J27" i="60"/>
  <c r="M12" i="60"/>
  <c r="G16" i="60"/>
  <c r="E14" i="60"/>
  <c r="F11" i="60"/>
  <c r="H13" i="60"/>
  <c r="P17" i="60"/>
  <c r="H17" i="60"/>
  <c r="R69" i="50"/>
  <c r="S27" i="50"/>
  <c r="S26" i="44"/>
  <c r="R54" i="44"/>
  <c r="K34" i="61"/>
  <c r="I35" i="33"/>
  <c r="J30" i="59"/>
  <c r="E30" i="56"/>
  <c r="J30" i="55"/>
  <c r="J30" i="61"/>
  <c r="G30" i="55"/>
  <c r="D35" i="35"/>
  <c r="F30" i="56"/>
  <c r="H30" i="55"/>
  <c r="J35" i="31"/>
  <c r="G35" i="37"/>
  <c r="S37" i="50"/>
  <c r="O17" i="60"/>
  <c r="E8" i="60"/>
  <c r="Q26" i="60"/>
  <c r="L9" i="60"/>
  <c r="S10" i="50"/>
  <c r="I18" i="54"/>
  <c r="R7" i="50"/>
  <c r="R74" i="50"/>
  <c r="H16" i="60"/>
  <c r="G19" i="61"/>
  <c r="S48" i="49"/>
  <c r="P19" i="58"/>
  <c r="I19" i="56"/>
  <c r="N35" i="41"/>
  <c r="S35" i="49"/>
  <c r="D35" i="36"/>
  <c r="N19" i="59"/>
  <c r="I35" i="31"/>
  <c r="Q35" i="31"/>
  <c r="K35" i="25"/>
  <c r="I35" i="23"/>
  <c r="D35" i="23"/>
  <c r="E19" i="61"/>
  <c r="H35" i="34"/>
  <c r="D19" i="56"/>
  <c r="E35" i="40"/>
  <c r="N35" i="38"/>
  <c r="O93" i="49"/>
  <c r="K35" i="24"/>
  <c r="K19" i="62"/>
  <c r="R48" i="49"/>
  <c r="N19" i="58"/>
  <c r="R77" i="48"/>
  <c r="M19" i="58"/>
  <c r="K19" i="61"/>
  <c r="M35" i="34"/>
  <c r="F35" i="34"/>
  <c r="D35" i="42"/>
  <c r="H18" i="60"/>
  <c r="S85" i="50"/>
  <c r="Q8" i="60"/>
  <c r="M28" i="60"/>
  <c r="N13" i="60"/>
  <c r="Q32" i="60"/>
  <c r="N10" i="60"/>
  <c r="O24" i="60"/>
  <c r="L8" i="60"/>
  <c r="I16" i="60"/>
  <c r="P10" i="60"/>
  <c r="P23" i="60"/>
  <c r="R15" i="50"/>
  <c r="J21" i="60"/>
  <c r="R73" i="50"/>
  <c r="L30" i="62"/>
  <c r="P34" i="62"/>
  <c r="E34" i="62"/>
  <c r="P31" i="60"/>
  <c r="I24" i="60"/>
  <c r="N11" i="60"/>
  <c r="E19" i="62"/>
  <c r="R57" i="50"/>
  <c r="Q30" i="62"/>
  <c r="R87" i="50"/>
  <c r="S58" i="50"/>
  <c r="N9" i="60"/>
  <c r="R78" i="50"/>
  <c r="S67" i="50"/>
  <c r="S71" i="50"/>
  <c r="S84" i="50"/>
  <c r="Q27" i="60"/>
  <c r="K16" i="60"/>
  <c r="F34" i="61"/>
  <c r="R62" i="50"/>
  <c r="R24" i="50"/>
  <c r="G15" i="60"/>
  <c r="R41" i="50"/>
  <c r="Q13" i="60"/>
  <c r="K11" i="60"/>
  <c r="N35" i="34"/>
  <c r="D35" i="34"/>
  <c r="D35" i="33"/>
  <c r="E34" i="59"/>
  <c r="I64" i="49"/>
  <c r="Q30" i="59"/>
  <c r="N30" i="59"/>
  <c r="J35" i="32"/>
  <c r="E35" i="32"/>
  <c r="M35" i="32"/>
  <c r="R77" i="49"/>
  <c r="G30" i="59"/>
  <c r="H19" i="59"/>
  <c r="J19" i="59"/>
  <c r="D30" i="59"/>
  <c r="H35" i="32"/>
  <c r="I93" i="49"/>
  <c r="M30" i="59"/>
  <c r="K64" i="49"/>
  <c r="I34" i="59"/>
  <c r="S77" i="49"/>
  <c r="D35" i="31"/>
  <c r="P35" i="31"/>
  <c r="F35" i="31"/>
  <c r="N59" i="44"/>
  <c r="F30" i="58"/>
  <c r="J19" i="57"/>
  <c r="O35" i="28"/>
  <c r="E19" i="56"/>
  <c r="J17" i="54"/>
  <c r="H19" i="56"/>
  <c r="R73" i="44"/>
  <c r="J30" i="56"/>
  <c r="D30" i="56"/>
  <c r="G18" i="54"/>
  <c r="F34" i="56"/>
  <c r="O34" i="26"/>
  <c r="O35" i="26" s="1"/>
  <c r="P19" i="55"/>
  <c r="M34" i="55"/>
  <c r="M30" i="55"/>
  <c r="M12" i="54"/>
  <c r="E19" i="57"/>
  <c r="E30" i="57"/>
  <c r="F19" i="57"/>
  <c r="F18" i="54"/>
  <c r="P35" i="42"/>
  <c r="E35" i="39"/>
  <c r="H35" i="39"/>
  <c r="P35" i="39"/>
  <c r="H35" i="38"/>
  <c r="O35" i="38"/>
  <c r="Q33" i="60"/>
  <c r="P8" i="60"/>
  <c r="O18" i="60"/>
  <c r="O16" i="60"/>
  <c r="K18" i="60"/>
  <c r="S62" i="50"/>
  <c r="Q31" i="60"/>
  <c r="F35" i="37"/>
  <c r="J35" i="37"/>
  <c r="P35" i="37"/>
  <c r="G19" i="62"/>
  <c r="G35" i="62" s="1"/>
  <c r="K15" i="60"/>
  <c r="R40" i="50"/>
  <c r="N34" i="62"/>
  <c r="S57" i="50"/>
  <c r="M23" i="60"/>
  <c r="L19" i="62"/>
  <c r="S78" i="50"/>
  <c r="K25" i="60"/>
  <c r="J23" i="60"/>
  <c r="Q23" i="60"/>
  <c r="H32" i="60"/>
  <c r="I31" i="60"/>
  <c r="D19" i="62"/>
  <c r="N19" i="62"/>
  <c r="R18" i="50"/>
  <c r="F19" i="62"/>
  <c r="S60" i="50"/>
  <c r="H31" i="60"/>
  <c r="K21" i="60"/>
  <c r="P9" i="60"/>
  <c r="P19" i="62"/>
  <c r="L30" i="50"/>
  <c r="L35" i="50" s="1"/>
  <c r="Q28" i="60"/>
  <c r="L35" i="36"/>
  <c r="L25" i="60"/>
  <c r="O26" i="60"/>
  <c r="S81" i="50"/>
  <c r="N7" i="60"/>
  <c r="K12" i="60"/>
  <c r="R61" i="50"/>
  <c r="O34" i="61"/>
  <c r="R22" i="50"/>
  <c r="K30" i="61"/>
  <c r="D34" i="61"/>
  <c r="H34" i="61"/>
  <c r="S23" i="50"/>
  <c r="R11" i="50"/>
  <c r="O19" i="61"/>
  <c r="H19" i="61"/>
  <c r="J19" i="61"/>
  <c r="R53" i="50"/>
  <c r="L35" i="33"/>
  <c r="O11" i="54"/>
  <c r="N7" i="54"/>
  <c r="F11" i="54"/>
  <c r="Q8" i="54"/>
  <c r="R7" i="44"/>
  <c r="H35" i="33"/>
  <c r="J7" i="54"/>
  <c r="G26" i="54"/>
  <c r="K15" i="54"/>
  <c r="O15" i="54"/>
  <c r="G35" i="33"/>
  <c r="M35" i="33"/>
  <c r="K27" i="54"/>
  <c r="O9" i="54"/>
  <c r="E27" i="54"/>
  <c r="P19" i="59"/>
  <c r="G34" i="59"/>
  <c r="Q19" i="59"/>
  <c r="I30" i="59"/>
  <c r="E19" i="59"/>
  <c r="E35" i="59" s="1"/>
  <c r="P34" i="59"/>
  <c r="K19" i="59"/>
  <c r="G19" i="59"/>
  <c r="O19" i="59"/>
  <c r="M19" i="59"/>
  <c r="O26" i="54"/>
  <c r="H35" i="31"/>
  <c r="K35" i="30"/>
  <c r="E35" i="23"/>
  <c r="J35" i="23"/>
  <c r="S75" i="44"/>
  <c r="H11" i="54"/>
  <c r="H16" i="54"/>
  <c r="Q12" i="54"/>
  <c r="M13" i="54"/>
  <c r="G16" i="54"/>
  <c r="J11" i="54"/>
  <c r="O17" i="54"/>
  <c r="P34" i="55"/>
  <c r="N16" i="54"/>
  <c r="D11" i="54"/>
  <c r="M19" i="56"/>
  <c r="P9" i="54"/>
  <c r="J9" i="54"/>
  <c r="R79" i="44"/>
  <c r="S18" i="44"/>
  <c r="P25" i="54"/>
  <c r="O19" i="56"/>
  <c r="H30" i="56"/>
  <c r="K19" i="56"/>
  <c r="M34" i="56"/>
  <c r="S29" i="44"/>
  <c r="O34" i="56"/>
  <c r="P34" i="56"/>
  <c r="E10" i="54"/>
  <c r="F9" i="54"/>
  <c r="G30" i="56"/>
  <c r="J19" i="56"/>
  <c r="J30" i="57"/>
  <c r="G19" i="57"/>
  <c r="P11" i="54"/>
  <c r="E14" i="54"/>
  <c r="D9" i="54"/>
  <c r="I14" i="54"/>
  <c r="J15" i="54"/>
  <c r="F34" i="57"/>
  <c r="O30" i="57"/>
  <c r="P19" i="57"/>
  <c r="K19" i="57"/>
  <c r="E13" i="54"/>
  <c r="M14" i="54"/>
  <c r="Q93" i="47"/>
  <c r="S93" i="47" s="1"/>
  <c r="N26" i="54"/>
  <c r="R65" i="44"/>
  <c r="D17" i="54"/>
  <c r="H13" i="54"/>
  <c r="E7" i="54"/>
  <c r="I15" i="54"/>
  <c r="D12" i="54"/>
  <c r="S66" i="44"/>
  <c r="H30" i="57"/>
  <c r="Q19" i="57"/>
  <c r="I22" i="54"/>
  <c r="R69" i="44"/>
  <c r="S9" i="44"/>
  <c r="R85" i="44"/>
  <c r="O34" i="59"/>
  <c r="M11" i="54"/>
  <c r="O10" i="54"/>
  <c r="L30" i="59"/>
  <c r="O30" i="59"/>
  <c r="H63" i="44"/>
  <c r="Q63" i="44"/>
  <c r="L35" i="30"/>
  <c r="I11" i="54"/>
  <c r="S53" i="44"/>
  <c r="Q14" i="54"/>
  <c r="E16" i="54"/>
  <c r="D16" i="54"/>
  <c r="J18" i="54"/>
  <c r="R48" i="48"/>
  <c r="M35" i="29"/>
  <c r="E15" i="54"/>
  <c r="N25" i="54"/>
  <c r="Q17" i="54"/>
  <c r="R17" i="44"/>
  <c r="S68" i="44"/>
  <c r="S8" i="44"/>
  <c r="O13" i="54"/>
  <c r="S71" i="44"/>
  <c r="I23" i="54"/>
  <c r="R15" i="44"/>
  <c r="D24" i="54"/>
  <c r="R75" i="44"/>
  <c r="I35" i="30"/>
  <c r="R40" i="44"/>
  <c r="J8" i="54"/>
  <c r="N35" i="30"/>
  <c r="S47" i="44"/>
  <c r="L64" i="49"/>
  <c r="S64" i="49" s="1"/>
  <c r="R11" i="44"/>
  <c r="F19" i="59"/>
  <c r="G7" i="54"/>
  <c r="P14" i="54"/>
  <c r="F93" i="49"/>
  <c r="M9" i="54"/>
  <c r="R10" i="44"/>
  <c r="S16" i="44"/>
  <c r="S25" i="44"/>
  <c r="K25" i="54"/>
  <c r="R12" i="44"/>
  <c r="S45" i="44"/>
  <c r="M7" i="54"/>
  <c r="N14" i="54"/>
  <c r="F30" i="59"/>
  <c r="D34" i="59"/>
  <c r="N9" i="54"/>
  <c r="G35" i="31"/>
  <c r="K35" i="31"/>
  <c r="I63" i="44"/>
  <c r="R53" i="44"/>
  <c r="N8" i="54"/>
  <c r="J25" i="54"/>
  <c r="P10" i="54"/>
  <c r="O19" i="57"/>
  <c r="Q13" i="54"/>
  <c r="D19" i="57"/>
  <c r="G30" i="57"/>
  <c r="N19" i="57"/>
  <c r="M17" i="54"/>
  <c r="R37" i="44"/>
  <c r="E17" i="54"/>
  <c r="R82" i="44"/>
  <c r="E30" i="58"/>
  <c r="O19" i="58"/>
  <c r="F19" i="58"/>
  <c r="E18" i="54"/>
  <c r="M8" i="54"/>
  <c r="I13" i="54"/>
  <c r="M10" i="54"/>
  <c r="D19" i="58"/>
  <c r="E24" i="54"/>
  <c r="O16" i="54"/>
  <c r="K30" i="58"/>
  <c r="Q34" i="58"/>
  <c r="D7" i="54"/>
  <c r="E11" i="54"/>
  <c r="K21" i="54"/>
  <c r="R21" i="44"/>
  <c r="S21" i="44"/>
  <c r="K7" i="54"/>
  <c r="S27" i="44"/>
  <c r="K19" i="58"/>
  <c r="F10" i="54"/>
  <c r="F26" i="54"/>
  <c r="N11" i="54"/>
  <c r="N35" i="23"/>
  <c r="O34" i="55"/>
  <c r="F14" i="54"/>
  <c r="F8" i="54"/>
  <c r="K19" i="55"/>
  <c r="Q11" i="54"/>
  <c r="Q15" i="54"/>
  <c r="J34" i="26"/>
  <c r="J35" i="26" s="1"/>
  <c r="O19" i="44"/>
  <c r="O35" i="44" s="1"/>
  <c r="L8" i="54"/>
  <c r="E19" i="55"/>
  <c r="O19" i="55"/>
  <c r="J19" i="55"/>
  <c r="Q19" i="55"/>
  <c r="S73" i="44"/>
  <c r="R74" i="44"/>
  <c r="H12" i="54"/>
  <c r="E9" i="54"/>
  <c r="E20" i="54"/>
  <c r="F13" i="54"/>
  <c r="S50" i="44"/>
  <c r="H15" i="54"/>
  <c r="D19" i="55"/>
  <c r="Q19" i="56"/>
  <c r="I34" i="56"/>
  <c r="S69" i="44"/>
  <c r="N19" i="56"/>
  <c r="N20" i="54"/>
  <c r="L19" i="56"/>
  <c r="S35" i="46"/>
  <c r="L30" i="56"/>
  <c r="J93" i="46"/>
  <c r="S10" i="44"/>
  <c r="P19" i="56"/>
  <c r="S79" i="44"/>
  <c r="O14" i="54"/>
  <c r="F15" i="54"/>
  <c r="S11" i="44"/>
  <c r="R13" i="44"/>
  <c r="R76" i="44"/>
  <c r="H19" i="55"/>
  <c r="L35" i="23"/>
  <c r="H35" i="42"/>
  <c r="E35" i="42"/>
  <c r="Q35" i="42"/>
  <c r="M35" i="42"/>
  <c r="L35" i="41"/>
  <c r="I35" i="41"/>
  <c r="E35" i="41"/>
  <c r="J35" i="40"/>
  <c r="Q35" i="40"/>
  <c r="P35" i="40"/>
  <c r="Q35" i="39"/>
  <c r="N35" i="39"/>
  <c r="E35" i="38"/>
  <c r="G35" i="38"/>
  <c r="L35" i="37"/>
  <c r="D34" i="62"/>
  <c r="F34" i="62"/>
  <c r="Q35" i="36"/>
  <c r="O35" i="36"/>
  <c r="E35" i="36"/>
  <c r="L34" i="62"/>
  <c r="M30" i="62"/>
  <c r="O35" i="35"/>
  <c r="G34" i="61"/>
  <c r="I35" i="35"/>
  <c r="P30" i="61"/>
  <c r="M30" i="61"/>
  <c r="P35" i="35"/>
  <c r="E35" i="34"/>
  <c r="Q35" i="34"/>
  <c r="F35" i="33"/>
  <c r="O35" i="33"/>
  <c r="I92" i="44"/>
  <c r="Q35" i="32"/>
  <c r="H34" i="59"/>
  <c r="F34" i="59"/>
  <c r="M34" i="59"/>
  <c r="L34" i="59"/>
  <c r="P35" i="32"/>
  <c r="D35" i="32"/>
  <c r="F35" i="32"/>
  <c r="O35" i="32"/>
  <c r="N35" i="32"/>
  <c r="N35" i="31"/>
  <c r="D35" i="30"/>
  <c r="E34" i="58"/>
  <c r="K34" i="58"/>
  <c r="G35" i="29"/>
  <c r="L34" i="58"/>
  <c r="E34" i="57"/>
  <c r="P30" i="57"/>
  <c r="H35" i="28"/>
  <c r="I34" i="57"/>
  <c r="H34" i="57"/>
  <c r="G34" i="57"/>
  <c r="P35" i="28"/>
  <c r="I30" i="57"/>
  <c r="S35" i="47"/>
  <c r="I35" i="27"/>
  <c r="N35" i="27"/>
  <c r="I35" i="25"/>
  <c r="E34" i="56"/>
  <c r="K34" i="26"/>
  <c r="J35" i="25"/>
  <c r="E34" i="26"/>
  <c r="P35" i="25"/>
  <c r="D35" i="25"/>
  <c r="N35" i="25"/>
  <c r="L34" i="56"/>
  <c r="Q35" i="25"/>
  <c r="L35" i="25"/>
  <c r="J34" i="55"/>
  <c r="H34" i="55"/>
  <c r="N34" i="55"/>
  <c r="K34" i="55"/>
  <c r="Q30" i="55"/>
  <c r="E35" i="24"/>
  <c r="E34" i="55"/>
  <c r="O35" i="45"/>
  <c r="S34" i="45"/>
  <c r="Q30" i="26"/>
  <c r="K30" i="26"/>
  <c r="K35" i="23"/>
  <c r="F35" i="23"/>
  <c r="F35" i="41"/>
  <c r="P35" i="41"/>
  <c r="H35" i="40"/>
  <c r="I35" i="38"/>
  <c r="K35" i="37"/>
  <c r="P35" i="50"/>
  <c r="F19" i="61"/>
  <c r="K35" i="33"/>
  <c r="L35" i="31"/>
  <c r="I19" i="58"/>
  <c r="I35" i="58" s="1"/>
  <c r="D93" i="48"/>
  <c r="I10" i="54"/>
  <c r="S64" i="48"/>
  <c r="D64" i="48"/>
  <c r="R64" i="48" s="1"/>
  <c r="J35" i="27"/>
  <c r="H35" i="25"/>
  <c r="P35" i="24"/>
  <c r="M35" i="23"/>
  <c r="R47" i="50"/>
  <c r="S85" i="44"/>
  <c r="I14" i="60"/>
  <c r="H26" i="60"/>
  <c r="I16" i="54"/>
  <c r="O21" i="54"/>
  <c r="R51" i="44"/>
  <c r="R48" i="50"/>
  <c r="P18" i="54"/>
  <c r="R52" i="44"/>
  <c r="R39" i="44"/>
  <c r="I10" i="60"/>
  <c r="R28" i="50"/>
  <c r="D23" i="60"/>
  <c r="P25" i="60"/>
  <c r="N29" i="60"/>
  <c r="N30" i="60" s="1"/>
  <c r="M31" i="60"/>
  <c r="O29" i="60"/>
  <c r="M25" i="54"/>
  <c r="D26" i="54"/>
  <c r="S76" i="44"/>
  <c r="G25" i="54"/>
  <c r="E12" i="54"/>
  <c r="K7" i="60"/>
  <c r="D11" i="60"/>
  <c r="O27" i="60"/>
  <c r="S36" i="44"/>
  <c r="J20" i="54"/>
  <c r="P16" i="54"/>
  <c r="O25" i="54"/>
  <c r="S12" i="44"/>
  <c r="M16" i="54"/>
  <c r="O25" i="60"/>
  <c r="K27" i="60"/>
  <c r="J12" i="54"/>
  <c r="R24" i="44"/>
  <c r="S83" i="44"/>
  <c r="P22" i="54"/>
  <c r="O8" i="54"/>
  <c r="I22" i="60"/>
  <c r="F22" i="60"/>
  <c r="J10" i="54"/>
  <c r="D10" i="60"/>
  <c r="I12" i="60"/>
  <c r="I15" i="60"/>
  <c r="S28" i="50"/>
  <c r="O7" i="54"/>
  <c r="Q18" i="60"/>
  <c r="O21" i="60"/>
  <c r="S84" i="44"/>
  <c r="S34" i="50"/>
  <c r="O27" i="54"/>
  <c r="M33" i="60"/>
  <c r="H27" i="54"/>
  <c r="I24" i="54"/>
  <c r="N33" i="54"/>
  <c r="O31" i="60"/>
  <c r="I8" i="54"/>
  <c r="E25" i="54"/>
  <c r="R58" i="50"/>
  <c r="E28" i="60"/>
  <c r="D15" i="60"/>
  <c r="D12" i="60"/>
  <c r="E8" i="54"/>
  <c r="H25" i="54"/>
  <c r="R16" i="44"/>
  <c r="M20" i="54"/>
  <c r="S37" i="44"/>
  <c r="Q7" i="54"/>
  <c r="R60" i="50"/>
  <c r="L28" i="60"/>
  <c r="G32" i="60"/>
  <c r="J29" i="60"/>
  <c r="H9" i="60"/>
  <c r="J24" i="60"/>
  <c r="F24" i="54"/>
  <c r="N18" i="54"/>
  <c r="S82" i="44"/>
  <c r="R33" i="44"/>
  <c r="R57" i="44"/>
  <c r="S29" i="50"/>
  <c r="F31" i="60"/>
  <c r="S87" i="50"/>
  <c r="S56" i="50"/>
  <c r="I7" i="54"/>
  <c r="H25" i="60"/>
  <c r="S17" i="44"/>
  <c r="S40" i="50"/>
  <c r="S81" i="44"/>
  <c r="N10" i="54"/>
  <c r="F16" i="54"/>
  <c r="K10" i="54"/>
  <c r="S67" i="44"/>
  <c r="N24" i="54"/>
  <c r="N15" i="54"/>
  <c r="R46" i="44"/>
  <c r="L26" i="54"/>
  <c r="H10" i="54"/>
  <c r="R20" i="44"/>
  <c r="S19" i="50"/>
  <c r="R16" i="50"/>
  <c r="R31" i="44"/>
  <c r="R61" i="44"/>
  <c r="E26" i="54"/>
  <c r="G10" i="54"/>
  <c r="H14" i="54"/>
  <c r="R84" i="44"/>
  <c r="N17" i="54"/>
  <c r="M25" i="60"/>
  <c r="R32" i="50"/>
  <c r="R55" i="50"/>
  <c r="R20" i="50"/>
  <c r="K9" i="54"/>
  <c r="O33" i="60"/>
  <c r="K14" i="60"/>
  <c r="I17" i="60"/>
  <c r="H12" i="60"/>
  <c r="J25" i="60"/>
  <c r="G25" i="60"/>
  <c r="I26" i="60"/>
  <c r="P26" i="60"/>
  <c r="O24" i="54"/>
  <c r="H26" i="54"/>
  <c r="P26" i="54"/>
  <c r="M24" i="54"/>
  <c r="R26" i="44"/>
  <c r="Q26" i="54"/>
  <c r="Q35" i="41"/>
  <c r="K22" i="60"/>
  <c r="O20" i="60"/>
  <c r="Q20" i="60"/>
  <c r="I23" i="60"/>
  <c r="R52" i="50"/>
  <c r="S50" i="50"/>
  <c r="H22" i="60"/>
  <c r="R64" i="52"/>
  <c r="P21" i="60"/>
  <c r="R35" i="52"/>
  <c r="H27" i="60"/>
  <c r="L27" i="60"/>
  <c r="F23" i="60"/>
  <c r="K20" i="60"/>
  <c r="L22" i="60"/>
  <c r="N22" i="54"/>
  <c r="E21" i="54"/>
  <c r="Q27" i="54"/>
  <c r="F20" i="54"/>
  <c r="D20" i="54"/>
  <c r="N23" i="54"/>
  <c r="R56" i="44"/>
  <c r="R49" i="44"/>
  <c r="S49" i="44"/>
  <c r="P27" i="54"/>
  <c r="F23" i="54"/>
  <c r="H20" i="54"/>
  <c r="G22" i="54"/>
  <c r="J27" i="54"/>
  <c r="N27" i="54"/>
  <c r="M22" i="54"/>
  <c r="S23" i="44"/>
  <c r="H23" i="54"/>
  <c r="E22" i="54"/>
  <c r="S93" i="46"/>
  <c r="O20" i="54"/>
  <c r="S52" i="44"/>
  <c r="R22" i="44"/>
  <c r="L27" i="54"/>
  <c r="I21" i="54"/>
  <c r="S56" i="44"/>
  <c r="I27" i="54"/>
  <c r="S51" i="44"/>
  <c r="Q22" i="54"/>
  <c r="R23" i="44"/>
  <c r="S22" i="44"/>
  <c r="S20" i="44"/>
  <c r="M30" i="26"/>
  <c r="E30" i="26"/>
  <c r="P35" i="36"/>
  <c r="O35" i="27"/>
  <c r="N35" i="37"/>
  <c r="M35" i="31"/>
  <c r="M34" i="62"/>
  <c r="N35" i="35"/>
  <c r="N35" i="33"/>
  <c r="O35" i="42"/>
  <c r="O35" i="41"/>
  <c r="F35" i="40"/>
  <c r="G35" i="39"/>
  <c r="M35" i="38"/>
  <c r="K35" i="38"/>
  <c r="L35" i="38"/>
  <c r="F33" i="60"/>
  <c r="S38" i="50"/>
  <c r="G29" i="60"/>
  <c r="R23" i="50"/>
  <c r="Q35" i="37"/>
  <c r="P12" i="60"/>
  <c r="H23" i="60"/>
  <c r="G17" i="60"/>
  <c r="G31" i="60"/>
  <c r="G33" i="60"/>
  <c r="Q7" i="60"/>
  <c r="K26" i="60"/>
  <c r="Q14" i="60"/>
  <c r="R80" i="50"/>
  <c r="K23" i="60"/>
  <c r="R31" i="50"/>
  <c r="R38" i="50"/>
  <c r="O12" i="60"/>
  <c r="Q25" i="60"/>
  <c r="I20" i="60"/>
  <c r="F8" i="60"/>
  <c r="H8" i="60"/>
  <c r="H64" i="50"/>
  <c r="D7" i="60"/>
  <c r="S82" i="50"/>
  <c r="S83" i="50"/>
  <c r="I29" i="60"/>
  <c r="D32" i="60"/>
  <c r="N31" i="60"/>
  <c r="K30" i="62"/>
  <c r="D88" i="50"/>
  <c r="R88" i="50" s="1"/>
  <c r="R88" i="52"/>
  <c r="N35" i="36"/>
  <c r="D33" i="60"/>
  <c r="L14" i="60"/>
  <c r="I34" i="62"/>
  <c r="H35" i="36"/>
  <c r="Q24" i="60"/>
  <c r="P30" i="62"/>
  <c r="R10" i="50"/>
  <c r="H20" i="60"/>
  <c r="O32" i="60"/>
  <c r="G35" i="36"/>
  <c r="R27" i="50"/>
  <c r="P7" i="60"/>
  <c r="M29" i="60"/>
  <c r="R37" i="50"/>
  <c r="S42" i="50"/>
  <c r="S93" i="52"/>
  <c r="O30" i="62"/>
  <c r="H93" i="50"/>
  <c r="L29" i="60"/>
  <c r="H19" i="62"/>
  <c r="F35" i="36"/>
  <c r="K35" i="50"/>
  <c r="S64" i="52"/>
  <c r="J28" i="60"/>
  <c r="O28" i="60"/>
  <c r="D30" i="62"/>
  <c r="S55" i="50"/>
  <c r="J19" i="62"/>
  <c r="K10" i="60"/>
  <c r="E23" i="60"/>
  <c r="N8" i="60"/>
  <c r="N12" i="60"/>
  <c r="Q9" i="60"/>
  <c r="I19" i="62"/>
  <c r="R63" i="50"/>
  <c r="S92" i="50"/>
  <c r="S48" i="50"/>
  <c r="L12" i="60"/>
  <c r="S41" i="50"/>
  <c r="Q77" i="50"/>
  <c r="D21" i="60"/>
  <c r="R50" i="50"/>
  <c r="D16" i="60"/>
  <c r="R45" i="50"/>
  <c r="R49" i="50"/>
  <c r="D20" i="60"/>
  <c r="S93" i="51"/>
  <c r="M34" i="61"/>
  <c r="E64" i="50"/>
  <c r="S91" i="50"/>
  <c r="O30" i="61"/>
  <c r="H30" i="61"/>
  <c r="L26" i="60"/>
  <c r="L7" i="60"/>
  <c r="S65" i="50"/>
  <c r="L18" i="60"/>
  <c r="S47" i="50"/>
  <c r="D19" i="61"/>
  <c r="S80" i="50"/>
  <c r="R39" i="50"/>
  <c r="S77" i="51"/>
  <c r="S44" i="50"/>
  <c r="S49" i="50"/>
  <c r="S88" i="50"/>
  <c r="O35" i="50"/>
  <c r="J32" i="60"/>
  <c r="J34" i="60" s="1"/>
  <c r="I33" i="60"/>
  <c r="L21" i="60"/>
  <c r="D8" i="60"/>
  <c r="Q21" i="60"/>
  <c r="L20" i="60"/>
  <c r="L24" i="60"/>
  <c r="L15" i="60"/>
  <c r="D17" i="60"/>
  <c r="R75" i="50"/>
  <c r="L19" i="61"/>
  <c r="L23" i="60"/>
  <c r="S52" i="50"/>
  <c r="D27" i="60"/>
  <c r="R56" i="50"/>
  <c r="S20" i="50"/>
  <c r="D9" i="60"/>
  <c r="R67" i="50"/>
  <c r="S68" i="50"/>
  <c r="R79" i="50"/>
  <c r="I19" i="61"/>
  <c r="L17" i="60"/>
  <c r="S46" i="50"/>
  <c r="R81" i="50"/>
  <c r="R92" i="51"/>
  <c r="R43" i="50"/>
  <c r="D14" i="60"/>
  <c r="L16" i="60"/>
  <c r="S45" i="50"/>
  <c r="R51" i="50"/>
  <c r="P29" i="60"/>
  <c r="P30" i="60" s="1"/>
  <c r="S59" i="50"/>
  <c r="G64" i="50"/>
  <c r="R93" i="51"/>
  <c r="S89" i="50"/>
  <c r="L32" i="60"/>
  <c r="S90" i="50"/>
  <c r="E29" i="60"/>
  <c r="K35" i="35"/>
  <c r="L13" i="60"/>
  <c r="D13" i="60"/>
  <c r="S86" i="50"/>
  <c r="M21" i="60"/>
  <c r="L11" i="60"/>
  <c r="Q19" i="61"/>
  <c r="P19" i="61"/>
  <c r="S53" i="50"/>
  <c r="D24" i="60"/>
  <c r="R82" i="50"/>
  <c r="S54" i="50"/>
  <c r="D25" i="60"/>
  <c r="R54" i="50"/>
  <c r="R68" i="50"/>
  <c r="L10" i="60"/>
  <c r="S39" i="50"/>
  <c r="D26" i="60"/>
  <c r="R63" i="51"/>
  <c r="S36" i="50"/>
  <c r="G35" i="34"/>
  <c r="P35" i="34"/>
  <c r="R87" i="44"/>
  <c r="J35" i="33"/>
  <c r="P33" i="54"/>
  <c r="P12" i="54"/>
  <c r="S24" i="44"/>
  <c r="F77" i="44"/>
  <c r="R27" i="44"/>
  <c r="E23" i="54"/>
  <c r="S55" i="44"/>
  <c r="R41" i="44"/>
  <c r="G27" i="54"/>
  <c r="F12" i="54"/>
  <c r="G24" i="54"/>
  <c r="J23" i="54"/>
  <c r="F17" i="54"/>
  <c r="P17" i="54"/>
  <c r="J77" i="44"/>
  <c r="N77" i="44"/>
  <c r="N93" i="44" s="1"/>
  <c r="Q35" i="33"/>
  <c r="Q18" i="54"/>
  <c r="O12" i="54"/>
  <c r="F27" i="54"/>
  <c r="M15" i="54"/>
  <c r="S15" i="44"/>
  <c r="H24" i="54"/>
  <c r="R38" i="44"/>
  <c r="I12" i="54"/>
  <c r="H33" i="54"/>
  <c r="G35" i="32"/>
  <c r="Q10" i="54"/>
  <c r="L19" i="59"/>
  <c r="K30" i="59"/>
  <c r="H8" i="54"/>
  <c r="J13" i="54"/>
  <c r="R70" i="44"/>
  <c r="R81" i="44"/>
  <c r="D21" i="54"/>
  <c r="S46" i="44"/>
  <c r="L9" i="54"/>
  <c r="S92" i="49"/>
  <c r="D93" i="49"/>
  <c r="R93" i="49" s="1"/>
  <c r="R9" i="44"/>
  <c r="I19" i="59"/>
  <c r="Q24" i="54"/>
  <c r="K14" i="54"/>
  <c r="S39" i="44"/>
  <c r="R44" i="44"/>
  <c r="S41" i="44"/>
  <c r="G14" i="54"/>
  <c r="L35" i="32"/>
  <c r="K34" i="59"/>
  <c r="D19" i="59"/>
  <c r="H9" i="54"/>
  <c r="S7" i="44"/>
  <c r="N12" i="54"/>
  <c r="N13" i="54"/>
  <c r="K19" i="44"/>
  <c r="I19" i="44"/>
  <c r="M23" i="54"/>
  <c r="O18" i="54"/>
  <c r="N21" i="54"/>
  <c r="Q9" i="54"/>
  <c r="K17" i="54"/>
  <c r="Q20" i="54"/>
  <c r="I9" i="54"/>
  <c r="O35" i="31"/>
  <c r="I20" i="54"/>
  <c r="L10" i="54"/>
  <c r="P7" i="54"/>
  <c r="M35" i="30"/>
  <c r="K18" i="54"/>
  <c r="P24" i="54"/>
  <c r="K26" i="54"/>
  <c r="P15" i="54"/>
  <c r="R18" i="44"/>
  <c r="S38" i="44"/>
  <c r="S48" i="48"/>
  <c r="M26" i="54"/>
  <c r="R55" i="44"/>
  <c r="H17" i="54"/>
  <c r="S77" i="48"/>
  <c r="E35" i="48"/>
  <c r="L14" i="54"/>
  <c r="R62" i="44"/>
  <c r="M35" i="48"/>
  <c r="P35" i="29"/>
  <c r="J29" i="54"/>
  <c r="N35" i="29"/>
  <c r="L93" i="48"/>
  <c r="S88" i="48"/>
  <c r="D22" i="54"/>
  <c r="P77" i="44"/>
  <c r="P93" i="44" s="1"/>
  <c r="O22" i="54"/>
  <c r="J22" i="54"/>
  <c r="L35" i="29"/>
  <c r="G12" i="54"/>
  <c r="E19" i="58"/>
  <c r="F35" i="29"/>
  <c r="S80" i="44"/>
  <c r="J31" i="54"/>
  <c r="H32" i="54"/>
  <c r="S92" i="44"/>
  <c r="G35" i="48"/>
  <c r="L30" i="58"/>
  <c r="K35" i="29"/>
  <c r="I33" i="54"/>
  <c r="M34" i="58"/>
  <c r="P34" i="58"/>
  <c r="P35" i="58" s="1"/>
  <c r="I93" i="48"/>
  <c r="F7" i="54"/>
  <c r="O77" i="44"/>
  <c r="Q48" i="44"/>
  <c r="K24" i="54"/>
  <c r="L24" i="54"/>
  <c r="P21" i="54"/>
  <c r="I25" i="54"/>
  <c r="K13" i="54"/>
  <c r="H7" i="54"/>
  <c r="L19" i="58"/>
  <c r="J21" i="54"/>
  <c r="G19" i="58"/>
  <c r="S13" i="44"/>
  <c r="R8" i="44"/>
  <c r="Q25" i="54"/>
  <c r="J14" i="54"/>
  <c r="D64" i="47"/>
  <c r="R64" i="47" s="1"/>
  <c r="R63" i="47"/>
  <c r="R89" i="44"/>
  <c r="Q19" i="44"/>
  <c r="D14" i="54"/>
  <c r="L16" i="54"/>
  <c r="R35" i="47"/>
  <c r="G13" i="54"/>
  <c r="G20" i="54"/>
  <c r="J26" i="54"/>
  <c r="G17" i="54"/>
  <c r="R68" i="44"/>
  <c r="J19" i="44"/>
  <c r="N63" i="44"/>
  <c r="L34" i="57"/>
  <c r="R93" i="47"/>
  <c r="S58" i="44"/>
  <c r="M31" i="54"/>
  <c r="E35" i="28"/>
  <c r="P34" i="57"/>
  <c r="S28" i="44"/>
  <c r="S34" i="44"/>
  <c r="S87" i="44"/>
  <c r="S89" i="44"/>
  <c r="J48" i="44"/>
  <c r="I48" i="44"/>
  <c r="L18" i="54"/>
  <c r="J24" i="54"/>
  <c r="G8" i="54"/>
  <c r="H21" i="54"/>
  <c r="N19" i="44"/>
  <c r="M18" i="54"/>
  <c r="R47" i="44"/>
  <c r="H19" i="44"/>
  <c r="H35" i="44" s="1"/>
  <c r="G19" i="44"/>
  <c r="L12" i="54"/>
  <c r="L64" i="47"/>
  <c r="S63" i="47"/>
  <c r="Q35" i="28"/>
  <c r="P48" i="44"/>
  <c r="D25" i="54"/>
  <c r="L19" i="57"/>
  <c r="I19" i="57"/>
  <c r="S54" i="44"/>
  <c r="K23" i="54"/>
  <c r="G30" i="26"/>
  <c r="R28" i="44"/>
  <c r="K12" i="54"/>
  <c r="Q16" i="54"/>
  <c r="J16" i="54"/>
  <c r="S31" i="44"/>
  <c r="R35" i="46"/>
  <c r="G19" i="56"/>
  <c r="I26" i="54"/>
  <c r="R32" i="44"/>
  <c r="S70" i="44"/>
  <c r="N48" i="44"/>
  <c r="R80" i="44"/>
  <c r="S30" i="46"/>
  <c r="R58" i="44"/>
  <c r="S62" i="44"/>
  <c r="G35" i="25"/>
  <c r="K34" i="56"/>
  <c r="E77" i="44"/>
  <c r="P20" i="54"/>
  <c r="L21" i="54"/>
  <c r="L25" i="54"/>
  <c r="Q21" i="54"/>
  <c r="L22" i="54"/>
  <c r="F19" i="56"/>
  <c r="F21" i="54"/>
  <c r="K16" i="54"/>
  <c r="R67" i="44"/>
  <c r="R42" i="44"/>
  <c r="F48" i="44"/>
  <c r="M27" i="54"/>
  <c r="F19" i="44"/>
  <c r="E19" i="44"/>
  <c r="L64" i="46"/>
  <c r="S64" i="46" s="1"/>
  <c r="S63" i="46"/>
  <c r="R90" i="44"/>
  <c r="S65" i="44"/>
  <c r="O35" i="25"/>
  <c r="H22" i="54"/>
  <c r="S86" i="44"/>
  <c r="F19" i="55"/>
  <c r="Q77" i="44"/>
  <c r="E48" i="44"/>
  <c r="P13" i="54"/>
  <c r="K20" i="54"/>
  <c r="D13" i="54"/>
  <c r="R71" i="44"/>
  <c r="H18" i="54"/>
  <c r="N30" i="55"/>
  <c r="O35" i="24"/>
  <c r="S32" i="44"/>
  <c r="I31" i="54"/>
  <c r="R60" i="44"/>
  <c r="S57" i="44"/>
  <c r="R86" i="44"/>
  <c r="K8" i="54"/>
  <c r="D27" i="54"/>
  <c r="P23" i="54"/>
  <c r="R91" i="44"/>
  <c r="I19" i="55"/>
  <c r="K11" i="54"/>
  <c r="M19" i="55"/>
  <c r="I34" i="55"/>
  <c r="G77" i="44"/>
  <c r="L15" i="54"/>
  <c r="S44" i="44"/>
  <c r="M19" i="44"/>
  <c r="G11" i="54"/>
  <c r="D77" i="44"/>
  <c r="R66" i="44"/>
  <c r="D48" i="44"/>
  <c r="R36" i="44"/>
  <c r="D18" i="54"/>
  <c r="M21" i="54"/>
  <c r="G23" i="54"/>
  <c r="K22" i="54"/>
  <c r="L13" i="54"/>
  <c r="S42" i="44"/>
  <c r="F35" i="24"/>
  <c r="S33" i="44"/>
  <c r="S91" i="44"/>
  <c r="H48" i="44"/>
  <c r="L7" i="54"/>
  <c r="L17" i="54"/>
  <c r="Q23" i="54"/>
  <c r="D15" i="54"/>
  <c r="L34" i="55"/>
  <c r="L30" i="55"/>
  <c r="S61" i="44"/>
  <c r="D30" i="55"/>
  <c r="D35" i="24"/>
  <c r="I35" i="24"/>
  <c r="N35" i="24"/>
  <c r="S60" i="44"/>
  <c r="R29" i="44"/>
  <c r="S90" i="44"/>
  <c r="D19" i="44"/>
  <c r="L11" i="54"/>
  <c r="I17" i="54"/>
  <c r="P30" i="55"/>
  <c r="N19" i="55"/>
  <c r="L23" i="54"/>
  <c r="S40" i="44"/>
  <c r="S74" i="44"/>
  <c r="G19" i="55"/>
  <c r="L20" i="54"/>
  <c r="S78" i="44"/>
  <c r="R45" i="44"/>
  <c r="R78" i="44"/>
  <c r="R50" i="44"/>
  <c r="P35" i="23"/>
  <c r="Q35" i="23"/>
  <c r="O35" i="40"/>
  <c r="O35" i="34"/>
  <c r="F34" i="26"/>
  <c r="F35" i="26" s="1"/>
  <c r="E34" i="44"/>
  <c r="Q35" i="24"/>
  <c r="G35" i="24"/>
  <c r="H35" i="24"/>
  <c r="N34" i="26"/>
  <c r="Q34" i="56"/>
  <c r="H64" i="46"/>
  <c r="L31" i="54"/>
  <c r="Q32" i="54"/>
  <c r="F28" i="54"/>
  <c r="D92" i="44"/>
  <c r="R92" i="44" s="1"/>
  <c r="H64" i="48"/>
  <c r="D30" i="58"/>
  <c r="E35" i="29"/>
  <c r="O34" i="58"/>
  <c r="P35" i="30"/>
  <c r="I35" i="32"/>
  <c r="F35" i="50"/>
  <c r="I34" i="61"/>
  <c r="F35" i="35"/>
  <c r="H30" i="62"/>
  <c r="P64" i="50"/>
  <c r="D35" i="38"/>
  <c r="P35" i="38"/>
  <c r="M35" i="39"/>
  <c r="N35" i="42"/>
  <c r="I30" i="56"/>
  <c r="E30" i="62"/>
  <c r="K35" i="40"/>
  <c r="L77" i="44"/>
  <c r="O48" i="44"/>
  <c r="M77" i="44"/>
  <c r="I77" i="44"/>
  <c r="M48" i="44"/>
  <c r="D8" i="54"/>
  <c r="D23" i="54"/>
  <c r="H34" i="26"/>
  <c r="H35" i="26" s="1"/>
  <c r="K29" i="60"/>
  <c r="J34" i="62"/>
  <c r="H33" i="60"/>
  <c r="F30" i="61"/>
  <c r="N19" i="61"/>
  <c r="O23" i="60"/>
  <c r="D22" i="60"/>
  <c r="H64" i="51"/>
  <c r="J34" i="61"/>
  <c r="Q34" i="62"/>
  <c r="O59" i="44"/>
  <c r="F35" i="25"/>
  <c r="O19" i="62"/>
  <c r="H35" i="23"/>
  <c r="L35" i="24"/>
  <c r="G34" i="55"/>
  <c r="P34" i="26"/>
  <c r="P35" i="26" s="1"/>
  <c r="M34" i="44"/>
  <c r="N30" i="26"/>
  <c r="D34" i="56"/>
  <c r="F35" i="27"/>
  <c r="Q35" i="27"/>
  <c r="H35" i="27"/>
  <c r="J35" i="28"/>
  <c r="J35" i="29"/>
  <c r="F34" i="58"/>
  <c r="J35" i="58"/>
  <c r="P35" i="33"/>
  <c r="D30" i="61"/>
  <c r="H35" i="35"/>
  <c r="M35" i="35"/>
  <c r="J35" i="35"/>
  <c r="N33" i="60"/>
  <c r="K34" i="62"/>
  <c r="F63" i="50"/>
  <c r="H34" i="62"/>
  <c r="D64" i="50"/>
  <c r="J30" i="62"/>
  <c r="K35" i="39"/>
  <c r="J35" i="39"/>
  <c r="N35" i="40"/>
  <c r="D35" i="40"/>
  <c r="J35" i="41"/>
  <c r="M35" i="41"/>
  <c r="G35" i="42"/>
  <c r="M35" i="25"/>
  <c r="E35" i="25"/>
  <c r="Q93" i="48"/>
  <c r="Q34" i="59"/>
  <c r="D10" i="54"/>
  <c r="K77" i="44"/>
  <c r="G48" i="44"/>
  <c r="K48" i="44"/>
  <c r="Q35" i="30"/>
  <c r="N34" i="59"/>
  <c r="H29" i="60"/>
  <c r="E31" i="60"/>
  <c r="E34" i="60" s="1"/>
  <c r="I35" i="29"/>
  <c r="I35" i="36"/>
  <c r="G35" i="40"/>
  <c r="Q19" i="62"/>
  <c r="H19" i="57"/>
  <c r="L19" i="55"/>
  <c r="G15" i="54"/>
  <c r="M19" i="57"/>
  <c r="F22" i="54"/>
  <c r="G9" i="54"/>
  <c r="H19" i="58"/>
  <c r="H35" i="58" s="1"/>
  <c r="D59" i="44"/>
  <c r="M34" i="57"/>
  <c r="L35" i="48"/>
  <c r="M71" i="30"/>
  <c r="O35" i="30"/>
  <c r="O71" i="31"/>
  <c r="H35" i="51"/>
  <c r="G35" i="35"/>
  <c r="M35" i="52"/>
  <c r="M20" i="63"/>
  <c r="G71" i="38"/>
  <c r="D23" i="63"/>
  <c r="I35" i="39"/>
  <c r="E71" i="39"/>
  <c r="L25" i="63"/>
  <c r="D25" i="63"/>
  <c r="J26" i="63"/>
  <c r="H71" i="41"/>
  <c r="O71" i="42"/>
  <c r="Q29" i="60"/>
  <c r="Q35" i="38"/>
  <c r="D35" i="41"/>
  <c r="K24" i="60"/>
  <c r="L19" i="44"/>
  <c r="H77" i="44"/>
  <c r="H93" i="44" s="1"/>
  <c r="P24" i="63"/>
  <c r="N34" i="56"/>
  <c r="Q19" i="58"/>
  <c r="M19" i="62"/>
  <c r="N27" i="63"/>
  <c r="I25" i="63"/>
  <c r="D93" i="45"/>
  <c r="K70" i="26"/>
  <c r="J35" i="24"/>
  <c r="N30" i="44"/>
  <c r="G35" i="27"/>
  <c r="G88" i="44"/>
  <c r="L30" i="57"/>
  <c r="D35" i="48"/>
  <c r="O17" i="63"/>
  <c r="J35" i="34"/>
  <c r="I71" i="35"/>
  <c r="M71" i="39"/>
  <c r="O35" i="39"/>
  <c r="L35" i="40"/>
  <c r="O25" i="63"/>
  <c r="E26" i="63"/>
  <c r="O71" i="41"/>
  <c r="N71" i="41"/>
  <c r="K35" i="41"/>
  <c r="K71" i="42"/>
  <c r="O27" i="63"/>
  <c r="Q93" i="45"/>
  <c r="S93" i="45" s="1"/>
  <c r="N34" i="57"/>
  <c r="F28" i="60"/>
  <c r="L48" i="44"/>
  <c r="Q34" i="57"/>
  <c r="N26" i="63"/>
  <c r="E35" i="33"/>
  <c r="J24" i="63"/>
  <c r="L71" i="41"/>
  <c r="J23" i="63"/>
  <c r="O35" i="23"/>
  <c r="G34" i="44"/>
  <c r="P59" i="44"/>
  <c r="J34" i="56"/>
  <c r="M34" i="26"/>
  <c r="I35" i="26"/>
  <c r="D71" i="27"/>
  <c r="D35" i="27"/>
  <c r="E12" i="63"/>
  <c r="F35" i="28"/>
  <c r="E13" i="63"/>
  <c r="L14" i="63"/>
  <c r="E35" i="35"/>
  <c r="F71" i="37"/>
  <c r="F24" i="63"/>
  <c r="D35" i="39"/>
  <c r="N24" i="63"/>
  <c r="I71" i="41"/>
  <c r="H35" i="41"/>
  <c r="G35" i="41"/>
  <c r="J71" i="42"/>
  <c r="J35" i="42"/>
  <c r="M27" i="63"/>
  <c r="H34" i="56"/>
  <c r="O34" i="57"/>
  <c r="G34" i="58"/>
  <c r="J34" i="59"/>
  <c r="I23" i="63"/>
  <c r="H26" i="63"/>
  <c r="P19" i="44"/>
  <c r="J27" i="63"/>
  <c r="N23" i="63"/>
  <c r="M71" i="42"/>
  <c r="M19" i="60"/>
  <c r="M35" i="50"/>
  <c r="P71" i="27"/>
  <c r="O11" i="63"/>
  <c r="L10" i="63"/>
  <c r="F63" i="44"/>
  <c r="L35" i="27"/>
  <c r="K35" i="27"/>
  <c r="K33" i="54"/>
  <c r="G31" i="54"/>
  <c r="D31" i="54"/>
  <c r="J35" i="50"/>
  <c r="H28" i="60"/>
  <c r="O28" i="54"/>
  <c r="E29" i="54"/>
  <c r="I35" i="50"/>
  <c r="M32" i="60"/>
  <c r="K35" i="42"/>
  <c r="F35" i="42"/>
  <c r="I35" i="40"/>
  <c r="M35" i="40"/>
  <c r="L35" i="39"/>
  <c r="F35" i="38"/>
  <c r="D71" i="38"/>
  <c r="J35" i="38"/>
  <c r="D29" i="60"/>
  <c r="O35" i="37"/>
  <c r="P93" i="50"/>
  <c r="I93" i="50"/>
  <c r="N93" i="50"/>
  <c r="F93" i="50"/>
  <c r="E93" i="50"/>
  <c r="J35" i="36"/>
  <c r="K35" i="36"/>
  <c r="M35" i="36"/>
  <c r="N30" i="62"/>
  <c r="Q34" i="61"/>
  <c r="O93" i="50"/>
  <c r="L35" i="35"/>
  <c r="I30" i="61"/>
  <c r="I28" i="60"/>
  <c r="K28" i="60"/>
  <c r="K35" i="34"/>
  <c r="K35" i="32"/>
  <c r="Q93" i="49"/>
  <c r="S93" i="49" s="1"/>
  <c r="H30" i="59"/>
  <c r="N28" i="54"/>
  <c r="M33" i="54"/>
  <c r="N31" i="54"/>
  <c r="E32" i="54"/>
  <c r="N34" i="58"/>
  <c r="D35" i="29"/>
  <c r="H29" i="54"/>
  <c r="L88" i="44"/>
  <c r="S88" i="44" s="1"/>
  <c r="H35" i="29"/>
  <c r="E28" i="54"/>
  <c r="G29" i="54"/>
  <c r="K34" i="57"/>
  <c r="M29" i="54"/>
  <c r="K30" i="57"/>
  <c r="M93" i="47"/>
  <c r="N35" i="28"/>
  <c r="D30" i="57"/>
  <c r="I35" i="28"/>
  <c r="H31" i="54"/>
  <c r="N32" i="54"/>
  <c r="P31" i="54"/>
  <c r="O32" i="54"/>
  <c r="Q31" i="54"/>
  <c r="D9" i="63"/>
  <c r="D93" i="46"/>
  <c r="R93" i="46" s="1"/>
  <c r="L29" i="54"/>
  <c r="D88" i="44"/>
  <c r="Q29" i="54"/>
  <c r="G34" i="26"/>
  <c r="E8" i="63"/>
  <c r="Q34" i="55"/>
  <c r="E33" i="54"/>
  <c r="P32" i="54"/>
  <c r="F31" i="54"/>
  <c r="P29" i="54"/>
  <c r="K30" i="55"/>
  <c r="F30" i="55"/>
  <c r="G35" i="23"/>
  <c r="Q35" i="35"/>
  <c r="D34" i="58"/>
  <c r="Q35" i="29"/>
  <c r="I88" i="44"/>
  <c r="Q30" i="58"/>
  <c r="O35" i="29"/>
  <c r="D35" i="28"/>
  <c r="D29" i="54"/>
  <c r="L35" i="28"/>
  <c r="K35" i="28"/>
  <c r="P35" i="27"/>
  <c r="L35" i="42"/>
  <c r="K27" i="63"/>
  <c r="L27" i="63"/>
  <c r="G27" i="63"/>
  <c r="G71" i="42"/>
  <c r="E71" i="42"/>
  <c r="E27" i="63"/>
  <c r="D71" i="41"/>
  <c r="K26" i="63"/>
  <c r="K71" i="41"/>
  <c r="Q26" i="63"/>
  <c r="Q71" i="41"/>
  <c r="K25" i="63"/>
  <c r="Q25" i="63"/>
  <c r="Q71" i="40"/>
  <c r="M71" i="40"/>
  <c r="M25" i="63"/>
  <c r="L71" i="39"/>
  <c r="F35" i="39"/>
  <c r="I24" i="63"/>
  <c r="E24" i="63"/>
  <c r="Q24" i="63"/>
  <c r="M23" i="63"/>
  <c r="Q23" i="63"/>
  <c r="Q71" i="38"/>
  <c r="L31" i="60"/>
  <c r="K71" i="37"/>
  <c r="J93" i="50"/>
  <c r="M93" i="52"/>
  <c r="M92" i="50"/>
  <c r="M93" i="50" s="1"/>
  <c r="D93" i="52"/>
  <c r="R93" i="52" s="1"/>
  <c r="G88" i="50"/>
  <c r="G93" i="50" s="1"/>
  <c r="G93" i="52"/>
  <c r="D20" i="63"/>
  <c r="M59" i="50"/>
  <c r="M64" i="50" s="1"/>
  <c r="M64" i="52"/>
  <c r="I59" i="50"/>
  <c r="I64" i="50" s="1"/>
  <c r="I64" i="52"/>
  <c r="I71" i="36"/>
  <c r="I20" i="63"/>
  <c r="Q20" i="63"/>
  <c r="Q71" i="36"/>
  <c r="E34" i="50"/>
  <c r="E35" i="50" s="1"/>
  <c r="E35" i="52"/>
  <c r="K71" i="36"/>
  <c r="K20" i="63"/>
  <c r="G71" i="36"/>
  <c r="G20" i="63"/>
  <c r="L35" i="52"/>
  <c r="S35" i="52" s="1"/>
  <c r="H35" i="50"/>
  <c r="G30" i="50"/>
  <c r="G35" i="50" s="1"/>
  <c r="P19" i="63"/>
  <c r="F93" i="51"/>
  <c r="L34" i="61"/>
  <c r="K92" i="50"/>
  <c r="R92" i="50" s="1"/>
  <c r="L93" i="50"/>
  <c r="D31" i="60"/>
  <c r="O64" i="51"/>
  <c r="O63" i="50"/>
  <c r="O64" i="50" s="1"/>
  <c r="Q63" i="50"/>
  <c r="S63" i="50" s="1"/>
  <c r="Q64" i="51"/>
  <c r="S64" i="51" s="1"/>
  <c r="L33" i="60"/>
  <c r="G64" i="51"/>
  <c r="N59" i="50"/>
  <c r="N64" i="50" s="1"/>
  <c r="N64" i="51"/>
  <c r="F59" i="50"/>
  <c r="F64" i="51"/>
  <c r="D28" i="60"/>
  <c r="L64" i="50"/>
  <c r="F71" i="35"/>
  <c r="K59" i="50"/>
  <c r="R59" i="50" s="1"/>
  <c r="K64" i="51"/>
  <c r="R64" i="51" s="1"/>
  <c r="J59" i="50"/>
  <c r="J64" i="50" s="1"/>
  <c r="J64" i="51"/>
  <c r="N34" i="50"/>
  <c r="N35" i="50" s="1"/>
  <c r="N35" i="51"/>
  <c r="P71" i="35"/>
  <c r="N19" i="63"/>
  <c r="N71" i="35"/>
  <c r="L71" i="35"/>
  <c r="L19" i="63"/>
  <c r="Q30" i="50"/>
  <c r="Q35" i="51"/>
  <c r="S35" i="51" s="1"/>
  <c r="D35" i="51"/>
  <c r="R35" i="51" s="1"/>
  <c r="D30" i="50"/>
  <c r="R30" i="50" s="1"/>
  <c r="L35" i="34"/>
  <c r="K71" i="34"/>
  <c r="Q18" i="63"/>
  <c r="F71" i="34"/>
  <c r="F18" i="63"/>
  <c r="Q71" i="34"/>
  <c r="J71" i="34"/>
  <c r="J18" i="63"/>
  <c r="O31" i="54"/>
  <c r="G32" i="54"/>
  <c r="J33" i="54"/>
  <c r="H28" i="54"/>
  <c r="J28" i="54"/>
  <c r="L28" i="54"/>
  <c r="O29" i="54"/>
  <c r="O33" i="54"/>
  <c r="F29" i="54"/>
  <c r="L71" i="33"/>
  <c r="L17" i="63"/>
  <c r="M32" i="54"/>
  <c r="I32" i="54"/>
  <c r="L16" i="63"/>
  <c r="L33" i="54"/>
  <c r="G33" i="54"/>
  <c r="J32" i="54"/>
  <c r="G28" i="54"/>
  <c r="M28" i="54"/>
  <c r="L71" i="32"/>
  <c r="D64" i="49"/>
  <c r="I59" i="44"/>
  <c r="I29" i="54"/>
  <c r="O16" i="63"/>
  <c r="O71" i="32"/>
  <c r="E71" i="32"/>
  <c r="E16" i="63"/>
  <c r="I16" i="63"/>
  <c r="I71" i="32"/>
  <c r="D16" i="63"/>
  <c r="D71" i="32"/>
  <c r="D35" i="49"/>
  <c r="R35" i="49" s="1"/>
  <c r="D30" i="44"/>
  <c r="H16" i="63"/>
  <c r="H71" i="32"/>
  <c r="G71" i="31"/>
  <c r="G15" i="63"/>
  <c r="D71" i="31"/>
  <c r="D15" i="63"/>
  <c r="F32" i="54"/>
  <c r="N71" i="30"/>
  <c r="N14" i="63"/>
  <c r="I14" i="63"/>
  <c r="H14" i="63"/>
  <c r="H71" i="30"/>
  <c r="D71" i="30"/>
  <c r="D14" i="63"/>
  <c r="E31" i="54"/>
  <c r="K13" i="63"/>
  <c r="K93" i="48"/>
  <c r="J63" i="44"/>
  <c r="N29" i="54"/>
  <c r="I28" i="54"/>
  <c r="H59" i="44"/>
  <c r="O71" i="29"/>
  <c r="O13" i="63"/>
  <c r="K35" i="48"/>
  <c r="G71" i="29"/>
  <c r="G13" i="63"/>
  <c r="Q35" i="48"/>
  <c r="J34" i="57"/>
  <c r="K32" i="54"/>
  <c r="F33" i="54"/>
  <c r="G35" i="28"/>
  <c r="D12" i="63"/>
  <c r="M35" i="28"/>
  <c r="P63" i="44"/>
  <c r="K31" i="54"/>
  <c r="D71" i="28"/>
  <c r="D63" i="44"/>
  <c r="Q64" i="47"/>
  <c r="N12" i="63"/>
  <c r="N71" i="28"/>
  <c r="Q71" i="28"/>
  <c r="Q12" i="63"/>
  <c r="G71" i="28"/>
  <c r="G12" i="63"/>
  <c r="I12" i="63"/>
  <c r="I71" i="28"/>
  <c r="M35" i="27"/>
  <c r="Q71" i="27"/>
  <c r="K11" i="63"/>
  <c r="K71" i="27"/>
  <c r="L63" i="44"/>
  <c r="D34" i="26"/>
  <c r="D35" i="26" s="1"/>
  <c r="O71" i="26"/>
  <c r="Q34" i="26"/>
  <c r="M70" i="26"/>
  <c r="N64" i="46"/>
  <c r="I71" i="26"/>
  <c r="G70" i="26"/>
  <c r="L71" i="26"/>
  <c r="M63" i="44"/>
  <c r="K64" i="46"/>
  <c r="R64" i="46" s="1"/>
  <c r="K59" i="44"/>
  <c r="G59" i="44"/>
  <c r="G64" i="46"/>
  <c r="Q66" i="26"/>
  <c r="I66" i="26"/>
  <c r="K9" i="63"/>
  <c r="K71" i="25"/>
  <c r="G9" i="63"/>
  <c r="G71" i="25"/>
  <c r="M9" i="63"/>
  <c r="M71" i="25"/>
  <c r="I71" i="25"/>
  <c r="I9" i="63"/>
  <c r="F34" i="55"/>
  <c r="L34" i="26"/>
  <c r="L35" i="26" s="1"/>
  <c r="M35" i="24"/>
  <c r="K28" i="54"/>
  <c r="F93" i="45"/>
  <c r="F88" i="44"/>
  <c r="O88" i="44"/>
  <c r="O93" i="45"/>
  <c r="J88" i="44"/>
  <c r="J93" i="45"/>
  <c r="O8" i="63"/>
  <c r="K93" i="45"/>
  <c r="K88" i="44"/>
  <c r="D33" i="54"/>
  <c r="K64" i="45"/>
  <c r="R64" i="45" s="1"/>
  <c r="K63" i="44"/>
  <c r="D32" i="54"/>
  <c r="G64" i="45"/>
  <c r="G63" i="44"/>
  <c r="L32" i="54"/>
  <c r="D34" i="55"/>
  <c r="O63" i="44"/>
  <c r="O64" i="45"/>
  <c r="Q33" i="54"/>
  <c r="M66" i="26"/>
  <c r="D28" i="54"/>
  <c r="F64" i="45"/>
  <c r="F59" i="44"/>
  <c r="M59" i="44"/>
  <c r="M64" i="45"/>
  <c r="E59" i="44"/>
  <c r="E64" i="45"/>
  <c r="Q59" i="44"/>
  <c r="S59" i="44" s="1"/>
  <c r="Q64" i="45"/>
  <c r="S64" i="45" s="1"/>
  <c r="P28" i="54"/>
  <c r="Q28" i="54"/>
  <c r="E66" i="26"/>
  <c r="K29" i="54"/>
  <c r="K8" i="63"/>
  <c r="K71" i="24"/>
  <c r="G8" i="63"/>
  <c r="G71" i="24"/>
  <c r="K34" i="44"/>
  <c r="K35" i="45"/>
  <c r="R35" i="45" s="1"/>
  <c r="N71" i="26"/>
  <c r="N8" i="63"/>
  <c r="H8" i="63"/>
  <c r="H71" i="24"/>
  <c r="J30" i="44"/>
  <c r="J35" i="45"/>
  <c r="Q35" i="45"/>
  <c r="S35" i="45" s="1"/>
  <c r="Q30" i="44"/>
  <c r="S30" i="44" s="1"/>
  <c r="I35" i="45"/>
  <c r="I30" i="44"/>
  <c r="O10" i="63"/>
  <c r="I10" i="63"/>
  <c r="M30" i="44"/>
  <c r="M35" i="45"/>
  <c r="E71" i="26"/>
  <c r="E10" i="63"/>
  <c r="D10" i="63"/>
  <c r="D71" i="26"/>
  <c r="F8" i="63"/>
  <c r="F71" i="24"/>
  <c r="Q71" i="24"/>
  <c r="Q8" i="63"/>
  <c r="M71" i="24"/>
  <c r="M8" i="63"/>
  <c r="E30" i="44"/>
  <c r="E35" i="45"/>
  <c r="J71" i="26"/>
  <c r="J10" i="63"/>
  <c r="P71" i="26"/>
  <c r="P10" i="63"/>
  <c r="J7" i="63"/>
  <c r="J71" i="23"/>
  <c r="N7" i="63"/>
  <c r="N71" i="23"/>
  <c r="I7" i="63"/>
  <c r="I71" i="23"/>
  <c r="H71" i="23"/>
  <c r="H7" i="63"/>
  <c r="G7" i="63"/>
  <c r="G71" i="23"/>
  <c r="D7" i="63"/>
  <c r="D71" i="23"/>
  <c r="N35" i="61" l="1"/>
  <c r="N35" i="58"/>
  <c r="K34" i="60"/>
  <c r="P34" i="60"/>
  <c r="E35" i="62"/>
  <c r="P35" i="62"/>
  <c r="G30" i="60"/>
  <c r="E35" i="61"/>
  <c r="G35" i="61"/>
  <c r="F30" i="60"/>
  <c r="F35" i="56"/>
  <c r="M35" i="55"/>
  <c r="E19" i="60"/>
  <c r="R64" i="49"/>
  <c r="M35" i="59"/>
  <c r="H35" i="55"/>
  <c r="D35" i="56"/>
  <c r="O35" i="55"/>
  <c r="F19" i="60"/>
  <c r="K35" i="61"/>
  <c r="M35" i="56"/>
  <c r="J35" i="55"/>
  <c r="O35" i="59"/>
  <c r="M30" i="60"/>
  <c r="G19" i="60"/>
  <c r="Q34" i="60"/>
  <c r="J35" i="59"/>
  <c r="Q35" i="59"/>
  <c r="E35" i="55"/>
  <c r="M35" i="58"/>
  <c r="P35" i="59"/>
  <c r="Q35" i="55"/>
  <c r="F35" i="57"/>
  <c r="E35" i="56"/>
  <c r="O35" i="56"/>
  <c r="Q35" i="56"/>
  <c r="L35" i="62"/>
  <c r="F35" i="62"/>
  <c r="J35" i="61"/>
  <c r="N35" i="62"/>
  <c r="F35" i="61"/>
  <c r="H35" i="61"/>
  <c r="M35" i="61"/>
  <c r="G35" i="59"/>
  <c r="N35" i="59"/>
  <c r="D35" i="57"/>
  <c r="E35" i="57"/>
  <c r="N35" i="57"/>
  <c r="H35" i="57"/>
  <c r="H35" i="56"/>
  <c r="P35" i="55"/>
  <c r="J35" i="57"/>
  <c r="O35" i="57"/>
  <c r="Q35" i="57"/>
  <c r="I34" i="60"/>
  <c r="O19" i="60"/>
  <c r="Q30" i="60"/>
  <c r="P19" i="60"/>
  <c r="P35" i="60" s="1"/>
  <c r="S30" i="50"/>
  <c r="Q35" i="62"/>
  <c r="H34" i="60"/>
  <c r="Q35" i="61"/>
  <c r="O35" i="61"/>
  <c r="H35" i="59"/>
  <c r="I35" i="59"/>
  <c r="K35" i="56"/>
  <c r="G35" i="56"/>
  <c r="J35" i="56"/>
  <c r="L35" i="56"/>
  <c r="P35" i="56"/>
  <c r="G35" i="57"/>
  <c r="L35" i="59"/>
  <c r="S63" i="44"/>
  <c r="O35" i="58"/>
  <c r="E35" i="58"/>
  <c r="K35" i="58"/>
  <c r="D35" i="59"/>
  <c r="F35" i="59"/>
  <c r="P35" i="57"/>
  <c r="D35" i="58"/>
  <c r="F35" i="58"/>
  <c r="G35" i="58"/>
  <c r="I35" i="55"/>
  <c r="Q35" i="26"/>
  <c r="N35" i="56"/>
  <c r="I35" i="56"/>
  <c r="D35" i="62"/>
  <c r="K35" i="62"/>
  <c r="P35" i="61"/>
  <c r="F34" i="60"/>
  <c r="D35" i="61"/>
  <c r="K35" i="59"/>
  <c r="R93" i="48"/>
  <c r="I35" i="57"/>
  <c r="M35" i="57"/>
  <c r="K35" i="57"/>
  <c r="L35" i="57"/>
  <c r="K35" i="26"/>
  <c r="E35" i="26"/>
  <c r="K35" i="55"/>
  <c r="G35" i="26"/>
  <c r="L35" i="55"/>
  <c r="M35" i="26"/>
  <c r="N35" i="55"/>
  <c r="N35" i="26"/>
  <c r="P22" i="63"/>
  <c r="O35" i="62"/>
  <c r="I35" i="62"/>
  <c r="M35" i="62"/>
  <c r="I35" i="61"/>
  <c r="L35" i="58"/>
  <c r="G35" i="55"/>
  <c r="I35" i="44"/>
  <c r="K19" i="60"/>
  <c r="K35" i="44"/>
  <c r="O30" i="60"/>
  <c r="E19" i="54"/>
  <c r="I19" i="60"/>
  <c r="M34" i="60"/>
  <c r="E30" i="60"/>
  <c r="N19" i="60"/>
  <c r="D34" i="60"/>
  <c r="G35" i="44"/>
  <c r="G93" i="44"/>
  <c r="N34" i="60"/>
  <c r="Q19" i="60"/>
  <c r="L30" i="60"/>
  <c r="R19" i="44"/>
  <c r="O34" i="60"/>
  <c r="J30" i="60"/>
  <c r="J35" i="60" s="1"/>
  <c r="I30" i="60"/>
  <c r="D93" i="50"/>
  <c r="H34" i="54"/>
  <c r="S19" i="44"/>
  <c r="I19" i="54"/>
  <c r="N19" i="54"/>
  <c r="H19" i="60"/>
  <c r="F19" i="54"/>
  <c r="P19" i="54"/>
  <c r="M19" i="54"/>
  <c r="G34" i="60"/>
  <c r="S93" i="48"/>
  <c r="R35" i="48"/>
  <c r="L19" i="60"/>
  <c r="K30" i="60"/>
  <c r="H35" i="62"/>
  <c r="D19" i="60"/>
  <c r="J35" i="62"/>
  <c r="S77" i="50"/>
  <c r="Q93" i="50"/>
  <c r="S93" i="50" s="1"/>
  <c r="F64" i="50"/>
  <c r="L35" i="61"/>
  <c r="F22" i="63"/>
  <c r="O19" i="54"/>
  <c r="J30" i="54"/>
  <c r="Q19" i="54"/>
  <c r="H19" i="54"/>
  <c r="J64" i="44"/>
  <c r="I34" i="54"/>
  <c r="S48" i="44"/>
  <c r="N35" i="44"/>
  <c r="J19" i="54"/>
  <c r="J35" i="44"/>
  <c r="I64" i="44"/>
  <c r="Q93" i="44"/>
  <c r="S35" i="48"/>
  <c r="S64" i="47"/>
  <c r="R59" i="44"/>
  <c r="L35" i="44"/>
  <c r="F35" i="44"/>
  <c r="M93" i="44"/>
  <c r="K19" i="54"/>
  <c r="N64" i="44"/>
  <c r="D19" i="54"/>
  <c r="R77" i="44"/>
  <c r="E35" i="44"/>
  <c r="E93" i="44"/>
  <c r="L19" i="54"/>
  <c r="S77" i="44"/>
  <c r="D35" i="55"/>
  <c r="R93" i="45"/>
  <c r="G19" i="54"/>
  <c r="R34" i="44"/>
  <c r="R63" i="44"/>
  <c r="D93" i="44"/>
  <c r="R88" i="44"/>
  <c r="P35" i="44"/>
  <c r="P30" i="54"/>
  <c r="E64" i="44"/>
  <c r="H64" i="44"/>
  <c r="D35" i="44"/>
  <c r="R35" i="44" s="1"/>
  <c r="R30" i="44"/>
  <c r="R48" i="44"/>
  <c r="H30" i="60"/>
  <c r="M35" i="44"/>
  <c r="F64" i="44"/>
  <c r="L64" i="44"/>
  <c r="F30" i="54"/>
  <c r="L93" i="44"/>
  <c r="D64" i="44"/>
  <c r="G30" i="54"/>
  <c r="O30" i="54"/>
  <c r="Q35" i="58"/>
  <c r="N30" i="54"/>
  <c r="M34" i="54"/>
  <c r="E30" i="54"/>
  <c r="E22" i="63"/>
  <c r="E34" i="54"/>
  <c r="P34" i="54"/>
  <c r="D30" i="60"/>
  <c r="K93" i="50"/>
  <c r="H22" i="63"/>
  <c r="H30" i="54"/>
  <c r="N22" i="63"/>
  <c r="I22" i="63"/>
  <c r="G22" i="63"/>
  <c r="O22" i="63"/>
  <c r="L34" i="60"/>
  <c r="N34" i="54"/>
  <c r="Q30" i="54"/>
  <c r="I93" i="44"/>
  <c r="L30" i="54"/>
  <c r="M30" i="54"/>
  <c r="Q34" i="54"/>
  <c r="G34" i="54"/>
  <c r="D30" i="54"/>
  <c r="O34" i="54"/>
  <c r="I30" i="54"/>
  <c r="F35" i="55"/>
  <c r="J22" i="63"/>
  <c r="M22" i="63"/>
  <c r="Q64" i="50"/>
  <c r="K64" i="50"/>
  <c r="Q35" i="50"/>
  <c r="S35" i="50" s="1"/>
  <c r="D35" i="50"/>
  <c r="R35" i="50" s="1"/>
  <c r="L22" i="63"/>
  <c r="J34" i="54"/>
  <c r="L34" i="54"/>
  <c r="F34" i="54"/>
  <c r="H21" i="63"/>
  <c r="K34" i="54"/>
  <c r="G64" i="44"/>
  <c r="P64" i="44"/>
  <c r="M64" i="44"/>
  <c r="J93" i="44"/>
  <c r="K30" i="54"/>
  <c r="K93" i="44"/>
  <c r="O93" i="44"/>
  <c r="F93" i="44"/>
  <c r="O64" i="44"/>
  <c r="K64" i="44"/>
  <c r="D34" i="54"/>
  <c r="Q64" i="44"/>
  <c r="N10" i="63"/>
  <c r="G10" i="63"/>
  <c r="G71" i="26"/>
  <c r="H71" i="26"/>
  <c r="H10" i="63"/>
  <c r="K10" i="63"/>
  <c r="K71" i="26"/>
  <c r="M10" i="63"/>
  <c r="M71" i="26"/>
  <c r="Q71" i="26"/>
  <c r="Q10" i="63"/>
  <c r="F71" i="26"/>
  <c r="F10" i="63"/>
  <c r="Q35" i="44"/>
  <c r="E35" i="60" l="1"/>
  <c r="G35" i="60"/>
  <c r="F35" i="60"/>
  <c r="M35" i="60"/>
  <c r="K35" i="60"/>
  <c r="Q35" i="60"/>
  <c r="N35" i="60"/>
  <c r="D35" i="60"/>
  <c r="O35" i="60"/>
  <c r="L35" i="60"/>
  <c r="I35" i="60"/>
  <c r="R93" i="50"/>
  <c r="H35" i="60"/>
  <c r="G21" i="63"/>
  <c r="H35" i="54"/>
  <c r="R64" i="50"/>
  <c r="S64" i="50"/>
  <c r="I35" i="54"/>
  <c r="N21" i="63"/>
  <c r="E21" i="63"/>
  <c r="S35" i="44"/>
  <c r="P21" i="63"/>
  <c r="P35" i="54"/>
  <c r="R93" i="44"/>
  <c r="O35" i="54"/>
  <c r="L21" i="63"/>
  <c r="S93" i="44"/>
  <c r="M21" i="63"/>
  <c r="R64" i="44"/>
  <c r="S64" i="44"/>
  <c r="D21" i="63"/>
  <c r="M35" i="54"/>
  <c r="G35" i="54"/>
  <c r="E35" i="54"/>
  <c r="N35" i="54"/>
  <c r="O21" i="63"/>
  <c r="K22" i="63"/>
  <c r="J21" i="63"/>
  <c r="I21" i="63"/>
  <c r="J35" i="54"/>
  <c r="Q35" i="54"/>
  <c r="F35" i="54"/>
  <c r="L35" i="54"/>
  <c r="D22" i="63"/>
  <c r="Q22" i="63"/>
  <c r="K35" i="54"/>
  <c r="D35" i="54"/>
  <c r="F21" i="63"/>
  <c r="K21" i="63"/>
  <c r="Q21" i="63"/>
</calcChain>
</file>

<file path=xl/sharedStrings.xml><?xml version="1.0" encoding="utf-8"?>
<sst xmlns="http://schemas.openxmlformats.org/spreadsheetml/2006/main" count="8172" uniqueCount="444">
  <si>
    <t>ＥＴＨＹＬＥＮＥ</t>
  </si>
  <si>
    <t>LDPE</t>
  </si>
  <si>
    <t>ＨＤＰＥ</t>
  </si>
  <si>
    <t>ＰＯＬＹＥＴＨＹＬＥＮＥ</t>
  </si>
  <si>
    <t>ＰＳ</t>
  </si>
  <si>
    <t>ＳＭ</t>
  </si>
  <si>
    <t>ＰＶＣ</t>
  </si>
  <si>
    <t>ＶＣＭ</t>
  </si>
  <si>
    <t>ＥＤＣ</t>
  </si>
  <si>
    <t>ＥＧ</t>
  </si>
  <si>
    <t>ＯＴＨＥＲ</t>
  </si>
  <si>
    <t>ＰＲＯＰＹＬＥＮＥ</t>
  </si>
  <si>
    <t>ＰＰ</t>
  </si>
  <si>
    <t>ＡＮ</t>
  </si>
  <si>
    <t>ＢＥＮＺＥＮＥ</t>
  </si>
  <si>
    <t>ＴＯＬＵＥＮＥ</t>
  </si>
  <si>
    <t>ＸＹＬＥＮＥＳ</t>
  </si>
  <si>
    <t>ＰＸ</t>
  </si>
  <si>
    <t>ＰＴＡ</t>
  </si>
  <si>
    <t>ETHYLENE換算総合表</t>
  </si>
  <si>
    <t>ETHYLENE換算</t>
  </si>
  <si>
    <t>HDPE</t>
  </si>
  <si>
    <t>SM</t>
  </si>
  <si>
    <t>PVC</t>
  </si>
  <si>
    <t>EG</t>
  </si>
  <si>
    <t>PROPYLENE換算総合表</t>
  </si>
  <si>
    <t>PP</t>
  </si>
  <si>
    <t>PROPYLENE換算</t>
  </si>
  <si>
    <t>AN</t>
  </si>
  <si>
    <t>バランス予想</t>
  </si>
  <si>
    <t>ETHYLENE</t>
  </si>
  <si>
    <t>PE</t>
  </si>
  <si>
    <t>PS</t>
  </si>
  <si>
    <t>VCM</t>
  </si>
  <si>
    <t>EDC</t>
  </si>
  <si>
    <t>OTHER</t>
  </si>
  <si>
    <t>PROPYLENE</t>
  </si>
  <si>
    <t>BENZENE</t>
  </si>
  <si>
    <t>TOLUENE</t>
  </si>
  <si>
    <t>XYLENES</t>
  </si>
  <si>
    <t>PX</t>
  </si>
  <si>
    <t>PTA</t>
  </si>
  <si>
    <t>稼働率（需要／能力）実績・予測</t>
    <phoneticPr fontId="6"/>
  </si>
  <si>
    <t>PROPYLENE換算  バランス予想</t>
    <phoneticPr fontId="6"/>
  </si>
  <si>
    <t>.</t>
    <phoneticPr fontId="6"/>
  </si>
  <si>
    <t>アセアン生産</t>
    <rPh sb="4" eb="6">
      <t>セイサン</t>
    </rPh>
    <phoneticPr fontId="6"/>
  </si>
  <si>
    <t>アセアン需要</t>
    <rPh sb="4" eb="6">
      <t>ジュヨウ</t>
    </rPh>
    <phoneticPr fontId="6"/>
  </si>
  <si>
    <t>%</t>
    <phoneticPr fontId="6"/>
  </si>
  <si>
    <t>％</t>
    <phoneticPr fontId="6"/>
  </si>
  <si>
    <t>％</t>
    <phoneticPr fontId="6"/>
  </si>
  <si>
    <t>OTHER (C-3)</t>
    <phoneticPr fontId="6"/>
  </si>
  <si>
    <t>ＯＴＨＥＲ (C-2)</t>
    <phoneticPr fontId="6"/>
  </si>
  <si>
    <t>％</t>
    <phoneticPr fontId="6"/>
  </si>
  <si>
    <t>％</t>
    <phoneticPr fontId="6"/>
  </si>
  <si>
    <t>ＰS</t>
    <phoneticPr fontId="6"/>
  </si>
  <si>
    <t>バランス</t>
    <phoneticPr fontId="6"/>
  </si>
  <si>
    <t xml:space="preserve"> </t>
    <phoneticPr fontId="6"/>
  </si>
  <si>
    <t>ＬＤＰＥ</t>
    <phoneticPr fontId="6"/>
  </si>
  <si>
    <t>ＯＴＨＥＲ (C-3)</t>
    <phoneticPr fontId="6"/>
  </si>
  <si>
    <t>ETHYLENE換算　バランス予想</t>
    <rPh sb="15" eb="17">
      <t>ヨソウ</t>
    </rPh>
    <phoneticPr fontId="6"/>
  </si>
  <si>
    <t>ＥＴＨＹＬＥＮＥ</t>
    <phoneticPr fontId="6"/>
  </si>
  <si>
    <t xml:space="preserve"> </t>
    <phoneticPr fontId="6"/>
  </si>
  <si>
    <t>PTA</t>
    <phoneticPr fontId="6"/>
  </si>
  <si>
    <t>三井化学</t>
    <rPh sb="0" eb="2">
      <t>ミツイ</t>
    </rPh>
    <rPh sb="2" eb="4">
      <t>カガク</t>
    </rPh>
    <phoneticPr fontId="6"/>
  </si>
  <si>
    <t>PX</t>
    <phoneticPr fontId="6"/>
  </si>
  <si>
    <t>JXTGエネルギー</t>
    <phoneticPr fontId="6"/>
  </si>
  <si>
    <t>　</t>
    <phoneticPr fontId="6"/>
  </si>
  <si>
    <t>AN</t>
    <phoneticPr fontId="6"/>
  </si>
  <si>
    <t>旭化成</t>
    <rPh sb="0" eb="3">
      <t>アサヒカセイ</t>
    </rPh>
    <phoneticPr fontId="6"/>
  </si>
  <si>
    <t>PP</t>
    <phoneticPr fontId="6"/>
  </si>
  <si>
    <t>日本ポリプロ　他</t>
    <rPh sb="0" eb="2">
      <t>ニホン</t>
    </rPh>
    <rPh sb="7" eb="8">
      <t>ホカ</t>
    </rPh>
    <phoneticPr fontId="6"/>
  </si>
  <si>
    <t>三菱ケミカル　他</t>
    <rPh sb="0" eb="2">
      <t>ミツビシ</t>
    </rPh>
    <rPh sb="7" eb="8">
      <t>ホカ</t>
    </rPh>
    <phoneticPr fontId="6"/>
  </si>
  <si>
    <t>PVC</t>
    <phoneticPr fontId="6"/>
  </si>
  <si>
    <t>太洋塩ビ　他</t>
    <rPh sb="0" eb="2">
      <t>タイヨウ</t>
    </rPh>
    <rPh sb="2" eb="3">
      <t>エン</t>
    </rPh>
    <rPh sb="5" eb="6">
      <t>ホカ</t>
    </rPh>
    <phoneticPr fontId="6"/>
  </si>
  <si>
    <t>EG</t>
    <phoneticPr fontId="6"/>
  </si>
  <si>
    <t>SM</t>
    <phoneticPr fontId="6"/>
  </si>
  <si>
    <t>HD</t>
    <phoneticPr fontId="6"/>
  </si>
  <si>
    <t>日本ポリエチレン　他</t>
    <rPh sb="0" eb="2">
      <t>ニホン</t>
    </rPh>
    <rPh sb="9" eb="10">
      <t>ホカ</t>
    </rPh>
    <phoneticPr fontId="6"/>
  </si>
  <si>
    <t>LD</t>
    <phoneticPr fontId="6"/>
  </si>
  <si>
    <t>C2</t>
    <phoneticPr fontId="6"/>
  </si>
  <si>
    <t>三井化学　他</t>
    <rPh sb="0" eb="2">
      <t>ミツイ</t>
    </rPh>
    <rPh sb="2" eb="4">
      <t>カガク</t>
    </rPh>
    <rPh sb="5" eb="6">
      <t>ホカ</t>
    </rPh>
    <phoneticPr fontId="6"/>
  </si>
  <si>
    <t>(D/B)</t>
    <phoneticPr fontId="6"/>
  </si>
  <si>
    <t>(C/E)</t>
    <phoneticPr fontId="6"/>
  </si>
  <si>
    <t>(生産-需要)</t>
    <rPh sb="1" eb="3">
      <t>セイサン</t>
    </rPh>
    <rPh sb="4" eb="6">
      <t>ジュヨウ</t>
    </rPh>
    <phoneticPr fontId="6"/>
  </si>
  <si>
    <t>(B/A)</t>
    <phoneticPr fontId="6"/>
  </si>
  <si>
    <t>(B-E)</t>
    <phoneticPr fontId="6"/>
  </si>
  <si>
    <t>E=B+C-D</t>
    <phoneticPr fontId="6"/>
  </si>
  <si>
    <t>(D)</t>
    <phoneticPr fontId="6"/>
  </si>
  <si>
    <t>(C)</t>
    <phoneticPr fontId="6"/>
  </si>
  <si>
    <t>(B)</t>
    <phoneticPr fontId="6"/>
  </si>
  <si>
    <t>(A)</t>
    <phoneticPr fontId="6"/>
  </si>
  <si>
    <t>PVC用原料エチレンの比率</t>
    <rPh sb="3" eb="4">
      <t>ヨウ</t>
    </rPh>
    <rPh sb="4" eb="6">
      <t>ゲンリョウ</t>
    </rPh>
    <rPh sb="11" eb="13">
      <t>ヒリツ</t>
    </rPh>
    <phoneticPr fontId="6"/>
  </si>
  <si>
    <t>EG用原料エチレンの比率</t>
    <rPh sb="2" eb="3">
      <t>ヨウ</t>
    </rPh>
    <rPh sb="3" eb="5">
      <t>ゲンリョウ</t>
    </rPh>
    <rPh sb="10" eb="12">
      <t>ヒリツ</t>
    </rPh>
    <phoneticPr fontId="6"/>
  </si>
  <si>
    <t>ハンファ総合化学、三南石化、泰光産業</t>
    <rPh sb="4" eb="6">
      <t>ソウゴウ</t>
    </rPh>
    <rPh sb="6" eb="8">
      <t>カガク</t>
    </rPh>
    <rPh sb="9" eb="10">
      <t>サン</t>
    </rPh>
    <rPh sb="10" eb="11">
      <t>ミナミ</t>
    </rPh>
    <rPh sb="11" eb="13">
      <t>セッカ</t>
    </rPh>
    <rPh sb="14" eb="15">
      <t>タイ</t>
    </rPh>
    <rPh sb="15" eb="16">
      <t>ヒカリ</t>
    </rPh>
    <rPh sb="16" eb="18">
      <t>サンギョウ</t>
    </rPh>
    <phoneticPr fontId="6"/>
  </si>
  <si>
    <t>ハンファトタル、GSカルテックス、エスオイル</t>
    <phoneticPr fontId="6"/>
  </si>
  <si>
    <t>SKグローバル、GSカルテックス、現代ケミカル</t>
    <rPh sb="17" eb="19">
      <t>ゲンダイ</t>
    </rPh>
    <phoneticPr fontId="6"/>
  </si>
  <si>
    <t>SKグローバル、GSカルテックス、エスオイル</t>
    <phoneticPr fontId="6"/>
  </si>
  <si>
    <t>ハンファトタル、SKグローバル、GSカルテックス</t>
    <phoneticPr fontId="6"/>
  </si>
  <si>
    <t>東西石化、泰光産業</t>
    <rPh sb="0" eb="2">
      <t>トウザイ</t>
    </rPh>
    <rPh sb="2" eb="4">
      <t>セッカ</t>
    </rPh>
    <rPh sb="5" eb="6">
      <t>タイ</t>
    </rPh>
    <rPh sb="6" eb="7">
      <t>ヒカリ</t>
    </rPh>
    <rPh sb="7" eb="9">
      <t>サンギョウ</t>
    </rPh>
    <phoneticPr fontId="6"/>
  </si>
  <si>
    <t>ロッテケミカル、ハンファトタル、ポリミレイ</t>
    <phoneticPr fontId="6"/>
  </si>
  <si>
    <t>LG化学、ハンファ石化</t>
    <rPh sb="2" eb="4">
      <t>カガク</t>
    </rPh>
    <rPh sb="9" eb="11">
      <t>セッカ</t>
    </rPh>
    <phoneticPr fontId="6"/>
  </si>
  <si>
    <t>ロッテケミカル、大韓油化、LG化学</t>
    <rPh sb="8" eb="10">
      <t>ダイカン</t>
    </rPh>
    <rPh sb="10" eb="12">
      <t>ユカ</t>
    </rPh>
    <rPh sb="15" eb="17">
      <t>カガク</t>
    </rPh>
    <phoneticPr fontId="6"/>
  </si>
  <si>
    <t>ハンファトタル、ロッテSM、LG化学</t>
    <rPh sb="16" eb="18">
      <t>カガク</t>
    </rPh>
    <phoneticPr fontId="6"/>
  </si>
  <si>
    <t>ハンファ石化、LG化学、ハンファトタル</t>
    <rPh sb="4" eb="6">
      <t>セッカ</t>
    </rPh>
    <rPh sb="9" eb="11">
      <t>カガク</t>
    </rPh>
    <phoneticPr fontId="6"/>
  </si>
  <si>
    <t>ロッテケミカル、ハンファトタル、LG化学</t>
    <rPh sb="18" eb="20">
      <t>カガク</t>
    </rPh>
    <phoneticPr fontId="6"/>
  </si>
  <si>
    <t>台湾化学繊維、亜東石化</t>
    <rPh sb="0" eb="2">
      <t>タイワン</t>
    </rPh>
    <rPh sb="2" eb="4">
      <t>カガク</t>
    </rPh>
    <rPh sb="4" eb="6">
      <t>センイ</t>
    </rPh>
    <rPh sb="7" eb="8">
      <t>ア</t>
    </rPh>
    <rPh sb="8" eb="9">
      <t>ヒガシ</t>
    </rPh>
    <rPh sb="9" eb="11">
      <t>セッカ</t>
    </rPh>
    <phoneticPr fontId="6"/>
  </si>
  <si>
    <t>台湾化学繊維</t>
    <rPh sb="0" eb="2">
      <t>タイワン</t>
    </rPh>
    <rPh sb="2" eb="4">
      <t>カガク</t>
    </rPh>
    <rPh sb="4" eb="6">
      <t>センイ</t>
    </rPh>
    <phoneticPr fontId="6"/>
  </si>
  <si>
    <t>台湾中油、台湾化学繊維</t>
    <rPh sb="0" eb="2">
      <t>タイワン</t>
    </rPh>
    <rPh sb="2" eb="3">
      <t>ナカ</t>
    </rPh>
    <rPh sb="3" eb="4">
      <t>アブラ</t>
    </rPh>
    <rPh sb="5" eb="7">
      <t>タイワン</t>
    </rPh>
    <rPh sb="7" eb="9">
      <t>カガク</t>
    </rPh>
    <rPh sb="9" eb="11">
      <t>センイ</t>
    </rPh>
    <phoneticPr fontId="6"/>
  </si>
  <si>
    <t>台湾ﾌﾟﾗｽﾁｯｸ、中国石化</t>
    <rPh sb="0" eb="2">
      <t>タイワン</t>
    </rPh>
    <rPh sb="10" eb="12">
      <t>チュウゴク</t>
    </rPh>
    <rPh sb="12" eb="14">
      <t>セッカ</t>
    </rPh>
    <phoneticPr fontId="6"/>
  </si>
  <si>
    <t>台湾化学繊維、台湾ﾌﾟﾗｽﾁｯｸ</t>
    <rPh sb="0" eb="2">
      <t>タイワン</t>
    </rPh>
    <rPh sb="2" eb="4">
      <t>カガク</t>
    </rPh>
    <rPh sb="4" eb="6">
      <t>センイ</t>
    </rPh>
    <rPh sb="7" eb="9">
      <t>タイワン</t>
    </rPh>
    <phoneticPr fontId="6"/>
  </si>
  <si>
    <t>台湾中油、台塑石化</t>
    <rPh sb="0" eb="2">
      <t>タイワン</t>
    </rPh>
    <rPh sb="2" eb="3">
      <t>ナカ</t>
    </rPh>
    <rPh sb="3" eb="4">
      <t>アブラ</t>
    </rPh>
    <rPh sb="5" eb="7">
      <t>ダイソ</t>
    </rPh>
    <rPh sb="7" eb="9">
      <t>セッカ</t>
    </rPh>
    <phoneticPr fontId="6"/>
  </si>
  <si>
    <t>台湾ﾌﾟﾗｽﾁｯｸ、華夏ﾌﾟﾗｽﾁｯｸ</t>
    <rPh sb="0" eb="2">
      <t>タイワン</t>
    </rPh>
    <rPh sb="10" eb="11">
      <t>ハナ</t>
    </rPh>
    <rPh sb="11" eb="12">
      <t>ナツ</t>
    </rPh>
    <phoneticPr fontId="6"/>
  </si>
  <si>
    <t>南亜ﾌﾟﾗｽﾁｯｸ、中国人造繊維</t>
    <rPh sb="0" eb="1">
      <t>ナン</t>
    </rPh>
    <rPh sb="1" eb="2">
      <t>ア</t>
    </rPh>
    <rPh sb="10" eb="12">
      <t>チュウゴク</t>
    </rPh>
    <rPh sb="12" eb="14">
      <t>ジンゾウ</t>
    </rPh>
    <rPh sb="14" eb="16">
      <t>センイ</t>
    </rPh>
    <phoneticPr fontId="6"/>
  </si>
  <si>
    <t>台湾化学繊維、国喬石化</t>
    <rPh sb="0" eb="2">
      <t>タイワン</t>
    </rPh>
    <rPh sb="2" eb="4">
      <t>カガク</t>
    </rPh>
    <rPh sb="4" eb="6">
      <t>センイ</t>
    </rPh>
    <rPh sb="7" eb="8">
      <t>クニ</t>
    </rPh>
    <rPh sb="8" eb="9">
      <t>キョウ</t>
    </rPh>
    <rPh sb="9" eb="11">
      <t>セッカ</t>
    </rPh>
    <phoneticPr fontId="6"/>
  </si>
  <si>
    <t>台湾ﾌﾟﾗｽﾁｯｸ、USI</t>
    <rPh sb="0" eb="2">
      <t>タイワン</t>
    </rPh>
    <phoneticPr fontId="6"/>
  </si>
  <si>
    <t>TPT, SMPC, Indorama</t>
    <phoneticPr fontId="6"/>
  </si>
  <si>
    <t>PTT, TPX, Exxon</t>
    <phoneticPr fontId="6"/>
  </si>
  <si>
    <t>PTT, IRPC, ROC</t>
    <phoneticPr fontId="6"/>
  </si>
  <si>
    <t>PTT, IRPC, ROC, MOC</t>
    <phoneticPr fontId="6"/>
  </si>
  <si>
    <t>PTT PH, SCG/DOW</t>
    <phoneticPr fontId="6"/>
  </si>
  <si>
    <t>PTT Asahi</t>
  </si>
  <si>
    <t>TPP,IRPC,HMC</t>
  </si>
  <si>
    <t>IRPC, PTT, ROC, MOC, HMC</t>
    <phoneticPr fontId="6"/>
  </si>
  <si>
    <t>TPC, VINYTHAI</t>
    <phoneticPr fontId="6"/>
  </si>
  <si>
    <t>TOC</t>
  </si>
  <si>
    <t>IRPC, SIAM SM</t>
    <phoneticPr fontId="6"/>
  </si>
  <si>
    <t>IRPC, PTT, TPE, BPE</t>
    <phoneticPr fontId="6"/>
  </si>
  <si>
    <t>IRPC, PTT, TPE, SIAM</t>
    <phoneticPr fontId="6"/>
  </si>
  <si>
    <t>PTT, ROC, MOC</t>
    <phoneticPr fontId="6"/>
  </si>
  <si>
    <t>Reliance</t>
    <phoneticPr fontId="6"/>
  </si>
  <si>
    <t>Petronas</t>
    <phoneticPr fontId="6"/>
  </si>
  <si>
    <t>Lotte Chem.</t>
    <phoneticPr fontId="6"/>
  </si>
  <si>
    <t>Lotte Chem., Petronas</t>
    <phoneticPr fontId="6"/>
  </si>
  <si>
    <t>Petronas, BASF Petronas</t>
    <phoneticPr fontId="6"/>
  </si>
  <si>
    <t xml:space="preserve">Petoronas, Lotte Chem., Shell </t>
    <phoneticPr fontId="6"/>
  </si>
  <si>
    <t>IRM, MECI, Kaneka</t>
    <phoneticPr fontId="6"/>
  </si>
  <si>
    <t>Petoronas</t>
    <phoneticPr fontId="6"/>
  </si>
  <si>
    <t>Idemitsu SM Malaysia</t>
  </si>
  <si>
    <t>Bluescope</t>
  </si>
  <si>
    <t>Qenos、Viva Energy</t>
  </si>
  <si>
    <t>Huntsman</t>
  </si>
  <si>
    <t>Qenos</t>
  </si>
  <si>
    <t>PCS/Exxon</t>
  </si>
  <si>
    <t>Shell/MPHS</t>
  </si>
  <si>
    <t>TPC/Exxon</t>
  </si>
  <si>
    <t>PCS/Exxon/Shell</t>
  </si>
  <si>
    <t>Exxon/MELS</t>
  </si>
  <si>
    <t>EGS/Shell</t>
  </si>
  <si>
    <t>SCSL</t>
  </si>
  <si>
    <t>CPSC</t>
  </si>
  <si>
    <t>TPC/Exxon/Prime Evolue</t>
  </si>
  <si>
    <t>Exxon</t>
    <phoneticPr fontId="6"/>
  </si>
  <si>
    <t>Shell/Exxon</t>
    <phoneticPr fontId="6"/>
  </si>
  <si>
    <t>PCS/Exxon</t>
    <phoneticPr fontId="6"/>
  </si>
  <si>
    <t>Mitsubishi Chemical Indonesia, BP・PTA Indonesia, Indorama</t>
    <phoneticPr fontId="6"/>
  </si>
  <si>
    <t>Pertamina, TPPI</t>
    <phoneticPr fontId="6"/>
  </si>
  <si>
    <t>TPPI</t>
    <phoneticPr fontId="6"/>
  </si>
  <si>
    <t>N/A</t>
    <phoneticPr fontId="6"/>
  </si>
  <si>
    <t>Pertamina, Tripolyta Indonesia, PT, Polytama Propyndo, PT</t>
    <phoneticPr fontId="6"/>
  </si>
  <si>
    <t>Pertamina, Chandra Asri</t>
    <phoneticPr fontId="6"/>
  </si>
  <si>
    <t>PT Asahimas Subentra Chem, Sulfindo Adiusaha,Standard Toyo Polimer</t>
    <phoneticPr fontId="6"/>
  </si>
  <si>
    <t>Polychem Indonesia</t>
    <phoneticPr fontId="6"/>
  </si>
  <si>
    <t>Styrindo Mono Indonesia</t>
    <phoneticPr fontId="6"/>
  </si>
  <si>
    <t>Chandra Asri, Lotte Chemical</t>
    <phoneticPr fontId="6"/>
  </si>
  <si>
    <t>Chadra Asri, Lotte Chemical</t>
    <phoneticPr fontId="6"/>
  </si>
  <si>
    <t>Chandra Asri</t>
    <phoneticPr fontId="6"/>
  </si>
  <si>
    <t>Ineos</t>
  </si>
  <si>
    <t>BASF, Ineos</t>
  </si>
  <si>
    <t>BASF, Total</t>
  </si>
  <si>
    <t>Polief (Sibur)</t>
  </si>
  <si>
    <t>Omsk Refinery, Bashneft, etc.</t>
  </si>
  <si>
    <t>Omsk Refinery, Ufaneftekhim, etc.</t>
  </si>
  <si>
    <t>Omsk Refinery, Slavneft-Yaroslavnefteorgsintez, etc.</t>
  </si>
  <si>
    <t>Gazpromnefkhim Salavat, Nizhnekamsk Neftkhim, etc.</t>
  </si>
  <si>
    <t>Saratovorgsintez</t>
  </si>
  <si>
    <t>Sibur-Tobolsk, Nizhnekamsk Neftekhim, Poliom, etc.</t>
  </si>
  <si>
    <t>Sibur-Tobolsk, Nizhnekamsk Neftekhim, Lukoil-NNOS, etc.</t>
  </si>
  <si>
    <t>Rusvinyl, Sayanskkhimplast, Bashkhir Soda Company, etc.</t>
  </si>
  <si>
    <t>Sibur Neftekhim, Nizhnekamsk Neftekhim, etc.</t>
  </si>
  <si>
    <t>Nizhnekamsk Neftekhim, Gazpromneftkhim Salavat, etc.</t>
  </si>
  <si>
    <t>Kazanorgsintez, Uz-Kor Gas Chemical, Stavrolen, etc.</t>
  </si>
  <si>
    <t>Tomskneftkhim, Nizhnekamsk Neftekhim, Ufaorgsintez, etc.</t>
  </si>
  <si>
    <t>Kazanorgsintez, Sibur-Kstovo, Gazpromneftkhim Salavat, etc.</t>
  </si>
  <si>
    <t>SAFPET, Polief (Sibur)</t>
  </si>
  <si>
    <t>FEPCO, ZapSibNeftekhim, Sibur-Tobolsk, etc.</t>
  </si>
  <si>
    <t>FEPCO, ZapSibNeftekhim, Kazanorgsintez, etc.</t>
  </si>
  <si>
    <t>FEPCO, Kazanorgsintez, Sibur-Kstovo, etc.</t>
  </si>
  <si>
    <t>BP, DAK, Eastoman, Indorama</t>
  </si>
  <si>
    <t>BP, EM, Flint Hills, CP</t>
  </si>
  <si>
    <t>EM, Marathon, BP, CP, Citgo</t>
  </si>
  <si>
    <t>EM, Marathon, Flint Hills, Citgo</t>
  </si>
  <si>
    <t>Conoco, Gulf, Citgo, Phillips 66</t>
  </si>
  <si>
    <t>Ineos, Ascend</t>
  </si>
  <si>
    <t>LBI, Braskem, EM, Total</t>
  </si>
  <si>
    <t>Shintech, FPC, Oxy</t>
  </si>
  <si>
    <t>Huntsuman, Shell, FPC, LACC, MEG</t>
  </si>
  <si>
    <t>Styrolution, LBI, Cosmar, AS</t>
  </si>
  <si>
    <t>Indorama</t>
  </si>
  <si>
    <t>Parachem</t>
  </si>
  <si>
    <t>Petro-Canada, Suncor, Shell</t>
  </si>
  <si>
    <t>Shell, Petro-Canada</t>
  </si>
  <si>
    <t>Shell, Nova</t>
  </si>
  <si>
    <t>Interpipeline, Pambina</t>
  </si>
  <si>
    <t>Oxyvinyl</t>
  </si>
  <si>
    <t>ME Global, Shell</t>
  </si>
  <si>
    <t>Shell, Styrolution</t>
  </si>
  <si>
    <t>Pemex, Braskem-Idesa</t>
    <phoneticPr fontId="6"/>
  </si>
  <si>
    <t>Petrocel, Temex</t>
  </si>
  <si>
    <t>Pemex</t>
  </si>
  <si>
    <t>Unigel</t>
  </si>
  <si>
    <t>Indelpro</t>
  </si>
  <si>
    <t>Indelpro, Pemex</t>
  </si>
  <si>
    <t>Mexichem</t>
  </si>
  <si>
    <t>Idesa, Pemex</t>
  </si>
  <si>
    <t>Pemex, Braskem-Idesa</t>
  </si>
  <si>
    <t>Petroquimica Suape</t>
  </si>
  <si>
    <t>Braskem</t>
  </si>
  <si>
    <t>Braskem, Petrobras</t>
  </si>
  <si>
    <t>Acrinor</t>
  </si>
  <si>
    <t>Braskem, SolveyIndupa</t>
  </si>
  <si>
    <t>Oxiteno</t>
  </si>
  <si>
    <t>Unigel, Videolar</t>
  </si>
  <si>
    <t>１０～１７</t>
  </si>
  <si>
    <t>１８～２３</t>
  </si>
  <si>
    <t>JUPC, Sharq, Perto Rabigh, Sadara, Borouge</t>
    <phoneticPr fontId="6"/>
  </si>
  <si>
    <t>Sharq, Perto Rabigh, Sadara, Borouge</t>
  </si>
  <si>
    <t>Sadaf, Chevron, Equate</t>
    <phoneticPr fontId="6"/>
  </si>
  <si>
    <t>JUPC, Sharq, Perto Rabigh, TKOC</t>
    <phoneticPr fontId="6"/>
  </si>
  <si>
    <t>Petro Kemya</t>
    <phoneticPr fontId="6"/>
  </si>
  <si>
    <t>Saudi Kayan. Petro Rabigh, Sadara, Equate, Borouge</t>
    <phoneticPr fontId="6"/>
  </si>
  <si>
    <t>Saudi Kayan, Petro Rabigh, Borouge</t>
    <phoneticPr fontId="6"/>
  </si>
  <si>
    <t>Aramco, Perto Rabigh, Satorp, Chevron</t>
    <phoneticPr fontId="6"/>
  </si>
  <si>
    <t>Ibn Rushid</t>
    <phoneticPr fontId="6"/>
  </si>
  <si>
    <t>JUPC, Sharq, Perto Rabigh, Yanpet, TKOC</t>
    <phoneticPr fontId="6"/>
  </si>
  <si>
    <t>Sidi Kerir, Sasol, Ethydco</t>
    <phoneticPr fontId="6"/>
  </si>
  <si>
    <t>Sidi Kerir, Sasol, Ethydco</t>
  </si>
  <si>
    <t>TCI Sanmar, Sasol</t>
    <phoneticPr fontId="6"/>
  </si>
  <si>
    <t>Egyptan Propylene and Polypropylene, Sasol</t>
    <phoneticPr fontId="6"/>
  </si>
  <si>
    <t>Sonatrach</t>
    <phoneticPr fontId="6"/>
  </si>
  <si>
    <t>Sonatrach</t>
  </si>
  <si>
    <t>TCI Sanmar, Sasol</t>
  </si>
  <si>
    <t>Egyptan Propylene and Polypropylene, Sasol</t>
  </si>
  <si>
    <t>ロッテケミカル、LG化学、エスオイル</t>
    <rPh sb="10" eb="12">
      <t>カガク</t>
    </rPh>
    <phoneticPr fontId="6"/>
  </si>
  <si>
    <t>SINOPEC、PETROCHINA他</t>
  </si>
  <si>
    <t>SHANGHAI　CHLORO-ALKALI他</t>
  </si>
  <si>
    <t>Chandra Asri, PT Lotte Chemical</t>
    <phoneticPr fontId="6"/>
  </si>
  <si>
    <t>Chadra Asri, PT Lotte Chemical</t>
    <phoneticPr fontId="6"/>
  </si>
  <si>
    <t>Polychem Indonesia, PT Lotte Chemical</t>
    <phoneticPr fontId="6"/>
  </si>
  <si>
    <t>Pertamina, Tripolyta Indonesia, PT, Polytama Propyndo, PT Lotte Chemical</t>
    <phoneticPr fontId="6"/>
  </si>
  <si>
    <t>Equister, DowDupont, ExxonMobil, Chevron Phillips</t>
    <phoneticPr fontId="6"/>
  </si>
  <si>
    <t>ExxonMobil, DowDupont, Westlake, Chevron Phillips</t>
    <phoneticPr fontId="6"/>
  </si>
  <si>
    <t>Equister, Chevron Phillips, ExxonMobil, FPC</t>
  </si>
  <si>
    <t>Ineos Styrolution, LyondellBasel, Cosmer, American Styrenics</t>
  </si>
  <si>
    <t>Huntsman, Shell, FPC, Indorama, DowDupont</t>
  </si>
  <si>
    <t>Shintec, FPC, Oxyvinyl, Westlake</t>
  </si>
  <si>
    <t>Equister, DowDupont, ExxonMobil, Enterprise, Shell, CP</t>
    <phoneticPr fontId="6"/>
  </si>
  <si>
    <t>Braskem PP Americas, LyondellBasell, ExxonMobil, Total</t>
    <phoneticPr fontId="6"/>
  </si>
  <si>
    <t>Ineos, Ascend, Cornerstone</t>
    <phoneticPr fontId="6"/>
  </si>
  <si>
    <t>ExxonMobile, Marathon, Shell, FlintHills</t>
  </si>
  <si>
    <t>ExxonMobil, Marathon, Citgo, Phillips 66</t>
  </si>
  <si>
    <t>ExxonMobil, Marathon, FlintHills, BP</t>
  </si>
  <si>
    <t>BP, ExxonMobil, FlintHills</t>
  </si>
  <si>
    <t>BP, Indorama, DAK</t>
  </si>
  <si>
    <t>Equister, EM, CP, DowDupont, Shell, Ineos</t>
  </si>
  <si>
    <t>EM, DowDupont, Equister, Westlake</t>
  </si>
  <si>
    <t>CP, EM, DowDupont, Equister, FPC</t>
  </si>
  <si>
    <t>Equister, DowDupont, EM, Shell, CP, Ent</t>
  </si>
  <si>
    <t>Nova, DowDupont, Imperial Oil</t>
    <phoneticPr fontId="6"/>
  </si>
  <si>
    <t>Shell, Ineos Styrolution</t>
  </si>
  <si>
    <t>ME Global, Shell, Alberta &amp; Orient Gly</t>
  </si>
  <si>
    <t>Nova, Shell, Interpipeline, Imperial Oil</t>
  </si>
  <si>
    <t>Interpipeline, CKPC/Pembina</t>
  </si>
  <si>
    <t>Shell, Petro-Canada, Suncor</t>
  </si>
  <si>
    <t>Petro-Canada, Shell, Suncor</t>
  </si>
  <si>
    <t>Nova, DowDupont</t>
    <phoneticPr fontId="6"/>
  </si>
  <si>
    <t>Imperila Oil, Nova, Shell, Interpipeline</t>
    <phoneticPr fontId="6"/>
  </si>
  <si>
    <t>Indelpro, Pemex, Braskem-Idesa</t>
  </si>
  <si>
    <t>Unigel, Innova</t>
    <phoneticPr fontId="6"/>
  </si>
  <si>
    <t>Braskem, Unipar Indupa</t>
    <phoneticPr fontId="6"/>
  </si>
  <si>
    <t>Beaskem, Petrobras</t>
  </si>
  <si>
    <t>`</t>
  </si>
  <si>
    <t>ZapSibNeftekhim, Tomskneftkhim, Nizhnekamsk Neftekhim etc.</t>
  </si>
  <si>
    <t>Dow, Shell, LyondellBasell</t>
    <phoneticPr fontId="6"/>
  </si>
  <si>
    <t>Dow, Exxon, LyondellBasell</t>
    <phoneticPr fontId="6"/>
  </si>
  <si>
    <t>Ineos, LyondellBasell</t>
    <phoneticPr fontId="6"/>
  </si>
  <si>
    <t>Inovyn, Vinnolit</t>
    <phoneticPr fontId="6"/>
  </si>
  <si>
    <t>Dow, BASF, Ineos, Repsol</t>
    <phoneticPr fontId="6"/>
  </si>
  <si>
    <t>LyondellBasell, Borealis</t>
    <phoneticPr fontId="6"/>
  </si>
  <si>
    <t>BASF, Dow, ExxonMobil</t>
    <phoneticPr fontId="6"/>
  </si>
  <si>
    <t>ExxonMobil, Shell</t>
    <phoneticPr fontId="6"/>
  </si>
  <si>
    <t>ExxonMobil</t>
    <phoneticPr fontId="6"/>
  </si>
  <si>
    <t>ExxonMobil. BP</t>
    <phoneticPr fontId="6"/>
  </si>
  <si>
    <t>Indorama</t>
    <phoneticPr fontId="6"/>
  </si>
  <si>
    <t>LyondellBassell</t>
  </si>
  <si>
    <r>
      <t xml:space="preserve">A. 能力・生産・需要
</t>
    </r>
    <r>
      <rPr>
        <sz val="28"/>
        <rFont val="ＭＳ Ｐゴシック"/>
        <family val="3"/>
        <charset val="128"/>
      </rPr>
      <t xml:space="preserve">   </t>
    </r>
    <r>
      <rPr>
        <sz val="28"/>
        <rFont val="Meiryo UI"/>
        <family val="3"/>
        <charset val="128"/>
      </rPr>
      <t>Capacity・Production・Demand</t>
    </r>
    <rPh sb="3" eb="5">
      <t>ノウリョク</t>
    </rPh>
    <rPh sb="6" eb="8">
      <t>セイサン</t>
    </rPh>
    <rPh sb="9" eb="11">
      <t>ジュヨウ</t>
    </rPh>
    <phoneticPr fontId="11"/>
  </si>
  <si>
    <r>
      <t xml:space="preserve">世界の商品別能力・生産・需要
</t>
    </r>
    <r>
      <rPr>
        <sz val="9"/>
        <rFont val="Meiryo UI"/>
        <family val="3"/>
        <charset val="128"/>
      </rPr>
      <t>Production capacity, production and demand on each product in the world</t>
    </r>
    <phoneticPr fontId="6"/>
  </si>
  <si>
    <r>
      <t xml:space="preserve">商品名
</t>
    </r>
    <r>
      <rPr>
        <sz val="9"/>
        <rFont val="Meiryo UI"/>
        <family val="3"/>
        <charset val="128"/>
      </rPr>
      <t>Product Name</t>
    </r>
    <phoneticPr fontId="6"/>
  </si>
  <si>
    <r>
      <t xml:space="preserve">（単位：1,000T）
</t>
    </r>
    <r>
      <rPr>
        <sz val="9"/>
        <rFont val="Meiryo UI"/>
        <family val="3"/>
        <charset val="128"/>
      </rPr>
      <t>（Unit：1,000T）</t>
    </r>
    <phoneticPr fontId="6"/>
  </si>
  <si>
    <r>
      <t xml:space="preserve">実績
</t>
    </r>
    <r>
      <rPr>
        <sz val="9"/>
        <rFont val="Meiryo UI"/>
        <family val="3"/>
        <charset val="128"/>
      </rPr>
      <t>History</t>
    </r>
    <rPh sb="0" eb="2">
      <t>ジッセキ</t>
    </rPh>
    <phoneticPr fontId="6"/>
  </si>
  <si>
    <r>
      <t xml:space="preserve">予測
</t>
    </r>
    <r>
      <rPr>
        <sz val="9"/>
        <rFont val="Meiryo UI"/>
        <family val="3"/>
        <charset val="128"/>
      </rPr>
      <t>Projection</t>
    </r>
    <rPh sb="0" eb="2">
      <t>ヨソク</t>
    </rPh>
    <phoneticPr fontId="6"/>
  </si>
  <si>
    <r>
      <t xml:space="preserve">年平均成長率(％／年)
</t>
    </r>
    <r>
      <rPr>
        <sz val="9"/>
        <rFont val="Meiryo UI"/>
        <family val="3"/>
        <charset val="128"/>
      </rPr>
      <t>Average Annual Growth</t>
    </r>
    <r>
      <rPr>
        <sz val="11.5"/>
        <rFont val="ＭＳ Ｐゴシック"/>
        <family val="3"/>
        <charset val="128"/>
      </rPr>
      <t xml:space="preserve"> rate</t>
    </r>
    <phoneticPr fontId="6"/>
  </si>
  <si>
    <r>
      <t>年　</t>
    </r>
    <r>
      <rPr>
        <sz val="9"/>
        <rFont val="Meiryo UI"/>
        <family val="3"/>
        <charset val="128"/>
      </rPr>
      <t>Year</t>
    </r>
    <rPh sb="0" eb="1">
      <t>ネン</t>
    </rPh>
    <phoneticPr fontId="6"/>
  </si>
  <si>
    <r>
      <t>項目　</t>
    </r>
    <r>
      <rPr>
        <sz val="9"/>
        <rFont val="Meiryo UI"/>
        <family val="3"/>
        <charset val="128"/>
      </rPr>
      <t>Item</t>
    </r>
    <rPh sb="0" eb="2">
      <t>コウモク</t>
    </rPh>
    <phoneticPr fontId="6"/>
  </si>
  <si>
    <r>
      <t>地　　域　</t>
    </r>
    <r>
      <rPr>
        <sz val="9"/>
        <rFont val="Meiryo UI"/>
        <family val="3"/>
        <charset val="128"/>
      </rPr>
      <t>Region</t>
    </r>
    <phoneticPr fontId="6"/>
  </si>
  <si>
    <t>能　力</t>
    <rPh sb="0" eb="1">
      <t>ノウ</t>
    </rPh>
    <rPh sb="2" eb="3">
      <t>チカラ</t>
    </rPh>
    <phoneticPr fontId="6"/>
  </si>
  <si>
    <t>Capacity</t>
    <phoneticPr fontId="6"/>
  </si>
  <si>
    <r>
      <t>パキスタン　</t>
    </r>
    <r>
      <rPr>
        <sz val="9"/>
        <rFont val="Meiryo UI"/>
        <family val="3"/>
        <charset val="128"/>
      </rPr>
      <t>Pakistan</t>
    </r>
    <phoneticPr fontId="6"/>
  </si>
  <si>
    <r>
      <t>アジア計　</t>
    </r>
    <r>
      <rPr>
        <sz val="9"/>
        <rFont val="Meiryo UI"/>
        <family val="3"/>
        <charset val="128"/>
      </rPr>
      <t>Asia</t>
    </r>
    <phoneticPr fontId="6"/>
  </si>
  <si>
    <r>
      <t>オセアニア計 （※1）　</t>
    </r>
    <r>
      <rPr>
        <sz val="9"/>
        <rFont val="Meiryo UI"/>
        <family val="3"/>
        <charset val="128"/>
      </rPr>
      <t>Oceania</t>
    </r>
    <rPh sb="5" eb="6">
      <t>ケイ</t>
    </rPh>
    <phoneticPr fontId="6"/>
  </si>
  <si>
    <r>
      <t>うちオーストラリア　</t>
    </r>
    <r>
      <rPr>
        <sz val="9"/>
        <rFont val="Meiryo UI"/>
        <family val="3"/>
        <charset val="128"/>
      </rPr>
      <t>Australia</t>
    </r>
    <phoneticPr fontId="6"/>
  </si>
  <si>
    <r>
      <t>欧州　</t>
    </r>
    <r>
      <rPr>
        <sz val="9"/>
        <rFont val="Meiryo UI"/>
        <family val="3"/>
        <charset val="128"/>
      </rPr>
      <t>Europe</t>
    </r>
    <rPh sb="0" eb="1">
      <t>オウ</t>
    </rPh>
    <rPh sb="1" eb="2">
      <t>シュウ</t>
    </rPh>
    <phoneticPr fontId="6"/>
  </si>
  <si>
    <r>
      <t>うち西欧 （※2）　</t>
    </r>
    <r>
      <rPr>
        <sz val="9"/>
        <rFont val="Meiryo UI"/>
        <family val="3"/>
        <charset val="128"/>
      </rPr>
      <t>Western Europe</t>
    </r>
    <phoneticPr fontId="6"/>
  </si>
  <si>
    <r>
      <t>中東 （※2）　</t>
    </r>
    <r>
      <rPr>
        <sz val="9"/>
        <rFont val="Meiryo UI"/>
        <family val="3"/>
        <charset val="128"/>
      </rPr>
      <t>Middle East</t>
    </r>
    <phoneticPr fontId="6"/>
  </si>
  <si>
    <r>
      <t>うちサウジアラビア　</t>
    </r>
    <r>
      <rPr>
        <sz val="9"/>
        <rFont val="Meiryo UI"/>
        <family val="3"/>
        <charset val="128"/>
      </rPr>
      <t>Saudi Arabia</t>
    </r>
    <phoneticPr fontId="6"/>
  </si>
  <si>
    <r>
      <t>アフリカ　</t>
    </r>
    <r>
      <rPr>
        <sz val="9"/>
        <rFont val="Meiryo UI"/>
        <family val="3"/>
        <charset val="128"/>
      </rPr>
      <t>Africa</t>
    </r>
    <phoneticPr fontId="6"/>
  </si>
  <si>
    <r>
      <t>ＣＩＳ　</t>
    </r>
    <r>
      <rPr>
        <sz val="9"/>
        <rFont val="Meiryo UI"/>
        <family val="3"/>
        <charset val="128"/>
      </rPr>
      <t>CIS</t>
    </r>
    <phoneticPr fontId="6"/>
  </si>
  <si>
    <r>
      <t>米　　国　</t>
    </r>
    <r>
      <rPr>
        <sz val="9"/>
        <rFont val="Meiryo UI"/>
        <family val="3"/>
        <charset val="128"/>
      </rPr>
      <t>USA</t>
    </r>
    <phoneticPr fontId="6"/>
  </si>
  <si>
    <r>
      <t>カナダ　</t>
    </r>
    <r>
      <rPr>
        <sz val="9"/>
        <rFont val="Meiryo UI"/>
        <family val="3"/>
        <charset val="128"/>
      </rPr>
      <t>Canada</t>
    </r>
    <phoneticPr fontId="6"/>
  </si>
  <si>
    <r>
      <t>北米計　</t>
    </r>
    <r>
      <rPr>
        <sz val="9"/>
        <rFont val="Meiryo UI"/>
        <family val="3"/>
        <charset val="128"/>
      </rPr>
      <t>North America</t>
    </r>
    <phoneticPr fontId="6"/>
  </si>
  <si>
    <r>
      <t>メキシコ　</t>
    </r>
    <r>
      <rPr>
        <sz val="9"/>
        <rFont val="Meiryo UI"/>
        <family val="3"/>
        <charset val="128"/>
      </rPr>
      <t>Mexico</t>
    </r>
    <phoneticPr fontId="6"/>
  </si>
  <si>
    <r>
      <t>ブラジル　</t>
    </r>
    <r>
      <rPr>
        <sz val="9"/>
        <rFont val="Meiryo UI"/>
        <family val="3"/>
        <charset val="128"/>
      </rPr>
      <t>Brazil</t>
    </r>
    <phoneticPr fontId="6"/>
  </si>
  <si>
    <r>
      <t>その他中南米　</t>
    </r>
    <r>
      <rPr>
        <sz val="9"/>
        <rFont val="Meiryo UI"/>
        <family val="3"/>
        <charset val="128"/>
      </rPr>
      <t>Other Latin America</t>
    </r>
    <phoneticPr fontId="6"/>
  </si>
  <si>
    <r>
      <t>中南米計　</t>
    </r>
    <r>
      <rPr>
        <sz val="9"/>
        <rFont val="Meiryo UI"/>
        <family val="3"/>
        <charset val="128"/>
      </rPr>
      <t>Latin America</t>
    </r>
    <phoneticPr fontId="6"/>
  </si>
  <si>
    <r>
      <t xml:space="preserve">能力総合計  </t>
    </r>
    <r>
      <rPr>
        <sz val="9"/>
        <rFont val="Meiryo UI"/>
        <family val="3"/>
        <charset val="128"/>
      </rPr>
      <t xml:space="preserve">Total Capacity </t>
    </r>
    <phoneticPr fontId="6"/>
  </si>
  <si>
    <t>生　産</t>
    <rPh sb="0" eb="1">
      <t>ナマ</t>
    </rPh>
    <rPh sb="2" eb="3">
      <t>サン</t>
    </rPh>
    <phoneticPr fontId="6"/>
  </si>
  <si>
    <t>Production</t>
    <phoneticPr fontId="6"/>
  </si>
  <si>
    <r>
      <t xml:space="preserve">生産総合計 </t>
    </r>
    <r>
      <rPr>
        <sz val="9"/>
        <rFont val="Meiryo UI"/>
        <family val="3"/>
        <charset val="128"/>
      </rPr>
      <t xml:space="preserve"> Total Production</t>
    </r>
    <phoneticPr fontId="6"/>
  </si>
  <si>
    <t>需　要</t>
    <rPh sb="0" eb="1">
      <t>ジュ</t>
    </rPh>
    <rPh sb="2" eb="3">
      <t>ヨウ</t>
    </rPh>
    <phoneticPr fontId="6"/>
  </si>
  <si>
    <t>Demand</t>
    <phoneticPr fontId="6"/>
  </si>
  <si>
    <t>需要総合計    Total Demand</t>
    <phoneticPr fontId="6"/>
  </si>
  <si>
    <r>
      <t>※1： 2010年についてはニュージーランドは</t>
    </r>
    <r>
      <rPr>
        <sz val="11"/>
        <rFont val="ＭＳ Ｐゴシック"/>
        <family val="3"/>
        <charset val="128"/>
      </rPr>
      <t>オセアニアに含まれるが、2011年以降は含まれない。</t>
    </r>
    <rPh sb="29" eb="30">
      <t>フク</t>
    </rPh>
    <rPh sb="39" eb="40">
      <t>ネン</t>
    </rPh>
    <rPh sb="40" eb="42">
      <t>イコウ</t>
    </rPh>
    <rPh sb="43" eb="44">
      <t>フク</t>
    </rPh>
    <phoneticPr fontId="6"/>
  </si>
  <si>
    <t>　　　　New Zealand is included in Oceania in 2010, however, it isn't included in Oceania from 2011.</t>
    <phoneticPr fontId="6"/>
  </si>
  <si>
    <t>※2： 2010年についてはトルコは西欧に含まれるが、2011年以降トルコは中東に含む。</t>
    <rPh sb="18" eb="20">
      <t>セイオウ</t>
    </rPh>
    <rPh sb="21" eb="22">
      <t>フク</t>
    </rPh>
    <rPh sb="31" eb="32">
      <t>ネン</t>
    </rPh>
    <rPh sb="32" eb="34">
      <t>イコウ</t>
    </rPh>
    <rPh sb="38" eb="40">
      <t>チュウトウ</t>
    </rPh>
    <rPh sb="41" eb="42">
      <t>フク</t>
    </rPh>
    <phoneticPr fontId="6"/>
  </si>
  <si>
    <t xml:space="preserve">       Turkey is included in Western Europe in 2010, however it is included in Middle East from 2011.</t>
    <phoneticPr fontId="6"/>
  </si>
  <si>
    <r>
      <t xml:space="preserve">B. バランス・稼働率
</t>
    </r>
    <r>
      <rPr>
        <sz val="28"/>
        <rFont val="ＭＳ Ｐゴシック"/>
        <family val="3"/>
        <charset val="128"/>
      </rPr>
      <t xml:space="preserve">   </t>
    </r>
    <r>
      <rPr>
        <sz val="28"/>
        <rFont val="Meiryo UI"/>
        <family val="3"/>
        <charset val="128"/>
      </rPr>
      <t>Balance・Utilization rate</t>
    </r>
    <rPh sb="8" eb="10">
      <t>カドウ</t>
    </rPh>
    <rPh sb="10" eb="11">
      <t>リツ</t>
    </rPh>
    <phoneticPr fontId="6"/>
  </si>
  <si>
    <r>
      <t xml:space="preserve">バランス
</t>
    </r>
    <r>
      <rPr>
        <sz val="9"/>
        <rFont val="Meiryo UI"/>
        <family val="3"/>
        <charset val="128"/>
      </rPr>
      <t>Balance</t>
    </r>
    <phoneticPr fontId="6"/>
  </si>
  <si>
    <r>
      <t xml:space="preserve">年 </t>
    </r>
    <r>
      <rPr>
        <sz val="9"/>
        <rFont val="Meiryo UI"/>
        <family val="3"/>
        <charset val="128"/>
      </rPr>
      <t>Year</t>
    </r>
    <phoneticPr fontId="6"/>
  </si>
  <si>
    <r>
      <t>合　　計　　</t>
    </r>
    <r>
      <rPr>
        <sz val="9"/>
        <rFont val="Meiryo UI"/>
        <family val="3"/>
        <charset val="128"/>
      </rPr>
      <t>Total</t>
    </r>
    <phoneticPr fontId="6"/>
  </si>
  <si>
    <r>
      <t xml:space="preserve">稼働率
</t>
    </r>
    <r>
      <rPr>
        <sz val="9"/>
        <rFont val="Meiryo UI"/>
        <family val="3"/>
        <charset val="128"/>
      </rPr>
      <t>Utilization rate</t>
    </r>
    <rPh sb="0" eb="2">
      <t>カドウ</t>
    </rPh>
    <rPh sb="2" eb="3">
      <t>リツ</t>
    </rPh>
    <phoneticPr fontId="6"/>
  </si>
  <si>
    <r>
      <t xml:space="preserve">C. エチレン・プロピレン換算
総合表
</t>
    </r>
    <r>
      <rPr>
        <sz val="28"/>
        <rFont val="Meiryo UI"/>
        <family val="3"/>
        <charset val="128"/>
      </rPr>
      <t>Aggregate table
expressed as ethylene・propylene equivalent</t>
    </r>
    <rPh sb="13" eb="15">
      <t>カンザン</t>
    </rPh>
    <rPh sb="16" eb="18">
      <t>ソウゴウ</t>
    </rPh>
    <rPh sb="18" eb="19">
      <t>ヒョウ</t>
    </rPh>
    <phoneticPr fontId="5"/>
  </si>
  <si>
    <t>Aggregate table expressed as ethylene equivalent</t>
    <phoneticPr fontId="6"/>
  </si>
  <si>
    <r>
      <t xml:space="preserve">年平均成長率(％／年)
</t>
    </r>
    <r>
      <rPr>
        <sz val="9"/>
        <rFont val="Meiryo UI"/>
        <family val="3"/>
        <charset val="128"/>
      </rPr>
      <t>Average Annual Growth rate</t>
    </r>
    <phoneticPr fontId="6"/>
  </si>
  <si>
    <r>
      <t xml:space="preserve">生産総合計 </t>
    </r>
    <r>
      <rPr>
        <sz val="9"/>
        <rFont val="Meiryo UI"/>
        <family val="3"/>
        <charset val="128"/>
      </rPr>
      <t xml:space="preserve"> Total Production</t>
    </r>
    <rPh sb="0" eb="2">
      <t>セイサン</t>
    </rPh>
    <rPh sb="2" eb="3">
      <t>ソウ</t>
    </rPh>
    <rPh sb="3" eb="5">
      <t>ゴウケイ</t>
    </rPh>
    <phoneticPr fontId="6"/>
  </si>
  <si>
    <r>
      <t xml:space="preserve">需要総合計   </t>
    </r>
    <r>
      <rPr>
        <sz val="9"/>
        <rFont val="Meiryo UI"/>
        <family val="3"/>
        <charset val="128"/>
      </rPr>
      <t xml:space="preserve"> Total Demand</t>
    </r>
    <rPh sb="0" eb="2">
      <t>ジュヨウ</t>
    </rPh>
    <rPh sb="2" eb="3">
      <t>ソウ</t>
    </rPh>
    <rPh sb="3" eb="5">
      <t>ゴウケイ</t>
    </rPh>
    <phoneticPr fontId="6"/>
  </si>
  <si>
    <t xml:space="preserve">    Aggregate table expressed as ethylene equivalent</t>
    <phoneticPr fontId="6"/>
  </si>
  <si>
    <t>Aggregate table expressed as propylene equivalent</t>
    <phoneticPr fontId="6"/>
  </si>
  <si>
    <t xml:space="preserve">    Aggregate table expressed as propylene equivalent</t>
    <phoneticPr fontId="6"/>
  </si>
  <si>
    <r>
      <t xml:space="preserve">D. エチレン・プロピレン
換算バランス予想
</t>
    </r>
    <r>
      <rPr>
        <sz val="28"/>
        <rFont val="Meiryo UI"/>
        <family val="3"/>
        <charset val="128"/>
      </rPr>
      <t>Balance projection
expressed as ethylene・propylene equivalent</t>
    </r>
    <rPh sb="20" eb="22">
      <t>ヨソウ</t>
    </rPh>
    <phoneticPr fontId="3"/>
  </si>
  <si>
    <t>Balance projection expressed as ethylene equivalent</t>
    <phoneticPr fontId="6"/>
  </si>
  <si>
    <t xml:space="preserve">   Balance projection expressed as ethylene equivalent</t>
    <phoneticPr fontId="6"/>
  </si>
  <si>
    <t>Balance projection expressed as propylene equivalent</t>
    <phoneticPr fontId="6"/>
  </si>
  <si>
    <t>　　Balance projection expressed as propylene equivalent</t>
    <phoneticPr fontId="6"/>
  </si>
  <si>
    <t>Utilization rate (Demand / Capacity) History・Projection</t>
    <phoneticPr fontId="6"/>
  </si>
  <si>
    <r>
      <t>商品名　</t>
    </r>
    <r>
      <rPr>
        <sz val="9"/>
        <rFont val="Meiryo UI"/>
        <family val="3"/>
        <charset val="128"/>
      </rPr>
      <t>Product Name</t>
    </r>
    <rPh sb="0" eb="3">
      <t>ショウヒンメイ</t>
    </rPh>
    <phoneticPr fontId="6"/>
  </si>
  <si>
    <r>
      <t>ETHYLENE換算</t>
    </r>
    <r>
      <rPr>
        <sz val="9"/>
        <rFont val="Meiryo UI"/>
        <family val="3"/>
        <charset val="128"/>
      </rPr>
      <t xml:space="preserve">  Ethylene equivalent</t>
    </r>
    <phoneticPr fontId="6"/>
  </si>
  <si>
    <r>
      <t>PROPYLENE換算</t>
    </r>
    <r>
      <rPr>
        <sz val="9"/>
        <rFont val="Meiryo UI"/>
        <family val="3"/>
        <charset val="128"/>
      </rPr>
      <t xml:space="preserve">  Propylene equivalent</t>
    </r>
    <phoneticPr fontId="6"/>
  </si>
  <si>
    <r>
      <t xml:space="preserve">日本 </t>
    </r>
    <r>
      <rPr>
        <sz val="9"/>
        <rFont val="Meiryo UI"/>
        <family val="3"/>
        <charset val="128"/>
      </rPr>
      <t xml:space="preserve"> Japan</t>
    </r>
    <r>
      <rPr>
        <sz val="14"/>
        <rFont val="ＭＳ Ｐゴシック"/>
        <family val="3"/>
        <charset val="128"/>
      </rPr>
      <t xml:space="preserve">
2017</t>
    </r>
    <rPh sb="0" eb="2">
      <t>ニホン</t>
    </rPh>
    <phoneticPr fontId="6"/>
  </si>
  <si>
    <r>
      <t xml:space="preserve">単位：万トン
</t>
    </r>
    <r>
      <rPr>
        <sz val="9"/>
        <color rgb="FFFF0000"/>
        <rFont val="Meiryo UI"/>
        <family val="3"/>
        <charset val="128"/>
      </rPr>
      <t>Unit:10,000T</t>
    </r>
    <rPh sb="0" eb="2">
      <t>タンイ</t>
    </rPh>
    <rPh sb="3" eb="4">
      <t>マン</t>
    </rPh>
    <phoneticPr fontId="6"/>
  </si>
  <si>
    <r>
      <t xml:space="preserve">能力
</t>
    </r>
    <r>
      <rPr>
        <sz val="9"/>
        <rFont val="Meiryo UI"/>
        <family val="3"/>
        <charset val="128"/>
      </rPr>
      <t xml:space="preserve"> Capacity</t>
    </r>
    <rPh sb="0" eb="2">
      <t>ノウリョク</t>
    </rPh>
    <phoneticPr fontId="6"/>
  </si>
  <si>
    <r>
      <t xml:space="preserve">生産
</t>
    </r>
    <r>
      <rPr>
        <sz val="9"/>
        <rFont val="Meiryo UI"/>
        <family val="3"/>
        <charset val="128"/>
      </rPr>
      <t>Production</t>
    </r>
    <rPh sb="0" eb="2">
      <t>セイサン</t>
    </rPh>
    <phoneticPr fontId="6"/>
  </si>
  <si>
    <r>
      <t xml:space="preserve">輸入
</t>
    </r>
    <r>
      <rPr>
        <sz val="9"/>
        <rFont val="Meiryo UI"/>
        <family val="3"/>
        <charset val="128"/>
      </rPr>
      <t>Import</t>
    </r>
    <rPh sb="0" eb="2">
      <t>ユニュウ</t>
    </rPh>
    <phoneticPr fontId="6"/>
  </si>
  <si>
    <r>
      <t>輸出
E</t>
    </r>
    <r>
      <rPr>
        <sz val="9"/>
        <rFont val="Meiryo UI"/>
        <family val="3"/>
        <charset val="128"/>
      </rPr>
      <t>xport</t>
    </r>
    <rPh sb="0" eb="2">
      <t>ユシュツ</t>
    </rPh>
    <phoneticPr fontId="6"/>
  </si>
  <si>
    <r>
      <t xml:space="preserve">内需
</t>
    </r>
    <r>
      <rPr>
        <sz val="9"/>
        <rFont val="Meiryo UI"/>
        <family val="3"/>
        <charset val="128"/>
      </rPr>
      <t>Domestic demand</t>
    </r>
    <rPh sb="0" eb="2">
      <t>ナイジュ</t>
    </rPh>
    <phoneticPr fontId="6"/>
  </si>
  <si>
    <r>
      <t xml:space="preserve">輸出
</t>
    </r>
    <r>
      <rPr>
        <sz val="9"/>
        <rFont val="Meiryo UI"/>
        <family val="3"/>
        <charset val="128"/>
      </rPr>
      <t>Export</t>
    </r>
    <rPh sb="0" eb="2">
      <t>ユシュツ</t>
    </rPh>
    <phoneticPr fontId="6"/>
  </si>
  <si>
    <r>
      <t xml:space="preserve">ﾊﾞﾗﾝｽ
</t>
    </r>
    <r>
      <rPr>
        <sz val="9"/>
        <rFont val="Meiryo UI"/>
        <family val="3"/>
        <charset val="128"/>
      </rPr>
      <t>Balance</t>
    </r>
    <phoneticPr fontId="6"/>
  </si>
  <si>
    <r>
      <t xml:space="preserve">稼働率
</t>
    </r>
    <r>
      <rPr>
        <sz val="9"/>
        <rFont val="Meiryo UI"/>
        <family val="3"/>
        <charset val="128"/>
      </rPr>
      <t>Capacity utilization rate</t>
    </r>
    <rPh sb="0" eb="2">
      <t>カドウ</t>
    </rPh>
    <rPh sb="2" eb="3">
      <t>リツ</t>
    </rPh>
    <phoneticPr fontId="6"/>
  </si>
  <si>
    <r>
      <t xml:space="preserve">主要ﾒｰｶｰ
</t>
    </r>
    <r>
      <rPr>
        <sz val="9"/>
        <rFont val="Meiryo UI"/>
        <family val="3"/>
        <charset val="128"/>
      </rPr>
      <t xml:space="preserve"> Major manufacturer</t>
    </r>
    <rPh sb="0" eb="2">
      <t>シュヨウ</t>
    </rPh>
    <phoneticPr fontId="6"/>
  </si>
  <si>
    <r>
      <t xml:space="preserve">比率
</t>
    </r>
    <r>
      <rPr>
        <sz val="9"/>
        <rFont val="Meiryo UI"/>
        <family val="3"/>
        <charset val="128"/>
      </rPr>
      <t>ratio</t>
    </r>
    <rPh sb="0" eb="2">
      <t>ヒリツ</t>
    </rPh>
    <phoneticPr fontId="6"/>
  </si>
  <si>
    <r>
      <t xml:space="preserve">(生産)
</t>
    </r>
    <r>
      <rPr>
        <sz val="9"/>
        <rFont val="Meiryo UI"/>
        <family val="3"/>
        <charset val="128"/>
      </rPr>
      <t>(Production)</t>
    </r>
    <rPh sb="1" eb="3">
      <t>セイサン</t>
    </rPh>
    <phoneticPr fontId="6"/>
  </si>
  <si>
    <r>
      <t xml:space="preserve">(需要)
</t>
    </r>
    <r>
      <rPr>
        <sz val="9"/>
        <rFont val="Meiryo UI"/>
        <family val="3"/>
        <charset val="128"/>
      </rPr>
      <t>(Demand)</t>
    </r>
    <rPh sb="1" eb="3">
      <t>ジュヨウ</t>
    </rPh>
    <phoneticPr fontId="6"/>
  </si>
  <si>
    <t>(Production - Demand)</t>
    <phoneticPr fontId="6"/>
  </si>
  <si>
    <r>
      <t>その他</t>
    </r>
    <r>
      <rPr>
        <sz val="9"/>
        <rFont val="Meiryo UI"/>
        <family val="3"/>
        <charset val="128"/>
      </rPr>
      <t xml:space="preserve">  Other</t>
    </r>
    <rPh sb="2" eb="3">
      <t>タ</t>
    </rPh>
    <phoneticPr fontId="6"/>
  </si>
  <si>
    <r>
      <t xml:space="preserve">計AS C2  </t>
    </r>
    <r>
      <rPr>
        <sz val="9"/>
        <rFont val="Meiryo UI"/>
        <family val="3"/>
        <charset val="128"/>
      </rPr>
      <t>Total  AS C2</t>
    </r>
    <rPh sb="0" eb="1">
      <t>ケイ</t>
    </rPh>
    <phoneticPr fontId="6"/>
  </si>
  <si>
    <r>
      <t xml:space="preserve">ﾌﾟﾛﾋﾟ </t>
    </r>
    <r>
      <rPr>
        <sz val="9"/>
        <rFont val="Meiryo UI"/>
        <family val="3"/>
        <charset val="128"/>
      </rPr>
      <t xml:space="preserve"> Propylene</t>
    </r>
    <phoneticPr fontId="6"/>
  </si>
  <si>
    <r>
      <t xml:space="preserve">計AS C3   </t>
    </r>
    <r>
      <rPr>
        <sz val="9"/>
        <rFont val="Meiryo UI"/>
        <family val="3"/>
        <charset val="128"/>
      </rPr>
      <t xml:space="preserve"> Total  AS C3</t>
    </r>
    <rPh sb="0" eb="1">
      <t>ケイ</t>
    </rPh>
    <phoneticPr fontId="6"/>
  </si>
  <si>
    <r>
      <t>ﾍﾞﾝｾﾞﾝ</t>
    </r>
    <r>
      <rPr>
        <sz val="9"/>
        <rFont val="Meiryo UI"/>
        <family val="3"/>
        <charset val="128"/>
      </rPr>
      <t xml:space="preserve">  Benzene</t>
    </r>
    <phoneticPr fontId="6"/>
  </si>
  <si>
    <r>
      <t>ﾄﾙｴﾝ</t>
    </r>
    <r>
      <rPr>
        <sz val="9"/>
        <rFont val="Meiryo UI"/>
        <family val="3"/>
        <charset val="128"/>
      </rPr>
      <t xml:space="preserve">   Toluene</t>
    </r>
    <phoneticPr fontId="6"/>
  </si>
  <si>
    <r>
      <t>ｷｼﾚﾝ</t>
    </r>
    <r>
      <rPr>
        <sz val="9"/>
        <rFont val="Meiryo UI"/>
        <family val="3"/>
        <charset val="128"/>
      </rPr>
      <t xml:space="preserve">  Xylene</t>
    </r>
    <phoneticPr fontId="6"/>
  </si>
  <si>
    <r>
      <t xml:space="preserve">日本  </t>
    </r>
    <r>
      <rPr>
        <sz val="9"/>
        <rFont val="Meiryo UI"/>
        <family val="3"/>
        <charset val="128"/>
      </rPr>
      <t>Japan</t>
    </r>
    <r>
      <rPr>
        <sz val="14"/>
        <rFont val="ＭＳ Ｐゴシック"/>
        <family val="3"/>
        <charset val="128"/>
      </rPr>
      <t xml:space="preserve">
2023</t>
    </r>
    <rPh sb="0" eb="2">
      <t>ニホン</t>
    </rPh>
    <phoneticPr fontId="6"/>
  </si>
  <si>
    <r>
      <t>中国　</t>
    </r>
    <r>
      <rPr>
        <sz val="9"/>
        <rFont val="Meiryo UI"/>
        <family val="3"/>
        <charset val="128"/>
      </rPr>
      <t>China</t>
    </r>
    <r>
      <rPr>
        <sz val="14"/>
        <rFont val="ＭＳ Ｐゴシック"/>
        <family val="3"/>
        <charset val="128"/>
      </rPr>
      <t xml:space="preserve">
2017</t>
    </r>
    <rPh sb="0" eb="2">
      <t>チュウゴク</t>
    </rPh>
    <phoneticPr fontId="6"/>
  </si>
  <si>
    <r>
      <t>中国　</t>
    </r>
    <r>
      <rPr>
        <sz val="9"/>
        <rFont val="Meiryo UI"/>
        <family val="3"/>
        <charset val="128"/>
      </rPr>
      <t>China</t>
    </r>
    <r>
      <rPr>
        <sz val="14"/>
        <rFont val="ＭＳ Ｐゴシック"/>
        <family val="3"/>
        <charset val="128"/>
      </rPr>
      <t xml:space="preserve">
2023</t>
    </r>
    <rPh sb="0" eb="2">
      <t>チュウゴク</t>
    </rPh>
    <phoneticPr fontId="6"/>
  </si>
  <si>
    <r>
      <t>韓　</t>
    </r>
    <r>
      <rPr>
        <sz val="9"/>
        <rFont val="Meiryo UI"/>
        <family val="3"/>
        <charset val="128"/>
      </rPr>
      <t>Korea</t>
    </r>
    <r>
      <rPr>
        <sz val="14"/>
        <rFont val="ＭＳ Ｐゴシック"/>
        <family val="3"/>
        <charset val="128"/>
      </rPr>
      <t xml:space="preserve">
2017</t>
    </r>
    <rPh sb="0" eb="1">
      <t>カン</t>
    </rPh>
    <phoneticPr fontId="6"/>
  </si>
  <si>
    <r>
      <t>韓　</t>
    </r>
    <r>
      <rPr>
        <sz val="9"/>
        <rFont val="Meiryo UI"/>
        <family val="3"/>
        <charset val="128"/>
      </rPr>
      <t>Korea</t>
    </r>
    <r>
      <rPr>
        <sz val="14"/>
        <rFont val="ＭＳ Ｐゴシック"/>
        <family val="3"/>
        <charset val="128"/>
      </rPr>
      <t xml:space="preserve">
2023</t>
    </r>
    <rPh sb="0" eb="1">
      <t>カン</t>
    </rPh>
    <phoneticPr fontId="6"/>
  </si>
  <si>
    <r>
      <t>台湾　</t>
    </r>
    <r>
      <rPr>
        <sz val="9"/>
        <rFont val="Meiryo UI"/>
        <family val="3"/>
        <charset val="128"/>
      </rPr>
      <t>Taiwan</t>
    </r>
    <r>
      <rPr>
        <sz val="14"/>
        <rFont val="ＭＳ Ｐゴシック"/>
        <family val="3"/>
        <charset val="128"/>
      </rPr>
      <t xml:space="preserve">
2017</t>
    </r>
    <rPh sb="0" eb="2">
      <t>タイワン</t>
    </rPh>
    <phoneticPr fontId="6"/>
  </si>
  <si>
    <r>
      <t>台湾　</t>
    </r>
    <r>
      <rPr>
        <sz val="9"/>
        <rFont val="Meiryo UI"/>
        <family val="3"/>
        <charset val="128"/>
      </rPr>
      <t>Taiwan</t>
    </r>
    <r>
      <rPr>
        <sz val="14"/>
        <rFont val="ＭＳ Ｐゴシック"/>
        <family val="3"/>
        <charset val="128"/>
      </rPr>
      <t xml:space="preserve">
2023</t>
    </r>
    <rPh sb="0" eb="2">
      <t>タイワン</t>
    </rPh>
    <phoneticPr fontId="6"/>
  </si>
  <si>
    <r>
      <t>泰　</t>
    </r>
    <r>
      <rPr>
        <sz val="9"/>
        <rFont val="Meiryo UI"/>
        <family val="3"/>
        <charset val="128"/>
      </rPr>
      <t>Thailand</t>
    </r>
    <r>
      <rPr>
        <sz val="14"/>
        <rFont val="ＭＳ Ｐゴシック"/>
        <family val="3"/>
        <charset val="128"/>
        <scheme val="minor"/>
      </rPr>
      <t xml:space="preserve">
2017</t>
    </r>
    <rPh sb="0" eb="1">
      <t>タイ</t>
    </rPh>
    <phoneticPr fontId="6"/>
  </si>
  <si>
    <r>
      <t>泰　</t>
    </r>
    <r>
      <rPr>
        <sz val="9"/>
        <rFont val="Meiryo UI"/>
        <family val="3"/>
        <charset val="128"/>
      </rPr>
      <t>Thailand</t>
    </r>
    <r>
      <rPr>
        <sz val="14"/>
        <rFont val="ＭＳ Ｐゴシック"/>
        <family val="3"/>
        <charset val="128"/>
        <scheme val="minor"/>
      </rPr>
      <t xml:space="preserve">
2023</t>
    </r>
    <rPh sb="0" eb="1">
      <t>タイ</t>
    </rPh>
    <phoneticPr fontId="6"/>
  </si>
  <si>
    <r>
      <t>マレーシア　</t>
    </r>
    <r>
      <rPr>
        <sz val="9"/>
        <rFont val="Meiryo UI"/>
        <family val="3"/>
        <charset val="128"/>
      </rPr>
      <t>Malaysia</t>
    </r>
    <r>
      <rPr>
        <sz val="14"/>
        <rFont val="ＭＳ Ｐゴシック"/>
        <family val="3"/>
        <charset val="128"/>
        <scheme val="minor"/>
      </rPr>
      <t xml:space="preserve">
2017</t>
    </r>
    <phoneticPr fontId="6"/>
  </si>
  <si>
    <r>
      <t>マレーシア　</t>
    </r>
    <r>
      <rPr>
        <sz val="9"/>
        <rFont val="Meiryo UI"/>
        <family val="3"/>
        <charset val="128"/>
      </rPr>
      <t>Malaysia</t>
    </r>
    <r>
      <rPr>
        <sz val="14"/>
        <rFont val="ＭＳ Ｐゴシック"/>
        <family val="3"/>
        <charset val="128"/>
        <scheme val="minor"/>
      </rPr>
      <t xml:space="preserve">
2023</t>
    </r>
    <phoneticPr fontId="6"/>
  </si>
  <si>
    <r>
      <t>印　</t>
    </r>
    <r>
      <rPr>
        <sz val="9"/>
        <rFont val="Meiryo UI"/>
        <family val="3"/>
        <charset val="128"/>
      </rPr>
      <t>India</t>
    </r>
    <r>
      <rPr>
        <sz val="14"/>
        <rFont val="ＭＳ Ｐゴシック"/>
        <family val="3"/>
        <charset val="128"/>
      </rPr>
      <t xml:space="preserve">
2017</t>
    </r>
    <rPh sb="0" eb="1">
      <t>イン</t>
    </rPh>
    <phoneticPr fontId="6"/>
  </si>
  <si>
    <r>
      <t>印　</t>
    </r>
    <r>
      <rPr>
        <sz val="9"/>
        <rFont val="Meiryo UI"/>
        <family val="3"/>
        <charset val="128"/>
      </rPr>
      <t>India</t>
    </r>
    <r>
      <rPr>
        <sz val="14"/>
        <rFont val="ＭＳ Ｐゴシック"/>
        <family val="3"/>
        <charset val="128"/>
      </rPr>
      <t xml:space="preserve">
2023</t>
    </r>
    <rPh sb="0" eb="1">
      <t>イン</t>
    </rPh>
    <phoneticPr fontId="6"/>
  </si>
  <si>
    <r>
      <t>比　</t>
    </r>
    <r>
      <rPr>
        <sz val="9"/>
        <rFont val="Meiryo UI"/>
        <family val="3"/>
        <charset val="128"/>
      </rPr>
      <t>Philippines</t>
    </r>
    <r>
      <rPr>
        <sz val="14"/>
        <rFont val="ＭＳ Ｐゴシック"/>
        <family val="3"/>
        <charset val="128"/>
      </rPr>
      <t xml:space="preserve">
2017</t>
    </r>
    <rPh sb="0" eb="1">
      <t>ヒ</t>
    </rPh>
    <phoneticPr fontId="6"/>
  </si>
  <si>
    <r>
      <t>比　</t>
    </r>
    <r>
      <rPr>
        <sz val="9"/>
        <rFont val="Meiryo UI"/>
        <family val="3"/>
        <charset val="128"/>
      </rPr>
      <t>Philippines</t>
    </r>
    <r>
      <rPr>
        <sz val="14"/>
        <rFont val="ＭＳ Ｐゴシック"/>
        <family val="3"/>
        <charset val="128"/>
      </rPr>
      <t xml:space="preserve">
2023</t>
    </r>
    <rPh sb="0" eb="1">
      <t>ヒ</t>
    </rPh>
    <phoneticPr fontId="6"/>
  </si>
  <si>
    <r>
      <t>越南　</t>
    </r>
    <r>
      <rPr>
        <sz val="9"/>
        <rFont val="Meiryo UI"/>
        <family val="3"/>
        <charset val="128"/>
      </rPr>
      <t>Viet Nam</t>
    </r>
    <r>
      <rPr>
        <sz val="14"/>
        <rFont val="ＭＳ Ｐゴシック"/>
        <family val="3"/>
        <charset val="128"/>
      </rPr>
      <t xml:space="preserve">
2017</t>
    </r>
    <rPh sb="0" eb="2">
      <t>ベトナム</t>
    </rPh>
    <phoneticPr fontId="6"/>
  </si>
  <si>
    <r>
      <t>越南　</t>
    </r>
    <r>
      <rPr>
        <sz val="9"/>
        <rFont val="Meiryo UI"/>
        <family val="3"/>
        <charset val="128"/>
      </rPr>
      <t>Viet Nam</t>
    </r>
    <r>
      <rPr>
        <sz val="14"/>
        <rFont val="ＭＳ Ｐゴシック"/>
        <family val="3"/>
        <charset val="128"/>
      </rPr>
      <t xml:space="preserve">
2023</t>
    </r>
    <rPh sb="0" eb="2">
      <t>ベトナム</t>
    </rPh>
    <phoneticPr fontId="6"/>
  </si>
  <si>
    <r>
      <t>豪　</t>
    </r>
    <r>
      <rPr>
        <sz val="9"/>
        <rFont val="Meiryo UI"/>
        <family val="3"/>
        <charset val="128"/>
      </rPr>
      <t>Australia</t>
    </r>
    <r>
      <rPr>
        <sz val="14"/>
        <rFont val="ＭＳ Ｐゴシック"/>
        <family val="3"/>
        <charset val="128"/>
      </rPr>
      <t xml:space="preserve">
2017</t>
    </r>
    <rPh sb="0" eb="1">
      <t>ゴウ</t>
    </rPh>
    <phoneticPr fontId="6"/>
  </si>
  <si>
    <r>
      <t>豪　</t>
    </r>
    <r>
      <rPr>
        <sz val="9"/>
        <rFont val="Meiryo UI"/>
        <family val="3"/>
        <charset val="128"/>
      </rPr>
      <t>Australia</t>
    </r>
    <r>
      <rPr>
        <sz val="14"/>
        <rFont val="ＭＳ Ｐゴシック"/>
        <family val="3"/>
        <charset val="128"/>
      </rPr>
      <t xml:space="preserve">
2023</t>
    </r>
    <rPh sb="0" eb="1">
      <t>ゴウ</t>
    </rPh>
    <phoneticPr fontId="6"/>
  </si>
  <si>
    <r>
      <t>星　</t>
    </r>
    <r>
      <rPr>
        <sz val="9"/>
        <rFont val="Meiryo UI"/>
        <family val="3"/>
        <charset val="128"/>
      </rPr>
      <t>Singapore</t>
    </r>
    <r>
      <rPr>
        <sz val="14"/>
        <rFont val="ＭＳ Ｐゴシック"/>
        <family val="3"/>
        <charset val="128"/>
      </rPr>
      <t xml:space="preserve">
2017</t>
    </r>
    <rPh sb="0" eb="1">
      <t>ホシ</t>
    </rPh>
    <phoneticPr fontId="6"/>
  </si>
  <si>
    <r>
      <t>星　</t>
    </r>
    <r>
      <rPr>
        <sz val="9"/>
        <rFont val="Meiryo UI"/>
        <family val="3"/>
        <charset val="128"/>
      </rPr>
      <t>Singapore</t>
    </r>
    <r>
      <rPr>
        <sz val="14"/>
        <rFont val="ＭＳ Ｐゴシック"/>
        <family val="3"/>
        <charset val="128"/>
      </rPr>
      <t xml:space="preserve">
2023</t>
    </r>
    <rPh sb="0" eb="1">
      <t>ホシ</t>
    </rPh>
    <phoneticPr fontId="6"/>
  </si>
  <si>
    <r>
      <t>インドネシア　</t>
    </r>
    <r>
      <rPr>
        <sz val="9"/>
        <rFont val="Meiryo UI"/>
        <family val="3"/>
        <charset val="128"/>
      </rPr>
      <t>Indonesia</t>
    </r>
    <r>
      <rPr>
        <sz val="14"/>
        <rFont val="ＭＳ Ｐゴシック"/>
        <family val="3"/>
        <charset val="128"/>
      </rPr>
      <t xml:space="preserve">
2017</t>
    </r>
    <phoneticPr fontId="6"/>
  </si>
  <si>
    <r>
      <t>インドネシア　</t>
    </r>
    <r>
      <rPr>
        <sz val="9"/>
        <rFont val="Meiryo UI"/>
        <family val="3"/>
        <charset val="128"/>
      </rPr>
      <t>Indonesia</t>
    </r>
    <r>
      <rPr>
        <sz val="14"/>
        <rFont val="ＭＳ Ｐゴシック"/>
        <family val="3"/>
        <charset val="128"/>
      </rPr>
      <t xml:space="preserve">
2023</t>
    </r>
    <phoneticPr fontId="6"/>
  </si>
  <si>
    <r>
      <t>欧州　</t>
    </r>
    <r>
      <rPr>
        <sz val="9"/>
        <rFont val="Meiryo UI"/>
        <family val="3"/>
        <charset val="128"/>
      </rPr>
      <t>Europe</t>
    </r>
    <r>
      <rPr>
        <sz val="14"/>
        <rFont val="ＭＳ Ｐゴシック"/>
        <family val="3"/>
        <charset val="128"/>
      </rPr>
      <t xml:space="preserve">
2017</t>
    </r>
    <rPh sb="0" eb="2">
      <t>オウシュウ</t>
    </rPh>
    <phoneticPr fontId="6"/>
  </si>
  <si>
    <r>
      <t>欧州　</t>
    </r>
    <r>
      <rPr>
        <sz val="9"/>
        <rFont val="Meiryo UI"/>
        <family val="3"/>
        <charset val="128"/>
      </rPr>
      <t>Europe</t>
    </r>
    <r>
      <rPr>
        <sz val="14"/>
        <rFont val="ＭＳ Ｐゴシック"/>
        <family val="3"/>
        <charset val="128"/>
      </rPr>
      <t xml:space="preserve">
2023</t>
    </r>
    <rPh sb="0" eb="2">
      <t>オウシュウ</t>
    </rPh>
    <phoneticPr fontId="6"/>
  </si>
  <si>
    <r>
      <t>中東　</t>
    </r>
    <r>
      <rPr>
        <sz val="9"/>
        <rFont val="Meiryo UI"/>
        <family val="3"/>
        <charset val="128"/>
      </rPr>
      <t>Middle East</t>
    </r>
    <r>
      <rPr>
        <sz val="14"/>
        <rFont val="ＭＳ Ｐゴシック"/>
        <family val="3"/>
        <charset val="128"/>
      </rPr>
      <t xml:space="preserve">
2017</t>
    </r>
    <rPh sb="0" eb="2">
      <t>チュウトウ</t>
    </rPh>
    <phoneticPr fontId="6"/>
  </si>
  <si>
    <r>
      <t>中東　</t>
    </r>
    <r>
      <rPr>
        <sz val="9"/>
        <rFont val="Meiryo UI"/>
        <family val="3"/>
        <charset val="128"/>
      </rPr>
      <t>Middle East</t>
    </r>
    <r>
      <rPr>
        <sz val="14"/>
        <rFont val="ＭＳ Ｐゴシック"/>
        <family val="3"/>
        <charset val="128"/>
      </rPr>
      <t xml:space="preserve">
2023</t>
    </r>
    <rPh sb="0" eb="2">
      <t>チュウトウ</t>
    </rPh>
    <phoneticPr fontId="6"/>
  </si>
  <si>
    <r>
      <t>アフリカ　</t>
    </r>
    <r>
      <rPr>
        <sz val="9"/>
        <rFont val="Meiryo UI"/>
        <family val="3"/>
        <charset val="128"/>
      </rPr>
      <t>Africa</t>
    </r>
    <r>
      <rPr>
        <sz val="14"/>
        <rFont val="ＭＳ Ｐゴシック"/>
        <family val="3"/>
        <charset val="128"/>
      </rPr>
      <t xml:space="preserve">
2017</t>
    </r>
    <phoneticPr fontId="6"/>
  </si>
  <si>
    <r>
      <t>アフリカ　</t>
    </r>
    <r>
      <rPr>
        <sz val="9"/>
        <rFont val="Meiryo UI"/>
        <family val="3"/>
        <charset val="128"/>
      </rPr>
      <t>Africa</t>
    </r>
    <r>
      <rPr>
        <sz val="14"/>
        <rFont val="ＭＳ Ｐゴシック"/>
        <family val="3"/>
        <charset val="128"/>
      </rPr>
      <t xml:space="preserve">
2023</t>
    </r>
    <phoneticPr fontId="6"/>
  </si>
  <si>
    <r>
      <t>CIS　</t>
    </r>
    <r>
      <rPr>
        <sz val="9"/>
        <rFont val="Meiryo UI"/>
        <family val="3"/>
        <charset val="128"/>
      </rPr>
      <t>CIS</t>
    </r>
    <r>
      <rPr>
        <sz val="14"/>
        <rFont val="ＭＳ Ｐゴシック"/>
        <family val="3"/>
        <charset val="128"/>
      </rPr>
      <t xml:space="preserve">
2017</t>
    </r>
    <phoneticPr fontId="6"/>
  </si>
  <si>
    <r>
      <t>CIS　</t>
    </r>
    <r>
      <rPr>
        <sz val="9"/>
        <rFont val="Meiryo UI"/>
        <family val="3"/>
        <charset val="128"/>
      </rPr>
      <t>CIS</t>
    </r>
    <r>
      <rPr>
        <sz val="14"/>
        <rFont val="ＭＳ Ｐゴシック"/>
        <family val="3"/>
        <charset val="128"/>
      </rPr>
      <t xml:space="preserve">
2023</t>
    </r>
    <phoneticPr fontId="6"/>
  </si>
  <si>
    <r>
      <t>US　</t>
    </r>
    <r>
      <rPr>
        <sz val="9"/>
        <rFont val="Meiryo UI"/>
        <family val="3"/>
        <charset val="128"/>
      </rPr>
      <t>USA</t>
    </r>
    <r>
      <rPr>
        <sz val="14"/>
        <rFont val="ＭＳ Ｐゴシック"/>
        <family val="3"/>
        <charset val="128"/>
      </rPr>
      <t xml:space="preserve">
2017</t>
    </r>
    <phoneticPr fontId="6"/>
  </si>
  <si>
    <r>
      <t>US　</t>
    </r>
    <r>
      <rPr>
        <sz val="9"/>
        <rFont val="Meiryo UI"/>
        <family val="3"/>
        <charset val="128"/>
      </rPr>
      <t>USA</t>
    </r>
    <r>
      <rPr>
        <sz val="14"/>
        <rFont val="ＭＳ Ｐゴシック"/>
        <family val="3"/>
        <charset val="128"/>
      </rPr>
      <t xml:space="preserve">
2023</t>
    </r>
    <phoneticPr fontId="6"/>
  </si>
  <si>
    <r>
      <t>加　</t>
    </r>
    <r>
      <rPr>
        <sz val="9"/>
        <rFont val="Meiryo UI"/>
        <family val="3"/>
        <charset val="128"/>
      </rPr>
      <t>Canada</t>
    </r>
    <r>
      <rPr>
        <sz val="14"/>
        <rFont val="ＭＳ Ｐゴシック"/>
        <family val="3"/>
        <charset val="128"/>
      </rPr>
      <t xml:space="preserve">
2017</t>
    </r>
    <rPh sb="0" eb="1">
      <t>カ</t>
    </rPh>
    <phoneticPr fontId="6"/>
  </si>
  <si>
    <r>
      <t>加　</t>
    </r>
    <r>
      <rPr>
        <sz val="9"/>
        <rFont val="Meiryo UI"/>
        <family val="3"/>
        <charset val="128"/>
      </rPr>
      <t>Canada</t>
    </r>
    <r>
      <rPr>
        <sz val="14"/>
        <rFont val="ＭＳ Ｐゴシック"/>
        <family val="3"/>
        <charset val="128"/>
      </rPr>
      <t xml:space="preserve">
2023</t>
    </r>
    <rPh sb="0" eb="1">
      <t>カ</t>
    </rPh>
    <phoneticPr fontId="6"/>
  </si>
  <si>
    <r>
      <t>墨　</t>
    </r>
    <r>
      <rPr>
        <sz val="9"/>
        <rFont val="Meiryo UI"/>
        <family val="3"/>
        <charset val="128"/>
      </rPr>
      <t>Mexico</t>
    </r>
    <r>
      <rPr>
        <sz val="14"/>
        <rFont val="ＭＳ Ｐゴシック"/>
        <family val="3"/>
        <charset val="128"/>
      </rPr>
      <t xml:space="preserve">
2017</t>
    </r>
    <rPh sb="0" eb="1">
      <t>ボク</t>
    </rPh>
    <phoneticPr fontId="6"/>
  </si>
  <si>
    <r>
      <t>伯　</t>
    </r>
    <r>
      <rPr>
        <sz val="9"/>
        <rFont val="Meiryo UI"/>
        <family val="3"/>
        <charset val="128"/>
      </rPr>
      <t>Brazil</t>
    </r>
    <r>
      <rPr>
        <sz val="14"/>
        <rFont val="ＭＳ Ｐゴシック"/>
        <family val="3"/>
        <charset val="128"/>
      </rPr>
      <t xml:space="preserve">
2017</t>
    </r>
    <rPh sb="0" eb="1">
      <t>ハク</t>
    </rPh>
    <phoneticPr fontId="6"/>
  </si>
  <si>
    <r>
      <t>墨　</t>
    </r>
    <r>
      <rPr>
        <sz val="9"/>
        <rFont val="Meiryo UI"/>
        <family val="3"/>
        <charset val="128"/>
      </rPr>
      <t>Mexico</t>
    </r>
    <r>
      <rPr>
        <sz val="14"/>
        <rFont val="ＭＳ Ｐゴシック"/>
        <family val="3"/>
        <charset val="128"/>
      </rPr>
      <t xml:space="preserve">
2023</t>
    </r>
    <rPh sb="0" eb="1">
      <t>ボク</t>
    </rPh>
    <phoneticPr fontId="6"/>
  </si>
  <si>
    <r>
      <t>伯　</t>
    </r>
    <r>
      <rPr>
        <sz val="9"/>
        <rFont val="Meiryo UI"/>
        <family val="3"/>
        <charset val="128"/>
      </rPr>
      <t>Brazil</t>
    </r>
    <r>
      <rPr>
        <sz val="14"/>
        <rFont val="ＭＳ Ｐゴシック"/>
        <family val="3"/>
        <charset val="128"/>
      </rPr>
      <t xml:space="preserve">
2023</t>
    </r>
    <rPh sb="0" eb="1">
      <t>ハク</t>
    </rPh>
    <phoneticPr fontId="6"/>
  </si>
  <si>
    <t>Ronson Petro</t>
  </si>
  <si>
    <t>TPC VINA, AGC CHEMICALS VIETNAM</t>
  </si>
  <si>
    <t>BSR,Ronson</t>
  </si>
  <si>
    <t>BSR,Ronson,Nghi Son,Hyosung</t>
  </si>
  <si>
    <t>JG Summit, NPC</t>
  </si>
  <si>
    <t>Philippine Resine, General Chemical</t>
  </si>
  <si>
    <t>Petrocorp, JG Summit, Phoenix</t>
  </si>
  <si>
    <t>BSR</t>
  </si>
  <si>
    <t>BSR、Ngison</t>
  </si>
  <si>
    <t>Reliacne, OPAL</t>
  </si>
  <si>
    <t>Reliacne, ONGC</t>
  </si>
  <si>
    <t>Reliance</t>
  </si>
  <si>
    <t>Chemplast, Reliance</t>
  </si>
  <si>
    <t>Reliacne, HPL</t>
  </si>
  <si>
    <t>Reliacne</t>
  </si>
  <si>
    <t>Reliance, OPAL</t>
  </si>
  <si>
    <r>
      <t xml:space="preserve">韓　　国  </t>
    </r>
    <r>
      <rPr>
        <sz val="9"/>
        <rFont val="Meiryo UI"/>
        <family val="3"/>
        <charset val="128"/>
      </rPr>
      <t>Korea</t>
    </r>
    <phoneticPr fontId="6"/>
  </si>
  <si>
    <r>
      <t xml:space="preserve">台　　湾  </t>
    </r>
    <r>
      <rPr>
        <sz val="9"/>
        <rFont val="Meiryo UI"/>
        <family val="3"/>
        <charset val="128"/>
      </rPr>
      <t>Taiwan</t>
    </r>
    <phoneticPr fontId="6"/>
  </si>
  <si>
    <r>
      <t xml:space="preserve">シンガポール  </t>
    </r>
    <r>
      <rPr>
        <sz val="9"/>
        <rFont val="Meiryo UI"/>
        <family val="3"/>
        <charset val="128"/>
      </rPr>
      <t>Singapore</t>
    </r>
    <phoneticPr fontId="6"/>
  </si>
  <si>
    <r>
      <t xml:space="preserve">中　　国　（香港含む）  </t>
    </r>
    <r>
      <rPr>
        <sz val="9"/>
        <rFont val="Meiryo UI"/>
        <family val="3"/>
        <charset val="128"/>
      </rPr>
      <t>China including HK</t>
    </r>
    <rPh sb="6" eb="8">
      <t>ホンコン</t>
    </rPh>
    <rPh sb="8" eb="9">
      <t>フク</t>
    </rPh>
    <phoneticPr fontId="6"/>
  </si>
  <si>
    <r>
      <t xml:space="preserve">タイ  </t>
    </r>
    <r>
      <rPr>
        <sz val="9"/>
        <rFont val="Meiryo UI"/>
        <family val="3"/>
        <charset val="128"/>
      </rPr>
      <t>Thailand</t>
    </r>
    <phoneticPr fontId="6"/>
  </si>
  <si>
    <r>
      <t xml:space="preserve">インドネシア  </t>
    </r>
    <r>
      <rPr>
        <sz val="9"/>
        <rFont val="Meiryo UI"/>
        <family val="3"/>
        <charset val="128"/>
      </rPr>
      <t>Indonesia</t>
    </r>
    <phoneticPr fontId="6"/>
  </si>
  <si>
    <r>
      <t xml:space="preserve">インド  </t>
    </r>
    <r>
      <rPr>
        <sz val="9"/>
        <rFont val="Meiryo UI"/>
        <family val="3"/>
        <charset val="128"/>
      </rPr>
      <t>India</t>
    </r>
    <phoneticPr fontId="6"/>
  </si>
  <si>
    <r>
      <t xml:space="preserve">フィリピン  </t>
    </r>
    <r>
      <rPr>
        <sz val="9"/>
        <rFont val="Meiryo UI"/>
        <family val="3"/>
        <charset val="128"/>
      </rPr>
      <t>Philippines</t>
    </r>
    <phoneticPr fontId="6"/>
  </si>
  <si>
    <r>
      <t xml:space="preserve">マレーシア  </t>
    </r>
    <r>
      <rPr>
        <sz val="9"/>
        <rFont val="Meiryo UI"/>
        <family val="3"/>
        <charset val="128"/>
      </rPr>
      <t>Malaysia</t>
    </r>
    <phoneticPr fontId="6"/>
  </si>
  <si>
    <r>
      <t xml:space="preserve">ベトナム  </t>
    </r>
    <r>
      <rPr>
        <sz val="9"/>
        <rFont val="Meiryo UI"/>
        <family val="3"/>
        <charset val="128"/>
      </rPr>
      <t>Viet Nam</t>
    </r>
    <phoneticPr fontId="6"/>
  </si>
  <si>
    <r>
      <t xml:space="preserve">日　　本  </t>
    </r>
    <r>
      <rPr>
        <sz val="9"/>
        <rFont val="Meiryo UI"/>
        <family val="3"/>
        <charset val="128"/>
      </rPr>
      <t>Japan</t>
    </r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</si>
</sst>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¥&quot;#,##0;[Red]&quot;¥&quot;\-#,##0"/>
    <numFmt numFmtId="176" formatCode="0.0"/>
    <numFmt numFmtId="177" formatCode="#,##0.0;[Red]\-#,##0.0"/>
    <numFmt numFmtId="178" formatCode="#,##0.0_ ;[Red]\-#,##0.0\ "/>
    <numFmt numFmtId="179" formatCode="#,##0_ ;[Red]\-#,##0\ "/>
    <numFmt numFmtId="180" formatCode="_(* #,##0.00_);_(* \(#,##0.00\);_(* &quot;-&quot;??_);_(@_)"/>
    <numFmt numFmtId="181" formatCode="#,##0_);[Red]\(#,##0\)"/>
    <numFmt numFmtId="182" formatCode="0.0%"/>
    <numFmt numFmtId="183" formatCode="#,##0.0_);[Red]\(#,##0.0\)"/>
    <numFmt numFmtId="184" formatCode="#,##0.000;[Red]\-#,##0.000"/>
    <numFmt numFmtId="185" formatCode="#,##0_ "/>
    <numFmt numFmtId="186" formatCode="#,##0.0_ "/>
    <numFmt numFmtId="187" formatCode="#,##0;&quot;▲ &quot;#,##0"/>
  </numFmts>
  <fonts count="47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12"/>
      <name val="ＭＳ 明朝"/>
      <family val="1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sz val="72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name val="Arial"/>
      <family val="2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2"/>
      <name val="Arial"/>
      <family val="2"/>
    </font>
    <font>
      <sz val="65"/>
      <name val="ＭＳ Ｐゴシック"/>
      <family val="3"/>
      <charset val="128"/>
    </font>
    <font>
      <sz val="11"/>
      <name val="明朝"/>
      <family val="3"/>
      <charset val="128"/>
    </font>
    <font>
      <sz val="11"/>
      <name val="Arial"/>
      <family val="2"/>
    </font>
    <font>
      <sz val="11"/>
      <name val="ＭＳ ゴシック"/>
      <family val="3"/>
      <charset val="128"/>
    </font>
    <font>
      <sz val="12"/>
      <name val="ＭＳ ゴシック"/>
      <family val="3"/>
      <charset val="128"/>
    </font>
    <font>
      <sz val="11.5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2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14"/>
      <color rgb="FFFF0000"/>
      <name val="ＭＳ Ｐゴシック"/>
      <family val="3"/>
      <charset val="128"/>
    </font>
    <font>
      <sz val="16"/>
      <name val="ＭＳ Ｐゴシック"/>
      <family val="3"/>
      <charset val="128"/>
    </font>
    <font>
      <sz val="14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ajor"/>
    </font>
    <font>
      <sz val="28"/>
      <name val="ＭＳ Ｐゴシック"/>
      <family val="3"/>
      <charset val="128"/>
    </font>
    <font>
      <sz val="28"/>
      <name val="Meiryo UI"/>
      <family val="3"/>
      <charset val="128"/>
    </font>
    <font>
      <sz val="9"/>
      <name val="Meiryo UI"/>
      <family val="3"/>
      <charset val="128"/>
    </font>
    <font>
      <sz val="9"/>
      <color rgb="FFFF0000"/>
      <name val="Meiryo UI"/>
      <family val="3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90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medium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55"/>
      </top>
      <bottom style="thin">
        <color indexed="55"/>
      </bottom>
      <diagonal/>
    </border>
    <border>
      <left/>
      <right style="medium">
        <color indexed="64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55"/>
      </top>
      <bottom style="thin">
        <color indexed="55"/>
      </bottom>
      <diagonal/>
    </border>
    <border>
      <left/>
      <right style="thin">
        <color indexed="64"/>
      </right>
      <top style="thin">
        <color indexed="55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55"/>
      </top>
      <bottom style="double">
        <color indexed="64"/>
      </bottom>
      <diagonal/>
    </border>
    <border>
      <left style="thin">
        <color indexed="64"/>
      </left>
      <right/>
      <top style="thin">
        <color indexed="5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55"/>
      </top>
      <bottom style="double">
        <color indexed="64"/>
      </bottom>
      <diagonal/>
    </border>
    <border>
      <left/>
      <right style="medium">
        <color indexed="64"/>
      </right>
      <top style="thin">
        <color indexed="55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55"/>
      </top>
      <bottom style="double">
        <color indexed="64"/>
      </bottom>
      <diagonal/>
    </border>
    <border>
      <left style="medium">
        <color indexed="64"/>
      </left>
      <right style="thin">
        <color indexed="55"/>
      </right>
      <top/>
      <bottom style="thin">
        <color indexed="55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 style="thin">
        <color indexed="55"/>
      </top>
      <bottom/>
      <diagonal/>
    </border>
    <border>
      <left style="thin">
        <color indexed="64"/>
      </left>
      <right style="medium">
        <color indexed="64"/>
      </right>
      <top style="thin">
        <color indexed="55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55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55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55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55"/>
      </bottom>
      <diagonal/>
    </border>
    <border>
      <left style="medium">
        <color indexed="64"/>
      </left>
      <right/>
      <top style="thin">
        <color indexed="55"/>
      </top>
      <bottom style="thin">
        <color indexed="55"/>
      </bottom>
      <diagonal/>
    </border>
    <border>
      <left style="thin">
        <color indexed="8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55"/>
      </bottom>
      <diagonal/>
    </border>
    <border>
      <left/>
      <right style="medium">
        <color indexed="64"/>
      </right>
      <top/>
      <bottom style="thin">
        <color indexed="55"/>
      </bottom>
      <diagonal/>
    </border>
    <border>
      <left style="medium">
        <color indexed="64"/>
      </left>
      <right/>
      <top style="thin">
        <color indexed="55"/>
      </top>
      <bottom/>
      <diagonal/>
    </border>
    <border>
      <left/>
      <right style="medium">
        <color indexed="64"/>
      </right>
      <top style="thin">
        <color indexed="55"/>
      </top>
      <bottom/>
      <diagonal/>
    </border>
    <border>
      <left style="thin">
        <color auto="1"/>
      </left>
      <right style="thin">
        <color auto="1"/>
      </right>
      <top/>
      <bottom style="thin">
        <color indexed="55"/>
      </bottom>
      <diagonal/>
    </border>
    <border>
      <left style="thin">
        <color auto="1"/>
      </left>
      <right style="thin">
        <color auto="1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55"/>
      </top>
      <bottom/>
      <diagonal/>
    </border>
    <border>
      <left style="thin">
        <color indexed="55"/>
      </left>
      <right style="medium">
        <color indexed="64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theme="0" tint="-0.14999847407452621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/>
      <bottom style="medium">
        <color theme="0" tint="-0.14999847407452621"/>
      </bottom>
      <diagonal/>
    </border>
    <border>
      <left style="thin">
        <color indexed="64"/>
      </left>
      <right style="thin">
        <color indexed="64"/>
      </right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thin">
        <color indexed="55"/>
      </top>
      <bottom style="thin">
        <color indexed="55"/>
      </bottom>
      <diagonal/>
    </border>
  </borders>
  <cellStyleXfs count="72">
    <xf numFmtId="0" fontId="0" fillId="0" borderId="0"/>
    <xf numFmtId="0" fontId="11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5" borderId="1" applyNumberFormat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9" fontId="3" fillId="0" borderId="0" applyFont="0" applyFill="0" applyBorder="0" applyAlignment="0" applyProtection="0"/>
    <xf numFmtId="0" fontId="3" fillId="4" borderId="2" applyNumberFormat="0" applyFont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4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20" fillId="0" borderId="5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17" borderId="9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6" fontId="3" fillId="0" borderId="0" applyFont="0" applyFill="0" applyBorder="0" applyAlignment="0" applyProtection="0"/>
    <xf numFmtId="0" fontId="26" fillId="7" borderId="4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7" fillId="6" borderId="0" applyNumberFormat="0" applyBorder="0" applyAlignment="0" applyProtection="0">
      <alignment vertical="center"/>
    </xf>
    <xf numFmtId="0" fontId="3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707">
    <xf numFmtId="0" fontId="0" fillId="0" borderId="0" xfId="0"/>
    <xf numFmtId="0" fontId="2" fillId="0" borderId="0" xfId="0" applyFont="1"/>
    <xf numFmtId="0" fontId="7" fillId="0" borderId="0" xfId="0" applyFont="1"/>
    <xf numFmtId="177" fontId="7" fillId="0" borderId="0" xfId="34" applyNumberFormat="1" applyFont="1"/>
    <xf numFmtId="0" fontId="9" fillId="0" borderId="0" xfId="0" applyFont="1"/>
    <xf numFmtId="0" fontId="9" fillId="0" borderId="10" xfId="0" applyFont="1" applyBorder="1"/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4" xfId="0" applyFont="1" applyBorder="1" applyAlignment="1">
      <alignment horizontal="center"/>
    </xf>
    <xf numFmtId="0" fontId="9" fillId="0" borderId="17" xfId="0" applyFont="1" applyBorder="1"/>
    <xf numFmtId="0" fontId="9" fillId="0" borderId="10" xfId="0" applyFont="1" applyBorder="1" applyAlignment="1">
      <alignment horizontal="center"/>
    </xf>
    <xf numFmtId="0" fontId="9" fillId="0" borderId="0" xfId="0" applyFont="1" applyAlignment="1">
      <alignment horizontal="center"/>
    </xf>
    <xf numFmtId="38" fontId="10" fillId="0" borderId="0" xfId="34" applyFont="1" applyAlignment="1">
      <alignment vertical="center"/>
    </xf>
    <xf numFmtId="38" fontId="0" fillId="0" borderId="0" xfId="0" applyNumberFormat="1"/>
    <xf numFmtId="0" fontId="0" fillId="0" borderId="10" xfId="0" applyBorder="1"/>
    <xf numFmtId="0" fontId="0" fillId="0" borderId="14" xfId="0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6" xfId="0" applyBorder="1"/>
    <xf numFmtId="37" fontId="0" fillId="0" borderId="0" xfId="0" applyNumberFormat="1" applyProtection="1">
      <protection locked="0"/>
    </xf>
    <xf numFmtId="0" fontId="0" fillId="0" borderId="22" xfId="0" applyBorder="1" applyAlignment="1">
      <alignment horizontal="center"/>
    </xf>
    <xf numFmtId="38" fontId="0" fillId="0" borderId="0" xfId="34" applyFont="1"/>
    <xf numFmtId="182" fontId="0" fillId="0" borderId="0" xfId="28" applyNumberFormat="1" applyFont="1"/>
    <xf numFmtId="177" fontId="0" fillId="0" borderId="0" xfId="34" applyNumberFormat="1" applyFont="1"/>
    <xf numFmtId="38" fontId="0" fillId="0" borderId="0" xfId="34" applyFont="1" applyProtection="1">
      <protection locked="0"/>
    </xf>
    <xf numFmtId="182" fontId="31" fillId="0" borderId="0" xfId="28" applyNumberFormat="1" applyFont="1"/>
    <xf numFmtId="177" fontId="0" fillId="0" borderId="0" xfId="34" applyNumberFormat="1" applyFont="1" applyProtection="1">
      <protection locked="0"/>
    </xf>
    <xf numFmtId="177" fontId="9" fillId="0" borderId="0" xfId="34" applyNumberFormat="1" applyFont="1" applyAlignment="1">
      <alignment horizontal="right"/>
    </xf>
    <xf numFmtId="179" fontId="0" fillId="0" borderId="24" xfId="0" applyNumberFormat="1" applyBorder="1" applyProtection="1">
      <protection locked="0"/>
    </xf>
    <xf numFmtId="179" fontId="0" fillId="0" borderId="25" xfId="0" applyNumberFormat="1" applyBorder="1" applyProtection="1">
      <protection locked="0"/>
    </xf>
    <xf numFmtId="179" fontId="0" fillId="0" borderId="24" xfId="34" applyNumberFormat="1" applyFont="1" applyBorder="1" applyAlignment="1">
      <alignment vertical="center"/>
    </xf>
    <xf numFmtId="179" fontId="0" fillId="0" borderId="26" xfId="0" applyNumberFormat="1" applyBorder="1" applyProtection="1">
      <protection locked="0"/>
    </xf>
    <xf numFmtId="179" fontId="0" fillId="0" borderId="27" xfId="0" applyNumberFormat="1" applyBorder="1" applyProtection="1">
      <protection locked="0"/>
    </xf>
    <xf numFmtId="179" fontId="0" fillId="0" borderId="28" xfId="34" applyNumberFormat="1" applyFont="1" applyBorder="1"/>
    <xf numFmtId="179" fontId="0" fillId="0" borderId="29" xfId="34" applyNumberFormat="1" applyFont="1" applyBorder="1"/>
    <xf numFmtId="179" fontId="0" fillId="0" borderId="30" xfId="34" applyNumberFormat="1" applyFont="1" applyBorder="1"/>
    <xf numFmtId="179" fontId="0" fillId="0" borderId="17" xfId="34" applyNumberFormat="1" applyFont="1" applyBorder="1"/>
    <xf numFmtId="179" fontId="0" fillId="0" borderId="24" xfId="34" applyNumberFormat="1" applyFont="1" applyBorder="1"/>
    <xf numFmtId="179" fontId="0" fillId="0" borderId="25" xfId="34" applyNumberFormat="1" applyFont="1" applyBorder="1"/>
    <xf numFmtId="179" fontId="0" fillId="0" borderId="26" xfId="34" applyNumberFormat="1" applyFont="1" applyBorder="1"/>
    <xf numFmtId="179" fontId="0" fillId="0" borderId="0" xfId="34" applyNumberFormat="1" applyFont="1"/>
    <xf numFmtId="179" fontId="0" fillId="0" borderId="27" xfId="34" applyNumberFormat="1" applyFont="1" applyBorder="1"/>
    <xf numFmtId="179" fontId="0" fillId="0" borderId="24" xfId="34" applyNumberFormat="1" applyFont="1" applyBorder="1" applyProtection="1">
      <protection locked="0"/>
    </xf>
    <xf numFmtId="179" fontId="0" fillId="0" borderId="25" xfId="34" applyNumberFormat="1" applyFont="1" applyBorder="1" applyAlignment="1">
      <alignment vertical="center"/>
    </xf>
    <xf numFmtId="179" fontId="0" fillId="0" borderId="26" xfId="34" applyNumberFormat="1" applyFont="1" applyBorder="1" applyAlignment="1">
      <alignment vertical="center"/>
    </xf>
    <xf numFmtId="179" fontId="0" fillId="0" borderId="27" xfId="34" applyNumberFormat="1" applyFont="1" applyBorder="1" applyAlignment="1">
      <alignment vertical="center"/>
    </xf>
    <xf numFmtId="179" fontId="0" fillId="0" borderId="25" xfId="34" applyNumberFormat="1" applyFont="1" applyBorder="1" applyProtection="1">
      <protection locked="0"/>
    </xf>
    <xf numFmtId="179" fontId="0" fillId="0" borderId="26" xfId="34" applyNumberFormat="1" applyFont="1" applyBorder="1" applyProtection="1">
      <protection locked="0"/>
    </xf>
    <xf numFmtId="179" fontId="0" fillId="0" borderId="27" xfId="34" applyNumberFormat="1" applyFont="1" applyBorder="1" applyProtection="1">
      <protection locked="0"/>
    </xf>
    <xf numFmtId="178" fontId="0" fillId="0" borderId="32" xfId="0" applyNumberFormat="1" applyBorder="1"/>
    <xf numFmtId="178" fontId="0" fillId="0" borderId="24" xfId="0" applyNumberFormat="1" applyBorder="1"/>
    <xf numFmtId="178" fontId="0" fillId="0" borderId="26" xfId="0" applyNumberFormat="1" applyBorder="1"/>
    <xf numFmtId="178" fontId="0" fillId="0" borderId="25" xfId="0" applyNumberFormat="1" applyBorder="1"/>
    <xf numFmtId="178" fontId="0" fillId="0" borderId="27" xfId="0" applyNumberFormat="1" applyBorder="1"/>
    <xf numFmtId="183" fontId="0" fillId="0" borderId="32" xfId="0" applyNumberFormat="1" applyBorder="1"/>
    <xf numFmtId="183" fontId="0" fillId="0" borderId="24" xfId="0" applyNumberFormat="1" applyBorder="1"/>
    <xf numFmtId="183" fontId="0" fillId="0" borderId="26" xfId="0" applyNumberFormat="1" applyBorder="1"/>
    <xf numFmtId="183" fontId="0" fillId="0" borderId="25" xfId="0" applyNumberFormat="1" applyBorder="1"/>
    <xf numFmtId="183" fontId="0" fillId="0" borderId="27" xfId="0" applyNumberFormat="1" applyBorder="1"/>
    <xf numFmtId="181" fontId="0" fillId="0" borderId="24" xfId="0" applyNumberFormat="1" applyBorder="1" applyProtection="1">
      <protection locked="0"/>
    </xf>
    <xf numFmtId="181" fontId="0" fillId="0" borderId="26" xfId="0" applyNumberFormat="1" applyBorder="1" applyProtection="1">
      <protection locked="0"/>
    </xf>
    <xf numFmtId="181" fontId="0" fillId="0" borderId="25" xfId="0" applyNumberFormat="1" applyBorder="1" applyProtection="1">
      <protection locked="0"/>
    </xf>
    <xf numFmtId="181" fontId="0" fillId="0" borderId="27" xfId="0" applyNumberFormat="1" applyBorder="1" applyProtection="1">
      <protection locked="0"/>
    </xf>
    <xf numFmtId="181" fontId="0" fillId="0" borderId="0" xfId="0" applyNumberFormat="1"/>
    <xf numFmtId="181" fontId="0" fillId="0" borderId="24" xfId="34" applyNumberFormat="1" applyFont="1" applyBorder="1" applyProtection="1">
      <protection locked="0"/>
    </xf>
    <xf numFmtId="181" fontId="0" fillId="0" borderId="27" xfId="34" applyNumberFormat="1" applyFont="1" applyBorder="1" applyProtection="1">
      <protection locked="0"/>
    </xf>
    <xf numFmtId="178" fontId="0" fillId="0" borderId="33" xfId="0" applyNumberFormat="1" applyBorder="1"/>
    <xf numFmtId="178" fontId="0" fillId="0" borderId="34" xfId="0" applyNumberFormat="1" applyBorder="1"/>
    <xf numFmtId="178" fontId="0" fillId="0" borderId="35" xfId="0" applyNumberFormat="1" applyBorder="1"/>
    <xf numFmtId="178" fontId="0" fillId="0" borderId="36" xfId="0" applyNumberFormat="1" applyBorder="1"/>
    <xf numFmtId="178" fontId="0" fillId="0" borderId="37" xfId="0" applyNumberFormat="1" applyBorder="1"/>
    <xf numFmtId="183" fontId="0" fillId="0" borderId="33" xfId="0" applyNumberFormat="1" applyBorder="1"/>
    <xf numFmtId="183" fontId="0" fillId="0" borderId="34" xfId="0" applyNumberFormat="1" applyBorder="1"/>
    <xf numFmtId="183" fontId="0" fillId="0" borderId="35" xfId="0" applyNumberFormat="1" applyBorder="1"/>
    <xf numFmtId="183" fontId="0" fillId="0" borderId="36" xfId="0" applyNumberFormat="1" applyBorder="1"/>
    <xf numFmtId="183" fontId="0" fillId="0" borderId="37" xfId="0" applyNumberFormat="1" applyBorder="1"/>
    <xf numFmtId="0" fontId="9" fillId="0" borderId="23" xfId="0" applyFont="1" applyBorder="1"/>
    <xf numFmtId="0" fontId="28" fillId="0" borderId="0" xfId="0" applyFont="1" applyAlignment="1">
      <alignment horizontal="center"/>
    </xf>
    <xf numFmtId="183" fontId="31" fillId="0" borderId="0" xfId="0" applyNumberFormat="1" applyFont="1" applyAlignment="1">
      <alignment vertical="center"/>
    </xf>
    <xf numFmtId="10" fontId="31" fillId="0" borderId="0" xfId="28" applyNumberFormat="1" applyFont="1"/>
    <xf numFmtId="184" fontId="31" fillId="0" borderId="0" xfId="34" applyNumberFormat="1" applyFont="1" applyProtection="1">
      <protection locked="0"/>
    </xf>
    <xf numFmtId="38" fontId="0" fillId="0" borderId="0" xfId="34" applyFont="1" applyAlignment="1">
      <alignment horizontal="right"/>
    </xf>
    <xf numFmtId="184" fontId="31" fillId="0" borderId="0" xfId="34" applyNumberFormat="1" applyFont="1"/>
    <xf numFmtId="179" fontId="7" fillId="0" borderId="0" xfId="0" applyNumberFormat="1" applyFont="1"/>
    <xf numFmtId="0" fontId="9" fillId="0" borderId="27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0" fillId="0" borderId="17" xfId="0" applyBorder="1"/>
    <xf numFmtId="0" fontId="0" fillId="0" borderId="27" xfId="0" applyBorder="1"/>
    <xf numFmtId="0" fontId="9" fillId="0" borderId="17" xfId="0" applyFont="1" applyBorder="1" applyAlignment="1">
      <alignment horizontal="center"/>
    </xf>
    <xf numFmtId="179" fontId="0" fillId="0" borderId="43" xfId="34" applyNumberFormat="1" applyFont="1" applyBorder="1"/>
    <xf numFmtId="179" fontId="0" fillId="0" borderId="34" xfId="34" applyNumberFormat="1" applyFont="1" applyBorder="1"/>
    <xf numFmtId="179" fontId="0" fillId="0" borderId="36" xfId="34" applyNumberFormat="1" applyFont="1" applyBorder="1"/>
    <xf numFmtId="179" fontId="0" fillId="0" borderId="33" xfId="34" applyNumberFormat="1" applyFont="1" applyBorder="1"/>
    <xf numFmtId="179" fontId="0" fillId="0" borderId="35" xfId="34" applyNumberFormat="1" applyFont="1" applyBorder="1"/>
    <xf numFmtId="0" fontId="0" fillId="0" borderId="37" xfId="0" applyBorder="1"/>
    <xf numFmtId="179" fontId="0" fillId="0" borderId="34" xfId="34" applyNumberFormat="1" applyFont="1" applyBorder="1" applyProtection="1">
      <protection locked="0"/>
    </xf>
    <xf numFmtId="179" fontId="0" fillId="0" borderId="36" xfId="34" applyNumberFormat="1" applyFont="1" applyBorder="1" applyProtection="1">
      <protection locked="0"/>
    </xf>
    <xf numFmtId="179" fontId="0" fillId="0" borderId="45" xfId="34" applyNumberFormat="1" applyFont="1" applyBorder="1"/>
    <xf numFmtId="179" fontId="0" fillId="0" borderId="46" xfId="34" applyNumberFormat="1" applyFont="1" applyBorder="1"/>
    <xf numFmtId="179" fontId="0" fillId="0" borderId="47" xfId="34" applyNumberFormat="1" applyFont="1" applyBorder="1"/>
    <xf numFmtId="179" fontId="0" fillId="0" borderId="48" xfId="34" applyNumberFormat="1" applyFont="1" applyBorder="1"/>
    <xf numFmtId="179" fontId="0" fillId="0" borderId="49" xfId="34" applyNumberFormat="1" applyFont="1" applyBorder="1"/>
    <xf numFmtId="0" fontId="0" fillId="0" borderId="50" xfId="0" applyBorder="1"/>
    <xf numFmtId="178" fontId="0" fillId="0" borderId="47" xfId="0" applyNumberFormat="1" applyBorder="1"/>
    <xf numFmtId="178" fontId="0" fillId="0" borderId="45" xfId="0" applyNumberFormat="1" applyBorder="1"/>
    <xf numFmtId="178" fontId="0" fillId="0" borderId="49" xfId="0" applyNumberFormat="1" applyBorder="1"/>
    <xf numFmtId="178" fontId="0" fillId="0" borderId="46" xfId="0" applyNumberFormat="1" applyBorder="1"/>
    <xf numFmtId="178" fontId="0" fillId="0" borderId="48" xfId="0" applyNumberFormat="1" applyBorder="1"/>
    <xf numFmtId="183" fontId="0" fillId="0" borderId="47" xfId="0" applyNumberFormat="1" applyBorder="1"/>
    <xf numFmtId="183" fontId="0" fillId="0" borderId="45" xfId="0" applyNumberFormat="1" applyBorder="1"/>
    <xf numFmtId="183" fontId="0" fillId="0" borderId="49" xfId="0" applyNumberFormat="1" applyBorder="1"/>
    <xf numFmtId="183" fontId="0" fillId="0" borderId="46" xfId="0" applyNumberFormat="1" applyBorder="1"/>
    <xf numFmtId="183" fontId="0" fillId="0" borderId="48" xfId="0" applyNumberFormat="1" applyBorder="1"/>
    <xf numFmtId="179" fontId="0" fillId="0" borderId="41" xfId="34" applyNumberFormat="1" applyFont="1" applyBorder="1" applyAlignment="1">
      <alignment vertical="center"/>
    </xf>
    <xf numFmtId="179" fontId="0" fillId="0" borderId="42" xfId="34" applyNumberFormat="1" applyFont="1" applyBorder="1" applyAlignment="1">
      <alignment vertical="center"/>
    </xf>
    <xf numFmtId="179" fontId="0" fillId="0" borderId="38" xfId="34" applyNumberFormat="1" applyFont="1" applyBorder="1" applyAlignment="1">
      <alignment vertical="center"/>
    </xf>
    <xf numFmtId="179" fontId="0" fillId="0" borderId="23" xfId="34" applyNumberFormat="1" applyFont="1" applyBorder="1" applyAlignment="1">
      <alignment vertical="center"/>
    </xf>
    <xf numFmtId="179" fontId="0" fillId="0" borderId="39" xfId="34" applyNumberFormat="1" applyFont="1" applyBorder="1" applyAlignment="1">
      <alignment vertical="center"/>
    </xf>
    <xf numFmtId="0" fontId="0" fillId="0" borderId="16" xfId="0" applyBorder="1" applyAlignment="1">
      <alignment vertical="center"/>
    </xf>
    <xf numFmtId="183" fontId="0" fillId="0" borderId="38" xfId="0" applyNumberFormat="1" applyBorder="1" applyAlignment="1">
      <alignment vertical="center"/>
    </xf>
    <xf numFmtId="183" fontId="0" fillId="0" borderId="41" xfId="0" applyNumberFormat="1" applyBorder="1" applyAlignment="1">
      <alignment vertical="center"/>
    </xf>
    <xf numFmtId="183" fontId="0" fillId="0" borderId="39" xfId="0" applyNumberFormat="1" applyBorder="1" applyAlignment="1">
      <alignment vertical="center"/>
    </xf>
    <xf numFmtId="183" fontId="0" fillId="0" borderId="42" xfId="0" applyNumberFormat="1" applyBorder="1" applyAlignment="1">
      <alignment vertical="center"/>
    </xf>
    <xf numFmtId="183" fontId="0" fillId="0" borderId="23" xfId="0" applyNumberFormat="1" applyBorder="1" applyAlignment="1">
      <alignment vertical="center"/>
    </xf>
    <xf numFmtId="178" fontId="0" fillId="0" borderId="38" xfId="0" applyNumberFormat="1" applyBorder="1" applyAlignment="1">
      <alignment vertical="center"/>
    </xf>
    <xf numFmtId="178" fontId="0" fillId="0" borderId="41" xfId="0" applyNumberFormat="1" applyBorder="1" applyAlignment="1">
      <alignment vertical="center"/>
    </xf>
    <xf numFmtId="178" fontId="0" fillId="0" borderId="39" xfId="0" applyNumberFormat="1" applyBorder="1" applyAlignment="1">
      <alignment vertical="center"/>
    </xf>
    <xf numFmtId="178" fontId="0" fillId="0" borderId="42" xfId="0" applyNumberFormat="1" applyBorder="1" applyAlignment="1">
      <alignment vertical="center"/>
    </xf>
    <xf numFmtId="178" fontId="0" fillId="0" borderId="23" xfId="0" applyNumberFormat="1" applyBorder="1" applyAlignment="1">
      <alignment vertical="center"/>
    </xf>
    <xf numFmtId="178" fontId="0" fillId="0" borderId="54" xfId="0" applyNumberFormat="1" applyBorder="1"/>
    <xf numFmtId="178" fontId="0" fillId="0" borderId="55" xfId="0" applyNumberFormat="1" applyBorder="1"/>
    <xf numFmtId="178" fontId="0" fillId="0" borderId="56" xfId="0" applyNumberFormat="1" applyBorder="1"/>
    <xf numFmtId="183" fontId="0" fillId="0" borderId="54" xfId="0" applyNumberFormat="1" applyBorder="1"/>
    <xf numFmtId="183" fontId="0" fillId="0" borderId="55" xfId="0" applyNumberFormat="1" applyBorder="1"/>
    <xf numFmtId="183" fontId="0" fillId="0" borderId="56" xfId="0" applyNumberFormat="1" applyBorder="1"/>
    <xf numFmtId="179" fontId="0" fillId="0" borderId="32" xfId="34" applyNumberFormat="1" applyFont="1" applyBorder="1"/>
    <xf numFmtId="179" fontId="0" fillId="0" borderId="33" xfId="34" applyNumberFormat="1" applyFont="1" applyBorder="1" applyProtection="1">
      <protection locked="0"/>
    </xf>
    <xf numFmtId="179" fontId="0" fillId="0" borderId="32" xfId="34" applyNumberFormat="1" applyFont="1" applyBorder="1" applyProtection="1">
      <protection locked="0"/>
    </xf>
    <xf numFmtId="0" fontId="9" fillId="0" borderId="38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4" xfId="0" applyBorder="1" applyAlignment="1">
      <alignment vertical="center"/>
    </xf>
    <xf numFmtId="179" fontId="0" fillId="0" borderId="32" xfId="34" applyNumberFormat="1" applyFont="1" applyBorder="1" applyAlignment="1">
      <alignment vertical="center"/>
    </xf>
    <xf numFmtId="183" fontId="0" fillId="0" borderId="0" xfId="0" applyNumberFormat="1"/>
    <xf numFmtId="176" fontId="0" fillId="0" borderId="0" xfId="0" applyNumberFormat="1"/>
    <xf numFmtId="185" fontId="0" fillId="0" borderId="40" xfId="34" applyNumberFormat="1" applyFont="1" applyBorder="1" applyAlignment="1">
      <alignment vertical="center"/>
    </xf>
    <xf numFmtId="185" fontId="0" fillId="0" borderId="28" xfId="34" applyNumberFormat="1" applyFont="1" applyBorder="1" applyAlignment="1">
      <alignment vertical="center"/>
    </xf>
    <xf numFmtId="185" fontId="0" fillId="0" borderId="29" xfId="34" applyNumberFormat="1" applyFont="1" applyBorder="1" applyAlignment="1">
      <alignment vertical="center"/>
    </xf>
    <xf numFmtId="185" fontId="0" fillId="0" borderId="30" xfId="34" applyNumberFormat="1" applyFont="1" applyBorder="1" applyAlignment="1">
      <alignment vertical="center"/>
    </xf>
    <xf numFmtId="185" fontId="0" fillId="0" borderId="17" xfId="34" applyNumberFormat="1" applyFont="1" applyBorder="1" applyAlignment="1">
      <alignment vertical="center"/>
    </xf>
    <xf numFmtId="185" fontId="0" fillId="0" borderId="32" xfId="34" applyNumberFormat="1" applyFont="1" applyBorder="1" applyAlignment="1">
      <alignment vertical="center"/>
    </xf>
    <xf numFmtId="185" fontId="0" fillId="0" borderId="24" xfId="34" applyNumberFormat="1" applyFont="1" applyBorder="1" applyAlignment="1">
      <alignment vertical="center"/>
    </xf>
    <xf numFmtId="185" fontId="0" fillId="0" borderId="25" xfId="34" applyNumberFormat="1" applyFont="1" applyBorder="1" applyAlignment="1">
      <alignment vertical="center"/>
    </xf>
    <xf numFmtId="185" fontId="0" fillId="0" borderId="26" xfId="34" applyNumberFormat="1" applyFont="1" applyBorder="1" applyAlignment="1">
      <alignment vertical="center"/>
    </xf>
    <xf numFmtId="185" fontId="0" fillId="0" borderId="27" xfId="34" applyNumberFormat="1" applyFont="1" applyBorder="1" applyAlignment="1">
      <alignment vertical="center"/>
    </xf>
    <xf numFmtId="185" fontId="0" fillId="0" borderId="33" xfId="34" applyNumberFormat="1" applyFont="1" applyBorder="1" applyAlignment="1">
      <alignment vertical="center"/>
    </xf>
    <xf numFmtId="185" fontId="0" fillId="0" borderId="34" xfId="34" applyNumberFormat="1" applyFont="1" applyBorder="1" applyAlignment="1">
      <alignment vertical="center"/>
    </xf>
    <xf numFmtId="185" fontId="0" fillId="0" borderId="36" xfId="34" applyNumberFormat="1" applyFont="1" applyBorder="1" applyAlignment="1">
      <alignment vertical="center"/>
    </xf>
    <xf numFmtId="185" fontId="0" fillId="0" borderId="35" xfId="34" applyNumberFormat="1" applyFont="1" applyBorder="1" applyAlignment="1">
      <alignment vertical="center"/>
    </xf>
    <xf numFmtId="185" fontId="0" fillId="0" borderId="37" xfId="34" applyNumberFormat="1" applyFont="1" applyBorder="1" applyAlignment="1">
      <alignment vertical="center"/>
    </xf>
    <xf numFmtId="185" fontId="0" fillId="0" borderId="47" xfId="34" applyNumberFormat="1" applyFont="1" applyBorder="1" applyAlignment="1">
      <alignment vertical="center"/>
    </xf>
    <xf numFmtId="185" fontId="0" fillId="0" borderId="45" xfId="34" applyNumberFormat="1" applyFont="1" applyBorder="1" applyAlignment="1">
      <alignment vertical="center"/>
    </xf>
    <xf numFmtId="185" fontId="0" fillId="0" borderId="46" xfId="34" applyNumberFormat="1" applyFont="1" applyBorder="1" applyAlignment="1">
      <alignment vertical="center"/>
    </xf>
    <xf numFmtId="185" fontId="0" fillId="0" borderId="49" xfId="34" applyNumberFormat="1" applyFont="1" applyBorder="1" applyAlignment="1">
      <alignment vertical="center"/>
    </xf>
    <xf numFmtId="185" fontId="0" fillId="0" borderId="48" xfId="34" applyNumberFormat="1" applyFont="1" applyBorder="1" applyAlignment="1">
      <alignment vertical="center"/>
    </xf>
    <xf numFmtId="185" fontId="0" fillId="0" borderId="38" xfId="34" applyNumberFormat="1" applyFont="1" applyBorder="1" applyAlignment="1">
      <alignment vertical="center"/>
    </xf>
    <xf numFmtId="185" fontId="0" fillId="0" borderId="41" xfId="34" applyNumberFormat="1" applyFont="1" applyBorder="1" applyAlignment="1">
      <alignment vertical="center"/>
    </xf>
    <xf numFmtId="185" fontId="0" fillId="0" borderId="42" xfId="34" applyNumberFormat="1" applyFont="1" applyBorder="1" applyAlignment="1">
      <alignment vertical="center"/>
    </xf>
    <xf numFmtId="185" fontId="0" fillId="0" borderId="39" xfId="34" applyNumberFormat="1" applyFont="1" applyBorder="1" applyAlignment="1">
      <alignment vertical="center"/>
    </xf>
    <xf numFmtId="185" fontId="0" fillId="0" borderId="23" xfId="34" applyNumberFormat="1" applyFont="1" applyBorder="1" applyAlignment="1">
      <alignment vertical="center"/>
    </xf>
    <xf numFmtId="181" fontId="0" fillId="0" borderId="40" xfId="34" applyNumberFormat="1" applyFont="1" applyBorder="1" applyProtection="1">
      <protection locked="0"/>
    </xf>
    <xf numFmtId="181" fontId="0" fillId="0" borderId="28" xfId="34" applyNumberFormat="1" applyFont="1" applyBorder="1" applyProtection="1">
      <protection locked="0"/>
    </xf>
    <xf numFmtId="181" fontId="0" fillId="0" borderId="28" xfId="34" applyNumberFormat="1" applyFont="1" applyBorder="1"/>
    <xf numFmtId="181" fontId="0" fillId="0" borderId="30" xfId="34" applyNumberFormat="1" applyFont="1" applyBorder="1"/>
    <xf numFmtId="181" fontId="0" fillId="0" borderId="29" xfId="34" applyNumberFormat="1" applyFont="1" applyBorder="1"/>
    <xf numFmtId="181" fontId="0" fillId="0" borderId="17" xfId="34" applyNumberFormat="1" applyFont="1" applyBorder="1"/>
    <xf numFmtId="181" fontId="0" fillId="0" borderId="32" xfId="34" applyNumberFormat="1" applyFont="1" applyBorder="1" applyProtection="1">
      <protection locked="0"/>
    </xf>
    <xf numFmtId="181" fontId="0" fillId="0" borderId="24" xfId="34" applyNumberFormat="1" applyFont="1" applyBorder="1"/>
    <xf numFmtId="181" fontId="0" fillId="0" borderId="26" xfId="34" applyNumberFormat="1" applyFont="1" applyBorder="1"/>
    <xf numFmtId="181" fontId="0" fillId="0" borderId="25" xfId="34" applyNumberFormat="1" applyFont="1" applyBorder="1"/>
    <xf numFmtId="181" fontId="0" fillId="0" borderId="27" xfId="34" applyNumberFormat="1" applyFont="1" applyBorder="1"/>
    <xf numFmtId="181" fontId="0" fillId="0" borderId="26" xfId="34" applyNumberFormat="1" applyFont="1" applyBorder="1" applyProtection="1">
      <protection locked="0"/>
    </xf>
    <xf numFmtId="181" fontId="0" fillId="0" borderId="25" xfId="34" applyNumberFormat="1" applyFont="1" applyBorder="1" applyProtection="1">
      <protection locked="0"/>
    </xf>
    <xf numFmtId="181" fontId="0" fillId="0" borderId="32" xfId="34" applyNumberFormat="1" applyFont="1" applyBorder="1"/>
    <xf numFmtId="181" fontId="0" fillId="0" borderId="33" xfId="34" applyNumberFormat="1" applyFont="1" applyBorder="1"/>
    <xf numFmtId="181" fontId="0" fillId="0" borderId="34" xfId="34" applyNumberFormat="1" applyFont="1" applyBorder="1"/>
    <xf numFmtId="181" fontId="0" fillId="0" borderId="35" xfId="34" applyNumberFormat="1" applyFont="1" applyBorder="1"/>
    <xf numFmtId="181" fontId="0" fillId="0" borderId="36" xfId="34" applyNumberFormat="1" applyFont="1" applyBorder="1"/>
    <xf numFmtId="181" fontId="0" fillId="0" borderId="37" xfId="34" applyNumberFormat="1" applyFont="1" applyBorder="1"/>
    <xf numFmtId="181" fontId="0" fillId="0" borderId="33" xfId="34" applyNumberFormat="1" applyFont="1" applyBorder="1" applyProtection="1">
      <protection locked="0"/>
    </xf>
    <xf numFmtId="181" fontId="0" fillId="0" borderId="34" xfId="34" applyNumberFormat="1" applyFont="1" applyBorder="1" applyProtection="1">
      <protection locked="0"/>
    </xf>
    <xf numFmtId="181" fontId="0" fillId="0" borderId="35" xfId="34" applyNumberFormat="1" applyFont="1" applyBorder="1" applyProtection="1">
      <protection locked="0"/>
    </xf>
    <xf numFmtId="181" fontId="0" fillId="0" borderId="36" xfId="34" applyNumberFormat="1" applyFont="1" applyBorder="1" applyProtection="1">
      <protection locked="0"/>
    </xf>
    <xf numFmtId="181" fontId="0" fillId="0" borderId="37" xfId="34" applyNumberFormat="1" applyFont="1" applyBorder="1" applyProtection="1">
      <protection locked="0"/>
    </xf>
    <xf numFmtId="181" fontId="0" fillId="0" borderId="47" xfId="34" applyNumberFormat="1" applyFont="1" applyBorder="1"/>
    <xf numFmtId="181" fontId="0" fillId="0" borderId="45" xfId="34" applyNumberFormat="1" applyFont="1" applyBorder="1"/>
    <xf numFmtId="181" fontId="0" fillId="0" borderId="49" xfId="34" applyNumberFormat="1" applyFont="1" applyBorder="1"/>
    <xf numFmtId="181" fontId="0" fillId="0" borderId="46" xfId="34" applyNumberFormat="1" applyFont="1" applyBorder="1"/>
    <xf numFmtId="181" fontId="0" fillId="0" borderId="48" xfId="34" applyNumberFormat="1" applyFont="1" applyBorder="1"/>
    <xf numFmtId="181" fontId="0" fillId="0" borderId="38" xfId="34" applyNumberFormat="1" applyFont="1" applyBorder="1" applyAlignment="1">
      <alignment vertical="center"/>
    </xf>
    <xf numFmtId="181" fontId="0" fillId="0" borderId="41" xfId="34" applyNumberFormat="1" applyFont="1" applyBorder="1" applyAlignment="1">
      <alignment vertical="center"/>
    </xf>
    <xf numFmtId="181" fontId="0" fillId="0" borderId="39" xfId="34" applyNumberFormat="1" applyFont="1" applyBorder="1" applyAlignment="1">
      <alignment vertical="center"/>
    </xf>
    <xf numFmtId="181" fontId="0" fillId="0" borderId="42" xfId="34" applyNumberFormat="1" applyFont="1" applyBorder="1" applyAlignment="1">
      <alignment vertical="center"/>
    </xf>
    <xf numFmtId="181" fontId="0" fillId="0" borderId="23" xfId="34" applyNumberFormat="1" applyFont="1" applyBorder="1" applyAlignment="1">
      <alignment vertical="center"/>
    </xf>
    <xf numFmtId="181" fontId="0" fillId="0" borderId="32" xfId="34" applyNumberFormat="1" applyFont="1" applyBorder="1" applyAlignment="1">
      <alignment vertical="center"/>
    </xf>
    <xf numFmtId="181" fontId="0" fillId="0" borderId="24" xfId="34" applyNumberFormat="1" applyFont="1" applyBorder="1" applyAlignment="1">
      <alignment vertical="center"/>
    </xf>
    <xf numFmtId="181" fontId="0" fillId="0" borderId="26" xfId="34" applyNumberFormat="1" applyFont="1" applyBorder="1" applyAlignment="1">
      <alignment vertical="center"/>
    </xf>
    <xf numFmtId="181" fontId="0" fillId="0" borderId="25" xfId="34" applyNumberFormat="1" applyFont="1" applyBorder="1" applyAlignment="1">
      <alignment vertical="center"/>
    </xf>
    <xf numFmtId="181" fontId="0" fillId="0" borderId="27" xfId="34" applyNumberFormat="1" applyFont="1" applyBorder="1" applyAlignment="1">
      <alignment vertical="center"/>
    </xf>
    <xf numFmtId="181" fontId="0" fillId="0" borderId="47" xfId="34" applyNumberFormat="1" applyFont="1" applyBorder="1" applyProtection="1">
      <protection locked="0"/>
    </xf>
    <xf numFmtId="181" fontId="0" fillId="0" borderId="45" xfId="34" applyNumberFormat="1" applyFont="1" applyBorder="1" applyProtection="1">
      <protection locked="0"/>
    </xf>
    <xf numFmtId="181" fontId="0" fillId="0" borderId="49" xfId="34" applyNumberFormat="1" applyFont="1" applyBorder="1" applyProtection="1">
      <protection locked="0"/>
    </xf>
    <xf numFmtId="181" fontId="0" fillId="0" borderId="46" xfId="34" applyNumberFormat="1" applyFont="1" applyBorder="1" applyProtection="1">
      <protection locked="0"/>
    </xf>
    <xf numFmtId="181" fontId="0" fillId="0" borderId="48" xfId="34" applyNumberFormat="1" applyFont="1" applyBorder="1" applyProtection="1">
      <protection locked="0"/>
    </xf>
    <xf numFmtId="181" fontId="0" fillId="0" borderId="30" xfId="34" applyNumberFormat="1" applyFont="1" applyBorder="1" applyProtection="1">
      <protection locked="0"/>
    </xf>
    <xf numFmtId="181" fontId="0" fillId="0" borderId="29" xfId="34" applyNumberFormat="1" applyFont="1" applyBorder="1" applyProtection="1">
      <protection locked="0"/>
    </xf>
    <xf numFmtId="181" fontId="0" fillId="0" borderId="17" xfId="34" applyNumberFormat="1" applyFont="1" applyBorder="1" applyProtection="1">
      <protection locked="0"/>
    </xf>
    <xf numFmtId="181" fontId="0" fillId="0" borderId="14" xfId="34" applyNumberFormat="1" applyFont="1" applyBorder="1" applyProtection="1">
      <protection locked="0"/>
    </xf>
    <xf numFmtId="181" fontId="0" fillId="0" borderId="31" xfId="34" applyNumberFormat="1" applyFont="1" applyBorder="1" applyProtection="1">
      <protection locked="0"/>
    </xf>
    <xf numFmtId="181" fontId="0" fillId="0" borderId="0" xfId="34" applyNumberFormat="1" applyFont="1" applyProtection="1">
      <protection locked="0"/>
    </xf>
    <xf numFmtId="179" fontId="0" fillId="0" borderId="40" xfId="34" applyNumberFormat="1" applyFont="1" applyBorder="1" applyProtection="1">
      <protection locked="0"/>
    </xf>
    <xf numFmtId="179" fontId="0" fillId="0" borderId="28" xfId="34" applyNumberFormat="1" applyFont="1" applyBorder="1" applyProtection="1">
      <protection locked="0"/>
    </xf>
    <xf numFmtId="179" fontId="0" fillId="0" borderId="37" xfId="34" applyNumberFormat="1" applyFont="1" applyBorder="1"/>
    <xf numFmtId="179" fontId="0" fillId="0" borderId="35" xfId="34" applyNumberFormat="1" applyFont="1" applyBorder="1" applyProtection="1">
      <protection locked="0"/>
    </xf>
    <xf numFmtId="179" fontId="0" fillId="0" borderId="37" xfId="34" applyNumberFormat="1" applyFont="1" applyBorder="1" applyProtection="1">
      <protection locked="0"/>
    </xf>
    <xf numFmtId="0" fontId="0" fillId="0" borderId="0" xfId="0" applyAlignment="1">
      <alignment horizontal="center"/>
    </xf>
    <xf numFmtId="179" fontId="0" fillId="0" borderId="30" xfId="34" applyNumberFormat="1" applyFont="1" applyBorder="1" applyProtection="1">
      <protection locked="0"/>
    </xf>
    <xf numFmtId="179" fontId="0" fillId="0" borderId="29" xfId="34" applyNumberFormat="1" applyFont="1" applyBorder="1" applyProtection="1">
      <protection locked="0"/>
    </xf>
    <xf numFmtId="179" fontId="0" fillId="0" borderId="17" xfId="34" applyNumberFormat="1" applyFont="1" applyBorder="1" applyProtection="1">
      <protection locked="0"/>
    </xf>
    <xf numFmtId="179" fontId="0" fillId="0" borderId="47" xfId="34" applyNumberFormat="1" applyFont="1" applyBorder="1" applyProtection="1">
      <protection locked="0"/>
    </xf>
    <xf numFmtId="179" fontId="0" fillId="0" borderId="45" xfId="34" applyNumberFormat="1" applyFont="1" applyBorder="1" applyProtection="1">
      <protection locked="0"/>
    </xf>
    <xf numFmtId="179" fontId="0" fillId="0" borderId="49" xfId="34" applyNumberFormat="1" applyFont="1" applyBorder="1" applyProtection="1">
      <protection locked="0"/>
    </xf>
    <xf numFmtId="179" fontId="0" fillId="0" borderId="46" xfId="34" applyNumberFormat="1" applyFont="1" applyBorder="1" applyProtection="1">
      <protection locked="0"/>
    </xf>
    <xf numFmtId="179" fontId="0" fillId="0" borderId="48" xfId="34" applyNumberFormat="1" applyFont="1" applyBorder="1" applyProtection="1">
      <protection locked="0"/>
    </xf>
    <xf numFmtId="185" fontId="0" fillId="0" borderId="32" xfId="34" applyNumberFormat="1" applyFont="1" applyBorder="1"/>
    <xf numFmtId="185" fontId="0" fillId="0" borderId="24" xfId="34" applyNumberFormat="1" applyFont="1" applyBorder="1"/>
    <xf numFmtId="185" fontId="0" fillId="0" borderId="26" xfId="34" applyNumberFormat="1" applyFont="1" applyBorder="1"/>
    <xf numFmtId="185" fontId="0" fillId="0" borderId="25" xfId="34" applyNumberFormat="1" applyFont="1" applyBorder="1"/>
    <xf numFmtId="185" fontId="0" fillId="0" borderId="27" xfId="34" applyNumberFormat="1" applyFont="1" applyBorder="1"/>
    <xf numFmtId="185" fontId="0" fillId="0" borderId="33" xfId="34" applyNumberFormat="1" applyFont="1" applyBorder="1"/>
    <xf numFmtId="185" fontId="0" fillId="0" borderId="34" xfId="34" applyNumberFormat="1" applyFont="1" applyBorder="1"/>
    <xf numFmtId="185" fontId="0" fillId="0" borderId="35" xfId="34" applyNumberFormat="1" applyFont="1" applyBorder="1"/>
    <xf numFmtId="185" fontId="0" fillId="0" borderId="36" xfId="34" applyNumberFormat="1" applyFont="1" applyBorder="1"/>
    <xf numFmtId="185" fontId="0" fillId="0" borderId="37" xfId="34" applyNumberFormat="1" applyFont="1" applyBorder="1"/>
    <xf numFmtId="185" fontId="0" fillId="0" borderId="47" xfId="34" applyNumberFormat="1" applyFont="1" applyBorder="1"/>
    <xf numFmtId="185" fontId="0" fillId="0" borderId="45" xfId="34" applyNumberFormat="1" applyFont="1" applyBorder="1"/>
    <xf numFmtId="185" fontId="0" fillId="0" borderId="49" xfId="34" applyNumberFormat="1" applyFont="1" applyBorder="1"/>
    <xf numFmtId="185" fontId="0" fillId="0" borderId="46" xfId="34" applyNumberFormat="1" applyFont="1" applyBorder="1"/>
    <xf numFmtId="185" fontId="0" fillId="0" borderId="48" xfId="34" applyNumberFormat="1" applyFont="1" applyBorder="1"/>
    <xf numFmtId="185" fontId="0" fillId="0" borderId="52" xfId="34" applyNumberFormat="1" applyFont="1" applyBorder="1" applyAlignment="1">
      <alignment vertical="center"/>
    </xf>
    <xf numFmtId="185" fontId="0" fillId="0" borderId="60" xfId="34" applyNumberFormat="1" applyFont="1" applyBorder="1" applyAlignment="1">
      <alignment vertical="center"/>
    </xf>
    <xf numFmtId="186" fontId="0" fillId="0" borderId="26" xfId="34" applyNumberFormat="1" applyFont="1" applyBorder="1"/>
    <xf numFmtId="38" fontId="0" fillId="0" borderId="0" xfId="34" applyFont="1" applyAlignment="1" applyProtection="1">
      <alignment horizontal="right"/>
      <protection locked="0"/>
    </xf>
    <xf numFmtId="38" fontId="2" fillId="0" borderId="0" xfId="34" applyFont="1"/>
    <xf numFmtId="38" fontId="2" fillId="0" borderId="0" xfId="34" applyFont="1" applyProtection="1">
      <protection locked="0"/>
    </xf>
    <xf numFmtId="38" fontId="35" fillId="0" borderId="0" xfId="34" applyFont="1"/>
    <xf numFmtId="38" fontId="0" fillId="0" borderId="0" xfId="34" applyFont="1" applyAlignment="1">
      <alignment vertical="center"/>
    </xf>
    <xf numFmtId="179" fontId="0" fillId="0" borderId="41" xfId="34" applyNumberFormat="1" applyFont="1" applyBorder="1" applyAlignment="1">
      <alignment vertical="center" shrinkToFit="1"/>
    </xf>
    <xf numFmtId="179" fontId="0" fillId="0" borderId="42" xfId="34" applyNumberFormat="1" applyFont="1" applyBorder="1" applyAlignment="1">
      <alignment vertical="center" shrinkToFit="1"/>
    </xf>
    <xf numFmtId="179" fontId="0" fillId="0" borderId="39" xfId="34" applyNumberFormat="1" applyFont="1" applyBorder="1" applyAlignment="1">
      <alignment vertical="center" shrinkToFit="1"/>
    </xf>
    <xf numFmtId="185" fontId="3" fillId="0" borderId="32" xfId="34" applyNumberFormat="1" applyBorder="1"/>
    <xf numFmtId="185" fontId="3" fillId="0" borderId="24" xfId="34" applyNumberFormat="1" applyBorder="1"/>
    <xf numFmtId="185" fontId="3" fillId="0" borderId="26" xfId="34" applyNumberFormat="1" applyBorder="1"/>
    <xf numFmtId="185" fontId="3" fillId="0" borderId="33" xfId="34" applyNumberFormat="1" applyBorder="1"/>
    <xf numFmtId="185" fontId="3" fillId="0" borderId="34" xfId="34" applyNumberFormat="1" applyBorder="1"/>
    <xf numFmtId="185" fontId="3" fillId="0" borderId="35" xfId="34" applyNumberFormat="1" applyBorder="1"/>
    <xf numFmtId="185" fontId="3" fillId="0" borderId="66" xfId="34" applyNumberFormat="1" applyBorder="1"/>
    <xf numFmtId="185" fontId="3" fillId="0" borderId="37" xfId="34" applyNumberFormat="1" applyBorder="1"/>
    <xf numFmtId="185" fontId="3" fillId="0" borderId="14" xfId="34" applyNumberFormat="1" applyBorder="1"/>
    <xf numFmtId="185" fontId="3" fillId="0" borderId="27" xfId="34" applyNumberFormat="1" applyBorder="1"/>
    <xf numFmtId="185" fontId="3" fillId="0" borderId="36" xfId="34" applyNumberFormat="1" applyBorder="1"/>
    <xf numFmtId="186" fontId="0" fillId="0" borderId="40" xfId="34" applyNumberFormat="1" applyFont="1" applyBorder="1"/>
    <xf numFmtId="0" fontId="9" fillId="0" borderId="0" xfId="0" quotePrefix="1" applyFont="1" applyAlignment="1">
      <alignment horizontal="center"/>
    </xf>
    <xf numFmtId="179" fontId="0" fillId="0" borderId="0" xfId="34" applyNumberFormat="1" applyFont="1" applyAlignment="1">
      <alignment vertical="center" shrinkToFit="1"/>
    </xf>
    <xf numFmtId="179" fontId="0" fillId="0" borderId="0" xfId="34" applyNumberFormat="1" applyFont="1" applyAlignment="1" applyProtection="1">
      <alignment shrinkToFit="1"/>
      <protection locked="0"/>
    </xf>
    <xf numFmtId="179" fontId="0" fillId="0" borderId="0" xfId="34" applyNumberFormat="1" applyFont="1" applyProtection="1">
      <protection locked="0"/>
    </xf>
    <xf numFmtId="179" fontId="0" fillId="0" borderId="0" xfId="0" applyNumberFormat="1" applyAlignment="1">
      <alignment horizontal="right" wrapText="1"/>
    </xf>
    <xf numFmtId="179" fontId="0" fillId="0" borderId="0" xfId="41" applyNumberFormat="1" applyFont="1" applyProtection="1">
      <protection locked="0"/>
    </xf>
    <xf numFmtId="179" fontId="0" fillId="0" borderId="0" xfId="0" applyNumberFormat="1"/>
    <xf numFmtId="0" fontId="0" fillId="0" borderId="10" xfId="0" applyBorder="1" applyAlignment="1">
      <alignment vertical="center"/>
    </xf>
    <xf numFmtId="183" fontId="0" fillId="0" borderId="40" xfId="0" applyNumberFormat="1" applyBorder="1" applyAlignment="1">
      <alignment vertical="center"/>
    </xf>
    <xf numFmtId="183" fontId="0" fillId="0" borderId="28" xfId="0" applyNumberFormat="1" applyBorder="1" applyAlignment="1">
      <alignment vertical="center"/>
    </xf>
    <xf numFmtId="183" fontId="0" fillId="0" borderId="29" xfId="0" applyNumberFormat="1" applyBorder="1" applyAlignment="1">
      <alignment vertical="center"/>
    </xf>
    <xf numFmtId="183" fontId="0" fillId="0" borderId="30" xfId="0" applyNumberFormat="1" applyBorder="1" applyAlignment="1">
      <alignment vertical="center"/>
    </xf>
    <xf numFmtId="183" fontId="0" fillId="0" borderId="32" xfId="0" applyNumberFormat="1" applyBorder="1" applyAlignment="1">
      <alignment vertical="center"/>
    </xf>
    <xf numFmtId="183" fontId="0" fillId="0" borderId="24" xfId="0" applyNumberFormat="1" applyBorder="1" applyAlignment="1">
      <alignment vertical="center"/>
    </xf>
    <xf numFmtId="183" fontId="0" fillId="0" borderId="25" xfId="0" applyNumberFormat="1" applyBorder="1" applyAlignment="1">
      <alignment vertical="center"/>
    </xf>
    <xf numFmtId="183" fontId="0" fillId="0" borderId="26" xfId="0" applyNumberFormat="1" applyBorder="1" applyAlignment="1">
      <alignment vertical="center"/>
    </xf>
    <xf numFmtId="183" fontId="0" fillId="0" borderId="24" xfId="0" applyNumberFormat="1" applyBorder="1" applyAlignment="1">
      <alignment horizontal="right" vertical="center"/>
    </xf>
    <xf numFmtId="183" fontId="0" fillId="0" borderId="32" xfId="52" applyNumberFormat="1" applyFont="1" applyBorder="1" applyAlignment="1">
      <alignment vertical="center"/>
    </xf>
    <xf numFmtId="183" fontId="0" fillId="0" borderId="24" xfId="52" applyNumberFormat="1" applyFont="1" applyBorder="1" applyAlignment="1">
      <alignment vertical="center"/>
    </xf>
    <xf numFmtId="183" fontId="0" fillId="0" borderId="25" xfId="52" applyNumberFormat="1" applyFont="1" applyBorder="1" applyAlignment="1">
      <alignment vertical="center"/>
    </xf>
    <xf numFmtId="183" fontId="0" fillId="0" borderId="26" xfId="52" applyNumberFormat="1" applyFont="1" applyBorder="1" applyAlignment="1">
      <alignment vertical="center"/>
    </xf>
    <xf numFmtId="186" fontId="0" fillId="0" borderId="17" xfId="34" applyNumberFormat="1" applyFont="1" applyBorder="1"/>
    <xf numFmtId="186" fontId="0" fillId="0" borderId="32" xfId="34" applyNumberFormat="1" applyFont="1" applyBorder="1"/>
    <xf numFmtId="186" fontId="0" fillId="0" borderId="27" xfId="34" applyNumberFormat="1" applyFont="1" applyBorder="1"/>
    <xf numFmtId="186" fontId="0" fillId="0" borderId="32" xfId="0" applyNumberFormat="1" applyBorder="1" applyProtection="1">
      <protection locked="0"/>
    </xf>
    <xf numFmtId="186" fontId="0" fillId="0" borderId="32" xfId="34" applyNumberFormat="1" applyFont="1" applyBorder="1" applyProtection="1">
      <protection locked="0"/>
    </xf>
    <xf numFmtId="186" fontId="0" fillId="0" borderId="33" xfId="34" applyNumberFormat="1" applyFont="1" applyBorder="1"/>
    <xf numFmtId="186" fontId="0" fillId="0" borderId="37" xfId="34" applyNumberFormat="1" applyFont="1" applyBorder="1"/>
    <xf numFmtId="186" fontId="0" fillId="0" borderId="33" xfId="34" applyNumberFormat="1" applyFont="1" applyBorder="1" applyProtection="1">
      <protection locked="0"/>
    </xf>
    <xf numFmtId="186" fontId="0" fillId="0" borderId="47" xfId="34" applyNumberFormat="1" applyFont="1" applyBorder="1"/>
    <xf numFmtId="186" fontId="0" fillId="0" borderId="48" xfId="34" applyNumberFormat="1" applyFont="1" applyBorder="1"/>
    <xf numFmtId="186" fontId="0" fillId="0" borderId="38" xfId="34" applyNumberFormat="1" applyFont="1" applyBorder="1" applyAlignment="1">
      <alignment vertical="center"/>
    </xf>
    <xf numFmtId="186" fontId="0" fillId="0" borderId="23" xfId="34" applyNumberFormat="1" applyFont="1" applyBorder="1" applyAlignment="1">
      <alignment vertical="center"/>
    </xf>
    <xf numFmtId="186" fontId="0" fillId="0" borderId="32" xfId="34" applyNumberFormat="1" applyFont="1" applyBorder="1" applyAlignment="1">
      <alignment vertical="center"/>
    </xf>
    <xf numFmtId="186" fontId="0" fillId="0" borderId="27" xfId="34" applyNumberFormat="1" applyFont="1" applyBorder="1" applyAlignment="1">
      <alignment vertical="center"/>
    </xf>
    <xf numFmtId="179" fontId="0" fillId="0" borderId="0" xfId="55" applyNumberFormat="1" applyFont="1" applyAlignment="1">
      <alignment vertical="center" shrinkToFit="1"/>
    </xf>
    <xf numFmtId="179" fontId="0" fillId="0" borderId="0" xfId="0" applyNumberFormat="1" applyAlignment="1" applyProtection="1">
      <alignment shrinkToFit="1"/>
      <protection locked="0"/>
    </xf>
    <xf numFmtId="179" fontId="0" fillId="0" borderId="0" xfId="35" applyNumberFormat="1" applyFont="1" applyAlignment="1" applyProtection="1">
      <alignment shrinkToFit="1"/>
      <protection locked="0"/>
    </xf>
    <xf numFmtId="179" fontId="0" fillId="0" borderId="0" xfId="0" applyNumberFormat="1" applyAlignment="1">
      <alignment shrinkToFit="1"/>
    </xf>
    <xf numFmtId="179" fontId="0" fillId="0" borderId="0" xfId="35" applyNumberFormat="1" applyFont="1" applyAlignment="1">
      <alignment shrinkToFit="1"/>
    </xf>
    <xf numFmtId="179" fontId="0" fillId="0" borderId="0" xfId="34" applyNumberFormat="1" applyFont="1" applyAlignment="1">
      <alignment shrinkToFit="1"/>
    </xf>
    <xf numFmtId="179" fontId="0" fillId="0" borderId="0" xfId="34" applyNumberFormat="1" applyFont="1" applyAlignment="1">
      <alignment vertical="center"/>
    </xf>
    <xf numFmtId="179" fontId="0" fillId="0" borderId="0" xfId="57" applyNumberFormat="1" applyFont="1">
      <alignment vertical="center"/>
    </xf>
    <xf numFmtId="179" fontId="0" fillId="0" borderId="0" xfId="39" applyNumberFormat="1" applyFont="1" applyProtection="1">
      <protection locked="0"/>
    </xf>
    <xf numFmtId="179" fontId="0" fillId="0" borderId="0" xfId="39" applyNumberFormat="1" applyFont="1"/>
    <xf numFmtId="179" fontId="0" fillId="0" borderId="0" xfId="0" applyNumberFormat="1" applyAlignment="1">
      <alignment horizontal="right"/>
    </xf>
    <xf numFmtId="179" fontId="0" fillId="0" borderId="0" xfId="39" applyNumberFormat="1" applyFont="1" applyAlignment="1">
      <alignment horizontal="right"/>
    </xf>
    <xf numFmtId="179" fontId="30" fillId="0" borderId="0" xfId="34" applyNumberFormat="1" applyFont="1"/>
    <xf numFmtId="179" fontId="0" fillId="0" borderId="0" xfId="56" applyNumberFormat="1" applyFont="1">
      <alignment vertical="center"/>
    </xf>
    <xf numFmtId="179" fontId="0" fillId="0" borderId="0" xfId="0" applyNumberFormat="1" applyProtection="1">
      <protection locked="0"/>
    </xf>
    <xf numFmtId="179" fontId="0" fillId="0" borderId="0" xfId="38" applyNumberFormat="1" applyFont="1" applyProtection="1">
      <protection locked="0"/>
    </xf>
    <xf numFmtId="179" fontId="0" fillId="0" borderId="0" xfId="38" applyNumberFormat="1" applyFont="1"/>
    <xf numFmtId="179" fontId="10" fillId="0" borderId="0" xfId="34" applyNumberFormat="1" applyFont="1" applyAlignment="1">
      <alignment vertical="center"/>
    </xf>
    <xf numFmtId="179" fontId="0" fillId="0" borderId="0" xfId="0" applyNumberFormat="1" applyAlignment="1">
      <alignment horizontal="right" vertical="top" wrapText="1"/>
    </xf>
    <xf numFmtId="179" fontId="0" fillId="0" borderId="0" xfId="63" applyNumberFormat="1" applyFont="1" applyAlignment="1"/>
    <xf numFmtId="179" fontId="0" fillId="0" borderId="0" xfId="41" applyNumberFormat="1" applyFont="1"/>
    <xf numFmtId="179" fontId="0" fillId="0" borderId="0" xfId="44" applyNumberFormat="1" applyFont="1" applyProtection="1">
      <protection locked="0"/>
    </xf>
    <xf numFmtId="179" fontId="28" fillId="0" borderId="0" xfId="0" applyNumberFormat="1" applyFont="1" applyProtection="1">
      <protection locked="0"/>
    </xf>
    <xf numFmtId="179" fontId="0" fillId="0" borderId="0" xfId="44" applyNumberFormat="1" applyFont="1"/>
    <xf numFmtId="38" fontId="0" fillId="0" borderId="0" xfId="63" applyNumberFormat="1" applyFont="1" applyAlignment="1"/>
    <xf numFmtId="179" fontId="0" fillId="0" borderId="0" xfId="61" applyNumberFormat="1" applyFont="1" applyAlignment="1"/>
    <xf numFmtId="179" fontId="0" fillId="0" borderId="0" xfId="35" applyNumberFormat="1" applyFont="1" applyProtection="1">
      <protection locked="0"/>
    </xf>
    <xf numFmtId="179" fontId="0" fillId="0" borderId="0" xfId="61" applyNumberFormat="1" applyFont="1">
      <alignment vertical="center"/>
    </xf>
    <xf numFmtId="179" fontId="0" fillId="0" borderId="0" xfId="35" applyNumberFormat="1" applyFont="1"/>
    <xf numFmtId="179" fontId="0" fillId="0" borderId="0" xfId="0" applyNumberFormat="1" applyAlignment="1">
      <alignment vertical="center" wrapText="1"/>
    </xf>
    <xf numFmtId="179" fontId="0" fillId="0" borderId="0" xfId="60" applyNumberFormat="1" applyFont="1">
      <alignment vertical="center"/>
    </xf>
    <xf numFmtId="179" fontId="0" fillId="0" borderId="0" xfId="42" applyNumberFormat="1" applyFont="1" applyProtection="1">
      <protection locked="0"/>
    </xf>
    <xf numFmtId="179" fontId="0" fillId="0" borderId="0" xfId="60" applyNumberFormat="1" applyFont="1" applyAlignment="1"/>
    <xf numFmtId="179" fontId="0" fillId="0" borderId="0" xfId="42" applyNumberFormat="1" applyFont="1"/>
    <xf numFmtId="179" fontId="0" fillId="0" borderId="0" xfId="62" applyNumberFormat="1" applyFont="1" applyAlignment="1"/>
    <xf numFmtId="179" fontId="0" fillId="0" borderId="0" xfId="43" applyNumberFormat="1" applyFont="1" applyProtection="1">
      <protection locked="0"/>
    </xf>
    <xf numFmtId="179" fontId="0" fillId="0" borderId="0" xfId="43" applyNumberFormat="1" applyFont="1"/>
    <xf numFmtId="185" fontId="0" fillId="0" borderId="0" xfId="62" applyNumberFormat="1" applyFont="1" applyAlignment="1"/>
    <xf numFmtId="179" fontId="0" fillId="0" borderId="0" xfId="34" applyNumberFormat="1" applyFont="1" applyAlignment="1">
      <alignment horizontal="right"/>
    </xf>
    <xf numFmtId="179" fontId="0" fillId="0" borderId="0" xfId="54" applyNumberFormat="1" applyFont="1">
      <alignment vertical="center"/>
    </xf>
    <xf numFmtId="179" fontId="0" fillId="0" borderId="0" xfId="36" applyNumberFormat="1" applyFont="1" applyProtection="1">
      <protection locked="0"/>
    </xf>
    <xf numFmtId="179" fontId="0" fillId="0" borderId="0" xfId="36" applyNumberFormat="1" applyFont="1"/>
    <xf numFmtId="179" fontId="10" fillId="0" borderId="0" xfId="0" applyNumberFormat="1" applyFont="1"/>
    <xf numFmtId="179" fontId="9" fillId="0" borderId="0" xfId="0" applyNumberFormat="1" applyFont="1"/>
    <xf numFmtId="179" fontId="0" fillId="0" borderId="0" xfId="58" applyNumberFormat="1" applyFont="1" applyAlignment="1"/>
    <xf numFmtId="179" fontId="0" fillId="0" borderId="0" xfId="40" applyNumberFormat="1" applyFont="1"/>
    <xf numFmtId="179" fontId="0" fillId="0" borderId="0" xfId="40" applyNumberFormat="1" applyFont="1" applyProtection="1">
      <protection locked="0"/>
    </xf>
    <xf numFmtId="179" fontId="0" fillId="0" borderId="0" xfId="58" applyNumberFormat="1" applyFont="1">
      <alignment vertical="center"/>
    </xf>
    <xf numFmtId="179" fontId="0" fillId="0" borderId="0" xfId="59" applyNumberFormat="1" applyFont="1" applyAlignment="1"/>
    <xf numFmtId="179" fontId="0" fillId="0" borderId="0" xfId="59" applyNumberFormat="1" applyFont="1">
      <alignment vertical="center"/>
    </xf>
    <xf numFmtId="179" fontId="0" fillId="0" borderId="0" xfId="0" applyNumberFormat="1" applyAlignment="1">
      <alignment wrapText="1"/>
    </xf>
    <xf numFmtId="179" fontId="0" fillId="0" borderId="0" xfId="37" applyNumberFormat="1" applyFont="1"/>
    <xf numFmtId="179" fontId="0" fillId="0" borderId="0" xfId="37" applyNumberFormat="1" applyFont="1" applyProtection="1">
      <protection locked="0"/>
    </xf>
    <xf numFmtId="179" fontId="0" fillId="0" borderId="0" xfId="0" applyNumberFormat="1" applyAlignment="1">
      <alignment horizontal="right" vertical="center"/>
    </xf>
    <xf numFmtId="0" fontId="32" fillId="0" borderId="0" xfId="0" applyFont="1"/>
    <xf numFmtId="185" fontId="0" fillId="0" borderId="32" xfId="34" applyNumberFormat="1" applyFont="1" applyBorder="1" applyAlignment="1">
      <alignment vertical="center" shrinkToFit="1"/>
    </xf>
    <xf numFmtId="185" fontId="0" fillId="0" borderId="24" xfId="34" applyNumberFormat="1" applyFont="1" applyBorder="1" applyAlignment="1">
      <alignment vertical="center" shrinkToFit="1"/>
    </xf>
    <xf numFmtId="185" fontId="0" fillId="0" borderId="25" xfId="34" applyNumberFormat="1" applyFont="1" applyBorder="1" applyAlignment="1">
      <alignment vertical="center" shrinkToFit="1"/>
    </xf>
    <xf numFmtId="185" fontId="0" fillId="0" borderId="26" xfId="34" applyNumberFormat="1" applyFont="1" applyBorder="1" applyAlignment="1">
      <alignment vertical="center" shrinkToFit="1"/>
    </xf>
    <xf numFmtId="185" fontId="0" fillId="0" borderId="27" xfId="34" applyNumberFormat="1" applyFont="1" applyBorder="1" applyAlignment="1">
      <alignment vertical="center" shrinkToFit="1"/>
    </xf>
    <xf numFmtId="0" fontId="9" fillId="0" borderId="38" xfId="0" applyFont="1" applyBorder="1" applyAlignment="1">
      <alignment horizontal="center" shrinkToFit="1"/>
    </xf>
    <xf numFmtId="0" fontId="0" fillId="0" borderId="41" xfId="0" applyBorder="1" applyAlignment="1">
      <alignment horizontal="center" shrinkToFit="1"/>
    </xf>
    <xf numFmtId="0" fontId="0" fillId="0" borderId="52" xfId="0" applyBorder="1" applyAlignment="1">
      <alignment horizontal="center" shrinkToFit="1"/>
    </xf>
    <xf numFmtId="0" fontId="0" fillId="0" borderId="39" xfId="0" applyBorder="1" applyAlignment="1">
      <alignment horizontal="center" shrinkToFit="1"/>
    </xf>
    <xf numFmtId="0" fontId="0" fillId="0" borderId="38" xfId="0" applyBorder="1" applyAlignment="1">
      <alignment horizontal="center" shrinkToFit="1"/>
    </xf>
    <xf numFmtId="185" fontId="0" fillId="0" borderId="40" xfId="34" applyNumberFormat="1" applyFont="1" applyBorder="1" applyAlignment="1">
      <alignment vertical="center" shrinkToFit="1"/>
    </xf>
    <xf numFmtId="185" fontId="0" fillId="0" borderId="28" xfId="34" applyNumberFormat="1" applyFont="1" applyBorder="1" applyAlignment="1">
      <alignment vertical="center" shrinkToFit="1"/>
    </xf>
    <xf numFmtId="185" fontId="0" fillId="0" borderId="29" xfId="34" applyNumberFormat="1" applyFont="1" applyBorder="1" applyAlignment="1">
      <alignment vertical="center" shrinkToFit="1"/>
    </xf>
    <xf numFmtId="185" fontId="0" fillId="0" borderId="30" xfId="34" applyNumberFormat="1" applyFont="1" applyBorder="1" applyAlignment="1">
      <alignment vertical="center" shrinkToFit="1"/>
    </xf>
    <xf numFmtId="185" fontId="0" fillId="0" borderId="17" xfId="34" applyNumberFormat="1" applyFont="1" applyBorder="1" applyAlignment="1">
      <alignment vertical="center" shrinkToFit="1"/>
    </xf>
    <xf numFmtId="185" fontId="0" fillId="0" borderId="33" xfId="34" applyNumberFormat="1" applyFont="1" applyBorder="1" applyAlignment="1">
      <alignment vertical="center" shrinkToFit="1"/>
    </xf>
    <xf numFmtId="185" fontId="0" fillId="0" borderId="34" xfId="34" applyNumberFormat="1" applyFont="1" applyBorder="1" applyAlignment="1">
      <alignment vertical="center" shrinkToFit="1"/>
    </xf>
    <xf numFmtId="185" fontId="0" fillId="0" borderId="36" xfId="34" applyNumberFormat="1" applyFont="1" applyBorder="1" applyAlignment="1">
      <alignment vertical="center" shrinkToFit="1"/>
    </xf>
    <xf numFmtId="185" fontId="0" fillId="0" borderId="35" xfId="34" applyNumberFormat="1" applyFont="1" applyBorder="1" applyAlignment="1">
      <alignment vertical="center" shrinkToFit="1"/>
    </xf>
    <xf numFmtId="185" fontId="0" fillId="0" borderId="37" xfId="34" applyNumberFormat="1" applyFont="1" applyBorder="1" applyAlignment="1">
      <alignment vertical="center" shrinkToFit="1"/>
    </xf>
    <xf numFmtId="185" fontId="0" fillId="0" borderId="47" xfId="34" applyNumberFormat="1" applyFont="1" applyBorder="1" applyAlignment="1">
      <alignment vertical="center" shrinkToFit="1"/>
    </xf>
    <xf numFmtId="185" fontId="0" fillId="0" borderId="45" xfId="34" applyNumberFormat="1" applyFont="1" applyBorder="1" applyAlignment="1">
      <alignment vertical="center" shrinkToFit="1"/>
    </xf>
    <xf numFmtId="185" fontId="0" fillId="0" borderId="46" xfId="34" applyNumberFormat="1" applyFont="1" applyBorder="1" applyAlignment="1">
      <alignment vertical="center" shrinkToFit="1"/>
    </xf>
    <xf numFmtId="185" fontId="0" fillId="0" borderId="49" xfId="34" applyNumberFormat="1" applyFont="1" applyBorder="1" applyAlignment="1">
      <alignment vertical="center" shrinkToFit="1"/>
    </xf>
    <xf numFmtId="185" fontId="0" fillId="0" borderId="48" xfId="34" applyNumberFormat="1" applyFont="1" applyBorder="1" applyAlignment="1">
      <alignment vertical="center" shrinkToFit="1"/>
    </xf>
    <xf numFmtId="185" fontId="0" fillId="0" borderId="38" xfId="34" applyNumberFormat="1" applyFont="1" applyBorder="1" applyAlignment="1">
      <alignment vertical="center" shrinkToFit="1"/>
    </xf>
    <xf numFmtId="185" fontId="0" fillId="0" borderId="41" xfId="34" applyNumberFormat="1" applyFont="1" applyBorder="1" applyAlignment="1">
      <alignment vertical="center" shrinkToFit="1"/>
    </xf>
    <xf numFmtId="185" fontId="0" fillId="0" borderId="42" xfId="34" applyNumberFormat="1" applyFont="1" applyBorder="1" applyAlignment="1">
      <alignment vertical="center" shrinkToFit="1"/>
    </xf>
    <xf numFmtId="185" fontId="0" fillId="0" borderId="39" xfId="34" applyNumberFormat="1" applyFont="1" applyBorder="1" applyAlignment="1">
      <alignment vertical="center" shrinkToFit="1"/>
    </xf>
    <xf numFmtId="185" fontId="0" fillId="0" borderId="23" xfId="34" applyNumberFormat="1" applyFont="1" applyBorder="1" applyAlignment="1">
      <alignment vertical="center" shrinkToFit="1"/>
    </xf>
    <xf numFmtId="0" fontId="7" fillId="0" borderId="0" xfId="0" applyFont="1" applyAlignment="1">
      <alignment horizontal="left" indent="1"/>
    </xf>
    <xf numFmtId="0" fontId="7" fillId="0" borderId="0" xfId="0" applyFont="1" applyAlignment="1">
      <alignment horizontal="right"/>
    </xf>
    <xf numFmtId="179" fontId="0" fillId="0" borderId="23" xfId="34" applyNumberFormat="1" applyFont="1" applyBorder="1" applyAlignment="1">
      <alignment vertical="center" shrinkToFit="1"/>
    </xf>
    <xf numFmtId="10" fontId="31" fillId="0" borderId="0" xfId="0" applyNumberFormat="1" applyFont="1"/>
    <xf numFmtId="0" fontId="0" fillId="0" borderId="0" xfId="0" applyAlignment="1">
      <alignment horizontal="right"/>
    </xf>
    <xf numFmtId="181" fontId="0" fillId="0" borderId="62" xfId="34" applyNumberFormat="1" applyFont="1" applyBorder="1" applyProtection="1">
      <protection locked="0"/>
    </xf>
    <xf numFmtId="0" fontId="10" fillId="0" borderId="0" xfId="0" applyFont="1"/>
    <xf numFmtId="179" fontId="10" fillId="0" borderId="0" xfId="34" applyNumberFormat="1" applyFont="1" applyAlignment="1">
      <alignment shrinkToFit="1"/>
    </xf>
    <xf numFmtId="179" fontId="10" fillId="0" borderId="0" xfId="34" applyNumberFormat="1" applyFont="1" applyAlignment="1">
      <alignment vertical="center" shrinkToFit="1"/>
    </xf>
    <xf numFmtId="179" fontId="10" fillId="0" borderId="0" xfId="34" applyNumberFormat="1" applyFont="1" applyAlignment="1" applyProtection="1">
      <alignment shrinkToFit="1"/>
      <protection locked="0"/>
    </xf>
    <xf numFmtId="179" fontId="10" fillId="0" borderId="0" xfId="55" applyNumberFormat="1" applyFont="1" applyAlignment="1">
      <alignment vertical="center" shrinkToFit="1"/>
    </xf>
    <xf numFmtId="179" fontId="10" fillId="0" borderId="0" xfId="0" applyNumberFormat="1" applyFont="1" applyAlignment="1" applyProtection="1">
      <alignment shrinkToFit="1"/>
      <protection locked="0"/>
    </xf>
    <xf numFmtId="179" fontId="10" fillId="0" borderId="0" xfId="35" applyNumberFormat="1" applyFont="1" applyAlignment="1" applyProtection="1">
      <alignment shrinkToFit="1"/>
      <protection locked="0"/>
    </xf>
    <xf numFmtId="179" fontId="10" fillId="0" borderId="0" xfId="0" applyNumberFormat="1" applyFont="1" applyAlignment="1">
      <alignment shrinkToFit="1"/>
    </xf>
    <xf numFmtId="179" fontId="10" fillId="0" borderId="0" xfId="35" applyNumberFormat="1" applyFont="1" applyAlignment="1">
      <alignment shrinkToFit="1"/>
    </xf>
    <xf numFmtId="179" fontId="10" fillId="0" borderId="0" xfId="0" applyNumberFormat="1" applyFont="1" applyAlignment="1">
      <alignment horizontal="right" shrinkToFit="1"/>
    </xf>
    <xf numFmtId="179" fontId="0" fillId="0" borderId="0" xfId="34" applyNumberFormat="1" applyFont="1" applyAlignment="1">
      <alignment horizontal="left"/>
    </xf>
    <xf numFmtId="179" fontId="10" fillId="0" borderId="0" xfId="34" applyNumberFormat="1" applyFont="1"/>
    <xf numFmtId="179" fontId="10" fillId="0" borderId="0" xfId="34" applyNumberFormat="1" applyFont="1" applyProtection="1">
      <protection locked="0"/>
    </xf>
    <xf numFmtId="179" fontId="10" fillId="0" borderId="0" xfId="55" applyNumberFormat="1" applyFont="1">
      <alignment vertical="center"/>
    </xf>
    <xf numFmtId="179" fontId="10" fillId="0" borderId="0" xfId="0" applyNumberFormat="1" applyFont="1" applyProtection="1">
      <protection locked="0"/>
    </xf>
    <xf numFmtId="179" fontId="10" fillId="0" borderId="0" xfId="35" applyNumberFormat="1" applyFont="1" applyProtection="1">
      <protection locked="0"/>
    </xf>
    <xf numFmtId="179" fontId="0" fillId="0" borderId="0" xfId="55" applyNumberFormat="1" applyFont="1">
      <alignment vertical="center"/>
    </xf>
    <xf numFmtId="17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9" fontId="0" fillId="0" borderId="0" xfId="34" applyNumberFormat="1" applyFont="1" applyAlignment="1">
      <alignment horizontal="left" vertical="center"/>
    </xf>
    <xf numFmtId="179" fontId="0" fillId="0" borderId="0" xfId="34" applyNumberFormat="1" applyFont="1" applyAlignment="1" applyProtection="1">
      <alignment horizontal="left"/>
      <protection locked="0"/>
    </xf>
    <xf numFmtId="179" fontId="0" fillId="0" borderId="0" xfId="56" applyNumberFormat="1" applyFont="1" applyAlignment="1">
      <alignment horizontal="left" vertical="center"/>
    </xf>
    <xf numFmtId="182" fontId="0" fillId="0" borderId="0" xfId="0" applyNumberFormat="1"/>
    <xf numFmtId="182" fontId="0" fillId="0" borderId="0" xfId="34" applyNumberFormat="1" applyFont="1" applyProtection="1">
      <protection locked="0"/>
    </xf>
    <xf numFmtId="0" fontId="0" fillId="0" borderId="0" xfId="0" applyAlignment="1">
      <alignment horizontal="left" indent="1"/>
    </xf>
    <xf numFmtId="179" fontId="0" fillId="0" borderId="0" xfId="38" applyNumberFormat="1" applyFont="1" applyAlignment="1">
      <alignment horizontal="left"/>
    </xf>
    <xf numFmtId="38" fontId="0" fillId="0" borderId="0" xfId="34" applyFont="1" applyAlignment="1">
      <alignment horizontal="left"/>
    </xf>
    <xf numFmtId="179" fontId="0" fillId="0" borderId="0" xfId="39" applyNumberFormat="1" applyFont="1" applyAlignment="1">
      <alignment horizontal="left"/>
    </xf>
    <xf numFmtId="177" fontId="34" fillId="0" borderId="0" xfId="34" applyNumberFormat="1" applyFont="1" applyAlignment="1">
      <alignment horizontal="center" shrinkToFit="1"/>
    </xf>
    <xf numFmtId="177" fontId="32" fillId="0" borderId="0" xfId="34" applyNumberFormat="1" applyFont="1" applyAlignment="1">
      <alignment horizontal="center" vertical="center" shrinkToFit="1"/>
    </xf>
    <xf numFmtId="186" fontId="0" fillId="0" borderId="0" xfId="34" applyNumberFormat="1" applyFont="1"/>
    <xf numFmtId="10" fontId="0" fillId="0" borderId="0" xfId="0" applyNumberFormat="1"/>
    <xf numFmtId="182" fontId="7" fillId="0" borderId="0" xfId="0" applyNumberFormat="1" applyFont="1"/>
    <xf numFmtId="182" fontId="9" fillId="0" borderId="0" xfId="0" applyNumberFormat="1" applyFont="1"/>
    <xf numFmtId="182" fontId="9" fillId="0" borderId="0" xfId="0" quotePrefix="1" applyNumberFormat="1" applyFont="1" applyAlignment="1">
      <alignment horizontal="center"/>
    </xf>
    <xf numFmtId="182" fontId="10" fillId="0" borderId="0" xfId="34" applyNumberFormat="1" applyFont="1" applyAlignment="1">
      <alignment shrinkToFit="1"/>
    </xf>
    <xf numFmtId="182" fontId="10" fillId="0" borderId="0" xfId="0" applyNumberFormat="1" applyFont="1"/>
    <xf numFmtId="182" fontId="0" fillId="0" borderId="0" xfId="34" applyNumberFormat="1" applyFont="1"/>
    <xf numFmtId="185" fontId="0" fillId="0" borderId="0" xfId="0" applyNumberFormat="1"/>
    <xf numFmtId="10" fontId="10" fillId="0" borderId="0" xfId="34" applyNumberFormat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79" fontId="0" fillId="0" borderId="62" xfId="34" applyNumberFormat="1" applyFont="1" applyBorder="1"/>
    <xf numFmtId="184" fontId="0" fillId="0" borderId="0" xfId="34" applyNumberFormat="1" applyFont="1" applyProtection="1">
      <protection locked="0"/>
    </xf>
    <xf numFmtId="0" fontId="1" fillId="0" borderId="0" xfId="68">
      <alignment vertical="center"/>
    </xf>
    <xf numFmtId="0" fontId="36" fillId="0" borderId="0" xfId="0" applyFont="1"/>
    <xf numFmtId="187" fontId="0" fillId="18" borderId="78" xfId="0" applyNumberFormat="1" applyFill="1" applyBorder="1" applyAlignment="1">
      <alignment horizontal="right" indent="1" shrinkToFit="1"/>
    </xf>
    <xf numFmtId="185" fontId="0" fillId="0" borderId="78" xfId="0" applyNumberFormat="1" applyBorder="1"/>
    <xf numFmtId="38" fontId="0" fillId="0" borderId="78" xfId="34" applyFont="1" applyBorder="1" applyAlignment="1">
      <alignment horizontal="center" vertical="center" shrinkToFit="1"/>
    </xf>
    <xf numFmtId="0" fontId="0" fillId="0" borderId="78" xfId="0" applyBorder="1" applyAlignment="1">
      <alignment horizontal="center" vertical="center" shrinkToFit="1"/>
    </xf>
    <xf numFmtId="0" fontId="0" fillId="0" borderId="0" xfId="0" applyProtection="1">
      <protection locked="0"/>
    </xf>
    <xf numFmtId="0" fontId="0" fillId="19" borderId="78" xfId="0" applyFill="1" applyBorder="1" applyAlignment="1" applyProtection="1">
      <alignment vertical="center"/>
      <protection locked="0"/>
    </xf>
    <xf numFmtId="9" fontId="0" fillId="0" borderId="78" xfId="67" applyFont="1" applyBorder="1" applyAlignment="1">
      <alignment horizontal="right" indent="1"/>
    </xf>
    <xf numFmtId="187" fontId="0" fillId="0" borderId="78" xfId="0" applyNumberFormat="1" applyBorder="1" applyAlignment="1">
      <alignment horizontal="right" vertical="center" indent="1"/>
    </xf>
    <xf numFmtId="187" fontId="0" fillId="0" borderId="78" xfId="0" applyNumberFormat="1" applyBorder="1" applyAlignment="1">
      <alignment vertical="center"/>
    </xf>
    <xf numFmtId="181" fontId="0" fillId="19" borderId="78" xfId="0" applyNumberFormat="1" applyFill="1" applyBorder="1" applyAlignment="1" applyProtection="1">
      <alignment vertical="center"/>
      <protection locked="0"/>
    </xf>
    <xf numFmtId="181" fontId="0" fillId="0" borderId="78" xfId="0" applyNumberFormat="1" applyBorder="1" applyAlignment="1">
      <alignment vertical="center"/>
    </xf>
    <xf numFmtId="0" fontId="0" fillId="0" borderId="78" xfId="0" applyBorder="1" applyAlignment="1" applyProtection="1">
      <alignment horizontal="center" vertical="center" shrinkToFit="1"/>
      <protection locked="0"/>
    </xf>
    <xf numFmtId="187" fontId="0" fillId="0" borderId="78" xfId="0" applyNumberFormat="1" applyBorder="1" applyAlignment="1">
      <alignment horizontal="right" indent="1" shrinkToFit="1"/>
    </xf>
    <xf numFmtId="181" fontId="11" fillId="0" borderId="78" xfId="0" applyNumberFormat="1" applyFont="1" applyBorder="1" applyAlignment="1">
      <alignment vertical="center"/>
    </xf>
    <xf numFmtId="38" fontId="11" fillId="0" borderId="78" xfId="34" applyFont="1" applyBorder="1" applyAlignment="1">
      <alignment vertical="center"/>
    </xf>
    <xf numFmtId="181" fontId="0" fillId="0" borderId="78" xfId="0" applyNumberFormat="1" applyBorder="1" applyAlignment="1">
      <alignment vertical="center" wrapText="1"/>
    </xf>
    <xf numFmtId="0" fontId="0" fillId="20" borderId="80" xfId="0" applyFill="1" applyBorder="1" applyAlignment="1">
      <alignment vertical="center"/>
    </xf>
    <xf numFmtId="0" fontId="0" fillId="0" borderId="79" xfId="0" applyBorder="1" applyAlignment="1" applyProtection="1">
      <alignment horizontal="center" vertical="center"/>
      <protection locked="0"/>
    </xf>
    <xf numFmtId="0" fontId="0" fillId="0" borderId="80" xfId="0" applyBorder="1" applyAlignment="1" applyProtection="1">
      <alignment vertical="center"/>
      <protection locked="0"/>
    </xf>
    <xf numFmtId="0" fontId="0" fillId="20" borderId="0" xfId="0" applyFill="1" applyAlignment="1">
      <alignment horizontal="center" vertical="center"/>
    </xf>
    <xf numFmtId="0" fontId="0" fillId="20" borderId="25" xfId="0" applyFill="1" applyBorder="1" applyAlignment="1">
      <alignment vertical="center"/>
    </xf>
    <xf numFmtId="0" fontId="0" fillId="0" borderId="24" xfId="0" applyBorder="1" applyAlignment="1" applyProtection="1">
      <alignment horizontal="center" vertical="center"/>
      <protection locked="0"/>
    </xf>
    <xf numFmtId="0" fontId="0" fillId="0" borderId="24" xfId="0" applyBorder="1" applyAlignment="1" applyProtection="1">
      <alignment horizontal="center" vertical="center" shrinkToFit="1"/>
      <protection locked="0"/>
    </xf>
    <xf numFmtId="0" fontId="0" fillId="0" borderId="25" xfId="0" applyBorder="1" applyAlignment="1" applyProtection="1">
      <alignment vertical="center"/>
      <protection locked="0"/>
    </xf>
    <xf numFmtId="0" fontId="0" fillId="20" borderId="18" xfId="0" applyFill="1" applyBorder="1" applyAlignment="1">
      <alignment vertical="center"/>
    </xf>
    <xf numFmtId="0" fontId="0" fillId="0" borderId="18" xfId="0" applyBorder="1" applyAlignment="1" applyProtection="1">
      <alignment vertical="center"/>
      <protection locked="0"/>
    </xf>
    <xf numFmtId="0" fontId="36" fillId="0" borderId="0" xfId="0" applyFont="1" applyAlignment="1" applyProtection="1">
      <alignment vertical="center"/>
      <protection locked="0"/>
    </xf>
    <xf numFmtId="0" fontId="7" fillId="21" borderId="0" xfId="0" applyFont="1" applyFill="1" applyAlignment="1" applyProtection="1">
      <alignment wrapText="1"/>
      <protection locked="0"/>
    </xf>
    <xf numFmtId="0" fontId="36" fillId="0" borderId="0" xfId="0" applyFont="1" applyProtection="1"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6" fillId="22" borderId="0" xfId="0" applyFont="1" applyFill="1" applyAlignment="1" applyProtection="1">
      <alignment horizontal="center"/>
      <protection locked="0"/>
    </xf>
    <xf numFmtId="0" fontId="10" fillId="19" borderId="78" xfId="0" applyFont="1" applyFill="1" applyBorder="1" applyAlignment="1" applyProtection="1">
      <alignment vertical="center"/>
      <protection locked="0"/>
    </xf>
    <xf numFmtId="0" fontId="38" fillId="19" borderId="78" xfId="0" applyFont="1" applyFill="1" applyBorder="1" applyAlignment="1" applyProtection="1">
      <alignment vertical="center"/>
      <protection locked="0"/>
    </xf>
    <xf numFmtId="187" fontId="0" fillId="0" borderId="78" xfId="0" applyNumberFormat="1" applyBorder="1" applyAlignment="1">
      <alignment horizontal="right" vertical="center" indent="1" shrinkToFit="1"/>
    </xf>
    <xf numFmtId="0" fontId="40" fillId="0" borderId="0" xfId="0" applyFont="1" applyProtection="1">
      <protection locked="0"/>
    </xf>
    <xf numFmtId="0" fontId="39" fillId="0" borderId="0" xfId="0" applyFont="1" applyAlignment="1" applyProtection="1">
      <alignment vertical="center"/>
      <protection locked="0"/>
    </xf>
    <xf numFmtId="181" fontId="0" fillId="0" borderId="78" xfId="0" applyNumberFormat="1" applyBorder="1" applyAlignment="1">
      <alignment vertical="center" shrinkToFit="1"/>
    </xf>
    <xf numFmtId="38" fontId="0" fillId="0" borderId="78" xfId="34" applyFont="1" applyBorder="1" applyAlignment="1">
      <alignment vertical="center"/>
    </xf>
    <xf numFmtId="179" fontId="0" fillId="0" borderId="10" xfId="34" applyNumberFormat="1" applyFont="1" applyBorder="1" applyAlignment="1" applyProtection="1">
      <alignment shrinkToFit="1"/>
      <protection locked="0"/>
    </xf>
    <xf numFmtId="179" fontId="0" fillId="0" borderId="28" xfId="34" applyNumberFormat="1" applyFont="1" applyBorder="1" applyAlignment="1" applyProtection="1">
      <alignment shrinkToFit="1"/>
      <protection locked="0"/>
    </xf>
    <xf numFmtId="179" fontId="0" fillId="0" borderId="29" xfId="34" applyNumberFormat="1" applyFont="1" applyBorder="1" applyAlignment="1" applyProtection="1">
      <alignment shrinkToFit="1"/>
      <protection locked="0"/>
    </xf>
    <xf numFmtId="179" fontId="3" fillId="0" borderId="30" xfId="34" applyNumberFormat="1" applyBorder="1" applyAlignment="1" applyProtection="1">
      <alignment shrinkToFit="1"/>
      <protection locked="0"/>
    </xf>
    <xf numFmtId="179" fontId="3" fillId="0" borderId="40" xfId="34" applyNumberFormat="1" applyBorder="1" applyAlignment="1" applyProtection="1">
      <alignment shrinkToFit="1"/>
      <protection locked="0"/>
    </xf>
    <xf numFmtId="179" fontId="3" fillId="0" borderId="28" xfId="34" applyNumberFormat="1" applyBorder="1" applyAlignment="1" applyProtection="1">
      <alignment shrinkToFit="1"/>
      <protection locked="0"/>
    </xf>
    <xf numFmtId="179" fontId="3" fillId="0" borderId="68" xfId="34" applyNumberFormat="1" applyBorder="1" applyAlignment="1" applyProtection="1">
      <alignment shrinkToFit="1"/>
      <protection locked="0"/>
    </xf>
    <xf numFmtId="186" fontId="0" fillId="0" borderId="30" xfId="34" applyNumberFormat="1" applyFont="1" applyBorder="1"/>
    <xf numFmtId="179" fontId="0" fillId="0" borderId="14" xfId="34" applyNumberFormat="1" applyFont="1" applyBorder="1" applyAlignment="1" applyProtection="1">
      <alignment shrinkToFit="1"/>
      <protection locked="0"/>
    </xf>
    <xf numFmtId="179" fontId="0" fillId="0" borderId="24" xfId="34" applyNumberFormat="1" applyFont="1" applyBorder="1" applyAlignment="1" applyProtection="1">
      <alignment shrinkToFit="1"/>
      <protection locked="0"/>
    </xf>
    <xf numFmtId="179" fontId="0" fillId="0" borderId="25" xfId="34" applyNumberFormat="1" applyFont="1" applyBorder="1" applyAlignment="1" applyProtection="1">
      <alignment shrinkToFit="1"/>
      <protection locked="0"/>
    </xf>
    <xf numFmtId="179" fontId="3" fillId="0" borderId="26" xfId="34" applyNumberFormat="1" applyBorder="1" applyAlignment="1" applyProtection="1">
      <alignment shrinkToFit="1"/>
      <protection locked="0"/>
    </xf>
    <xf numFmtId="179" fontId="3" fillId="0" borderId="32" xfId="34" applyNumberFormat="1" applyBorder="1" applyAlignment="1" applyProtection="1">
      <alignment shrinkToFit="1"/>
      <protection locked="0"/>
    </xf>
    <xf numFmtId="179" fontId="3" fillId="0" borderId="24" xfId="34" applyNumberFormat="1" applyBorder="1" applyAlignment="1" applyProtection="1">
      <alignment shrinkToFit="1"/>
      <protection locked="0"/>
    </xf>
    <xf numFmtId="179" fontId="3" fillId="0" borderId="0" xfId="34" applyNumberFormat="1" applyAlignment="1" applyProtection="1">
      <alignment shrinkToFit="1"/>
      <protection locked="0"/>
    </xf>
    <xf numFmtId="179" fontId="0" fillId="0" borderId="26" xfId="34" applyNumberFormat="1" applyFont="1" applyBorder="1" applyAlignment="1" applyProtection="1">
      <alignment shrinkToFit="1"/>
      <protection locked="0"/>
    </xf>
    <xf numFmtId="179" fontId="0" fillId="0" borderId="32" xfId="34" applyNumberFormat="1" applyFont="1" applyBorder="1" applyAlignment="1" applyProtection="1">
      <alignment shrinkToFit="1"/>
      <protection locked="0"/>
    </xf>
    <xf numFmtId="179" fontId="0" fillId="0" borderId="14" xfId="34" applyNumberFormat="1" applyFont="1" applyBorder="1" applyProtection="1">
      <protection locked="0"/>
    </xf>
    <xf numFmtId="179" fontId="0" fillId="0" borderId="24" xfId="0" applyNumberFormat="1" applyBorder="1"/>
    <xf numFmtId="179" fontId="0" fillId="0" borderId="25" xfId="0" applyNumberFormat="1" applyBorder="1"/>
    <xf numFmtId="179" fontId="0" fillId="0" borderId="67" xfId="0" applyNumberFormat="1" applyBorder="1"/>
    <xf numFmtId="179" fontId="0" fillId="0" borderId="32" xfId="0" applyNumberFormat="1" applyBorder="1"/>
    <xf numFmtId="179" fontId="0" fillId="0" borderId="26" xfId="0" applyNumberFormat="1" applyBorder="1"/>
    <xf numFmtId="186" fontId="0" fillId="0" borderId="35" xfId="34" applyNumberFormat="1" applyFont="1" applyBorder="1"/>
    <xf numFmtId="179" fontId="0" fillId="0" borderId="33" xfId="34" applyNumberFormat="1" applyFont="1" applyBorder="1" applyAlignment="1" applyProtection="1">
      <alignment shrinkToFit="1"/>
      <protection locked="0"/>
    </xf>
    <xf numFmtId="179" fontId="0" fillId="0" borderId="74" xfId="34" applyNumberFormat="1" applyFont="1" applyBorder="1" applyAlignment="1" applyProtection="1">
      <alignment shrinkToFit="1"/>
      <protection locked="0"/>
    </xf>
    <xf numFmtId="179" fontId="0" fillId="0" borderId="75" xfId="34" applyNumberFormat="1" applyFont="1" applyBorder="1" applyAlignment="1" applyProtection="1">
      <alignment shrinkToFit="1"/>
      <protection locked="0"/>
    </xf>
    <xf numFmtId="179" fontId="0" fillId="0" borderId="35" xfId="34" applyNumberFormat="1" applyFont="1" applyBorder="1" applyAlignment="1" applyProtection="1">
      <alignment shrinkToFit="1"/>
      <protection locked="0"/>
    </xf>
    <xf numFmtId="179" fontId="0" fillId="0" borderId="65" xfId="34" applyNumberFormat="1" applyFont="1" applyBorder="1" applyAlignment="1" applyProtection="1">
      <alignment shrinkToFit="1"/>
      <protection locked="0"/>
    </xf>
    <xf numFmtId="186" fontId="0" fillId="0" borderId="57" xfId="34" applyNumberFormat="1" applyFont="1" applyBorder="1"/>
    <xf numFmtId="186" fontId="0" fillId="0" borderId="62" xfId="34" applyNumberFormat="1" applyFont="1" applyBorder="1"/>
    <xf numFmtId="179" fontId="0" fillId="0" borderId="34" xfId="34" applyNumberFormat="1" applyFont="1" applyBorder="1" applyAlignment="1" applyProtection="1">
      <alignment shrinkToFit="1"/>
      <protection locked="0"/>
    </xf>
    <xf numFmtId="179" fontId="0" fillId="0" borderId="36" xfId="34" applyNumberFormat="1" applyFont="1" applyBorder="1" applyAlignment="1" applyProtection="1">
      <alignment shrinkToFit="1"/>
      <protection locked="0"/>
    </xf>
    <xf numFmtId="179" fontId="0" fillId="0" borderId="33" xfId="55" applyNumberFormat="1" applyFont="1" applyBorder="1" applyAlignment="1" applyProtection="1">
      <alignment shrinkToFit="1"/>
      <protection locked="0"/>
    </xf>
    <xf numFmtId="179" fontId="0" fillId="0" borderId="74" xfId="55" applyNumberFormat="1" applyFont="1" applyBorder="1" applyAlignment="1" applyProtection="1">
      <alignment shrinkToFit="1"/>
      <protection locked="0"/>
    </xf>
    <xf numFmtId="179" fontId="0" fillId="0" borderId="75" xfId="55" applyNumberFormat="1" applyFont="1" applyBorder="1" applyAlignment="1" applyProtection="1">
      <alignment shrinkToFit="1"/>
      <protection locked="0"/>
    </xf>
    <xf numFmtId="179" fontId="0" fillId="0" borderId="35" xfId="55" applyNumberFormat="1" applyFont="1" applyBorder="1" applyAlignment="1" applyProtection="1">
      <alignment shrinkToFit="1"/>
      <protection locked="0"/>
    </xf>
    <xf numFmtId="179" fontId="0" fillId="0" borderId="32" xfId="0" applyNumberFormat="1" applyBorder="1" applyAlignment="1" applyProtection="1">
      <alignment shrinkToFit="1"/>
      <protection locked="0"/>
    </xf>
    <xf numFmtId="179" fontId="0" fillId="0" borderId="24" xfId="0" applyNumberFormat="1" applyBorder="1" applyAlignment="1" applyProtection="1">
      <alignment shrinkToFit="1"/>
      <protection locked="0"/>
    </xf>
    <xf numFmtId="179" fontId="0" fillId="0" borderId="24" xfId="35" applyNumberFormat="1" applyFont="1" applyBorder="1" applyAlignment="1" applyProtection="1">
      <alignment shrinkToFit="1"/>
      <protection locked="0"/>
    </xf>
    <xf numFmtId="179" fontId="3" fillId="0" borderId="32" xfId="34" applyNumberFormat="1" applyBorder="1" applyProtection="1">
      <protection locked="0"/>
    </xf>
    <xf numFmtId="179" fontId="3" fillId="0" borderId="24" xfId="34" applyNumberFormat="1" applyBorder="1" applyProtection="1">
      <protection locked="0"/>
    </xf>
    <xf numFmtId="179" fontId="0" fillId="0" borderId="14" xfId="0" applyNumberFormat="1" applyBorder="1" applyAlignment="1" applyProtection="1">
      <alignment shrinkToFit="1"/>
      <protection locked="0"/>
    </xf>
    <xf numFmtId="179" fontId="0" fillId="0" borderId="25" xfId="0" applyNumberFormat="1" applyBorder="1" applyAlignment="1" applyProtection="1">
      <alignment shrinkToFit="1"/>
      <protection locked="0"/>
    </xf>
    <xf numFmtId="179" fontId="0" fillId="0" borderId="25" xfId="35" applyNumberFormat="1" applyFont="1" applyBorder="1" applyAlignment="1" applyProtection="1">
      <alignment shrinkToFit="1"/>
      <protection locked="0"/>
    </xf>
    <xf numFmtId="179" fontId="3" fillId="0" borderId="31" xfId="34" applyNumberFormat="1" applyBorder="1" applyAlignment="1" applyProtection="1">
      <alignment shrinkToFit="1"/>
      <protection locked="0"/>
    </xf>
    <xf numFmtId="179" fontId="3" fillId="0" borderId="54" xfId="34" applyNumberFormat="1" applyBorder="1" applyAlignment="1" applyProtection="1">
      <alignment shrinkToFit="1"/>
      <protection locked="0"/>
    </xf>
    <xf numFmtId="179" fontId="3" fillId="0" borderId="55" xfId="34" applyNumberFormat="1" applyBorder="1" applyAlignment="1" applyProtection="1">
      <alignment shrinkToFit="1"/>
      <protection locked="0"/>
    </xf>
    <xf numFmtId="179" fontId="3" fillId="0" borderId="56" xfId="34" applyNumberFormat="1" applyBorder="1" applyAlignment="1" applyProtection="1">
      <alignment shrinkToFit="1"/>
      <protection locked="0"/>
    </xf>
    <xf numFmtId="179" fontId="0" fillId="0" borderId="62" xfId="34" applyNumberFormat="1" applyFont="1" applyBorder="1" applyAlignment="1" applyProtection="1">
      <alignment shrinkToFit="1"/>
      <protection locked="0"/>
    </xf>
    <xf numFmtId="179" fontId="0" fillId="0" borderId="57" xfId="34" applyNumberFormat="1" applyFont="1" applyBorder="1" applyAlignment="1" applyProtection="1">
      <alignment shrinkToFit="1"/>
      <protection locked="0"/>
    </xf>
    <xf numFmtId="179" fontId="0" fillId="0" borderId="73" xfId="34" applyNumberFormat="1" applyFont="1" applyBorder="1" applyAlignment="1" applyProtection="1">
      <alignment shrinkToFit="1"/>
      <protection locked="0"/>
    </xf>
    <xf numFmtId="179" fontId="0" fillId="0" borderId="44" xfId="34" applyNumberFormat="1" applyFont="1" applyBorder="1"/>
    <xf numFmtId="179" fontId="0" fillId="0" borderId="64" xfId="34" applyNumberFormat="1" applyFont="1" applyBorder="1"/>
    <xf numFmtId="186" fontId="0" fillId="0" borderId="49" xfId="34" applyNumberFormat="1" applyFont="1" applyBorder="1"/>
    <xf numFmtId="179" fontId="0" fillId="0" borderId="38" xfId="34" applyNumberFormat="1" applyFont="1" applyBorder="1"/>
    <xf numFmtId="179" fontId="0" fillId="0" borderId="52" xfId="34" applyNumberFormat="1" applyFont="1" applyBorder="1"/>
    <xf numFmtId="179" fontId="0" fillId="0" borderId="41" xfId="34" applyNumberFormat="1" applyFont="1" applyBorder="1"/>
    <xf numFmtId="179" fontId="0" fillId="0" borderId="42" xfId="34" applyNumberFormat="1" applyFont="1" applyBorder="1"/>
    <xf numFmtId="179" fontId="0" fillId="0" borderId="39" xfId="34" applyNumberFormat="1" applyFont="1" applyBorder="1"/>
    <xf numFmtId="179" fontId="0" fillId="0" borderId="16" xfId="34" applyNumberFormat="1" applyFont="1" applyBorder="1"/>
    <xf numFmtId="186" fontId="0" fillId="0" borderId="38" xfId="34" applyNumberFormat="1" applyFont="1" applyBorder="1"/>
    <xf numFmtId="186" fontId="0" fillId="0" borderId="39" xfId="34" applyNumberFormat="1" applyFont="1" applyBorder="1"/>
    <xf numFmtId="179" fontId="3" fillId="0" borderId="29" xfId="34" applyNumberFormat="1" applyBorder="1" applyAlignment="1" applyProtection="1">
      <alignment shrinkToFit="1"/>
      <protection locked="0"/>
    </xf>
    <xf numFmtId="179" fontId="3" fillId="0" borderId="25" xfId="34" applyNumberFormat="1" applyBorder="1" applyAlignment="1" applyProtection="1">
      <alignment shrinkToFit="1"/>
      <protection locked="0"/>
    </xf>
    <xf numFmtId="179" fontId="0" fillId="0" borderId="14" xfId="34" applyNumberFormat="1" applyFont="1" applyBorder="1"/>
    <xf numFmtId="179" fontId="0" fillId="0" borderId="14" xfId="35" applyNumberFormat="1" applyFont="1" applyBorder="1" applyAlignment="1" applyProtection="1">
      <alignment shrinkToFit="1"/>
      <protection locked="0"/>
    </xf>
    <xf numFmtId="179" fontId="3" fillId="0" borderId="26" xfId="34" applyNumberFormat="1" applyBorder="1" applyProtection="1">
      <protection locked="0"/>
    </xf>
    <xf numFmtId="179" fontId="0" fillId="0" borderId="66" xfId="34" applyNumberFormat="1" applyFont="1" applyBorder="1"/>
    <xf numFmtId="179" fontId="0" fillId="0" borderId="74" xfId="34" applyNumberFormat="1" applyFont="1" applyBorder="1"/>
    <xf numFmtId="186" fontId="0" fillId="0" borderId="76" xfId="34" applyNumberFormat="1" applyFont="1" applyBorder="1"/>
    <xf numFmtId="186" fontId="0" fillId="0" borderId="63" xfId="34" applyNumberFormat="1" applyFont="1" applyBorder="1"/>
    <xf numFmtId="179" fontId="0" fillId="0" borderId="29" xfId="0" applyNumberFormat="1" applyBorder="1" applyAlignment="1" applyProtection="1">
      <alignment shrinkToFit="1"/>
      <protection locked="0"/>
    </xf>
    <xf numFmtId="179" fontId="0" fillId="0" borderId="28" xfId="0" applyNumberFormat="1" applyBorder="1" applyAlignment="1" applyProtection="1">
      <alignment shrinkToFit="1"/>
      <protection locked="0"/>
    </xf>
    <xf numFmtId="179" fontId="0" fillId="0" borderId="30" xfId="0" applyNumberFormat="1" applyBorder="1" applyAlignment="1" applyProtection="1">
      <alignment shrinkToFit="1"/>
      <protection locked="0"/>
    </xf>
    <xf numFmtId="179" fontId="0" fillId="0" borderId="40" xfId="0" applyNumberFormat="1" applyBorder="1" applyAlignment="1" applyProtection="1">
      <alignment shrinkToFit="1"/>
      <protection locked="0"/>
    </xf>
    <xf numFmtId="179" fontId="0" fillId="0" borderId="68" xfId="0" applyNumberFormat="1" applyBorder="1" applyAlignment="1" applyProtection="1">
      <alignment shrinkToFit="1"/>
      <protection locked="0"/>
    </xf>
    <xf numFmtId="179" fontId="0" fillId="0" borderId="26" xfId="0" applyNumberFormat="1" applyBorder="1" applyAlignment="1" applyProtection="1">
      <alignment shrinkToFit="1"/>
      <protection locked="0"/>
    </xf>
    <xf numFmtId="179" fontId="0" fillId="0" borderId="54" xfId="0" applyNumberFormat="1" applyBorder="1" applyAlignment="1" applyProtection="1">
      <alignment shrinkToFit="1"/>
      <protection locked="0"/>
    </xf>
    <xf numFmtId="179" fontId="0" fillId="0" borderId="55" xfId="0" applyNumberFormat="1" applyBorder="1" applyAlignment="1" applyProtection="1">
      <alignment shrinkToFit="1"/>
      <protection locked="0"/>
    </xf>
    <xf numFmtId="179" fontId="0" fillId="0" borderId="56" xfId="0" applyNumberFormat="1" applyBorder="1" applyAlignment="1" applyProtection="1">
      <alignment shrinkToFit="1"/>
      <protection locked="0"/>
    </xf>
    <xf numFmtId="179" fontId="0" fillId="0" borderId="62" xfId="0" applyNumberFormat="1" applyBorder="1" applyAlignment="1" applyProtection="1">
      <alignment shrinkToFit="1"/>
      <protection locked="0"/>
    </xf>
    <xf numFmtId="179" fontId="0" fillId="0" borderId="57" xfId="0" applyNumberFormat="1" applyBorder="1" applyAlignment="1" applyProtection="1">
      <alignment shrinkToFit="1"/>
      <protection locked="0"/>
    </xf>
    <xf numFmtId="179" fontId="0" fillId="0" borderId="73" xfId="0" applyNumberFormat="1" applyBorder="1" applyAlignment="1" applyProtection="1">
      <alignment shrinkToFit="1"/>
      <protection locked="0"/>
    </xf>
    <xf numFmtId="179" fontId="0" fillId="0" borderId="65" xfId="0" applyNumberFormat="1" applyBorder="1" applyAlignment="1" applyProtection="1">
      <alignment shrinkToFit="1"/>
      <protection locked="0"/>
    </xf>
    <xf numFmtId="186" fontId="0" fillId="0" borderId="58" xfId="34" applyNumberFormat="1" applyFont="1" applyBorder="1"/>
    <xf numFmtId="186" fontId="0" fillId="0" borderId="31" xfId="34" applyNumberFormat="1" applyFont="1" applyBorder="1"/>
    <xf numFmtId="186" fontId="0" fillId="0" borderId="43" xfId="34" applyNumberFormat="1" applyFont="1" applyBorder="1"/>
    <xf numFmtId="186" fontId="0" fillId="0" borderId="59" xfId="34" applyNumberFormat="1" applyFont="1" applyBorder="1"/>
    <xf numFmtId="186" fontId="0" fillId="0" borderId="44" xfId="34" applyNumberFormat="1" applyFont="1" applyBorder="1"/>
    <xf numFmtId="179" fontId="0" fillId="0" borderId="23" xfId="34" applyNumberFormat="1" applyFont="1" applyBorder="1"/>
    <xf numFmtId="186" fontId="0" fillId="0" borderId="52" xfId="34" applyNumberFormat="1" applyFont="1" applyBorder="1"/>
    <xf numFmtId="186" fontId="0" fillId="0" borderId="60" xfId="34" applyNumberFormat="1" applyFont="1" applyBorder="1"/>
    <xf numFmtId="179" fontId="36" fillId="0" borderId="32" xfId="34" applyNumberFormat="1" applyFont="1" applyBorder="1" applyAlignment="1" applyProtection="1">
      <alignment shrinkToFit="1"/>
      <protection locked="0"/>
    </xf>
    <xf numFmtId="179" fontId="36" fillId="0" borderId="24" xfId="34" applyNumberFormat="1" applyFont="1" applyBorder="1" applyAlignment="1" applyProtection="1">
      <alignment shrinkToFit="1"/>
      <protection locked="0"/>
    </xf>
    <xf numFmtId="179" fontId="36" fillId="0" borderId="25" xfId="34" applyNumberFormat="1" applyFont="1" applyBorder="1" applyAlignment="1" applyProtection="1">
      <alignment shrinkToFit="1"/>
      <protection locked="0"/>
    </xf>
    <xf numFmtId="0" fontId="0" fillId="0" borderId="19" xfId="0" applyBorder="1" applyAlignment="1">
      <alignment horizontal="center" shrinkToFit="1"/>
    </xf>
    <xf numFmtId="0" fontId="0" fillId="0" borderId="18" xfId="0" applyBorder="1" applyAlignment="1">
      <alignment horizontal="center" shrinkToFit="1"/>
    </xf>
    <xf numFmtId="0" fontId="0" fillId="0" borderId="21" xfId="0" applyBorder="1" applyAlignment="1">
      <alignment horizontal="center" shrinkToFit="1"/>
    </xf>
    <xf numFmtId="0" fontId="0" fillId="0" borderId="20" xfId="0" applyBorder="1" applyAlignment="1">
      <alignment horizontal="center" shrinkToFit="1"/>
    </xf>
    <xf numFmtId="0" fontId="0" fillId="0" borderId="22" xfId="0" applyBorder="1" applyAlignment="1">
      <alignment horizontal="center" shrinkToFit="1"/>
    </xf>
    <xf numFmtId="0" fontId="42" fillId="20" borderId="0" xfId="0" applyFont="1" applyFill="1" applyAlignment="1">
      <alignment horizontal="center" vertical="center"/>
    </xf>
    <xf numFmtId="179" fontId="3" fillId="0" borderId="54" xfId="34" applyNumberFormat="1" applyBorder="1" applyProtection="1">
      <protection locked="0"/>
    </xf>
    <xf numFmtId="179" fontId="3" fillId="0" borderId="55" xfId="34" applyNumberFormat="1" applyBorder="1" applyProtection="1">
      <protection locked="0"/>
    </xf>
    <xf numFmtId="179" fontId="3" fillId="0" borderId="0" xfId="34" applyNumberFormat="1" applyProtection="1">
      <protection locked="0"/>
    </xf>
    <xf numFmtId="179" fontId="3" fillId="0" borderId="56" xfId="34" applyNumberFormat="1" applyBorder="1" applyProtection="1">
      <protection locked="0"/>
    </xf>
    <xf numFmtId="179" fontId="0" fillId="0" borderId="31" xfId="34" applyNumberFormat="1" applyFont="1" applyBorder="1" applyAlignment="1" applyProtection="1">
      <alignment shrinkToFit="1"/>
      <protection locked="0"/>
    </xf>
    <xf numFmtId="179" fontId="3" fillId="0" borderId="81" xfId="34" applyNumberFormat="1" applyBorder="1" applyAlignment="1" applyProtection="1">
      <alignment shrinkToFit="1"/>
      <protection locked="0"/>
    </xf>
    <xf numFmtId="179" fontId="0" fillId="0" borderId="56" xfId="34" applyNumberFormat="1" applyFont="1" applyBorder="1" applyProtection="1">
      <protection locked="0"/>
    </xf>
    <xf numFmtId="179" fontId="0" fillId="0" borderId="71" xfId="35" applyNumberFormat="1" applyFont="1" applyBorder="1" applyAlignment="1" applyProtection="1">
      <alignment shrinkToFit="1"/>
      <protection locked="0"/>
    </xf>
    <xf numFmtId="179" fontId="0" fillId="0" borderId="55" xfId="35" applyNumberFormat="1" applyFont="1" applyBorder="1" applyAlignment="1" applyProtection="1">
      <alignment shrinkToFit="1"/>
      <protection locked="0"/>
    </xf>
    <xf numFmtId="179" fontId="0" fillId="0" borderId="81" xfId="0" applyNumberFormat="1" applyBorder="1" applyAlignment="1" applyProtection="1">
      <alignment shrinkToFit="1"/>
      <protection locked="0"/>
    </xf>
    <xf numFmtId="179" fontId="0" fillId="0" borderId="81" xfId="34" applyNumberFormat="1" applyFont="1" applyBorder="1" applyAlignment="1" applyProtection="1">
      <alignment shrinkToFit="1"/>
      <protection locked="0"/>
    </xf>
    <xf numFmtId="179" fontId="0" fillId="0" borderId="55" xfId="34" applyNumberFormat="1" applyFont="1" applyBorder="1" applyAlignment="1" applyProtection="1">
      <alignment shrinkToFit="1"/>
      <protection locked="0"/>
    </xf>
    <xf numFmtId="179" fontId="0" fillId="0" borderId="55" xfId="34" applyNumberFormat="1" applyFont="1" applyBorder="1" applyProtection="1">
      <protection locked="0"/>
    </xf>
    <xf numFmtId="179" fontId="3" fillId="0" borderId="27" xfId="34" applyNumberFormat="1" applyBorder="1" applyAlignment="1" applyProtection="1">
      <alignment shrinkToFit="1"/>
      <protection locked="0"/>
    </xf>
    <xf numFmtId="179" fontId="0" fillId="0" borderId="75" xfId="34" applyNumberFormat="1" applyFont="1" applyBorder="1"/>
    <xf numFmtId="179" fontId="0" fillId="0" borderId="69" xfId="35" applyNumberFormat="1" applyFont="1" applyBorder="1" applyAlignment="1" applyProtection="1">
      <alignment shrinkToFit="1"/>
      <protection locked="0"/>
    </xf>
    <xf numFmtId="0" fontId="0" fillId="0" borderId="14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70" xfId="0" applyBorder="1" applyAlignment="1">
      <alignment horizontal="left"/>
    </xf>
    <xf numFmtId="0" fontId="0" fillId="0" borderId="71" xfId="0" applyBorder="1" applyAlignment="1">
      <alignment horizontal="left"/>
    </xf>
    <xf numFmtId="0" fontId="0" fillId="0" borderId="72" xfId="0" applyBorder="1" applyAlignment="1">
      <alignment horizontal="left"/>
    </xf>
    <xf numFmtId="0" fontId="9" fillId="0" borderId="14" xfId="0" applyFont="1" applyBorder="1" applyAlignment="1">
      <alignment horizontal="left"/>
    </xf>
    <xf numFmtId="0" fontId="9" fillId="0" borderId="16" xfId="0" applyFont="1" applyBorder="1" applyAlignment="1">
      <alignment horizontal="left"/>
    </xf>
    <xf numFmtId="0" fontId="0" fillId="0" borderId="14" xfId="0" applyBorder="1" applyAlignment="1">
      <alignment horizontal="center"/>
    </xf>
    <xf numFmtId="0" fontId="45" fillId="0" borderId="14" xfId="0" applyFont="1" applyBorder="1" applyAlignment="1">
      <alignment horizontal="center"/>
    </xf>
    <xf numFmtId="0" fontId="0" fillId="0" borderId="82" xfId="0" applyBorder="1" applyAlignment="1">
      <alignment horizontal="left"/>
    </xf>
    <xf numFmtId="0" fontId="0" fillId="0" borderId="10" xfId="0" applyBorder="1" applyAlignment="1">
      <alignment horizontal="center"/>
    </xf>
    <xf numFmtId="0" fontId="45" fillId="0" borderId="0" xfId="0" applyFont="1"/>
    <xf numFmtId="0" fontId="9" fillId="0" borderId="27" xfId="0" applyFont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6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64" xfId="0" applyBorder="1" applyAlignment="1">
      <alignment horizontal="left"/>
    </xf>
    <xf numFmtId="0" fontId="0" fillId="0" borderId="48" xfId="0" applyBorder="1" applyAlignment="1">
      <alignment horizontal="left"/>
    </xf>
    <xf numFmtId="0" fontId="45" fillId="0" borderId="0" xfId="0" applyFont="1" applyAlignment="1">
      <alignment vertical="top"/>
    </xf>
    <xf numFmtId="0" fontId="0" fillId="0" borderId="53" xfId="0" applyBorder="1"/>
    <xf numFmtId="0" fontId="0" fillId="0" borderId="51" xfId="0" applyBorder="1" applyAlignment="1">
      <alignment horizontal="center"/>
    </xf>
    <xf numFmtId="0" fontId="0" fillId="0" borderId="0" xfId="0" applyAlignment="1">
      <alignment horizontal="left" vertical="top"/>
    </xf>
    <xf numFmtId="0" fontId="9" fillId="0" borderId="83" xfId="0" applyFont="1" applyBorder="1" applyAlignment="1">
      <alignment horizontal="center" wrapText="1"/>
    </xf>
    <xf numFmtId="0" fontId="0" fillId="0" borderId="15" xfId="0" applyBorder="1"/>
    <xf numFmtId="0" fontId="0" fillId="0" borderId="19" xfId="0" applyBorder="1" applyAlignment="1" applyProtection="1">
      <alignment horizontal="center" vertical="center" wrapText="1"/>
      <protection locked="0"/>
    </xf>
    <xf numFmtId="0" fontId="0" fillId="0" borderId="24" xfId="0" applyBorder="1" applyAlignment="1" applyProtection="1">
      <alignment horizontal="center" vertical="center" wrapText="1"/>
      <protection locked="0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4" xfId="0" applyBorder="1" applyAlignment="1">
      <alignment horizontal="center" vertical="center" wrapText="1"/>
    </xf>
    <xf numFmtId="0" fontId="0" fillId="0" borderId="80" xfId="0" applyBorder="1" applyAlignment="1">
      <alignment vertical="center"/>
    </xf>
    <xf numFmtId="0" fontId="45" fillId="0" borderId="79" xfId="0" applyFont="1" applyBorder="1" applyAlignment="1">
      <alignment vertical="center"/>
    </xf>
    <xf numFmtId="0" fontId="0" fillId="0" borderId="19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45" fillId="0" borderId="79" xfId="0" applyFont="1" applyBorder="1" applyAlignment="1">
      <alignment horizontal="center" vertical="center"/>
    </xf>
    <xf numFmtId="0" fontId="7" fillId="21" borderId="0" xfId="0" applyFont="1" applyFill="1" applyAlignment="1" applyProtection="1">
      <alignment horizontal="left" wrapText="1"/>
      <protection locked="0"/>
    </xf>
    <xf numFmtId="0" fontId="41" fillId="21" borderId="0" xfId="0" applyFont="1" applyFill="1" applyAlignment="1" applyProtection="1">
      <alignment horizontal="left" vertical="center" wrapText="1"/>
      <protection locked="0"/>
    </xf>
    <xf numFmtId="0" fontId="7" fillId="21" borderId="0" xfId="0" applyFont="1" applyFill="1" applyAlignment="1" applyProtection="1">
      <alignment horizontal="left" vertical="center" wrapText="1"/>
      <protection locked="0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3" fillId="0" borderId="0" xfId="63">
      <alignment vertical="center"/>
    </xf>
    <xf numFmtId="179" fontId="0" fillId="0" borderId="63" xfId="34" applyNumberFormat="1" applyFont="1" applyBorder="1"/>
    <xf numFmtId="179" fontId="35" fillId="0" borderId="85" xfId="34" applyNumberFormat="1" applyFont="1" applyFill="1" applyBorder="1"/>
    <xf numFmtId="179" fontId="0" fillId="0" borderId="86" xfId="34" applyNumberFormat="1" applyFont="1" applyBorder="1" applyAlignment="1" applyProtection="1">
      <alignment shrinkToFit="1"/>
      <protection locked="0"/>
    </xf>
    <xf numFmtId="179" fontId="0" fillId="0" borderId="87" xfId="34" applyNumberFormat="1" applyFont="1" applyBorder="1" applyAlignment="1" applyProtection="1">
      <alignment shrinkToFit="1"/>
      <protection locked="0"/>
    </xf>
    <xf numFmtId="179" fontId="35" fillId="0" borderId="88" xfId="34" applyNumberFormat="1" applyFont="1" applyBorder="1"/>
    <xf numFmtId="179" fontId="35" fillId="0" borderId="89" xfId="34" applyNumberFormat="1" applyFont="1" applyBorder="1"/>
    <xf numFmtId="179" fontId="35" fillId="0" borderId="74" xfId="34" applyNumberFormat="1" applyFont="1" applyBorder="1"/>
    <xf numFmtId="179" fontId="35" fillId="0" borderId="43" xfId="34" applyNumberFormat="1" applyFont="1" applyBorder="1"/>
    <xf numFmtId="179" fontId="35" fillId="0" borderId="24" xfId="34" applyNumberFormat="1" applyFont="1" applyFill="1" applyBorder="1" applyProtection="1">
      <protection locked="0"/>
    </xf>
    <xf numFmtId="178" fontId="35" fillId="0" borderId="24" xfId="0" applyNumberFormat="1" applyFont="1" applyBorder="1"/>
    <xf numFmtId="185" fontId="35" fillId="0" borderId="24" xfId="34" applyNumberFormat="1" applyFont="1" applyFill="1" applyBorder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33" fillId="0" borderId="19" xfId="0" applyFont="1" applyBorder="1" applyAlignment="1">
      <alignment horizontal="center" vertical="center" shrinkToFit="1"/>
    </xf>
    <xf numFmtId="0" fontId="33" fillId="0" borderId="41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33" fillId="0" borderId="39" xfId="0" applyFont="1" applyBorder="1" applyAlignment="1">
      <alignment horizontal="center" vertical="center" shrinkToFit="1"/>
    </xf>
    <xf numFmtId="0" fontId="33" fillId="0" borderId="61" xfId="0" applyFont="1" applyBorder="1" applyAlignment="1">
      <alignment horizontal="center" vertical="center" shrinkToFit="1"/>
    </xf>
    <xf numFmtId="0" fontId="33" fillId="0" borderId="38" xfId="0" applyFont="1" applyBorder="1" applyAlignment="1">
      <alignment horizontal="center" vertical="center" shrinkToFit="1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70" xfId="0" applyBorder="1" applyAlignment="1">
      <alignment horizontal="left"/>
    </xf>
    <xf numFmtId="0" fontId="0" fillId="0" borderId="71" xfId="0" applyBorder="1" applyAlignment="1">
      <alignment horizontal="left"/>
    </xf>
    <xf numFmtId="0" fontId="0" fillId="0" borderId="72" xfId="0" applyBorder="1" applyAlignment="1">
      <alignment horizontal="left"/>
    </xf>
    <xf numFmtId="0" fontId="0" fillId="0" borderId="66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5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64" xfId="0" applyBorder="1" applyAlignment="1">
      <alignment horizontal="left"/>
    </xf>
    <xf numFmtId="0" fontId="0" fillId="0" borderId="48" xfId="0" applyBorder="1" applyAlignment="1">
      <alignment horizontal="left"/>
    </xf>
    <xf numFmtId="177" fontId="33" fillId="0" borderId="61" xfId="34" applyNumberFormat="1" applyFont="1" applyBorder="1" applyAlignment="1">
      <alignment horizontal="center" vertical="center" shrinkToFit="1"/>
    </xf>
    <xf numFmtId="177" fontId="33" fillId="0" borderId="38" xfId="34" applyNumberFormat="1" applyFont="1" applyBorder="1" applyAlignment="1">
      <alignment horizontal="center" vertical="center" shrinkToFit="1"/>
    </xf>
    <xf numFmtId="177" fontId="33" fillId="0" borderId="21" xfId="34" applyNumberFormat="1" applyFont="1" applyBorder="1" applyAlignment="1">
      <alignment horizontal="center" vertical="center" shrinkToFit="1"/>
    </xf>
    <xf numFmtId="177" fontId="33" fillId="0" borderId="39" xfId="34" applyNumberFormat="1" applyFont="1" applyBorder="1" applyAlignment="1">
      <alignment horizontal="center" vertical="center" shrinkToFit="1"/>
    </xf>
    <xf numFmtId="0" fontId="9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177" fontId="9" fillId="0" borderId="77" xfId="34" applyNumberFormat="1" applyFont="1" applyBorder="1" applyAlignment="1">
      <alignment horizontal="right" wrapText="1"/>
    </xf>
    <xf numFmtId="0" fontId="9" fillId="0" borderId="11" xfId="0" applyFont="1" applyBorder="1" applyAlignment="1">
      <alignment horizontal="center" wrapText="1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77" fontId="34" fillId="0" borderId="12" xfId="34" applyNumberFormat="1" applyFont="1" applyBorder="1" applyAlignment="1">
      <alignment horizontal="center" wrapText="1" shrinkToFit="1"/>
    </xf>
    <xf numFmtId="177" fontId="34" fillId="0" borderId="13" xfId="34" applyNumberFormat="1" applyFont="1" applyBorder="1" applyAlignment="1">
      <alignment horizontal="center" shrinkToFit="1"/>
    </xf>
    <xf numFmtId="0" fontId="0" fillId="0" borderId="41" xfId="0" applyBorder="1" applyAlignment="1">
      <alignment horizontal="center" vertical="center" shrinkToFit="1"/>
    </xf>
    <xf numFmtId="0" fontId="33" fillId="0" borderId="18" xfId="0" applyFont="1" applyBorder="1" applyAlignment="1">
      <alignment horizontal="center" vertical="center" shrinkToFit="1"/>
    </xf>
    <xf numFmtId="0" fontId="0" fillId="0" borderId="42" xfId="0" applyBorder="1" applyAlignment="1">
      <alignment horizontal="center" vertical="center" shrinkToFit="1"/>
    </xf>
    <xf numFmtId="0" fontId="0" fillId="0" borderId="39" xfId="0" applyBorder="1" applyAlignment="1">
      <alignment horizontal="center" vertical="center" shrinkToFit="1"/>
    </xf>
    <xf numFmtId="0" fontId="0" fillId="0" borderId="38" xfId="0" applyBorder="1" applyAlignment="1">
      <alignment horizontal="center" vertical="center" shrinkToFi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0" fontId="29" fillId="0" borderId="0" xfId="0" applyFont="1" applyAlignment="1">
      <alignment horizontal="center" wrapText="1"/>
    </xf>
    <xf numFmtId="18" fontId="8" fillId="0" borderId="0" xfId="0" applyNumberFormat="1" applyFont="1" applyAlignment="1">
      <alignment horizontal="center" wrapText="1"/>
    </xf>
    <xf numFmtId="0" fontId="0" fillId="0" borderId="16" xfId="0" applyBorder="1" applyAlignment="1">
      <alignment horizontal="center"/>
    </xf>
    <xf numFmtId="0" fontId="0" fillId="0" borderId="23" xfId="0" applyBorder="1" applyAlignment="1">
      <alignment horizontal="center"/>
    </xf>
    <xf numFmtId="0" fontId="9" fillId="0" borderId="12" xfId="0" applyFont="1" applyBorder="1" applyAlignment="1">
      <alignment horizontal="center" wrapText="1"/>
    </xf>
    <xf numFmtId="0" fontId="9" fillId="0" borderId="13" xfId="0" applyFont="1" applyBorder="1" applyAlignment="1">
      <alignment horizontal="center" wrapText="1"/>
    </xf>
    <xf numFmtId="0" fontId="37" fillId="0" borderId="84" xfId="0" applyFont="1" applyBorder="1" applyAlignment="1" applyProtection="1">
      <alignment horizontal="left" vertical="center" wrapText="1"/>
      <protection locked="0"/>
    </xf>
  </cellXfs>
  <cellStyles count="72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パーセント" xfId="28" builtinId="5"/>
    <cellStyle name="パーセント 2" xfId="67" xr:uid="{00000000-0005-0000-0000-00001C000000}"/>
    <cellStyle name="メモ" xfId="29" builtinId="10" customBuiltin="1"/>
    <cellStyle name="リンク セル" xfId="30" builtinId="24" customBuiltin="1"/>
    <cellStyle name="悪い" xfId="31" builtinId="27" customBuiltin="1"/>
    <cellStyle name="計算" xfId="32" builtinId="22" customBuiltin="1"/>
    <cellStyle name="警告文" xfId="33" builtinId="11" customBuiltin="1"/>
    <cellStyle name="桁区切り" xfId="34" builtinId="6"/>
    <cellStyle name="桁区切り [0.00]" xfId="35" builtinId="3"/>
    <cellStyle name="桁区切り [0.00]_BENZENE-A16" xfId="36" xr:uid="{00000000-0005-0000-0000-000024000000}"/>
    <cellStyle name="桁区切り [0.00]_EG-A10" xfId="37" xr:uid="{00000000-0005-0000-0000-000025000000}"/>
    <cellStyle name="桁区切り [0.00]_HDPE-A3" xfId="38" xr:uid="{00000000-0005-0000-0000-000026000000}"/>
    <cellStyle name="桁区切り [0.00]_LDPE-A2" xfId="39" xr:uid="{00000000-0005-0000-0000-000027000000}"/>
    <cellStyle name="桁区切り [0.00]_PP-A13" xfId="40" xr:uid="{00000000-0005-0000-0000-000028000000}"/>
    <cellStyle name="桁区切り [0.00]_PS-A5" xfId="41" xr:uid="{00000000-0005-0000-0000-000029000000}"/>
    <cellStyle name="桁区切り [0.00]_PTA-A20" xfId="42" xr:uid="{00000000-0005-0000-0000-00002A000000}"/>
    <cellStyle name="桁区切り [0.00]_PX-A19" xfId="43" xr:uid="{00000000-0005-0000-0000-00002B000000}"/>
    <cellStyle name="桁区切り [0.00]_SM-A6" xfId="44" xr:uid="{00000000-0005-0000-0000-00002C000000}"/>
    <cellStyle name="桁区切り 2" xfId="66" xr:uid="{00000000-0005-0000-0000-00002D000000}"/>
    <cellStyle name="見出し 1" xfId="45" builtinId="16" customBuiltin="1"/>
    <cellStyle name="見出し 2" xfId="46" builtinId="17" customBuiltin="1"/>
    <cellStyle name="見出し 3" xfId="47" builtinId="18" customBuiltin="1"/>
    <cellStyle name="見出し 4" xfId="48" builtinId="19" customBuiltin="1"/>
    <cellStyle name="集計" xfId="49" builtinId="25" customBuiltin="1"/>
    <cellStyle name="出力" xfId="50" builtinId="21" customBuiltin="1"/>
    <cellStyle name="説明文" xfId="51" builtinId="53" customBuiltin="1"/>
    <cellStyle name="通貨" xfId="52" builtinId="7"/>
    <cellStyle name="入力" xfId="53" builtinId="20" customBuiltin="1"/>
    <cellStyle name="標準" xfId="0" builtinId="0"/>
    <cellStyle name="標準 2" xfId="65" xr:uid="{00000000-0005-0000-0000-000038000000}"/>
    <cellStyle name="標準 3" xfId="70" xr:uid="{00000000-0005-0000-0000-000039000000}"/>
    <cellStyle name="標準 4" xfId="71" xr:uid="{00000000-0005-0000-0000-00003A000000}"/>
    <cellStyle name="標準 5" xfId="69" xr:uid="{00000000-0005-0000-0000-00003B000000}"/>
    <cellStyle name="標準 6" xfId="68" xr:uid="{00000000-0005-0000-0000-00003C000000}"/>
    <cellStyle name="標準_BENZENE-A16" xfId="54" xr:uid="{00000000-0005-0000-0000-00003D000000}"/>
    <cellStyle name="標準_ETHYLENE-A1" xfId="55" xr:uid="{00000000-0005-0000-0000-00003E000000}"/>
    <cellStyle name="標準_HDPE-A3" xfId="56" xr:uid="{00000000-0005-0000-0000-00003F000000}"/>
    <cellStyle name="標準_LDPE-A2" xfId="57" xr:uid="{00000000-0005-0000-0000-000040000000}"/>
    <cellStyle name="標準_PP-A13" xfId="58" xr:uid="{00000000-0005-0000-0000-000041000000}"/>
    <cellStyle name="標準_PROPYLENE-A12" xfId="59" xr:uid="{00000000-0005-0000-0000-000042000000}"/>
    <cellStyle name="標準_PTA-A20" xfId="60" xr:uid="{00000000-0005-0000-0000-000043000000}"/>
    <cellStyle name="標準_PVC-A7" xfId="61" xr:uid="{00000000-0005-0000-0000-000044000000}"/>
    <cellStyle name="標準_PX-A19" xfId="62" xr:uid="{00000000-0005-0000-0000-000045000000}"/>
    <cellStyle name="標準_SM-A6" xfId="63" xr:uid="{00000000-0005-0000-0000-000046000000}"/>
    <cellStyle name="良い" xfId="64" builtinId="26" customBuiltin="1"/>
  </cellStyles>
  <dxfs count="348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66FF33"/>
      <color rgb="FFE6FE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P14"/>
  <sheetViews>
    <sheetView view="pageBreakPreview" zoomScale="75" zoomScaleNormal="75" zoomScaleSheetLayoutView="75" workbookViewId="0">
      <selection activeCell="H17" sqref="H17"/>
    </sheetView>
  </sheetViews>
  <sheetFormatPr defaultColWidth="9" defaultRowHeight="13.5"/>
  <sheetData>
    <row r="1" spans="1:16">
      <c r="A1" s="646"/>
    </row>
    <row r="11" spans="1:16" ht="2.25" customHeight="1"/>
    <row r="12" spans="1:16" hidden="1"/>
    <row r="13" spans="1:16" ht="34.5" customHeight="1">
      <c r="A13" s="658" t="s">
        <v>294</v>
      </c>
      <c r="B13" s="659"/>
      <c r="C13" s="659"/>
      <c r="D13" s="659"/>
      <c r="E13" s="659"/>
      <c r="F13" s="659"/>
      <c r="G13" s="659"/>
      <c r="H13" s="659"/>
      <c r="I13" s="659"/>
      <c r="J13" s="659"/>
      <c r="K13" s="659"/>
      <c r="L13" s="659"/>
      <c r="M13" s="659"/>
      <c r="N13" s="659"/>
      <c r="O13" s="659"/>
      <c r="P13" s="659"/>
    </row>
    <row r="14" spans="1:16" ht="286.5" customHeight="1">
      <c r="A14" s="659"/>
      <c r="B14" s="659"/>
      <c r="C14" s="659"/>
      <c r="D14" s="659"/>
      <c r="E14" s="659"/>
      <c r="F14" s="659"/>
      <c r="G14" s="659"/>
      <c r="H14" s="659"/>
      <c r="I14" s="659"/>
      <c r="J14" s="659"/>
      <c r="K14" s="659"/>
      <c r="L14" s="659"/>
      <c r="M14" s="659"/>
      <c r="N14" s="659"/>
      <c r="O14" s="659"/>
      <c r="P14" s="659"/>
    </row>
  </sheetData>
  <mergeCells count="1">
    <mergeCell ref="A13:P14"/>
  </mergeCells>
  <phoneticPr fontId="5"/>
  <printOptions horizontalCentered="1"/>
  <pageMargins left="0.39370078740157483" right="0.39370078740157483" top="0.78740157480314965" bottom="0.39370078740157483" header="0.51181102362204722" footer="0.31496062992125984"/>
  <pageSetup paperSize="9" scale="67" firstPageNumber="139" fitToHeight="0" orientation="portrait" useFirstPageNumber="1" r:id="rId1"/>
  <headerFooter scaleWithDoc="0" alignWithMargins="0">
    <oddFooter>&amp;C&amp;P</oddFooter>
    <firstFooter>&amp;C141</firstFooter>
  </headerFooter>
  <rowBreaks count="1" manualBreakCount="1">
    <brk id="71" max="15" man="1"/>
  </rowBreaks>
  <colBreaks count="1" manualBreakCount="1">
    <brk id="3" max="90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F0"/>
    <pageSetUpPr fitToPage="1"/>
  </sheetPr>
  <dimension ref="A1:AG182"/>
  <sheetViews>
    <sheetView showGridLines="0" tabSelected="1" view="pageBreakPreview" zoomScaleNormal="75" zoomScaleSheetLayoutView="100" workbookViewId="0">
      <pane xSplit="3" ySplit="6" topLeftCell="D7" activePane="bottomRight" state="frozen"/>
      <selection pane="topRight"/>
      <selection pane="bottomLeft"/>
      <selection pane="bottomRight" activeCell="K11" sqref="K11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8" width="8.125" customWidth="1"/>
    <col min="9" max="17" width="8.125" style="24" customWidth="1"/>
    <col min="18" max="19" width="11.875" style="26" customWidth="1"/>
    <col min="21" max="23" width="9" style="403"/>
  </cols>
  <sheetData>
    <row r="1" spans="1:33" ht="13.5" customHeight="1">
      <c r="I1"/>
      <c r="J1"/>
      <c r="K1"/>
      <c r="L1"/>
      <c r="M1"/>
      <c r="N1"/>
      <c r="O1"/>
      <c r="P1"/>
      <c r="Q1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60</v>
      </c>
      <c r="I2"/>
      <c r="J2" s="14"/>
      <c r="K2"/>
      <c r="L2"/>
      <c r="M2"/>
      <c r="N2"/>
      <c r="O2"/>
      <c r="P2"/>
      <c r="Q2"/>
    </row>
    <row r="3" spans="1:33" ht="30" customHeight="1" thickBot="1">
      <c r="I3"/>
      <c r="J3"/>
      <c r="K3"/>
      <c r="L3"/>
      <c r="M3"/>
      <c r="N3"/>
      <c r="O3"/>
      <c r="P3"/>
      <c r="Q3"/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4">
        <v>2010</v>
      </c>
      <c r="E5" s="660">
        <v>2011</v>
      </c>
      <c r="F5" s="660">
        <v>2012</v>
      </c>
      <c r="G5" s="660">
        <v>2013</v>
      </c>
      <c r="H5" s="660">
        <v>2014</v>
      </c>
      <c r="I5" s="660">
        <v>2015</v>
      </c>
      <c r="J5" s="660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60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65"/>
      <c r="E6" s="661"/>
      <c r="F6" s="661"/>
      <c r="G6" s="661"/>
      <c r="H6" s="661"/>
      <c r="I6" s="661"/>
      <c r="J6" s="661"/>
      <c r="K6" s="663"/>
      <c r="L6" s="665"/>
      <c r="M6" s="661"/>
      <c r="N6" s="661"/>
      <c r="O6" s="661"/>
      <c r="P6" s="661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7670</v>
      </c>
      <c r="E7" s="488">
        <v>7770</v>
      </c>
      <c r="F7" s="489">
        <v>8270</v>
      </c>
      <c r="G7" s="489">
        <v>8380</v>
      </c>
      <c r="H7" s="488">
        <v>8540</v>
      </c>
      <c r="I7" s="489">
        <v>8540</v>
      </c>
      <c r="J7" s="489">
        <v>8540</v>
      </c>
      <c r="K7" s="490">
        <v>8870</v>
      </c>
      <c r="L7" s="491">
        <v>9270</v>
      </c>
      <c r="M7" s="492">
        <v>9840</v>
      </c>
      <c r="N7" s="492">
        <v>10275</v>
      </c>
      <c r="O7" s="492">
        <v>11865</v>
      </c>
      <c r="P7" s="493">
        <v>12565</v>
      </c>
      <c r="Q7" s="490">
        <v>13565</v>
      </c>
      <c r="R7" s="276">
        <f>IF(D7=0,"     -",IF(K7=0,"     -",ROUND(((K7/D7)^(1/7)-1)*100,1)))</f>
        <v>2.1</v>
      </c>
      <c r="S7" s="494">
        <f>IF(L7=0,"     -",IF(Q7=0,"     -",ROUND(((Q7/L7)^(1/5)-1)*100,1)))</f>
        <v>7.9</v>
      </c>
      <c r="T7" s="283"/>
      <c r="U7" s="438"/>
      <c r="V7" s="442"/>
      <c r="W7" s="404"/>
      <c r="X7" s="317"/>
      <c r="Y7" s="317"/>
      <c r="Z7" s="317"/>
      <c r="AA7" s="43"/>
      <c r="AB7" s="317"/>
      <c r="AC7" s="317"/>
      <c r="AD7" s="317"/>
      <c r="AE7" s="317"/>
      <c r="AF7" s="317"/>
      <c r="AG7" s="317"/>
    </row>
    <row r="8" spans="1:33" ht="15" customHeight="1">
      <c r="A8" s="614" t="s">
        <v>305</v>
      </c>
      <c r="B8" s="668" t="s">
        <v>434</v>
      </c>
      <c r="C8" s="669"/>
      <c r="D8" s="495">
        <v>4050</v>
      </c>
      <c r="E8" s="496">
        <v>4050</v>
      </c>
      <c r="F8" s="497">
        <v>3820</v>
      </c>
      <c r="G8" s="497">
        <v>4420</v>
      </c>
      <c r="H8" s="496">
        <v>4005</v>
      </c>
      <c r="I8" s="497">
        <v>4005</v>
      </c>
      <c r="J8" s="497">
        <v>4005</v>
      </c>
      <c r="K8" s="498">
        <v>4005</v>
      </c>
      <c r="L8" s="499">
        <v>4005</v>
      </c>
      <c r="M8" s="500">
        <v>4005</v>
      </c>
      <c r="N8" s="500">
        <v>4005</v>
      </c>
      <c r="O8" s="500">
        <v>4005</v>
      </c>
      <c r="P8" s="501">
        <v>4005</v>
      </c>
      <c r="Q8" s="498">
        <v>4005</v>
      </c>
      <c r="R8" s="299">
        <f t="shared" ref="R8:R71" si="0">IF(D8=0,"     -",IF(K8=0,"     -",ROUND(((K8/D8)^(1/7)-1)*100,1)))</f>
        <v>-0.2</v>
      </c>
      <c r="S8" s="256">
        <f t="shared" ref="S8:S71" si="1">IF(L8=0,"     -",IF(Q8=0,"     -",ROUND(((Q8/L8)^(1/5)-1)*100,1)))</f>
        <v>0</v>
      </c>
      <c r="T8" s="283"/>
      <c r="U8" s="438"/>
      <c r="V8" s="442"/>
      <c r="W8" s="404"/>
      <c r="X8" s="317"/>
      <c r="Y8" s="317"/>
      <c r="Z8" s="317"/>
      <c r="AA8" s="43"/>
      <c r="AB8" s="317"/>
      <c r="AC8" s="317"/>
      <c r="AD8" s="317"/>
      <c r="AE8" s="317"/>
      <c r="AF8" s="317"/>
      <c r="AG8" s="317"/>
    </row>
    <row r="9" spans="1:33" ht="15" customHeight="1">
      <c r="A9" s="16"/>
      <c r="B9" s="668" t="s">
        <v>435</v>
      </c>
      <c r="C9" s="669"/>
      <c r="D9" s="495">
        <v>2600</v>
      </c>
      <c r="E9" s="496">
        <v>2800</v>
      </c>
      <c r="F9" s="497">
        <v>2800</v>
      </c>
      <c r="G9" s="497">
        <v>3800</v>
      </c>
      <c r="H9" s="496">
        <v>3800</v>
      </c>
      <c r="I9" s="497">
        <v>4000</v>
      </c>
      <c r="J9" s="497">
        <v>4000</v>
      </c>
      <c r="K9" s="502">
        <v>4000</v>
      </c>
      <c r="L9" s="503">
        <v>4000</v>
      </c>
      <c r="M9" s="496">
        <v>4000</v>
      </c>
      <c r="N9" s="496">
        <v>4000</v>
      </c>
      <c r="O9" s="496">
        <v>4000</v>
      </c>
      <c r="P9" s="279">
        <v>4000</v>
      </c>
      <c r="Q9" s="502">
        <v>4000</v>
      </c>
      <c r="R9" s="299">
        <f t="shared" si="0"/>
        <v>6.3</v>
      </c>
      <c r="S9" s="256">
        <f t="shared" si="1"/>
        <v>0</v>
      </c>
      <c r="T9" s="283"/>
      <c r="U9" s="438"/>
      <c r="V9" s="442"/>
      <c r="W9" s="405"/>
      <c r="X9" s="278"/>
      <c r="Y9" s="278"/>
      <c r="Z9" s="278"/>
      <c r="AA9" s="318"/>
      <c r="AB9" s="278"/>
      <c r="AC9" s="278"/>
      <c r="AD9" s="278"/>
      <c r="AE9" s="278"/>
      <c r="AF9" s="278"/>
      <c r="AG9" s="278"/>
    </row>
    <row r="10" spans="1:33" ht="15" customHeight="1">
      <c r="A10" s="16"/>
      <c r="B10" s="668" t="s">
        <v>436</v>
      </c>
      <c r="C10" s="669"/>
      <c r="D10" s="495">
        <v>15545</v>
      </c>
      <c r="E10" s="496">
        <v>16437</v>
      </c>
      <c r="F10" s="497">
        <v>17312</v>
      </c>
      <c r="G10" s="497">
        <v>18382</v>
      </c>
      <c r="H10" s="496">
        <v>20167</v>
      </c>
      <c r="I10" s="497">
        <v>21282</v>
      </c>
      <c r="J10" s="497">
        <v>22277</v>
      </c>
      <c r="K10" s="502">
        <v>23352</v>
      </c>
      <c r="L10" s="503">
        <v>25382</v>
      </c>
      <c r="M10" s="496">
        <v>27973</v>
      </c>
      <c r="N10" s="496">
        <v>34503</v>
      </c>
      <c r="O10" s="496">
        <v>39528</v>
      </c>
      <c r="P10" s="279">
        <v>40628</v>
      </c>
      <c r="Q10" s="502">
        <v>41128</v>
      </c>
      <c r="R10" s="299">
        <f t="shared" si="0"/>
        <v>6</v>
      </c>
      <c r="S10" s="256">
        <f t="shared" si="1"/>
        <v>10.1</v>
      </c>
      <c r="T10" s="283"/>
      <c r="U10" s="438"/>
      <c r="V10" s="442"/>
      <c r="W10" s="404"/>
      <c r="X10" s="317"/>
      <c r="Y10" s="317"/>
      <c r="Z10" s="317"/>
      <c r="AA10" s="43"/>
      <c r="AB10" s="317"/>
      <c r="AC10" s="317"/>
      <c r="AD10" s="317"/>
      <c r="AE10" s="317"/>
      <c r="AF10" s="317"/>
      <c r="AG10" s="317"/>
    </row>
    <row r="11" spans="1:33" ht="15" customHeight="1">
      <c r="A11" s="16"/>
      <c r="B11" s="668" t="s">
        <v>437</v>
      </c>
      <c r="C11" s="669"/>
      <c r="D11" s="495">
        <v>4436</v>
      </c>
      <c r="E11" s="496">
        <v>4436</v>
      </c>
      <c r="F11" s="497">
        <v>4436</v>
      </c>
      <c r="G11" s="497">
        <v>4436</v>
      </c>
      <c r="H11" s="496">
        <v>4436</v>
      </c>
      <c r="I11" s="497">
        <v>4436</v>
      </c>
      <c r="J11" s="497">
        <v>4509</v>
      </c>
      <c r="K11" s="502">
        <v>4609</v>
      </c>
      <c r="L11" s="503">
        <v>4609</v>
      </c>
      <c r="M11" s="496">
        <v>4609</v>
      </c>
      <c r="N11" s="496">
        <v>4609</v>
      </c>
      <c r="O11" s="496">
        <v>5109</v>
      </c>
      <c r="P11" s="279">
        <v>5319</v>
      </c>
      <c r="Q11" s="502">
        <v>5319</v>
      </c>
      <c r="R11" s="299">
        <f t="shared" si="0"/>
        <v>0.5</v>
      </c>
      <c r="S11" s="256">
        <f t="shared" si="1"/>
        <v>2.9</v>
      </c>
      <c r="T11" s="283"/>
      <c r="U11" s="438"/>
      <c r="V11" s="442"/>
      <c r="W11" s="404"/>
      <c r="X11" s="317"/>
      <c r="Y11" s="317"/>
      <c r="Z11" s="317"/>
      <c r="AA11" s="43"/>
      <c r="AB11" s="317"/>
      <c r="AC11" s="317"/>
      <c r="AD11" s="317"/>
      <c r="AE11" s="317"/>
      <c r="AF11" s="317"/>
      <c r="AG11" s="317"/>
    </row>
    <row r="12" spans="1:33" ht="15" customHeight="1">
      <c r="A12" s="16"/>
      <c r="B12" s="668" t="s">
        <v>438</v>
      </c>
      <c r="C12" s="669"/>
      <c r="D12" s="140">
        <v>600</v>
      </c>
      <c r="E12" s="45">
        <v>600</v>
      </c>
      <c r="F12" s="49">
        <v>600</v>
      </c>
      <c r="G12" s="45">
        <v>600</v>
      </c>
      <c r="H12" s="280">
        <v>600</v>
      </c>
      <c r="I12" s="45">
        <v>860</v>
      </c>
      <c r="J12" s="49">
        <v>860</v>
      </c>
      <c r="K12" s="50">
        <v>860</v>
      </c>
      <c r="L12" s="504">
        <v>860</v>
      </c>
      <c r="M12" s="45">
        <v>860</v>
      </c>
      <c r="N12" s="45">
        <v>900</v>
      </c>
      <c r="O12" s="45">
        <v>900</v>
      </c>
      <c r="P12" s="45">
        <v>900</v>
      </c>
      <c r="Q12" s="50">
        <v>2900</v>
      </c>
      <c r="R12" s="299">
        <f t="shared" si="0"/>
        <v>5.3</v>
      </c>
      <c r="S12" s="256">
        <f t="shared" si="1"/>
        <v>27.5</v>
      </c>
      <c r="T12" s="283"/>
      <c r="U12" s="438"/>
      <c r="V12" s="442"/>
      <c r="W12" s="406"/>
      <c r="X12" s="279"/>
      <c r="Y12" s="279"/>
      <c r="Z12" s="279"/>
      <c r="AA12" s="280"/>
      <c r="AB12" s="279"/>
      <c r="AC12" s="279"/>
      <c r="AD12" s="279"/>
      <c r="AE12" s="279"/>
      <c r="AF12" s="279"/>
      <c r="AG12" s="279"/>
    </row>
    <row r="13" spans="1:33" ht="15" customHeight="1">
      <c r="A13" s="16"/>
      <c r="B13" s="668" t="s">
        <v>439</v>
      </c>
      <c r="C13" s="669"/>
      <c r="D13" s="140">
        <v>3697</v>
      </c>
      <c r="E13" s="49">
        <v>3712</v>
      </c>
      <c r="F13" s="45">
        <v>4080</v>
      </c>
      <c r="G13" s="49">
        <v>4157</v>
      </c>
      <c r="H13" s="49">
        <v>4080</v>
      </c>
      <c r="I13" s="45">
        <v>4080</v>
      </c>
      <c r="J13" s="49">
        <v>4235</v>
      </c>
      <c r="K13" s="50">
        <v>5555</v>
      </c>
      <c r="L13" s="140">
        <v>5555</v>
      </c>
      <c r="M13" s="45">
        <v>6000</v>
      </c>
      <c r="N13" s="45">
        <v>6000</v>
      </c>
      <c r="O13" s="45">
        <v>6000</v>
      </c>
      <c r="P13" s="45">
        <v>8355</v>
      </c>
      <c r="Q13" s="50">
        <v>8355</v>
      </c>
      <c r="R13" s="299">
        <f t="shared" si="0"/>
        <v>6</v>
      </c>
      <c r="S13" s="256">
        <f t="shared" si="1"/>
        <v>8.5</v>
      </c>
      <c r="T13" s="283"/>
      <c r="U13" s="438"/>
      <c r="V13" s="442"/>
      <c r="W13" s="404"/>
      <c r="X13" s="317"/>
      <c r="Y13" s="317"/>
      <c r="Z13" s="317"/>
      <c r="AA13" s="43"/>
      <c r="AB13" s="317"/>
      <c r="AC13" s="317"/>
      <c r="AD13" s="317"/>
      <c r="AE13" s="317"/>
      <c r="AF13" s="317"/>
      <c r="AG13" s="317"/>
    </row>
    <row r="14" spans="1:33" ht="23.2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299" t="str">
        <f t="shared" si="0"/>
        <v xml:space="preserve">     -</v>
      </c>
      <c r="S14" s="256" t="str">
        <f t="shared" si="1"/>
        <v xml:space="preserve">     -</v>
      </c>
      <c r="T14" s="283"/>
      <c r="U14" s="438"/>
      <c r="V14" s="442"/>
      <c r="W14" s="406"/>
      <c r="X14" s="279"/>
      <c r="Y14" s="279"/>
      <c r="Z14" s="279"/>
      <c r="AA14" s="43"/>
      <c r="AB14" s="317"/>
      <c r="AC14" s="317"/>
      <c r="AD14" s="317"/>
      <c r="AE14" s="317"/>
      <c r="AF14" s="317"/>
      <c r="AG14" s="317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320</v>
      </c>
      <c r="J15" s="49">
        <v>320</v>
      </c>
      <c r="K15" s="50">
        <v>320</v>
      </c>
      <c r="L15" s="140">
        <v>320</v>
      </c>
      <c r="M15" s="45">
        <v>320</v>
      </c>
      <c r="N15" s="45">
        <v>320</v>
      </c>
      <c r="O15" s="45">
        <v>480</v>
      </c>
      <c r="P15" s="45">
        <v>480</v>
      </c>
      <c r="Q15" s="50">
        <v>480</v>
      </c>
      <c r="R15" s="299" t="str">
        <f t="shared" si="0"/>
        <v xml:space="preserve">     -</v>
      </c>
      <c r="S15" s="256">
        <f t="shared" si="1"/>
        <v>8.4</v>
      </c>
      <c r="T15" s="283"/>
      <c r="U15" s="438"/>
      <c r="V15" s="442"/>
      <c r="W15" s="406"/>
      <c r="X15" s="279"/>
      <c r="Y15" s="279"/>
      <c r="Z15" s="279"/>
      <c r="AA15" s="43"/>
      <c r="AB15" s="317"/>
      <c r="AC15" s="317"/>
      <c r="AD15" s="317"/>
      <c r="AE15" s="317"/>
      <c r="AF15" s="317"/>
      <c r="AG15" s="317"/>
    </row>
    <row r="16" spans="1:33" ht="15" customHeight="1">
      <c r="A16" s="16"/>
      <c r="B16" s="668" t="s">
        <v>441</v>
      </c>
      <c r="C16" s="669"/>
      <c r="D16" s="495">
        <v>1730</v>
      </c>
      <c r="E16" s="496">
        <v>1770</v>
      </c>
      <c r="F16" s="497">
        <v>1770</v>
      </c>
      <c r="G16" s="497">
        <v>1770</v>
      </c>
      <c r="H16" s="496">
        <v>1770</v>
      </c>
      <c r="I16" s="497">
        <v>1770</v>
      </c>
      <c r="J16" s="497">
        <v>1770</v>
      </c>
      <c r="K16" s="502">
        <v>1770</v>
      </c>
      <c r="L16" s="503">
        <v>1860</v>
      </c>
      <c r="M16" s="496">
        <v>2490</v>
      </c>
      <c r="N16" s="496">
        <v>3120</v>
      </c>
      <c r="O16" s="496">
        <v>3120</v>
      </c>
      <c r="P16" s="497">
        <v>3120</v>
      </c>
      <c r="Q16" s="502">
        <v>3120</v>
      </c>
      <c r="R16" s="299">
        <f t="shared" si="0"/>
        <v>0.3</v>
      </c>
      <c r="S16" s="256">
        <f t="shared" si="1"/>
        <v>10.9</v>
      </c>
      <c r="T16" s="283"/>
      <c r="U16" s="438"/>
      <c r="V16" s="442"/>
      <c r="W16" s="406"/>
      <c r="X16" s="279"/>
      <c r="Y16" s="279"/>
      <c r="Z16" s="279"/>
      <c r="AA16" s="43"/>
      <c r="AB16" s="317"/>
      <c r="AC16" s="317"/>
      <c r="AD16" s="317"/>
      <c r="AE16" s="317"/>
      <c r="AF16" s="317"/>
      <c r="AG16" s="317"/>
    </row>
    <row r="17" spans="1:33" ht="15" customHeight="1">
      <c r="A17" s="16"/>
      <c r="B17" s="668" t="s">
        <v>442</v>
      </c>
      <c r="C17" s="669"/>
      <c r="D17" s="140">
        <v>0</v>
      </c>
      <c r="E17" s="49">
        <v>0</v>
      </c>
      <c r="F17" s="45">
        <v>0</v>
      </c>
      <c r="G17" s="49">
        <v>0</v>
      </c>
      <c r="H17" s="49">
        <v>0</v>
      </c>
      <c r="I17" s="45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1200</v>
      </c>
      <c r="R17" s="299" t="str">
        <f t="shared" si="0"/>
        <v xml:space="preserve">     -</v>
      </c>
      <c r="S17" s="256" t="str">
        <f t="shared" si="1"/>
        <v xml:space="preserve">     -</v>
      </c>
      <c r="T17" s="283"/>
      <c r="U17" s="438"/>
      <c r="V17" s="442"/>
      <c r="W17" s="406"/>
      <c r="X17" s="279"/>
      <c r="Y17" s="279"/>
      <c r="Z17" s="279"/>
      <c r="AA17" s="43"/>
      <c r="AB17" s="317"/>
      <c r="AC17" s="317"/>
      <c r="AD17" s="317"/>
      <c r="AE17" s="317"/>
      <c r="AF17" s="317"/>
      <c r="AG17" s="317"/>
    </row>
    <row r="18" spans="1:33" ht="15" customHeight="1">
      <c r="A18" s="16"/>
      <c r="B18" s="670" t="s">
        <v>443</v>
      </c>
      <c r="C18" s="671"/>
      <c r="D18" s="138">
        <v>7609.5</v>
      </c>
      <c r="E18" s="40">
        <v>7605</v>
      </c>
      <c r="F18" s="40">
        <v>7605</v>
      </c>
      <c r="G18" s="40">
        <v>7605</v>
      </c>
      <c r="H18" s="40">
        <v>7280.5</v>
      </c>
      <c r="I18" s="505">
        <v>6952.5</v>
      </c>
      <c r="J18" s="506">
        <v>6489.5</v>
      </c>
      <c r="K18" s="507">
        <v>6494.5</v>
      </c>
      <c r="L18" s="508">
        <v>6502.8</v>
      </c>
      <c r="M18" s="505">
        <v>6504.5</v>
      </c>
      <c r="N18" s="505">
        <v>6504.5</v>
      </c>
      <c r="O18" s="505">
        <v>6504.5</v>
      </c>
      <c r="P18" s="505">
        <v>6504.5</v>
      </c>
      <c r="Q18" s="509">
        <v>6504.5</v>
      </c>
      <c r="R18" s="299">
        <f t="shared" si="0"/>
        <v>-2.2000000000000002</v>
      </c>
      <c r="S18" s="256">
        <f t="shared" si="1"/>
        <v>0</v>
      </c>
      <c r="T18" s="283"/>
      <c r="U18" s="438"/>
      <c r="V18" s="442"/>
      <c r="W18" s="406"/>
      <c r="X18" s="279"/>
      <c r="Y18" s="279"/>
      <c r="Z18" s="279"/>
      <c r="AA18" s="280"/>
      <c r="AB18" s="279"/>
      <c r="AC18" s="279"/>
      <c r="AD18" s="279"/>
      <c r="AE18" s="279"/>
      <c r="AF18" s="279"/>
      <c r="AG18" s="279"/>
    </row>
    <row r="19" spans="1:33" ht="15.75" customHeight="1">
      <c r="A19" s="16"/>
      <c r="B19" s="674" t="s">
        <v>307</v>
      </c>
      <c r="C19" s="675"/>
      <c r="D19" s="95">
        <f>SUM(D7:D18)</f>
        <v>47937.5</v>
      </c>
      <c r="E19" s="93">
        <f t="shared" ref="E19:Q19" si="2">SUM(E7:E18)</f>
        <v>49180</v>
      </c>
      <c r="F19" s="93">
        <f t="shared" si="2"/>
        <v>50693</v>
      </c>
      <c r="G19" s="93">
        <f t="shared" si="2"/>
        <v>53550</v>
      </c>
      <c r="H19" s="93">
        <f t="shared" si="2"/>
        <v>54678.5</v>
      </c>
      <c r="I19" s="93">
        <f t="shared" si="2"/>
        <v>56245.5</v>
      </c>
      <c r="J19" s="93">
        <f t="shared" si="2"/>
        <v>57005.5</v>
      </c>
      <c r="K19" s="96">
        <f t="shared" si="2"/>
        <v>59835.5</v>
      </c>
      <c r="L19" s="95">
        <f t="shared" si="2"/>
        <v>62363.8</v>
      </c>
      <c r="M19" s="93">
        <f t="shared" si="2"/>
        <v>66601.5</v>
      </c>
      <c r="N19" s="93">
        <f t="shared" si="2"/>
        <v>74236.5</v>
      </c>
      <c r="O19" s="93">
        <f t="shared" si="2"/>
        <v>81511.5</v>
      </c>
      <c r="P19" s="93">
        <f t="shared" si="2"/>
        <v>85876.5</v>
      </c>
      <c r="Q19" s="96">
        <f t="shared" si="2"/>
        <v>90576.5</v>
      </c>
      <c r="R19" s="303">
        <f t="shared" si="0"/>
        <v>3.2</v>
      </c>
      <c r="S19" s="510">
        <f t="shared" si="1"/>
        <v>7.7</v>
      </c>
      <c r="T19" s="283"/>
      <c r="U19" s="438"/>
      <c r="V19" s="442"/>
      <c r="W19" s="404"/>
      <c r="X19" s="317"/>
      <c r="Y19" s="317"/>
      <c r="Z19" s="317"/>
      <c r="AA19" s="43"/>
      <c r="AB19" s="317"/>
      <c r="AC19" s="317"/>
      <c r="AD19" s="317"/>
      <c r="AE19" s="317"/>
      <c r="AF19" s="317"/>
      <c r="AG19" s="317"/>
    </row>
    <row r="20" spans="1:33" ht="15.75" customHeight="1">
      <c r="A20" s="16"/>
      <c r="B20" s="672" t="s">
        <v>308</v>
      </c>
      <c r="C20" s="673"/>
      <c r="D20" s="511">
        <v>450</v>
      </c>
      <c r="E20" s="512">
        <v>500</v>
      </c>
      <c r="F20" s="512">
        <v>500</v>
      </c>
      <c r="G20" s="512">
        <v>500</v>
      </c>
      <c r="H20" s="512">
        <v>500</v>
      </c>
      <c r="I20" s="512">
        <v>500</v>
      </c>
      <c r="J20" s="513">
        <v>500</v>
      </c>
      <c r="K20" s="514">
        <v>500</v>
      </c>
      <c r="L20" s="511">
        <v>500</v>
      </c>
      <c r="M20" s="512">
        <v>500</v>
      </c>
      <c r="N20" s="512">
        <v>500</v>
      </c>
      <c r="O20" s="512">
        <v>500</v>
      </c>
      <c r="P20" s="513">
        <v>500</v>
      </c>
      <c r="Q20" s="514">
        <v>500</v>
      </c>
      <c r="R20" s="303">
        <f t="shared" si="0"/>
        <v>1.5</v>
      </c>
      <c r="S20" s="510">
        <f t="shared" si="1"/>
        <v>0</v>
      </c>
      <c r="T20" s="283"/>
      <c r="U20" s="438"/>
      <c r="V20" s="442"/>
      <c r="W20" s="406"/>
      <c r="X20" s="279"/>
      <c r="Y20" s="279"/>
      <c r="Z20" s="279"/>
      <c r="AA20" s="280"/>
      <c r="AB20" s="279"/>
      <c r="AC20" s="279"/>
      <c r="AD20" s="279"/>
      <c r="AE20" s="279"/>
      <c r="AF20" s="279"/>
      <c r="AG20" s="279"/>
    </row>
    <row r="21" spans="1:33" ht="15" customHeight="1">
      <c r="A21" s="16"/>
      <c r="B21" s="105"/>
      <c r="C21" s="97" t="s">
        <v>309</v>
      </c>
      <c r="D21" s="511">
        <v>450</v>
      </c>
      <c r="E21" s="512">
        <v>500</v>
      </c>
      <c r="F21" s="512">
        <v>500</v>
      </c>
      <c r="G21" s="512">
        <v>500</v>
      </c>
      <c r="H21" s="512">
        <v>500</v>
      </c>
      <c r="I21" s="512">
        <v>500</v>
      </c>
      <c r="J21" s="513">
        <v>500</v>
      </c>
      <c r="K21" s="514">
        <v>500</v>
      </c>
      <c r="L21" s="511">
        <v>500</v>
      </c>
      <c r="M21" s="512">
        <v>500</v>
      </c>
      <c r="N21" s="512">
        <v>500</v>
      </c>
      <c r="O21" s="512">
        <v>500</v>
      </c>
      <c r="P21" s="513">
        <v>500</v>
      </c>
      <c r="Q21" s="514">
        <v>500</v>
      </c>
      <c r="R21" s="303">
        <f t="shared" si="0"/>
        <v>1.5</v>
      </c>
      <c r="S21" s="510">
        <f t="shared" si="1"/>
        <v>0</v>
      </c>
      <c r="T21" s="283"/>
      <c r="U21" s="438"/>
      <c r="V21" s="442"/>
      <c r="W21" s="406"/>
      <c r="X21" s="279"/>
      <c r="Y21" s="279"/>
      <c r="Z21" s="279"/>
      <c r="AA21" s="280"/>
      <c r="AB21" s="279"/>
      <c r="AC21" s="279"/>
      <c r="AD21" s="279"/>
      <c r="AE21" s="279"/>
      <c r="AF21" s="279"/>
      <c r="AG21" s="279"/>
    </row>
    <row r="22" spans="1:33" ht="15.75" customHeight="1">
      <c r="A22" s="16"/>
      <c r="B22" s="672" t="s">
        <v>310</v>
      </c>
      <c r="C22" s="673"/>
      <c r="D22" s="503">
        <v>27443</v>
      </c>
      <c r="E22" s="496">
        <v>26970</v>
      </c>
      <c r="F22" s="496">
        <v>26124</v>
      </c>
      <c r="G22" s="496">
        <v>25599</v>
      </c>
      <c r="H22" s="496">
        <v>25189</v>
      </c>
      <c r="I22" s="496">
        <v>24474</v>
      </c>
      <c r="J22" s="515">
        <v>24689</v>
      </c>
      <c r="K22" s="502">
        <v>24689</v>
      </c>
      <c r="L22" s="503">
        <v>24689</v>
      </c>
      <c r="M22" s="496">
        <v>24689</v>
      </c>
      <c r="N22" s="496">
        <v>24689</v>
      </c>
      <c r="O22" s="512">
        <v>24689</v>
      </c>
      <c r="P22" s="512">
        <v>24689</v>
      </c>
      <c r="Q22" s="514">
        <v>24689</v>
      </c>
      <c r="R22" s="516">
        <f t="shared" si="0"/>
        <v>-1.5</v>
      </c>
      <c r="S22" s="517">
        <f t="shared" si="1"/>
        <v>0</v>
      </c>
      <c r="T22" s="283"/>
      <c r="U22" s="438"/>
      <c r="V22" s="442"/>
      <c r="W22" s="406"/>
      <c r="X22" s="279"/>
      <c r="Y22" s="279"/>
      <c r="Z22" s="279"/>
      <c r="AA22" s="280"/>
      <c r="AB22" s="279"/>
      <c r="AC22" s="279"/>
      <c r="AD22" s="279"/>
      <c r="AE22" s="317"/>
      <c r="AF22" s="317"/>
      <c r="AG22" s="317"/>
    </row>
    <row r="23" spans="1:33" ht="15" customHeight="1">
      <c r="A23" s="16"/>
      <c r="B23" s="105"/>
      <c r="C23" s="615" t="s">
        <v>311</v>
      </c>
      <c r="D23" s="511">
        <v>24493</v>
      </c>
      <c r="E23" s="512">
        <v>24020</v>
      </c>
      <c r="F23" s="512">
        <v>23800</v>
      </c>
      <c r="G23" s="512">
        <v>23275</v>
      </c>
      <c r="H23" s="512">
        <v>22645</v>
      </c>
      <c r="I23" s="512">
        <v>22150</v>
      </c>
      <c r="J23" s="513">
        <v>22365</v>
      </c>
      <c r="K23" s="514">
        <v>22365</v>
      </c>
      <c r="L23" s="511">
        <v>22365</v>
      </c>
      <c r="M23" s="512">
        <v>22365</v>
      </c>
      <c r="N23" s="512">
        <v>22365</v>
      </c>
      <c r="O23" s="512">
        <v>22365</v>
      </c>
      <c r="P23" s="512">
        <v>22365</v>
      </c>
      <c r="Q23" s="514">
        <v>22365</v>
      </c>
      <c r="R23" s="303">
        <f t="shared" si="0"/>
        <v>-1.3</v>
      </c>
      <c r="S23" s="510">
        <f t="shared" si="1"/>
        <v>0</v>
      </c>
      <c r="T23" s="283"/>
      <c r="U23" s="438"/>
      <c r="V23" s="442"/>
      <c r="W23" s="404"/>
      <c r="X23" s="317"/>
      <c r="Y23" s="317"/>
      <c r="Z23" s="317"/>
      <c r="AA23" s="43"/>
      <c r="AB23" s="317"/>
      <c r="AC23" s="317"/>
      <c r="AD23" s="317"/>
      <c r="AE23" s="317"/>
      <c r="AF23" s="317"/>
      <c r="AG23" s="317"/>
    </row>
    <row r="24" spans="1:33" ht="15.75" customHeight="1">
      <c r="A24" s="16"/>
      <c r="B24" s="672" t="s">
        <v>312</v>
      </c>
      <c r="C24" s="673"/>
      <c r="D24" s="503">
        <v>26124</v>
      </c>
      <c r="E24" s="496">
        <v>26124</v>
      </c>
      <c r="F24" s="496">
        <v>27324</v>
      </c>
      <c r="G24" s="496">
        <v>28324</v>
      </c>
      <c r="H24" s="496">
        <v>30724</v>
      </c>
      <c r="I24" s="496">
        <v>30724</v>
      </c>
      <c r="J24" s="497">
        <v>34324</v>
      </c>
      <c r="K24" s="502">
        <v>35514</v>
      </c>
      <c r="L24" s="503">
        <v>35514</v>
      </c>
      <c r="M24" s="496">
        <v>35972</v>
      </c>
      <c r="N24" s="496">
        <v>37042</v>
      </c>
      <c r="O24" s="496">
        <v>37042</v>
      </c>
      <c r="P24" s="497">
        <v>37042</v>
      </c>
      <c r="Q24" s="502">
        <v>37042</v>
      </c>
      <c r="R24" s="303">
        <f t="shared" si="0"/>
        <v>4.5</v>
      </c>
      <c r="S24" s="510">
        <f t="shared" si="1"/>
        <v>0.8</v>
      </c>
      <c r="T24" s="283"/>
      <c r="U24" s="438"/>
      <c r="V24" s="442"/>
      <c r="W24" s="406"/>
      <c r="X24" s="279"/>
      <c r="Y24" s="279"/>
      <c r="Z24" s="279"/>
      <c r="AA24" s="280"/>
      <c r="AB24" s="317"/>
      <c r="AC24" s="317"/>
      <c r="AD24" s="317"/>
      <c r="AE24" s="317"/>
      <c r="AF24" s="317"/>
      <c r="AG24" s="317"/>
    </row>
    <row r="25" spans="1:33" ht="15" customHeight="1">
      <c r="A25" s="16"/>
      <c r="B25" s="16"/>
      <c r="C25" s="615" t="s">
        <v>313</v>
      </c>
      <c r="D25" s="511">
        <v>14080</v>
      </c>
      <c r="E25" s="518">
        <v>14080</v>
      </c>
      <c r="F25" s="518">
        <v>15280</v>
      </c>
      <c r="G25" s="518">
        <v>15680</v>
      </c>
      <c r="H25" s="518">
        <v>15680</v>
      </c>
      <c r="I25" s="518">
        <v>15680</v>
      </c>
      <c r="J25" s="519">
        <v>17480</v>
      </c>
      <c r="K25" s="514">
        <v>17480</v>
      </c>
      <c r="L25" s="511">
        <v>17480</v>
      </c>
      <c r="M25" s="518">
        <v>17480</v>
      </c>
      <c r="N25" s="518">
        <v>17480</v>
      </c>
      <c r="O25" s="518">
        <v>17480</v>
      </c>
      <c r="P25" s="519">
        <v>17480</v>
      </c>
      <c r="Q25" s="514">
        <v>17480</v>
      </c>
      <c r="R25" s="299">
        <f t="shared" si="0"/>
        <v>3.1</v>
      </c>
      <c r="S25" s="256">
        <f t="shared" si="1"/>
        <v>0</v>
      </c>
      <c r="T25" s="283"/>
      <c r="U25" s="438"/>
      <c r="V25" s="442"/>
      <c r="W25" s="406"/>
      <c r="X25" s="279"/>
      <c r="Y25" s="279"/>
      <c r="Z25" s="279"/>
      <c r="AA25" s="280"/>
      <c r="AB25" s="317"/>
      <c r="AC25" s="317"/>
      <c r="AD25" s="317"/>
      <c r="AE25" s="317"/>
      <c r="AF25" s="317"/>
      <c r="AG25" s="317"/>
    </row>
    <row r="26" spans="1:33" ht="15.75" customHeight="1">
      <c r="A26" s="16"/>
      <c r="B26" s="674" t="s">
        <v>314</v>
      </c>
      <c r="C26" s="675"/>
      <c r="D26" s="511">
        <v>1830</v>
      </c>
      <c r="E26" s="518">
        <v>1830</v>
      </c>
      <c r="F26" s="518">
        <v>1830</v>
      </c>
      <c r="G26" s="518">
        <v>1660</v>
      </c>
      <c r="H26" s="518">
        <v>1748</v>
      </c>
      <c r="I26" s="518">
        <v>1748</v>
      </c>
      <c r="J26" s="519">
        <v>2208</v>
      </c>
      <c r="K26" s="514">
        <v>2208</v>
      </c>
      <c r="L26" s="511">
        <v>2208</v>
      </c>
      <c r="M26" s="518">
        <v>2208</v>
      </c>
      <c r="N26" s="518">
        <v>2208</v>
      </c>
      <c r="O26" s="518">
        <v>2208</v>
      </c>
      <c r="P26" s="519">
        <v>2208</v>
      </c>
      <c r="Q26" s="514">
        <v>2208</v>
      </c>
      <c r="R26" s="303">
        <f t="shared" si="0"/>
        <v>2.7</v>
      </c>
      <c r="S26" s="510">
        <f t="shared" si="1"/>
        <v>0</v>
      </c>
      <c r="T26" s="283"/>
      <c r="U26" s="438"/>
      <c r="V26" s="442"/>
      <c r="W26" s="406"/>
      <c r="X26" s="279"/>
      <c r="Y26" s="279"/>
      <c r="Z26" s="279"/>
      <c r="AA26" s="280"/>
      <c r="AB26" s="317"/>
      <c r="AC26" s="317"/>
      <c r="AD26" s="317"/>
      <c r="AE26" s="317"/>
      <c r="AF26" s="317"/>
      <c r="AG26" s="317"/>
    </row>
    <row r="27" spans="1:33" ht="15.75" customHeight="1">
      <c r="A27" s="16"/>
      <c r="B27" s="674" t="s">
        <v>315</v>
      </c>
      <c r="C27" s="675"/>
      <c r="D27" s="520">
        <v>4342</v>
      </c>
      <c r="E27" s="521">
        <v>4342</v>
      </c>
      <c r="F27" s="521">
        <v>4342</v>
      </c>
      <c r="G27" s="521">
        <v>4082</v>
      </c>
      <c r="H27" s="521">
        <v>4142</v>
      </c>
      <c r="I27" s="521">
        <v>4492</v>
      </c>
      <c r="J27" s="522">
        <v>4238</v>
      </c>
      <c r="K27" s="523">
        <v>4538</v>
      </c>
      <c r="L27" s="520">
        <v>4938</v>
      </c>
      <c r="M27" s="521">
        <v>5188</v>
      </c>
      <c r="N27" s="521">
        <v>5398</v>
      </c>
      <c r="O27" s="521">
        <v>6358</v>
      </c>
      <c r="P27" s="522">
        <v>7508</v>
      </c>
      <c r="Q27" s="523">
        <v>7808</v>
      </c>
      <c r="R27" s="303">
        <f t="shared" si="0"/>
        <v>0.6</v>
      </c>
      <c r="S27" s="510">
        <f t="shared" si="1"/>
        <v>9.6</v>
      </c>
      <c r="T27" s="283"/>
      <c r="U27" s="438"/>
      <c r="V27" s="442"/>
      <c r="W27" s="407"/>
      <c r="X27" s="312"/>
      <c r="Y27" s="312"/>
      <c r="Z27" s="312"/>
      <c r="AA27" s="419"/>
      <c r="AB27" s="312"/>
      <c r="AC27" s="312"/>
      <c r="AD27" s="312"/>
      <c r="AE27" s="312"/>
      <c r="AF27" s="312"/>
      <c r="AG27" s="312"/>
    </row>
    <row r="28" spans="1:33" ht="15" customHeight="1">
      <c r="A28" s="16"/>
      <c r="B28" s="672" t="s">
        <v>316</v>
      </c>
      <c r="C28" s="673"/>
      <c r="D28" s="524">
        <v>26373</v>
      </c>
      <c r="E28" s="525">
        <v>26031</v>
      </c>
      <c r="F28" s="525">
        <v>26980</v>
      </c>
      <c r="G28" s="526">
        <v>27602</v>
      </c>
      <c r="H28" s="526">
        <v>28302</v>
      </c>
      <c r="I28" s="496">
        <v>28539</v>
      </c>
      <c r="J28" s="497">
        <v>28842</v>
      </c>
      <c r="K28" s="498">
        <v>30269</v>
      </c>
      <c r="L28" s="527">
        <v>33819</v>
      </c>
      <c r="M28" s="528">
        <v>38414</v>
      </c>
      <c r="N28" s="528">
        <v>39938</v>
      </c>
      <c r="O28" s="528">
        <v>40688</v>
      </c>
      <c r="P28" s="528">
        <v>41938</v>
      </c>
      <c r="Q28" s="498">
        <v>43319</v>
      </c>
      <c r="R28" s="299">
        <f t="shared" si="0"/>
        <v>2</v>
      </c>
      <c r="S28" s="256">
        <f t="shared" si="1"/>
        <v>5.0999999999999996</v>
      </c>
      <c r="T28" s="283"/>
      <c r="U28" s="438"/>
      <c r="V28" s="442"/>
      <c r="W28" s="409"/>
      <c r="X28" s="314"/>
      <c r="Y28" s="317"/>
      <c r="Z28" s="317"/>
      <c r="AA28" s="43"/>
      <c r="AB28" s="43"/>
      <c r="AC28" s="43"/>
      <c r="AD28" s="43"/>
      <c r="AE28" s="43"/>
      <c r="AF28" s="43"/>
      <c r="AG28" s="317"/>
    </row>
    <row r="29" spans="1:33" ht="15" customHeight="1">
      <c r="A29" s="16"/>
      <c r="B29" s="670" t="s">
        <v>317</v>
      </c>
      <c r="C29" s="671"/>
      <c r="D29" s="529">
        <v>5164</v>
      </c>
      <c r="E29" s="525">
        <v>5164</v>
      </c>
      <c r="F29" s="530">
        <v>5048</v>
      </c>
      <c r="G29" s="531">
        <v>5048</v>
      </c>
      <c r="H29" s="526">
        <v>5048</v>
      </c>
      <c r="I29" s="497">
        <v>5345</v>
      </c>
      <c r="J29" s="497">
        <v>5345</v>
      </c>
      <c r="K29" s="498">
        <v>5345</v>
      </c>
      <c r="L29" s="499">
        <v>5345</v>
      </c>
      <c r="M29" s="532">
        <v>5345</v>
      </c>
      <c r="N29" s="532">
        <v>5345</v>
      </c>
      <c r="O29" s="532">
        <v>5447</v>
      </c>
      <c r="P29" s="532">
        <v>5753</v>
      </c>
      <c r="Q29" s="498">
        <v>5753</v>
      </c>
      <c r="R29" s="299">
        <f t="shared" si="0"/>
        <v>0.5</v>
      </c>
      <c r="S29" s="256">
        <f t="shared" si="1"/>
        <v>1.5</v>
      </c>
      <c r="T29" s="283"/>
      <c r="U29" s="438"/>
      <c r="V29" s="442"/>
      <c r="W29" s="409"/>
      <c r="X29" s="314"/>
      <c r="Y29" s="279"/>
      <c r="Z29" s="279"/>
      <c r="AA29" s="43"/>
      <c r="AB29" s="317"/>
      <c r="AC29" s="317"/>
      <c r="AD29" s="317"/>
      <c r="AE29" s="317"/>
      <c r="AF29" s="317"/>
      <c r="AG29" s="317"/>
    </row>
    <row r="30" spans="1:33" ht="15.75" customHeight="1">
      <c r="A30" s="16"/>
      <c r="B30" s="674" t="s">
        <v>318</v>
      </c>
      <c r="C30" s="675"/>
      <c r="D30" s="95">
        <f>SUM(D28:D29)</f>
        <v>31537</v>
      </c>
      <c r="E30" s="92">
        <f t="shared" ref="E30:Q30" si="3">SUM(E28:E29)</f>
        <v>31195</v>
      </c>
      <c r="F30" s="92">
        <f t="shared" si="3"/>
        <v>32028</v>
      </c>
      <c r="G30" s="93">
        <f t="shared" si="3"/>
        <v>32650</v>
      </c>
      <c r="H30" s="93">
        <f t="shared" si="3"/>
        <v>33350</v>
      </c>
      <c r="I30" s="94">
        <f t="shared" si="3"/>
        <v>33884</v>
      </c>
      <c r="J30" s="94">
        <f t="shared" si="3"/>
        <v>34187</v>
      </c>
      <c r="K30" s="96">
        <f t="shared" si="3"/>
        <v>35614</v>
      </c>
      <c r="L30" s="95">
        <f t="shared" si="3"/>
        <v>39164</v>
      </c>
      <c r="M30" s="93">
        <f t="shared" si="3"/>
        <v>43759</v>
      </c>
      <c r="N30" s="93">
        <f t="shared" si="3"/>
        <v>45283</v>
      </c>
      <c r="O30" s="93">
        <f t="shared" si="3"/>
        <v>46135</v>
      </c>
      <c r="P30" s="93">
        <f t="shared" si="3"/>
        <v>47691</v>
      </c>
      <c r="Q30" s="96">
        <f t="shared" si="3"/>
        <v>49072</v>
      </c>
      <c r="R30" s="303">
        <f t="shared" si="0"/>
        <v>1.8</v>
      </c>
      <c r="S30" s="510">
        <f t="shared" si="1"/>
        <v>4.5999999999999996</v>
      </c>
      <c r="T30" s="283"/>
      <c r="U30" s="438"/>
      <c r="V30" s="442"/>
      <c r="W30" s="404"/>
      <c r="X30" s="317"/>
      <c r="Y30" s="317"/>
      <c r="Z30" s="317"/>
      <c r="AA30" s="43"/>
      <c r="AB30" s="317"/>
      <c r="AC30" s="317"/>
      <c r="AD30" s="317"/>
      <c r="AE30" s="317"/>
      <c r="AF30" s="317"/>
      <c r="AG30" s="317"/>
    </row>
    <row r="31" spans="1:33" ht="15" customHeight="1">
      <c r="A31" s="16"/>
      <c r="B31" s="672" t="s">
        <v>319</v>
      </c>
      <c r="C31" s="673"/>
      <c r="D31" s="529">
        <v>1382</v>
      </c>
      <c r="E31" s="525">
        <v>1382</v>
      </c>
      <c r="F31" s="530">
        <v>1382</v>
      </c>
      <c r="G31" s="531">
        <v>1382</v>
      </c>
      <c r="H31" s="526">
        <v>1564</v>
      </c>
      <c r="I31" s="497">
        <v>1564</v>
      </c>
      <c r="J31" s="497">
        <v>2432</v>
      </c>
      <c r="K31" s="498">
        <v>2250</v>
      </c>
      <c r="L31" s="533">
        <v>2250</v>
      </c>
      <c r="M31" s="534">
        <v>2250</v>
      </c>
      <c r="N31" s="534">
        <v>2250</v>
      </c>
      <c r="O31" s="534">
        <v>2250</v>
      </c>
      <c r="P31" s="534">
        <v>2250</v>
      </c>
      <c r="Q31" s="535">
        <v>2250</v>
      </c>
      <c r="R31" s="299">
        <f t="shared" si="0"/>
        <v>7.2</v>
      </c>
      <c r="S31" s="256">
        <f t="shared" si="1"/>
        <v>0</v>
      </c>
      <c r="T31" s="283"/>
      <c r="U31" s="438"/>
      <c r="V31" s="442"/>
      <c r="W31" s="409"/>
      <c r="X31" s="314"/>
      <c r="Y31" s="279"/>
      <c r="Z31" s="279"/>
      <c r="AA31" s="43"/>
      <c r="AB31" s="317"/>
      <c r="AC31" s="317"/>
      <c r="AD31" s="317"/>
      <c r="AE31" s="317"/>
      <c r="AF31" s="317"/>
      <c r="AG31" s="317"/>
    </row>
    <row r="32" spans="1:33" ht="15" customHeight="1">
      <c r="A32" s="16"/>
      <c r="B32" s="668" t="s">
        <v>320</v>
      </c>
      <c r="C32" s="669"/>
      <c r="D32" s="529">
        <v>3970</v>
      </c>
      <c r="E32" s="525">
        <v>3970</v>
      </c>
      <c r="F32" s="530">
        <v>3970</v>
      </c>
      <c r="G32" s="531">
        <v>3970</v>
      </c>
      <c r="H32" s="526">
        <v>3970</v>
      </c>
      <c r="I32" s="497">
        <v>3970</v>
      </c>
      <c r="J32" s="497">
        <v>3952</v>
      </c>
      <c r="K32" s="502">
        <v>3952</v>
      </c>
      <c r="L32" s="503">
        <v>3952</v>
      </c>
      <c r="M32" s="496">
        <v>3952</v>
      </c>
      <c r="N32" s="496">
        <v>3952</v>
      </c>
      <c r="O32" s="496">
        <v>3952</v>
      </c>
      <c r="P32" s="497">
        <v>3952</v>
      </c>
      <c r="Q32" s="502">
        <v>3952</v>
      </c>
      <c r="R32" s="299">
        <f t="shared" si="0"/>
        <v>-0.1</v>
      </c>
      <c r="S32" s="256">
        <f t="shared" si="1"/>
        <v>0</v>
      </c>
      <c r="T32" s="283"/>
      <c r="U32" s="438"/>
      <c r="V32" s="442"/>
      <c r="W32" s="409"/>
      <c r="X32" s="314"/>
      <c r="Y32" s="279"/>
      <c r="Z32" s="279"/>
      <c r="AA32" s="280"/>
      <c r="AB32" s="279"/>
      <c r="AC32" s="279"/>
      <c r="AD32" s="279"/>
      <c r="AE32" s="279"/>
      <c r="AF32" s="279"/>
      <c r="AG32" s="279"/>
    </row>
    <row r="33" spans="1:33" ht="15" customHeight="1">
      <c r="A33" s="16"/>
      <c r="B33" s="670" t="s">
        <v>321</v>
      </c>
      <c r="C33" s="671"/>
      <c r="D33" s="529">
        <v>1616</v>
      </c>
      <c r="E33" s="525">
        <v>1616</v>
      </c>
      <c r="F33" s="530">
        <v>1616</v>
      </c>
      <c r="G33" s="531">
        <v>1501</v>
      </c>
      <c r="H33" s="526">
        <v>1501</v>
      </c>
      <c r="I33" s="497">
        <v>1501</v>
      </c>
      <c r="J33" s="497">
        <v>1452</v>
      </c>
      <c r="K33" s="536">
        <v>1452</v>
      </c>
      <c r="L33" s="537">
        <v>1452</v>
      </c>
      <c r="M33" s="538">
        <v>1452</v>
      </c>
      <c r="N33" s="538">
        <v>1452</v>
      </c>
      <c r="O33" s="538">
        <v>1452</v>
      </c>
      <c r="P33" s="515">
        <v>1452</v>
      </c>
      <c r="Q33" s="502">
        <v>1452</v>
      </c>
      <c r="R33" s="299">
        <f t="shared" si="0"/>
        <v>-1.5</v>
      </c>
      <c r="S33" s="256">
        <f t="shared" si="1"/>
        <v>0</v>
      </c>
      <c r="T33" s="283"/>
      <c r="U33" s="438"/>
      <c r="V33" s="442"/>
      <c r="W33" s="411"/>
      <c r="X33" s="316"/>
      <c r="Y33" s="317"/>
      <c r="Z33" s="317"/>
      <c r="AA33" s="43"/>
      <c r="AB33" s="317"/>
      <c r="AC33" s="317"/>
      <c r="AD33" s="317"/>
      <c r="AE33" s="317"/>
      <c r="AF33" s="317"/>
      <c r="AG33" s="317"/>
    </row>
    <row r="34" spans="1:33" ht="15.75" customHeight="1" thickBot="1">
      <c r="A34" s="16"/>
      <c r="B34" s="678" t="s">
        <v>322</v>
      </c>
      <c r="C34" s="679"/>
      <c r="D34" s="102">
        <f>SUM(D31:D33)</f>
        <v>6968</v>
      </c>
      <c r="E34" s="539">
        <f t="shared" ref="E34:Q34" si="4">SUM(E31:E33)</f>
        <v>6968</v>
      </c>
      <c r="F34" s="539">
        <f t="shared" si="4"/>
        <v>6968</v>
      </c>
      <c r="G34" s="100">
        <f t="shared" si="4"/>
        <v>6853</v>
      </c>
      <c r="H34" s="100">
        <f t="shared" si="4"/>
        <v>7035</v>
      </c>
      <c r="I34" s="100">
        <f t="shared" si="4"/>
        <v>7035</v>
      </c>
      <c r="J34" s="101">
        <f t="shared" si="4"/>
        <v>7836</v>
      </c>
      <c r="K34" s="104">
        <f t="shared" si="4"/>
        <v>7654</v>
      </c>
      <c r="L34" s="540">
        <f t="shared" si="4"/>
        <v>7654</v>
      </c>
      <c r="M34" s="100">
        <f t="shared" si="4"/>
        <v>7654</v>
      </c>
      <c r="N34" s="100">
        <f t="shared" si="4"/>
        <v>7654</v>
      </c>
      <c r="O34" s="100">
        <f t="shared" si="4"/>
        <v>7654</v>
      </c>
      <c r="P34" s="100">
        <f t="shared" si="4"/>
        <v>7654</v>
      </c>
      <c r="Q34" s="104">
        <f t="shared" si="4"/>
        <v>7654</v>
      </c>
      <c r="R34" s="306">
        <f t="shared" si="0"/>
        <v>1.4</v>
      </c>
      <c r="S34" s="541">
        <f t="shared" si="1"/>
        <v>0</v>
      </c>
      <c r="T34" s="283"/>
      <c r="U34" s="438"/>
      <c r="V34" s="442"/>
      <c r="W34" s="404"/>
      <c r="X34" s="317"/>
      <c r="Y34" s="317"/>
      <c r="Z34" s="317"/>
      <c r="AA34" s="43"/>
      <c r="AB34" s="317"/>
      <c r="AC34" s="317"/>
      <c r="AD34" s="317"/>
      <c r="AE34" s="317"/>
      <c r="AF34" s="317"/>
      <c r="AG34" s="317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146631.5</v>
      </c>
      <c r="E35" s="543">
        <f t="shared" ref="E35:Q35" si="5">E19+E20+E22+E24+E26+E27+E30+E34</f>
        <v>147109</v>
      </c>
      <c r="F35" s="543">
        <f t="shared" si="5"/>
        <v>149809</v>
      </c>
      <c r="G35" s="544">
        <f t="shared" si="5"/>
        <v>153218</v>
      </c>
      <c r="H35" s="544">
        <f t="shared" si="5"/>
        <v>157366.5</v>
      </c>
      <c r="I35" s="544">
        <f t="shared" si="5"/>
        <v>159102.5</v>
      </c>
      <c r="J35" s="545">
        <f t="shared" si="5"/>
        <v>164987.5</v>
      </c>
      <c r="K35" s="546">
        <f t="shared" si="5"/>
        <v>170552.5</v>
      </c>
      <c r="L35" s="547">
        <f t="shared" si="5"/>
        <v>177030.8</v>
      </c>
      <c r="M35" s="544">
        <f t="shared" si="5"/>
        <v>186571.5</v>
      </c>
      <c r="N35" s="544">
        <f t="shared" si="5"/>
        <v>197010.5</v>
      </c>
      <c r="O35" s="544">
        <f t="shared" si="5"/>
        <v>206097.5</v>
      </c>
      <c r="P35" s="544">
        <f t="shared" si="5"/>
        <v>213168.5</v>
      </c>
      <c r="Q35" s="546">
        <f t="shared" si="5"/>
        <v>219549.5</v>
      </c>
      <c r="R35" s="548">
        <f t="shared" si="0"/>
        <v>2.2000000000000002</v>
      </c>
      <c r="S35" s="549">
        <f t="shared" si="1"/>
        <v>4.4000000000000004</v>
      </c>
      <c r="T35" s="283"/>
      <c r="U35" s="438"/>
      <c r="V35" s="442"/>
    </row>
    <row r="36" spans="1:33" ht="15" customHeight="1">
      <c r="A36" s="613" t="s">
        <v>324</v>
      </c>
      <c r="B36" s="666" t="s">
        <v>433</v>
      </c>
      <c r="C36" s="667"/>
      <c r="D36" s="487">
        <v>7396</v>
      </c>
      <c r="E36" s="488">
        <v>7477</v>
      </c>
      <c r="F36" s="489">
        <v>7937</v>
      </c>
      <c r="G36" s="489">
        <v>8327</v>
      </c>
      <c r="H36" s="488">
        <v>8270</v>
      </c>
      <c r="I36" s="489">
        <v>8279</v>
      </c>
      <c r="J36" s="550">
        <v>8524</v>
      </c>
      <c r="K36" s="490">
        <v>8793</v>
      </c>
      <c r="L36" s="491">
        <v>8800</v>
      </c>
      <c r="M36" s="492">
        <v>9340</v>
      </c>
      <c r="N36" s="492">
        <v>9760</v>
      </c>
      <c r="O36" s="492">
        <v>11270</v>
      </c>
      <c r="P36" s="493">
        <v>11900</v>
      </c>
      <c r="Q36" s="498">
        <v>12400</v>
      </c>
      <c r="R36" s="299">
        <f t="shared" si="0"/>
        <v>2.5</v>
      </c>
      <c r="S36" s="256">
        <f t="shared" si="1"/>
        <v>7.1</v>
      </c>
      <c r="U36" s="404"/>
      <c r="V36" s="414"/>
      <c r="W36" s="404"/>
      <c r="X36" s="317"/>
      <c r="Y36" s="317"/>
      <c r="Z36" s="317"/>
      <c r="AA36" s="43"/>
      <c r="AB36" s="317"/>
      <c r="AC36" s="317"/>
      <c r="AD36" s="317"/>
      <c r="AE36" s="317"/>
      <c r="AF36" s="317"/>
      <c r="AG36" s="317"/>
    </row>
    <row r="37" spans="1:33" ht="15" customHeight="1">
      <c r="A37" s="614" t="s">
        <v>325</v>
      </c>
      <c r="B37" s="668" t="s">
        <v>434</v>
      </c>
      <c r="C37" s="669"/>
      <c r="D37" s="495">
        <v>3929</v>
      </c>
      <c r="E37" s="496">
        <v>3522</v>
      </c>
      <c r="F37" s="497">
        <v>3478</v>
      </c>
      <c r="G37" s="497">
        <v>3925</v>
      </c>
      <c r="H37" s="496">
        <v>4182</v>
      </c>
      <c r="I37" s="497">
        <v>4229</v>
      </c>
      <c r="J37" s="551">
        <v>4189</v>
      </c>
      <c r="K37" s="498">
        <v>4013</v>
      </c>
      <c r="L37" s="499">
        <v>4200</v>
      </c>
      <c r="M37" s="500">
        <v>4200</v>
      </c>
      <c r="N37" s="500">
        <v>4200</v>
      </c>
      <c r="O37" s="500">
        <v>4200</v>
      </c>
      <c r="P37" s="501">
        <v>4200</v>
      </c>
      <c r="Q37" s="498">
        <v>4200</v>
      </c>
      <c r="R37" s="299">
        <f t="shared" si="0"/>
        <v>0.3</v>
      </c>
      <c r="S37" s="256">
        <f t="shared" si="1"/>
        <v>0</v>
      </c>
      <c r="U37" s="404"/>
      <c r="V37" s="414"/>
      <c r="W37" s="404"/>
      <c r="X37" s="317"/>
      <c r="Y37" s="317"/>
      <c r="Z37" s="317"/>
      <c r="AA37" s="43"/>
      <c r="AB37" s="317"/>
      <c r="AC37" s="317"/>
      <c r="AD37" s="317"/>
      <c r="AE37" s="317"/>
      <c r="AF37" s="317"/>
      <c r="AG37" s="317"/>
    </row>
    <row r="38" spans="1:33" ht="15" customHeight="1">
      <c r="A38" s="16"/>
      <c r="B38" s="668" t="s">
        <v>435</v>
      </c>
      <c r="C38" s="669"/>
      <c r="D38" s="503">
        <v>2434</v>
      </c>
      <c r="E38" s="496">
        <v>2484</v>
      </c>
      <c r="F38" s="497">
        <v>2446.6880000000001</v>
      </c>
      <c r="G38" s="497">
        <v>3380.5260999999996</v>
      </c>
      <c r="H38" s="496">
        <v>3730.076656267247</v>
      </c>
      <c r="I38" s="497">
        <v>3837.5010975912783</v>
      </c>
      <c r="J38" s="497">
        <v>3353</v>
      </c>
      <c r="K38" s="502">
        <v>4000</v>
      </c>
      <c r="L38" s="503">
        <v>3871</v>
      </c>
      <c r="M38" s="496">
        <v>3904</v>
      </c>
      <c r="N38" s="496">
        <v>4000</v>
      </c>
      <c r="O38" s="496">
        <v>3938</v>
      </c>
      <c r="P38" s="279">
        <v>3904</v>
      </c>
      <c r="Q38" s="502">
        <v>3871</v>
      </c>
      <c r="R38" s="299">
        <f t="shared" si="0"/>
        <v>7.4</v>
      </c>
      <c r="S38" s="256">
        <f t="shared" si="1"/>
        <v>0</v>
      </c>
      <c r="U38" s="405"/>
      <c r="V38" s="329"/>
      <c r="W38" s="405"/>
      <c r="X38" s="278"/>
      <c r="Y38" s="278"/>
      <c r="Z38" s="278"/>
      <c r="AA38" s="318"/>
      <c r="AB38" s="278"/>
      <c r="AC38" s="278"/>
      <c r="AD38" s="278"/>
      <c r="AE38" s="278"/>
      <c r="AF38" s="278"/>
      <c r="AG38" s="278"/>
    </row>
    <row r="39" spans="1:33" ht="15" customHeight="1">
      <c r="A39" s="16"/>
      <c r="B39" s="668" t="s">
        <v>436</v>
      </c>
      <c r="C39" s="669"/>
      <c r="D39" s="503">
        <v>14917.765053831539</v>
      </c>
      <c r="E39" s="496">
        <v>15714.9868852459</v>
      </c>
      <c r="F39" s="497">
        <v>15139.195112196256</v>
      </c>
      <c r="G39" s="497">
        <v>16825.055874009176</v>
      </c>
      <c r="H39" s="496">
        <v>18206.286962025315</v>
      </c>
      <c r="I39" s="497">
        <v>19663.456176375927</v>
      </c>
      <c r="J39" s="497">
        <v>21677.705233818524</v>
      </c>
      <c r="K39" s="502">
        <v>22282.846294820716</v>
      </c>
      <c r="L39" s="503">
        <v>24703.178359891404</v>
      </c>
      <c r="M39" s="496">
        <v>26306.07069105962</v>
      </c>
      <c r="N39" s="496">
        <v>28547.708826383605</v>
      </c>
      <c r="O39" s="496">
        <v>30594.447499024409</v>
      </c>
      <c r="P39" s="279">
        <v>31952.173033648141</v>
      </c>
      <c r="Q39" s="502">
        <v>33803.734782438783</v>
      </c>
      <c r="R39" s="299">
        <f t="shared" si="0"/>
        <v>5.9</v>
      </c>
      <c r="S39" s="256">
        <f t="shared" si="1"/>
        <v>6.5</v>
      </c>
      <c r="U39" s="404"/>
      <c r="V39" s="414"/>
      <c r="W39" s="404"/>
      <c r="X39" s="317"/>
      <c r="Y39" s="317"/>
      <c r="Z39" s="317"/>
      <c r="AA39" s="43"/>
      <c r="AB39" s="317"/>
      <c r="AC39" s="317"/>
      <c r="AD39" s="317"/>
      <c r="AE39" s="317"/>
      <c r="AF39" s="317"/>
      <c r="AG39" s="317"/>
    </row>
    <row r="40" spans="1:33" ht="15" customHeight="1">
      <c r="A40" s="16"/>
      <c r="B40" s="668" t="s">
        <v>437</v>
      </c>
      <c r="C40" s="669"/>
      <c r="D40" s="495">
        <v>2880</v>
      </c>
      <c r="E40" s="496">
        <v>3666</v>
      </c>
      <c r="F40" s="497">
        <v>4093</v>
      </c>
      <c r="G40" s="497">
        <v>3875.94</v>
      </c>
      <c r="H40" s="496">
        <v>3976.5897399999999</v>
      </c>
      <c r="I40" s="497">
        <v>4208.648827084</v>
      </c>
      <c r="J40" s="497">
        <v>4031.8840099999998</v>
      </c>
      <c r="K40" s="502">
        <v>4252.4873100000004</v>
      </c>
      <c r="L40" s="503">
        <v>4457.3033100000002</v>
      </c>
      <c r="M40" s="496">
        <v>4319.3033100000002</v>
      </c>
      <c r="N40" s="496">
        <v>4279.3033100000002</v>
      </c>
      <c r="O40" s="496">
        <v>4579.3033100000002</v>
      </c>
      <c r="P40" s="496">
        <v>4559.3033100000002</v>
      </c>
      <c r="Q40" s="502">
        <v>4519.3033100000002</v>
      </c>
      <c r="R40" s="299">
        <f t="shared" si="0"/>
        <v>5.7</v>
      </c>
      <c r="S40" s="256">
        <f t="shared" si="1"/>
        <v>0.3</v>
      </c>
      <c r="U40" s="406"/>
      <c r="V40" s="415"/>
      <c r="W40" s="406"/>
      <c r="X40" s="279"/>
      <c r="Y40" s="279"/>
      <c r="Z40" s="279"/>
      <c r="AA40" s="43"/>
      <c r="AB40" s="317"/>
      <c r="AC40" s="317"/>
      <c r="AD40" s="317"/>
      <c r="AE40" s="317"/>
      <c r="AF40" s="317"/>
      <c r="AG40" s="317"/>
    </row>
    <row r="41" spans="1:33" ht="15" customHeight="1">
      <c r="A41" s="16"/>
      <c r="B41" s="668" t="s">
        <v>438</v>
      </c>
      <c r="C41" s="669"/>
      <c r="D41" s="140">
        <v>450</v>
      </c>
      <c r="E41" s="45">
        <v>450</v>
      </c>
      <c r="F41" s="49">
        <v>534</v>
      </c>
      <c r="G41" s="45">
        <v>594</v>
      </c>
      <c r="H41" s="49">
        <v>594</v>
      </c>
      <c r="I41" s="45">
        <v>650</v>
      </c>
      <c r="J41" s="49">
        <v>650</v>
      </c>
      <c r="K41" s="50">
        <v>650</v>
      </c>
      <c r="L41" s="504">
        <v>700</v>
      </c>
      <c r="M41" s="655">
        <v>700</v>
      </c>
      <c r="N41" s="655">
        <v>730</v>
      </c>
      <c r="O41" s="655">
        <v>730</v>
      </c>
      <c r="P41" s="655">
        <v>730</v>
      </c>
      <c r="Q41" s="51">
        <v>1500</v>
      </c>
      <c r="R41" s="299">
        <f t="shared" si="0"/>
        <v>5.4</v>
      </c>
      <c r="S41" s="256">
        <f t="shared" si="1"/>
        <v>16.5</v>
      </c>
      <c r="U41" s="406"/>
      <c r="V41" s="415"/>
      <c r="W41" s="406"/>
      <c r="X41" s="279"/>
      <c r="Y41" s="279"/>
      <c r="Z41" s="279"/>
      <c r="AA41" s="280"/>
      <c r="AB41" s="317"/>
      <c r="AC41" s="317"/>
      <c r="AD41" s="317"/>
      <c r="AE41" s="317"/>
      <c r="AF41" s="317"/>
      <c r="AG41" s="317"/>
    </row>
    <row r="42" spans="1:33" ht="15" customHeight="1">
      <c r="A42" s="16"/>
      <c r="B42" s="668" t="s">
        <v>439</v>
      </c>
      <c r="C42" s="669"/>
      <c r="D42" s="140">
        <v>3052</v>
      </c>
      <c r="E42" s="49">
        <v>3355</v>
      </c>
      <c r="F42" s="45">
        <v>3744</v>
      </c>
      <c r="G42" s="49">
        <v>3985</v>
      </c>
      <c r="H42" s="49">
        <v>4077</v>
      </c>
      <c r="I42" s="45">
        <v>4077</v>
      </c>
      <c r="J42" s="49">
        <v>3740</v>
      </c>
      <c r="K42" s="50">
        <v>4750</v>
      </c>
      <c r="L42" s="504">
        <v>5200</v>
      </c>
      <c r="M42" s="45">
        <v>5300</v>
      </c>
      <c r="N42" s="45">
        <v>5700</v>
      </c>
      <c r="O42" s="45">
        <v>5900</v>
      </c>
      <c r="P42" s="45">
        <v>7000</v>
      </c>
      <c r="Q42" s="50">
        <v>7500</v>
      </c>
      <c r="R42" s="299">
        <f t="shared" si="0"/>
        <v>6.5</v>
      </c>
      <c r="S42" s="256">
        <f t="shared" si="1"/>
        <v>7.6</v>
      </c>
      <c r="U42" s="404"/>
      <c r="V42" s="414"/>
      <c r="W42" s="404"/>
      <c r="X42" s="317"/>
      <c r="Y42" s="317"/>
      <c r="Z42" s="317"/>
      <c r="AA42" s="43"/>
      <c r="AB42" s="317"/>
      <c r="AC42" s="317"/>
      <c r="AD42" s="317"/>
      <c r="AE42" s="317"/>
      <c r="AF42" s="317"/>
      <c r="AG42" s="317"/>
    </row>
    <row r="43" spans="1:33" ht="15.7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2"/>
      <c r="R43" s="299" t="str">
        <f t="shared" si="0"/>
        <v xml:space="preserve">     -</v>
      </c>
      <c r="S43" s="256" t="str">
        <f t="shared" si="1"/>
        <v xml:space="preserve">     -</v>
      </c>
      <c r="U43" s="406"/>
      <c r="V43" s="415"/>
      <c r="W43" s="406"/>
      <c r="X43" s="279"/>
      <c r="Y43" s="279"/>
      <c r="Z43" s="279"/>
      <c r="AA43" s="43"/>
      <c r="AB43" s="317"/>
      <c r="AC43" s="317"/>
      <c r="AD43" s="317"/>
      <c r="AE43" s="317"/>
      <c r="AF43" s="317"/>
      <c r="AG43" s="317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56</v>
      </c>
      <c r="J44" s="49">
        <v>300</v>
      </c>
      <c r="K44" s="50">
        <v>320</v>
      </c>
      <c r="L44" s="504">
        <v>320</v>
      </c>
      <c r="M44" s="45">
        <v>320</v>
      </c>
      <c r="N44" s="45">
        <v>320</v>
      </c>
      <c r="O44" s="45">
        <v>480</v>
      </c>
      <c r="P44" s="45">
        <v>480</v>
      </c>
      <c r="Q44" s="50">
        <v>480</v>
      </c>
      <c r="R44" s="299" t="str">
        <f t="shared" si="0"/>
        <v xml:space="preserve">     -</v>
      </c>
      <c r="S44" s="256">
        <f t="shared" si="1"/>
        <v>8.4</v>
      </c>
      <c r="U44" s="406"/>
      <c r="V44" s="415"/>
      <c r="W44" s="406"/>
      <c r="X44" s="279"/>
      <c r="Y44" s="279"/>
      <c r="Z44" s="279"/>
      <c r="AA44" s="43"/>
      <c r="AB44" s="317"/>
      <c r="AC44" s="317"/>
      <c r="AD44" s="317"/>
      <c r="AE44" s="317"/>
      <c r="AF44" s="317"/>
      <c r="AG44" s="317"/>
    </row>
    <row r="45" spans="1:33" ht="15" customHeight="1">
      <c r="A45" s="16"/>
      <c r="B45" s="668" t="s">
        <v>441</v>
      </c>
      <c r="C45" s="669"/>
      <c r="D45" s="495">
        <v>1508</v>
      </c>
      <c r="E45" s="496">
        <v>1557</v>
      </c>
      <c r="F45" s="497">
        <v>1568</v>
      </c>
      <c r="G45" s="497">
        <v>1455.912</v>
      </c>
      <c r="H45" s="496">
        <v>1324.0830099999998</v>
      </c>
      <c r="I45" s="497">
        <v>1442.7304616581002</v>
      </c>
      <c r="J45" s="497">
        <v>1465.4748000000002</v>
      </c>
      <c r="K45" s="502">
        <v>1433.67047</v>
      </c>
      <c r="L45" s="503">
        <v>1620.1014700000001</v>
      </c>
      <c r="M45" s="496">
        <v>1464.8014700000001</v>
      </c>
      <c r="N45" s="496">
        <v>2412.6114700000003</v>
      </c>
      <c r="O45" s="496">
        <v>2672.7314700000002</v>
      </c>
      <c r="P45" s="497">
        <v>2681.7164699999998</v>
      </c>
      <c r="Q45" s="502">
        <v>2722.8564700000002</v>
      </c>
      <c r="R45" s="299">
        <f t="shared" si="0"/>
        <v>-0.7</v>
      </c>
      <c r="S45" s="256">
        <f t="shared" si="1"/>
        <v>10.9</v>
      </c>
      <c r="U45" s="406"/>
      <c r="V45" s="415"/>
      <c r="W45" s="406"/>
      <c r="X45" s="279"/>
      <c r="Y45" s="279"/>
      <c r="Z45" s="279"/>
      <c r="AA45" s="43"/>
      <c r="AB45" s="317"/>
      <c r="AC45" s="317"/>
      <c r="AD45" s="317"/>
      <c r="AE45" s="317"/>
      <c r="AF45" s="317"/>
      <c r="AG45" s="317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0">
        <v>1200</v>
      </c>
      <c r="R46" s="299" t="str">
        <f t="shared" si="0"/>
        <v xml:space="preserve">     -</v>
      </c>
      <c r="S46" s="256" t="str">
        <f t="shared" si="1"/>
        <v xml:space="preserve">     -</v>
      </c>
      <c r="U46" s="406"/>
      <c r="V46" s="415"/>
      <c r="W46" s="406"/>
      <c r="X46" s="279"/>
      <c r="Y46" s="279"/>
      <c r="Z46" s="279"/>
      <c r="AA46" s="43"/>
      <c r="AB46" s="317"/>
      <c r="AC46" s="317"/>
      <c r="AD46" s="317"/>
      <c r="AE46" s="317"/>
      <c r="AF46" s="317"/>
      <c r="AG46" s="317"/>
    </row>
    <row r="47" spans="1:33" ht="15" customHeight="1" thickBot="1">
      <c r="A47" s="16"/>
      <c r="B47" s="670" t="s">
        <v>443</v>
      </c>
      <c r="C47" s="671"/>
      <c r="D47" s="495">
        <v>7017.6</v>
      </c>
      <c r="E47" s="496">
        <v>6689.3</v>
      </c>
      <c r="F47" s="497">
        <v>6145.2</v>
      </c>
      <c r="G47" s="497">
        <v>6695.7</v>
      </c>
      <c r="H47" s="496">
        <v>6647</v>
      </c>
      <c r="I47" s="497">
        <v>6883</v>
      </c>
      <c r="J47" s="497">
        <v>6278.8</v>
      </c>
      <c r="K47" s="502">
        <v>6530</v>
      </c>
      <c r="L47" s="503">
        <v>6156.5</v>
      </c>
      <c r="M47" s="650">
        <v>6244.4544999999998</v>
      </c>
      <c r="N47" s="496">
        <v>6161.924</v>
      </c>
      <c r="O47" s="496">
        <v>6141.9070000000002</v>
      </c>
      <c r="P47" s="497">
        <v>6049.5385000000006</v>
      </c>
      <c r="Q47" s="502">
        <v>6053.2934999999998</v>
      </c>
      <c r="R47" s="299">
        <f t="shared" si="0"/>
        <v>-1</v>
      </c>
      <c r="S47" s="256">
        <f t="shared" si="1"/>
        <v>-0.3</v>
      </c>
      <c r="U47" s="404"/>
      <c r="V47" s="414"/>
      <c r="W47" s="406"/>
      <c r="X47" s="279"/>
      <c r="Y47" s="279"/>
      <c r="Z47" s="317"/>
      <c r="AA47" s="43"/>
      <c r="AB47" s="317"/>
      <c r="AC47" s="317"/>
      <c r="AD47" s="317"/>
      <c r="AE47" s="317"/>
      <c r="AF47" s="317"/>
      <c r="AG47" s="317"/>
    </row>
    <row r="48" spans="1:33" ht="15.75" customHeight="1" thickBot="1">
      <c r="A48" s="16"/>
      <c r="B48" s="674" t="s">
        <v>307</v>
      </c>
      <c r="C48" s="675"/>
      <c r="D48" s="95">
        <f>SUM(D36:D47)</f>
        <v>43584.365053831534</v>
      </c>
      <c r="E48" s="93">
        <f t="shared" ref="E48:Q48" si="6">SUM(E36:E47)</f>
        <v>44915.286885245907</v>
      </c>
      <c r="F48" s="93">
        <f t="shared" si="6"/>
        <v>45085.083112196255</v>
      </c>
      <c r="G48" s="93">
        <f t="shared" si="6"/>
        <v>49064.133974009172</v>
      </c>
      <c r="H48" s="93">
        <f t="shared" si="6"/>
        <v>51007.036368292567</v>
      </c>
      <c r="I48" s="93">
        <f t="shared" si="6"/>
        <v>53326.336562709301</v>
      </c>
      <c r="J48" s="93">
        <f t="shared" si="6"/>
        <v>54209.864043818532</v>
      </c>
      <c r="K48" s="96">
        <f t="shared" si="6"/>
        <v>57025.00407482071</v>
      </c>
      <c r="L48" s="555">
        <f t="shared" si="6"/>
        <v>60028.083139891409</v>
      </c>
      <c r="M48" s="651">
        <f t="shared" si="6"/>
        <v>62098.629971059621</v>
      </c>
      <c r="N48" s="652">
        <f t="shared" si="6"/>
        <v>66111.54760638361</v>
      </c>
      <c r="O48" s="653">
        <f t="shared" si="6"/>
        <v>70506.389279024414</v>
      </c>
      <c r="P48" s="654">
        <f t="shared" si="6"/>
        <v>73456.731313648139</v>
      </c>
      <c r="Q48" s="227">
        <f t="shared" si="6"/>
        <v>78250.188062438785</v>
      </c>
      <c r="R48" s="303">
        <f t="shared" si="0"/>
        <v>3.9</v>
      </c>
      <c r="S48" s="510">
        <f t="shared" si="1"/>
        <v>5.4</v>
      </c>
      <c r="U48" s="404"/>
      <c r="V48" s="414"/>
      <c r="W48" s="404"/>
      <c r="X48" s="317"/>
      <c r="Y48" s="317"/>
      <c r="Z48" s="317"/>
      <c r="AA48" s="43"/>
      <c r="AB48" s="317"/>
      <c r="AC48" s="317"/>
      <c r="AD48" s="317"/>
      <c r="AE48" s="317"/>
      <c r="AF48" s="317"/>
      <c r="AG48" s="317"/>
    </row>
    <row r="49" spans="1:33" ht="15.75" customHeight="1">
      <c r="A49" s="16"/>
      <c r="B49" s="672" t="s">
        <v>308</v>
      </c>
      <c r="C49" s="673"/>
      <c r="D49" s="511">
        <v>430</v>
      </c>
      <c r="E49" s="512">
        <v>430</v>
      </c>
      <c r="F49" s="512">
        <v>430</v>
      </c>
      <c r="G49" s="512">
        <v>405</v>
      </c>
      <c r="H49" s="512">
        <v>405</v>
      </c>
      <c r="I49" s="512">
        <v>405</v>
      </c>
      <c r="J49" s="513">
        <v>405</v>
      </c>
      <c r="K49" s="514">
        <v>380</v>
      </c>
      <c r="L49" s="511">
        <v>380</v>
      </c>
      <c r="M49" s="649">
        <v>380</v>
      </c>
      <c r="N49" s="538">
        <v>380</v>
      </c>
      <c r="O49" s="538">
        <v>380</v>
      </c>
      <c r="P49" s="515">
        <v>380</v>
      </c>
      <c r="Q49" s="514">
        <v>380</v>
      </c>
      <c r="R49" s="303">
        <f t="shared" si="0"/>
        <v>-1.8</v>
      </c>
      <c r="S49" s="510">
        <f t="shared" si="1"/>
        <v>0</v>
      </c>
      <c r="U49" s="406"/>
      <c r="V49" s="415"/>
      <c r="W49" s="406"/>
      <c r="X49" s="279"/>
      <c r="Y49" s="279"/>
      <c r="Z49" s="279"/>
      <c r="AA49" s="280"/>
      <c r="AB49" s="279"/>
      <c r="AC49" s="279"/>
      <c r="AD49" s="279"/>
      <c r="AE49" s="279"/>
      <c r="AF49" s="279"/>
      <c r="AG49" s="279"/>
    </row>
    <row r="50" spans="1:33" ht="15" customHeight="1">
      <c r="A50" s="16"/>
      <c r="B50" s="105"/>
      <c r="C50" s="97" t="s">
        <v>309</v>
      </c>
      <c r="D50" s="511">
        <v>430</v>
      </c>
      <c r="E50" s="512">
        <v>430</v>
      </c>
      <c r="F50" s="512">
        <v>430</v>
      </c>
      <c r="G50" s="512">
        <v>405</v>
      </c>
      <c r="H50" s="512">
        <v>405</v>
      </c>
      <c r="I50" s="512">
        <v>405</v>
      </c>
      <c r="J50" s="513">
        <v>405</v>
      </c>
      <c r="K50" s="514">
        <v>380</v>
      </c>
      <c r="L50" s="511">
        <v>380</v>
      </c>
      <c r="M50" s="512">
        <v>380</v>
      </c>
      <c r="N50" s="512">
        <v>380</v>
      </c>
      <c r="O50" s="512">
        <v>380</v>
      </c>
      <c r="P50" s="513">
        <v>380</v>
      </c>
      <c r="Q50" s="514">
        <v>380</v>
      </c>
      <c r="R50" s="303">
        <f t="shared" si="0"/>
        <v>-1.8</v>
      </c>
      <c r="S50" s="510">
        <f t="shared" si="1"/>
        <v>0</v>
      </c>
      <c r="U50" s="406"/>
      <c r="V50" s="415"/>
      <c r="W50" s="406"/>
      <c r="X50" s="279"/>
      <c r="Y50" s="279"/>
      <c r="Z50" s="279"/>
      <c r="AA50" s="280"/>
      <c r="AB50" s="279"/>
      <c r="AC50" s="279"/>
      <c r="AD50" s="279"/>
      <c r="AE50" s="279"/>
      <c r="AF50" s="279"/>
      <c r="AG50" s="279"/>
    </row>
    <row r="51" spans="1:33" ht="15.75" customHeight="1">
      <c r="A51" s="16"/>
      <c r="B51" s="672" t="s">
        <v>310</v>
      </c>
      <c r="C51" s="673"/>
      <c r="D51" s="511">
        <v>22853</v>
      </c>
      <c r="E51" s="512">
        <v>22404</v>
      </c>
      <c r="F51" s="512">
        <v>20489</v>
      </c>
      <c r="G51" s="512">
        <v>20270</v>
      </c>
      <c r="H51" s="512">
        <v>21125</v>
      </c>
      <c r="I51" s="512">
        <v>21049.06</v>
      </c>
      <c r="J51" s="513">
        <v>21570.182204999997</v>
      </c>
      <c r="K51" s="514">
        <v>22083.352333999999</v>
      </c>
      <c r="L51" s="511">
        <v>21633.056036999998</v>
      </c>
      <c r="M51" s="512">
        <v>21806.460863</v>
      </c>
      <c r="N51" s="512">
        <v>21928.115914999998</v>
      </c>
      <c r="O51" s="512">
        <v>21924.116664000001</v>
      </c>
      <c r="P51" s="513">
        <v>21997.086568999999</v>
      </c>
      <c r="Q51" s="514">
        <v>22270.666035000002</v>
      </c>
      <c r="R51" s="303">
        <f t="shared" si="0"/>
        <v>-0.5</v>
      </c>
      <c r="S51" s="510">
        <f t="shared" si="1"/>
        <v>0.6</v>
      </c>
      <c r="U51" s="404"/>
      <c r="V51" s="414"/>
      <c r="W51" s="404"/>
      <c r="X51" s="317"/>
      <c r="Y51" s="317"/>
      <c r="Z51" s="317"/>
      <c r="AA51" s="43"/>
      <c r="AB51" s="317"/>
      <c r="AC51" s="317"/>
      <c r="AD51" s="317"/>
      <c r="AE51" s="317"/>
      <c r="AF51" s="317"/>
      <c r="AG51" s="317"/>
    </row>
    <row r="52" spans="1:33" ht="15" customHeight="1">
      <c r="A52" s="16"/>
      <c r="B52" s="105"/>
      <c r="C52" s="615" t="s">
        <v>311</v>
      </c>
      <c r="D52" s="511">
        <v>20793</v>
      </c>
      <c r="E52" s="512">
        <v>20113</v>
      </c>
      <c r="F52" s="512">
        <v>18874</v>
      </c>
      <c r="G52" s="512">
        <v>18519</v>
      </c>
      <c r="H52" s="512">
        <v>19318</v>
      </c>
      <c r="I52" s="512">
        <v>19316</v>
      </c>
      <c r="J52" s="513">
        <v>20155.023229999999</v>
      </c>
      <c r="K52" s="514">
        <v>20194.334676999999</v>
      </c>
      <c r="L52" s="511">
        <v>19745.209430999999</v>
      </c>
      <c r="M52" s="512">
        <v>19878.865003999999</v>
      </c>
      <c r="N52" s="512">
        <v>19950.298579999999</v>
      </c>
      <c r="O52" s="512">
        <v>19946.010975000001</v>
      </c>
      <c r="P52" s="513">
        <v>20023.459048000001</v>
      </c>
      <c r="Q52" s="514">
        <v>20326.017239000001</v>
      </c>
      <c r="R52" s="303">
        <f t="shared" si="0"/>
        <v>-0.4</v>
      </c>
      <c r="S52" s="510">
        <f t="shared" si="1"/>
        <v>0.6</v>
      </c>
      <c r="U52" s="404"/>
      <c r="V52" s="414"/>
      <c r="W52" s="404"/>
      <c r="X52" s="317"/>
      <c r="Y52" s="317"/>
      <c r="Z52" s="317"/>
      <c r="AA52" s="43"/>
      <c r="AB52" s="317"/>
      <c r="AC52" s="317"/>
      <c r="AD52" s="317"/>
      <c r="AE52" s="317"/>
      <c r="AF52" s="317"/>
      <c r="AG52" s="317"/>
    </row>
    <row r="53" spans="1:33" ht="15.75" customHeight="1">
      <c r="A53" s="16"/>
      <c r="B53" s="672" t="s">
        <v>312</v>
      </c>
      <c r="C53" s="673"/>
      <c r="D53" s="503">
        <v>19467</v>
      </c>
      <c r="E53" s="496">
        <v>22709</v>
      </c>
      <c r="F53" s="496">
        <v>24181</v>
      </c>
      <c r="G53" s="496">
        <v>24825</v>
      </c>
      <c r="H53" s="496">
        <v>26020</v>
      </c>
      <c r="I53" s="496">
        <v>25839</v>
      </c>
      <c r="J53" s="497">
        <v>27044</v>
      </c>
      <c r="K53" s="502">
        <v>28182</v>
      </c>
      <c r="L53" s="503">
        <v>29231</v>
      </c>
      <c r="M53" s="496">
        <v>30136</v>
      </c>
      <c r="N53" s="496">
        <v>30681</v>
      </c>
      <c r="O53" s="496">
        <v>31107</v>
      </c>
      <c r="P53" s="497">
        <v>31554</v>
      </c>
      <c r="Q53" s="502">
        <v>32102</v>
      </c>
      <c r="R53" s="299">
        <f t="shared" si="0"/>
        <v>5.4</v>
      </c>
      <c r="S53" s="256">
        <f t="shared" si="1"/>
        <v>1.9</v>
      </c>
      <c r="U53" s="406"/>
      <c r="V53" s="415"/>
      <c r="W53" s="406"/>
      <c r="X53" s="279"/>
      <c r="Y53" s="279"/>
      <c r="Z53" s="279"/>
      <c r="AA53" s="280"/>
      <c r="AB53" s="317"/>
      <c r="AC53" s="317"/>
      <c r="AD53" s="317"/>
      <c r="AE53" s="317"/>
      <c r="AF53" s="317"/>
      <c r="AG53" s="317"/>
    </row>
    <row r="54" spans="1:33" ht="15" customHeight="1">
      <c r="A54" s="16"/>
      <c r="B54" s="16"/>
      <c r="C54" s="615" t="s">
        <v>313</v>
      </c>
      <c r="D54" s="511">
        <v>12501</v>
      </c>
      <c r="E54" s="518">
        <v>12501</v>
      </c>
      <c r="F54" s="518">
        <v>13538</v>
      </c>
      <c r="G54" s="518">
        <v>13850</v>
      </c>
      <c r="H54" s="518">
        <v>13950</v>
      </c>
      <c r="I54" s="518">
        <v>14184</v>
      </c>
      <c r="J54" s="519">
        <v>14325</v>
      </c>
      <c r="K54" s="514">
        <v>14927</v>
      </c>
      <c r="L54" s="511">
        <v>15476</v>
      </c>
      <c r="M54" s="518">
        <v>15876</v>
      </c>
      <c r="N54" s="518">
        <v>16076</v>
      </c>
      <c r="O54" s="518">
        <v>16201</v>
      </c>
      <c r="P54" s="519">
        <v>16300</v>
      </c>
      <c r="Q54" s="514">
        <v>16498</v>
      </c>
      <c r="R54" s="303">
        <f t="shared" si="0"/>
        <v>2.6</v>
      </c>
      <c r="S54" s="510">
        <f t="shared" si="1"/>
        <v>1.3</v>
      </c>
      <c r="U54" s="406"/>
      <c r="V54" s="415"/>
      <c r="W54" s="406"/>
      <c r="X54" s="279"/>
      <c r="Y54" s="279"/>
      <c r="Z54" s="279"/>
      <c r="AA54" s="280"/>
      <c r="AB54" s="317"/>
      <c r="AC54" s="317"/>
      <c r="AD54" s="317"/>
      <c r="AE54" s="317"/>
      <c r="AF54" s="317"/>
      <c r="AG54" s="317"/>
    </row>
    <row r="55" spans="1:33" ht="15.75" customHeight="1">
      <c r="A55" s="16"/>
      <c r="B55" s="674" t="s">
        <v>314</v>
      </c>
      <c r="C55" s="675"/>
      <c r="D55" s="511">
        <v>1500</v>
      </c>
      <c r="E55" s="518">
        <v>1139</v>
      </c>
      <c r="F55" s="518">
        <v>1098</v>
      </c>
      <c r="G55" s="518">
        <v>1170</v>
      </c>
      <c r="H55" s="518">
        <v>1215</v>
      </c>
      <c r="I55" s="518">
        <v>1290</v>
      </c>
      <c r="J55" s="519">
        <v>1340</v>
      </c>
      <c r="K55" s="514">
        <v>1650</v>
      </c>
      <c r="L55" s="511">
        <v>1670</v>
      </c>
      <c r="M55" s="518">
        <v>1690</v>
      </c>
      <c r="N55" s="518">
        <v>1730</v>
      </c>
      <c r="O55" s="518">
        <v>1820</v>
      </c>
      <c r="P55" s="519">
        <v>1875</v>
      </c>
      <c r="Q55" s="514">
        <v>2025</v>
      </c>
      <c r="R55" s="303">
        <f t="shared" si="0"/>
        <v>1.4</v>
      </c>
      <c r="S55" s="510">
        <f t="shared" si="1"/>
        <v>3.9</v>
      </c>
      <c r="U55" s="406"/>
      <c r="V55" s="415"/>
      <c r="W55" s="406"/>
      <c r="X55" s="279"/>
      <c r="Y55" s="279"/>
      <c r="Z55" s="279"/>
      <c r="AA55" s="280"/>
      <c r="AB55" s="317"/>
      <c r="AC55" s="317"/>
      <c r="AD55" s="317"/>
      <c r="AE55" s="317"/>
      <c r="AF55" s="317"/>
      <c r="AG55" s="317"/>
    </row>
    <row r="56" spans="1:33" ht="15.75" customHeight="1">
      <c r="A56" s="16"/>
      <c r="B56" s="674" t="s">
        <v>315</v>
      </c>
      <c r="C56" s="675"/>
      <c r="D56" s="520">
        <v>2777</v>
      </c>
      <c r="E56" s="521">
        <v>2994</v>
      </c>
      <c r="F56" s="521">
        <v>2546</v>
      </c>
      <c r="G56" s="521">
        <v>3067</v>
      </c>
      <c r="H56" s="521">
        <v>2779</v>
      </c>
      <c r="I56" s="521">
        <v>3054</v>
      </c>
      <c r="J56" s="522">
        <v>3549</v>
      </c>
      <c r="K56" s="523">
        <v>3627</v>
      </c>
      <c r="L56" s="520">
        <v>4000</v>
      </c>
      <c r="M56" s="521">
        <v>4500</v>
      </c>
      <c r="N56" s="521">
        <v>5200</v>
      </c>
      <c r="O56" s="521">
        <v>5800</v>
      </c>
      <c r="P56" s="522">
        <v>5920</v>
      </c>
      <c r="Q56" s="523">
        <v>6246</v>
      </c>
      <c r="R56" s="303">
        <f t="shared" si="0"/>
        <v>3.9</v>
      </c>
      <c r="S56" s="510">
        <f t="shared" si="1"/>
        <v>9.3000000000000007</v>
      </c>
      <c r="U56" s="407"/>
      <c r="V56" s="416"/>
      <c r="W56" s="407"/>
      <c r="X56" s="312"/>
      <c r="Y56" s="312"/>
      <c r="Z56" s="312"/>
      <c r="AA56" s="419"/>
      <c r="AB56" s="312"/>
      <c r="AC56" s="312"/>
      <c r="AD56" s="312"/>
      <c r="AE56" s="312"/>
      <c r="AF56" s="312"/>
      <c r="AG56" s="312"/>
    </row>
    <row r="57" spans="1:33" ht="15" customHeight="1">
      <c r="A57" s="16"/>
      <c r="B57" s="672" t="s">
        <v>316</v>
      </c>
      <c r="C57" s="673"/>
      <c r="D57" s="553">
        <v>23900</v>
      </c>
      <c r="E57" s="526">
        <v>24413</v>
      </c>
      <c r="F57" s="530">
        <v>24300</v>
      </c>
      <c r="G57" s="497">
        <v>25029</v>
      </c>
      <c r="H57" s="496">
        <v>24842</v>
      </c>
      <c r="I57" s="497">
        <v>26422</v>
      </c>
      <c r="J57" s="551">
        <v>25957.8</v>
      </c>
      <c r="K57" s="554">
        <v>27462</v>
      </c>
      <c r="L57" s="527">
        <v>30072</v>
      </c>
      <c r="M57" s="528">
        <v>33449</v>
      </c>
      <c r="N57" s="528">
        <v>36485</v>
      </c>
      <c r="O57" s="528">
        <v>36619.200000000004</v>
      </c>
      <c r="P57" s="528">
        <v>37744.200000000004</v>
      </c>
      <c r="Q57" s="528">
        <v>38987.1</v>
      </c>
      <c r="R57" s="299">
        <f t="shared" si="0"/>
        <v>2</v>
      </c>
      <c r="S57" s="256">
        <f t="shared" si="1"/>
        <v>5.3</v>
      </c>
      <c r="U57" s="409"/>
      <c r="V57" s="418"/>
      <c r="W57" s="412"/>
      <c r="X57" s="317"/>
      <c r="Y57" s="317"/>
      <c r="Z57" s="317"/>
      <c r="AA57" s="43"/>
      <c r="AB57" s="43"/>
      <c r="AC57" s="43"/>
      <c r="AD57" s="43"/>
      <c r="AE57" s="43"/>
      <c r="AF57" s="43"/>
      <c r="AG57" s="317"/>
    </row>
    <row r="58" spans="1:33" ht="15" customHeight="1">
      <c r="A58" s="16"/>
      <c r="B58" s="670" t="s">
        <v>317</v>
      </c>
      <c r="C58" s="671"/>
      <c r="D58" s="553">
        <v>4647.6000000000004</v>
      </c>
      <c r="E58" s="526">
        <v>4647.6000000000004</v>
      </c>
      <c r="F58" s="530">
        <v>4543.2</v>
      </c>
      <c r="G58" s="497">
        <v>4543.2</v>
      </c>
      <c r="H58" s="496">
        <v>4543.2</v>
      </c>
      <c r="I58" s="497">
        <v>4543.25</v>
      </c>
      <c r="J58" s="551">
        <v>4436.3499999999995</v>
      </c>
      <c r="K58" s="498">
        <v>4811</v>
      </c>
      <c r="L58" s="499">
        <v>4811</v>
      </c>
      <c r="M58" s="532">
        <v>4811</v>
      </c>
      <c r="N58" s="532">
        <v>4811</v>
      </c>
      <c r="O58" s="532">
        <v>4902</v>
      </c>
      <c r="P58" s="532">
        <v>4900</v>
      </c>
      <c r="Q58" s="498">
        <v>4900</v>
      </c>
      <c r="R58" s="299">
        <f t="shared" si="0"/>
        <v>0.5</v>
      </c>
      <c r="S58" s="256">
        <f t="shared" si="1"/>
        <v>0.4</v>
      </c>
      <c r="U58" s="409"/>
      <c r="V58" s="418"/>
      <c r="W58" s="412"/>
      <c r="X58" s="317"/>
      <c r="Y58" s="317"/>
      <c r="Z58" s="317"/>
      <c r="AA58" s="43"/>
      <c r="AB58" s="317"/>
      <c r="AC58" s="317"/>
      <c r="AD58" s="317"/>
      <c r="AE58" s="317"/>
      <c r="AF58" s="317"/>
      <c r="AG58" s="317"/>
    </row>
    <row r="59" spans="1:33" ht="15.75" customHeight="1">
      <c r="A59" s="16"/>
      <c r="B59" s="674" t="s">
        <v>318</v>
      </c>
      <c r="C59" s="675"/>
      <c r="D59" s="95">
        <f>SUM(D57:D58)</f>
        <v>28547.599999999999</v>
      </c>
      <c r="E59" s="92">
        <f t="shared" ref="E59:Q59" si="7">SUM(E57:E58)</f>
        <v>29060.6</v>
      </c>
      <c r="F59" s="92">
        <f t="shared" si="7"/>
        <v>28843.200000000001</v>
      </c>
      <c r="G59" s="93">
        <f t="shared" si="7"/>
        <v>29572.2</v>
      </c>
      <c r="H59" s="93">
        <f t="shared" si="7"/>
        <v>29385.200000000001</v>
      </c>
      <c r="I59" s="94">
        <f t="shared" si="7"/>
        <v>30965.25</v>
      </c>
      <c r="J59" s="94">
        <f t="shared" si="7"/>
        <v>30394.149999999998</v>
      </c>
      <c r="K59" s="96">
        <f t="shared" si="7"/>
        <v>32273</v>
      </c>
      <c r="L59" s="555">
        <f t="shared" si="7"/>
        <v>34883</v>
      </c>
      <c r="M59" s="556">
        <f t="shared" si="7"/>
        <v>38260</v>
      </c>
      <c r="N59" s="556">
        <f t="shared" si="7"/>
        <v>41296</v>
      </c>
      <c r="O59" s="556">
        <f t="shared" si="7"/>
        <v>41521.200000000004</v>
      </c>
      <c r="P59" s="556">
        <f t="shared" si="7"/>
        <v>42644.200000000004</v>
      </c>
      <c r="Q59" s="96">
        <f t="shared" si="7"/>
        <v>43887.1</v>
      </c>
      <c r="R59" s="303">
        <f t="shared" si="0"/>
        <v>1.8</v>
      </c>
      <c r="S59" s="510">
        <f t="shared" si="1"/>
        <v>4.7</v>
      </c>
      <c r="U59" s="404"/>
      <c r="V59" s="414"/>
      <c r="W59" s="404"/>
      <c r="X59" s="317"/>
      <c r="Y59" s="317"/>
      <c r="Z59" s="317"/>
      <c r="AA59" s="43"/>
      <c r="AB59" s="317"/>
      <c r="AC59" s="317"/>
      <c r="AD59" s="317"/>
      <c r="AE59" s="317"/>
      <c r="AF59" s="317"/>
      <c r="AG59" s="317"/>
    </row>
    <row r="60" spans="1:33" ht="15" customHeight="1">
      <c r="A60" s="16"/>
      <c r="B60" s="672" t="s">
        <v>319</v>
      </c>
      <c r="C60" s="673"/>
      <c r="D60" s="553">
        <v>1100</v>
      </c>
      <c r="E60" s="526">
        <v>1099</v>
      </c>
      <c r="F60" s="530">
        <v>1142</v>
      </c>
      <c r="G60" s="497">
        <v>1244</v>
      </c>
      <c r="H60" s="496">
        <v>1350</v>
      </c>
      <c r="I60" s="497">
        <v>1408</v>
      </c>
      <c r="J60" s="551">
        <v>1945.6000000000001</v>
      </c>
      <c r="K60" s="498">
        <v>2025</v>
      </c>
      <c r="L60" s="533">
        <v>2025</v>
      </c>
      <c r="M60" s="534">
        <v>2025</v>
      </c>
      <c r="N60" s="534">
        <v>2025</v>
      </c>
      <c r="O60" s="534">
        <v>2025</v>
      </c>
      <c r="P60" s="534">
        <v>2025</v>
      </c>
      <c r="Q60" s="535">
        <v>2025</v>
      </c>
      <c r="R60" s="299">
        <f t="shared" si="0"/>
        <v>9.1</v>
      </c>
      <c r="S60" s="256">
        <f t="shared" si="1"/>
        <v>0</v>
      </c>
      <c r="U60" s="409"/>
      <c r="V60" s="418"/>
      <c r="W60" s="412"/>
      <c r="X60" s="279"/>
      <c r="Y60" s="279"/>
      <c r="Z60" s="279"/>
      <c r="AA60" s="43"/>
      <c r="AB60" s="317"/>
      <c r="AC60" s="317"/>
      <c r="AD60" s="317"/>
      <c r="AE60" s="317"/>
      <c r="AF60" s="317"/>
      <c r="AG60" s="317"/>
    </row>
    <row r="61" spans="1:33" ht="15" customHeight="1">
      <c r="A61" s="16"/>
      <c r="B61" s="668" t="s">
        <v>320</v>
      </c>
      <c r="C61" s="669"/>
      <c r="D61" s="553">
        <v>3120</v>
      </c>
      <c r="E61" s="526">
        <v>3295</v>
      </c>
      <c r="F61" s="530">
        <v>3170</v>
      </c>
      <c r="G61" s="497">
        <v>3300</v>
      </c>
      <c r="H61" s="496">
        <v>3375</v>
      </c>
      <c r="I61" s="497">
        <v>3375</v>
      </c>
      <c r="J61" s="497">
        <v>3573</v>
      </c>
      <c r="K61" s="502">
        <v>3359.2</v>
      </c>
      <c r="L61" s="503">
        <v>3359.2</v>
      </c>
      <c r="M61" s="496">
        <v>3359.2</v>
      </c>
      <c r="N61" s="496">
        <v>3359.2</v>
      </c>
      <c r="O61" s="496">
        <v>3359.2</v>
      </c>
      <c r="P61" s="497">
        <v>3359.2</v>
      </c>
      <c r="Q61" s="502">
        <v>3359</v>
      </c>
      <c r="R61" s="299">
        <f t="shared" si="0"/>
        <v>1.1000000000000001</v>
      </c>
      <c r="S61" s="256">
        <f t="shared" si="1"/>
        <v>0</v>
      </c>
      <c r="U61" s="409"/>
      <c r="V61" s="418"/>
      <c r="W61" s="412"/>
      <c r="X61" s="279"/>
      <c r="Y61" s="279"/>
      <c r="Z61" s="279"/>
      <c r="AA61" s="280"/>
      <c r="AB61" s="317"/>
      <c r="AC61" s="317"/>
      <c r="AD61" s="317"/>
      <c r="AE61" s="317"/>
      <c r="AF61" s="317"/>
      <c r="AG61" s="317"/>
    </row>
    <row r="62" spans="1:33" ht="15" customHeight="1">
      <c r="A62" s="16"/>
      <c r="B62" s="670" t="s">
        <v>321</v>
      </c>
      <c r="C62" s="671"/>
      <c r="D62" s="553">
        <v>1221</v>
      </c>
      <c r="E62" s="525">
        <v>1233</v>
      </c>
      <c r="F62" s="530">
        <v>1243</v>
      </c>
      <c r="G62" s="497">
        <v>1287</v>
      </c>
      <c r="H62" s="496">
        <v>1276</v>
      </c>
      <c r="I62" s="497">
        <v>1276</v>
      </c>
      <c r="J62" s="497">
        <v>1350.9</v>
      </c>
      <c r="K62" s="536">
        <v>1306.8</v>
      </c>
      <c r="L62" s="537">
        <v>1306.8</v>
      </c>
      <c r="M62" s="538">
        <v>1306.8</v>
      </c>
      <c r="N62" s="538">
        <v>1306.8</v>
      </c>
      <c r="O62" s="538">
        <v>1306.8</v>
      </c>
      <c r="P62" s="515">
        <v>1306.8</v>
      </c>
      <c r="Q62" s="536">
        <v>1307</v>
      </c>
      <c r="R62" s="299">
        <f t="shared" si="0"/>
        <v>1</v>
      </c>
      <c r="S62" s="256">
        <f t="shared" si="1"/>
        <v>0</v>
      </c>
      <c r="U62" s="411"/>
      <c r="V62" s="354"/>
      <c r="W62" s="410"/>
      <c r="X62" s="317"/>
      <c r="Y62" s="317"/>
      <c r="Z62" s="317"/>
      <c r="AA62" s="43"/>
      <c r="AB62" s="317"/>
      <c r="AC62" s="317"/>
      <c r="AD62" s="317"/>
      <c r="AE62" s="317"/>
      <c r="AF62" s="317"/>
      <c r="AG62" s="317"/>
    </row>
    <row r="63" spans="1:33" ht="15.75" customHeight="1" thickBot="1">
      <c r="A63" s="16"/>
      <c r="B63" s="678" t="s">
        <v>322</v>
      </c>
      <c r="C63" s="679"/>
      <c r="D63" s="102">
        <f>SUM(D60:D62)</f>
        <v>5441</v>
      </c>
      <c r="E63" s="539">
        <f t="shared" ref="E63:Q63" si="8">SUM(E60:E62)</f>
        <v>5627</v>
      </c>
      <c r="F63" s="539">
        <f t="shared" si="8"/>
        <v>5555</v>
      </c>
      <c r="G63" s="100">
        <f t="shared" si="8"/>
        <v>5831</v>
      </c>
      <c r="H63" s="100">
        <f t="shared" si="8"/>
        <v>6001</v>
      </c>
      <c r="I63" s="100">
        <f t="shared" si="8"/>
        <v>6059</v>
      </c>
      <c r="J63" s="101">
        <f t="shared" si="8"/>
        <v>6869.5</v>
      </c>
      <c r="K63" s="104">
        <f t="shared" si="8"/>
        <v>6691</v>
      </c>
      <c r="L63" s="540">
        <f t="shared" si="8"/>
        <v>6691</v>
      </c>
      <c r="M63" s="100">
        <f t="shared" si="8"/>
        <v>6691</v>
      </c>
      <c r="N63" s="100">
        <f t="shared" si="8"/>
        <v>6691</v>
      </c>
      <c r="O63" s="100">
        <f t="shared" si="8"/>
        <v>6691</v>
      </c>
      <c r="P63" s="100">
        <f t="shared" si="8"/>
        <v>6691</v>
      </c>
      <c r="Q63" s="104">
        <f t="shared" si="8"/>
        <v>6691</v>
      </c>
      <c r="R63" s="306">
        <f t="shared" si="0"/>
        <v>3</v>
      </c>
      <c r="S63" s="541">
        <f t="shared" si="1"/>
        <v>0</v>
      </c>
      <c r="U63" s="404"/>
      <c r="V63" s="414"/>
      <c r="W63" s="404"/>
      <c r="X63" s="317"/>
      <c r="Y63" s="317"/>
      <c r="Z63" s="317"/>
      <c r="AA63" s="43"/>
      <c r="AB63" s="317"/>
      <c r="AC63" s="317"/>
      <c r="AD63" s="317"/>
      <c r="AE63" s="317"/>
      <c r="AF63" s="317"/>
      <c r="AG63" s="317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124599.96505383155</v>
      </c>
      <c r="E64" s="543">
        <f t="shared" ref="E64:Q64" si="9">E48+E49+E51+E53+E55+E56+E59+E63</f>
        <v>129278.88688524591</v>
      </c>
      <c r="F64" s="543">
        <f t="shared" si="9"/>
        <v>128227.28311219625</v>
      </c>
      <c r="G64" s="544">
        <f t="shared" si="9"/>
        <v>134204.33397400915</v>
      </c>
      <c r="H64" s="544">
        <f t="shared" si="9"/>
        <v>137937.23636829256</v>
      </c>
      <c r="I64" s="544">
        <f t="shared" si="9"/>
        <v>141987.6465627093</v>
      </c>
      <c r="J64" s="545">
        <f t="shared" si="9"/>
        <v>145381.69624881854</v>
      </c>
      <c r="K64" s="546">
        <f t="shared" si="9"/>
        <v>151911.35640882072</v>
      </c>
      <c r="L64" s="547">
        <f t="shared" si="9"/>
        <v>158516.13917689142</v>
      </c>
      <c r="M64" s="648">
        <f t="shared" si="9"/>
        <v>165562.09083405964</v>
      </c>
      <c r="N64" s="648">
        <f t="shared" si="9"/>
        <v>174017.6635213836</v>
      </c>
      <c r="O64" s="648">
        <f t="shared" si="9"/>
        <v>179749.70594302443</v>
      </c>
      <c r="P64" s="648">
        <f t="shared" si="9"/>
        <v>184518.01788264816</v>
      </c>
      <c r="Q64" s="647">
        <f t="shared" si="9"/>
        <v>191851.95409743881</v>
      </c>
      <c r="R64" s="557">
        <f t="shared" si="0"/>
        <v>2.9</v>
      </c>
      <c r="S64" s="558">
        <f t="shared" si="1"/>
        <v>3.9</v>
      </c>
    </row>
    <row r="65" spans="1:33" ht="15" customHeight="1">
      <c r="A65" s="616" t="s">
        <v>327</v>
      </c>
      <c r="B65" s="666" t="s">
        <v>433</v>
      </c>
      <c r="C65" s="667"/>
      <c r="D65" s="487">
        <v>7038</v>
      </c>
      <c r="E65" s="488">
        <v>6890</v>
      </c>
      <c r="F65" s="489">
        <v>7039</v>
      </c>
      <c r="G65" s="559">
        <v>7351</v>
      </c>
      <c r="H65" s="560">
        <v>7710</v>
      </c>
      <c r="I65" s="559">
        <v>7850</v>
      </c>
      <c r="J65" s="559">
        <v>7918</v>
      </c>
      <c r="K65" s="561">
        <v>8086</v>
      </c>
      <c r="L65" s="562">
        <v>8100</v>
      </c>
      <c r="M65" s="525">
        <v>8270</v>
      </c>
      <c r="N65" s="525">
        <v>8620</v>
      </c>
      <c r="O65" s="525">
        <v>8620</v>
      </c>
      <c r="P65" s="313">
        <v>10040</v>
      </c>
      <c r="Q65" s="561">
        <v>10900</v>
      </c>
      <c r="R65" s="299">
        <f t="shared" si="0"/>
        <v>2</v>
      </c>
      <c r="S65" s="256">
        <f t="shared" si="1"/>
        <v>6.1</v>
      </c>
      <c r="U65" s="404"/>
      <c r="V65" s="414"/>
      <c r="W65" s="404"/>
      <c r="X65" s="315"/>
      <c r="Y65" s="315"/>
      <c r="Z65" s="315"/>
      <c r="AA65" s="283"/>
      <c r="AB65" s="315"/>
      <c r="AC65" s="315"/>
      <c r="AD65" s="315"/>
      <c r="AE65" s="315"/>
      <c r="AF65" s="315"/>
      <c r="AG65" s="315"/>
    </row>
    <row r="66" spans="1:33" ht="15" customHeight="1">
      <c r="A66" s="614" t="s">
        <v>328</v>
      </c>
      <c r="B66" s="668" t="s">
        <v>434</v>
      </c>
      <c r="C66" s="669"/>
      <c r="D66" s="529">
        <v>4112</v>
      </c>
      <c r="E66" s="525">
        <v>3795</v>
      </c>
      <c r="F66" s="530">
        <v>3704</v>
      </c>
      <c r="G66" s="497">
        <v>3986</v>
      </c>
      <c r="H66" s="496">
        <v>4112</v>
      </c>
      <c r="I66" s="497">
        <v>4118</v>
      </c>
      <c r="J66" s="551">
        <v>4246</v>
      </c>
      <c r="K66" s="498">
        <v>4273</v>
      </c>
      <c r="L66" s="499">
        <v>4300</v>
      </c>
      <c r="M66" s="500">
        <v>4300</v>
      </c>
      <c r="N66" s="500">
        <v>4300</v>
      </c>
      <c r="O66" s="500">
        <v>4300</v>
      </c>
      <c r="P66" s="501">
        <v>4350</v>
      </c>
      <c r="Q66" s="498">
        <v>4350</v>
      </c>
      <c r="R66" s="299">
        <f t="shared" si="0"/>
        <v>0.6</v>
      </c>
      <c r="S66" s="256">
        <f t="shared" si="1"/>
        <v>0.2</v>
      </c>
      <c r="U66" s="410"/>
      <c r="V66" s="354"/>
      <c r="W66" s="410"/>
      <c r="X66" s="317"/>
      <c r="Y66" s="317"/>
      <c r="Z66" s="317"/>
      <c r="AA66" s="43"/>
      <c r="AB66" s="317"/>
      <c r="AC66" s="317"/>
      <c r="AD66" s="317"/>
      <c r="AE66" s="317"/>
      <c r="AF66" s="317"/>
      <c r="AG66" s="317"/>
    </row>
    <row r="67" spans="1:33" ht="15" customHeight="1">
      <c r="A67" s="16"/>
      <c r="B67" s="668" t="s">
        <v>435</v>
      </c>
      <c r="C67" s="669"/>
      <c r="D67" s="503">
        <v>2213</v>
      </c>
      <c r="E67" s="496">
        <v>2451.299</v>
      </c>
      <c r="F67" s="497">
        <v>2389.9340000000002</v>
      </c>
      <c r="G67" s="497">
        <v>3252.8780999999999</v>
      </c>
      <c r="H67" s="496">
        <v>3501.7856562672468</v>
      </c>
      <c r="I67" s="497">
        <v>3607.1730975912783</v>
      </c>
      <c r="J67" s="497">
        <v>3330</v>
      </c>
      <c r="K67" s="502">
        <v>3577</v>
      </c>
      <c r="L67" s="503">
        <v>3788</v>
      </c>
      <c r="M67" s="496">
        <v>3836</v>
      </c>
      <c r="N67" s="496">
        <v>3942</v>
      </c>
      <c r="O67" s="496">
        <v>3910</v>
      </c>
      <c r="P67" s="497">
        <v>3844</v>
      </c>
      <c r="Q67" s="502">
        <v>3861</v>
      </c>
      <c r="R67" s="299">
        <f t="shared" si="0"/>
        <v>7.1</v>
      </c>
      <c r="S67" s="256">
        <f t="shared" si="1"/>
        <v>0.4</v>
      </c>
      <c r="U67" s="406"/>
      <c r="V67" s="415"/>
      <c r="W67" s="406"/>
      <c r="X67" s="279"/>
      <c r="Y67" s="279"/>
      <c r="Z67" s="279"/>
      <c r="AA67" s="280"/>
      <c r="AB67" s="279"/>
      <c r="AC67" s="279"/>
      <c r="AD67" s="279"/>
      <c r="AE67" s="279"/>
      <c r="AF67" s="279"/>
      <c r="AG67" s="279"/>
    </row>
    <row r="68" spans="1:33" ht="15" customHeight="1">
      <c r="A68" s="16"/>
      <c r="B68" s="668" t="s">
        <v>436</v>
      </c>
      <c r="C68" s="669"/>
      <c r="D68" s="503">
        <v>15699.765053831539</v>
      </c>
      <c r="E68" s="496">
        <v>16761.9868852459</v>
      </c>
      <c r="F68" s="497">
        <v>16561.195112196256</v>
      </c>
      <c r="G68" s="497">
        <v>18529.055874009176</v>
      </c>
      <c r="H68" s="496">
        <v>19703.286962025315</v>
      </c>
      <c r="I68" s="497">
        <v>21184.456176375927</v>
      </c>
      <c r="J68" s="497">
        <v>23326.705233818524</v>
      </c>
      <c r="K68" s="502">
        <v>24433.846294820716</v>
      </c>
      <c r="L68" s="503">
        <v>26433.178359891404</v>
      </c>
      <c r="M68" s="496">
        <v>28116.07069105962</v>
      </c>
      <c r="N68" s="496">
        <v>30397.708826383605</v>
      </c>
      <c r="O68" s="496">
        <v>32454.447499024409</v>
      </c>
      <c r="P68" s="497">
        <v>33842.173033648141</v>
      </c>
      <c r="Q68" s="502">
        <v>35303.734782438783</v>
      </c>
      <c r="R68" s="299">
        <f t="shared" si="0"/>
        <v>6.5</v>
      </c>
      <c r="S68" s="256">
        <f t="shared" si="1"/>
        <v>6</v>
      </c>
      <c r="U68" s="404"/>
      <c r="V68" s="414"/>
      <c r="W68" s="404"/>
      <c r="X68" s="317"/>
      <c r="Y68" s="317"/>
      <c r="Z68" s="317"/>
      <c r="AA68" s="43"/>
      <c r="AB68" s="317"/>
      <c r="AC68" s="317"/>
      <c r="AD68" s="317"/>
      <c r="AE68" s="317"/>
      <c r="AF68" s="317"/>
      <c r="AG68" s="317"/>
    </row>
    <row r="69" spans="1:33" ht="15" customHeight="1">
      <c r="A69" s="16"/>
      <c r="B69" s="668" t="s">
        <v>437</v>
      </c>
      <c r="C69" s="669"/>
      <c r="D69" s="495">
        <v>3310.82</v>
      </c>
      <c r="E69" s="496">
        <v>3707</v>
      </c>
      <c r="F69" s="497">
        <v>4148</v>
      </c>
      <c r="G69" s="497">
        <v>3944</v>
      </c>
      <c r="H69" s="496">
        <v>3940.9952599999997</v>
      </c>
      <c r="I69" s="497">
        <v>4161.5298270840003</v>
      </c>
      <c r="J69" s="497">
        <v>4103.3680100000001</v>
      </c>
      <c r="K69" s="502">
        <v>4151.58331</v>
      </c>
      <c r="L69" s="503">
        <v>4469.3033100000002</v>
      </c>
      <c r="M69" s="496">
        <v>4469.3033100000002</v>
      </c>
      <c r="N69" s="496">
        <v>4469.3033100000002</v>
      </c>
      <c r="O69" s="496">
        <v>4469.3033100000002</v>
      </c>
      <c r="P69" s="497">
        <v>4469.3033100000002</v>
      </c>
      <c r="Q69" s="502">
        <v>4469.3033100000002</v>
      </c>
      <c r="R69" s="299">
        <f t="shared" si="0"/>
        <v>3.3</v>
      </c>
      <c r="S69" s="256">
        <f t="shared" si="1"/>
        <v>0</v>
      </c>
      <c r="U69" s="406"/>
      <c r="V69" s="415"/>
      <c r="W69" s="406"/>
      <c r="X69" s="279"/>
      <c r="Y69" s="279"/>
      <c r="Z69" s="279"/>
      <c r="AA69" s="43"/>
      <c r="AB69" s="317"/>
      <c r="AC69" s="317"/>
      <c r="AD69" s="317"/>
      <c r="AE69" s="317"/>
      <c r="AF69" s="317"/>
      <c r="AG69" s="317"/>
    </row>
    <row r="70" spans="1:33" ht="15" customHeight="1">
      <c r="A70" s="16"/>
      <c r="B70" s="668" t="s">
        <v>438</v>
      </c>
      <c r="C70" s="669"/>
      <c r="D70" s="140">
        <v>1086.6130252694152</v>
      </c>
      <c r="E70" s="45">
        <v>960.6339792403918</v>
      </c>
      <c r="F70" s="49">
        <v>1102</v>
      </c>
      <c r="G70" s="45">
        <v>1130</v>
      </c>
      <c r="H70" s="49">
        <v>1130</v>
      </c>
      <c r="I70" s="45">
        <v>1200</v>
      </c>
      <c r="J70" s="49">
        <v>1200</v>
      </c>
      <c r="K70" s="50">
        <v>1150</v>
      </c>
      <c r="L70" s="140">
        <v>1320</v>
      </c>
      <c r="M70" s="45">
        <v>1390</v>
      </c>
      <c r="N70" s="45">
        <v>1460</v>
      </c>
      <c r="O70" s="45">
        <v>1530</v>
      </c>
      <c r="P70" s="45">
        <v>1610</v>
      </c>
      <c r="Q70" s="50">
        <v>1720</v>
      </c>
      <c r="R70" s="299">
        <f t="shared" si="0"/>
        <v>0.8</v>
      </c>
      <c r="S70" s="256">
        <f t="shared" si="1"/>
        <v>5.4</v>
      </c>
      <c r="U70" s="406"/>
      <c r="V70" s="415"/>
      <c r="W70" s="406"/>
      <c r="X70" s="279"/>
      <c r="Y70" s="279"/>
      <c r="Z70" s="279"/>
      <c r="AA70" s="280"/>
      <c r="AB70" s="317"/>
      <c r="AC70" s="317"/>
      <c r="AD70" s="317"/>
      <c r="AE70" s="317"/>
      <c r="AF70" s="317"/>
      <c r="AG70" s="317"/>
    </row>
    <row r="71" spans="1:33" ht="15" customHeight="1">
      <c r="A71" s="16"/>
      <c r="B71" s="668" t="s">
        <v>439</v>
      </c>
      <c r="C71" s="669"/>
      <c r="D71" s="140">
        <v>3052</v>
      </c>
      <c r="E71" s="49">
        <v>3411</v>
      </c>
      <c r="F71" s="45">
        <v>3767</v>
      </c>
      <c r="G71" s="49">
        <v>4035</v>
      </c>
      <c r="H71" s="49">
        <v>4110</v>
      </c>
      <c r="I71" s="45">
        <v>4100</v>
      </c>
      <c r="J71" s="49">
        <v>3763</v>
      </c>
      <c r="K71" s="50">
        <v>4800</v>
      </c>
      <c r="L71" s="140">
        <v>5300</v>
      </c>
      <c r="M71" s="45">
        <v>5400</v>
      </c>
      <c r="N71" s="45">
        <v>5600</v>
      </c>
      <c r="O71" s="45">
        <v>5800</v>
      </c>
      <c r="P71" s="45">
        <v>7200</v>
      </c>
      <c r="Q71" s="50">
        <v>7700</v>
      </c>
      <c r="R71" s="299">
        <f t="shared" si="0"/>
        <v>6.7</v>
      </c>
      <c r="S71" s="256">
        <f t="shared" si="1"/>
        <v>7.8</v>
      </c>
      <c r="U71" s="404"/>
      <c r="V71" s="414"/>
      <c r="W71" s="404"/>
      <c r="X71" s="317"/>
      <c r="Y71" s="317"/>
      <c r="Z71" s="317"/>
      <c r="AA71" s="43"/>
      <c r="AB71" s="317"/>
      <c r="AC71" s="317"/>
      <c r="AD71" s="317"/>
      <c r="AE71" s="317"/>
      <c r="AF71" s="317"/>
      <c r="AG71" s="317"/>
    </row>
    <row r="72" spans="1:33" ht="18.7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299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404"/>
      <c r="V72" s="414"/>
      <c r="W72" s="404"/>
      <c r="X72" s="317"/>
      <c r="Y72" s="317"/>
      <c r="Z72" s="317"/>
      <c r="AA72" s="43"/>
      <c r="AB72" s="317"/>
      <c r="AC72" s="317"/>
      <c r="AD72" s="317"/>
      <c r="AE72" s="317"/>
      <c r="AF72" s="317"/>
      <c r="AG72" s="317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50</v>
      </c>
      <c r="I73" s="45">
        <v>56</v>
      </c>
      <c r="J73" s="49">
        <v>300</v>
      </c>
      <c r="K73" s="50">
        <v>320</v>
      </c>
      <c r="L73" s="140">
        <v>320</v>
      </c>
      <c r="M73" s="45">
        <v>320</v>
      </c>
      <c r="N73" s="45">
        <v>320</v>
      </c>
      <c r="O73" s="45">
        <v>480</v>
      </c>
      <c r="P73" s="45">
        <v>480</v>
      </c>
      <c r="Q73" s="50">
        <v>480</v>
      </c>
      <c r="R73" s="299" t="str">
        <f t="shared" si="10"/>
        <v xml:space="preserve">     -</v>
      </c>
      <c r="S73" s="256">
        <f t="shared" si="11"/>
        <v>8.4</v>
      </c>
      <c r="U73" s="404"/>
      <c r="V73" s="414"/>
      <c r="W73" s="404"/>
      <c r="X73" s="317"/>
      <c r="Y73" s="317"/>
      <c r="Z73" s="317"/>
      <c r="AA73" s="43"/>
      <c r="AB73" s="317"/>
      <c r="AC73" s="317"/>
      <c r="AD73" s="317"/>
      <c r="AE73" s="317"/>
      <c r="AF73" s="317"/>
      <c r="AG73" s="317"/>
    </row>
    <row r="74" spans="1:33" ht="15" customHeight="1">
      <c r="A74" s="16"/>
      <c r="B74" s="668" t="s">
        <v>441</v>
      </c>
      <c r="C74" s="669"/>
      <c r="D74" s="495">
        <v>1458.16</v>
      </c>
      <c r="E74" s="496">
        <v>1446</v>
      </c>
      <c r="F74" s="497">
        <v>1474</v>
      </c>
      <c r="G74" s="497">
        <v>1384</v>
      </c>
      <c r="H74" s="496">
        <v>1225.1690099999998</v>
      </c>
      <c r="I74" s="497">
        <v>1332.1604616581001</v>
      </c>
      <c r="J74" s="497">
        <v>1269.8628000000001</v>
      </c>
      <c r="K74" s="502">
        <v>1294.8014700000001</v>
      </c>
      <c r="L74" s="503">
        <v>1294.8014700000001</v>
      </c>
      <c r="M74" s="496">
        <v>1294.8014700000001</v>
      </c>
      <c r="N74" s="496">
        <v>2132.6114700000003</v>
      </c>
      <c r="O74" s="496">
        <v>2352.7314700000002</v>
      </c>
      <c r="P74" s="497">
        <v>2381.7164699999998</v>
      </c>
      <c r="Q74" s="502">
        <v>2422.8564700000002</v>
      </c>
      <c r="R74" s="299">
        <f t="shared" si="10"/>
        <v>-1.7</v>
      </c>
      <c r="S74" s="256">
        <f t="shared" si="11"/>
        <v>13.4</v>
      </c>
      <c r="U74" s="406"/>
      <c r="V74" s="415"/>
      <c r="W74" s="406"/>
      <c r="X74" s="279"/>
      <c r="Y74" s="279"/>
      <c r="Z74" s="279"/>
      <c r="AA74" s="43"/>
      <c r="AB74" s="317"/>
      <c r="AC74" s="317"/>
      <c r="AD74" s="317"/>
      <c r="AE74" s="317"/>
      <c r="AF74" s="317"/>
      <c r="AG74" s="317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1200</v>
      </c>
      <c r="Q75" s="50"/>
      <c r="R75" s="299" t="str">
        <f t="shared" si="10"/>
        <v xml:space="preserve">     -</v>
      </c>
      <c r="S75" s="256" t="str">
        <f t="shared" si="11"/>
        <v xml:space="preserve">     -</v>
      </c>
      <c r="U75" s="406"/>
      <c r="V75" s="415"/>
      <c r="W75" s="406"/>
      <c r="X75" s="279"/>
      <c r="Y75" s="279"/>
      <c r="Z75" s="279"/>
      <c r="AA75" s="43"/>
      <c r="AB75" s="317"/>
      <c r="AC75" s="317"/>
      <c r="AD75" s="317"/>
      <c r="AE75" s="317"/>
      <c r="AF75" s="317"/>
      <c r="AG75" s="317"/>
    </row>
    <row r="76" spans="1:33" ht="15" customHeight="1">
      <c r="A76" s="16"/>
      <c r="B76" s="670" t="s">
        <v>443</v>
      </c>
      <c r="C76" s="671"/>
      <c r="D76" s="138">
        <v>6618.6</v>
      </c>
      <c r="E76" s="40">
        <v>6188.2</v>
      </c>
      <c r="F76" s="40">
        <v>5575.4999999999991</v>
      </c>
      <c r="G76" s="40">
        <v>5823.5</v>
      </c>
      <c r="H76" s="505">
        <v>5859.7</v>
      </c>
      <c r="I76" s="505">
        <v>5960.4</v>
      </c>
      <c r="J76" s="506">
        <v>5717.3</v>
      </c>
      <c r="K76" s="507">
        <v>5961</v>
      </c>
      <c r="L76" s="508">
        <v>5672.9</v>
      </c>
      <c r="M76" s="505">
        <v>5614.4544999999998</v>
      </c>
      <c r="N76" s="505">
        <v>5556.924</v>
      </c>
      <c r="O76" s="505">
        <v>5586.9070000000002</v>
      </c>
      <c r="P76" s="505">
        <v>5519.5385000000006</v>
      </c>
      <c r="Q76" s="509">
        <v>5573.2934999999998</v>
      </c>
      <c r="R76" s="299">
        <f t="shared" si="10"/>
        <v>-1.5</v>
      </c>
      <c r="S76" s="256">
        <f t="shared" si="11"/>
        <v>-0.4</v>
      </c>
      <c r="U76" s="404"/>
      <c r="V76" s="414"/>
      <c r="W76" s="404"/>
      <c r="X76" s="317"/>
      <c r="Y76" s="317"/>
      <c r="Z76" s="317"/>
      <c r="AA76" s="43"/>
      <c r="AB76" s="317"/>
      <c r="AC76" s="317"/>
      <c r="AD76" s="317"/>
      <c r="AE76" s="317"/>
      <c r="AF76" s="317"/>
      <c r="AG76" s="317"/>
    </row>
    <row r="77" spans="1:33" ht="15.75" customHeight="1">
      <c r="A77" s="16"/>
      <c r="B77" s="674" t="s">
        <v>307</v>
      </c>
      <c r="C77" s="675"/>
      <c r="D77" s="95">
        <f>SUM(D65:D76)</f>
        <v>44588.958079100958</v>
      </c>
      <c r="E77" s="93">
        <f t="shared" ref="E77:Q77" si="12">SUM(E65:E76)</f>
        <v>45611.119864486289</v>
      </c>
      <c r="F77" s="93">
        <f t="shared" si="12"/>
        <v>45760.629112196257</v>
      </c>
      <c r="G77" s="93">
        <f t="shared" si="12"/>
        <v>49435.433974009175</v>
      </c>
      <c r="H77" s="93">
        <f t="shared" si="12"/>
        <v>51342.936888292548</v>
      </c>
      <c r="I77" s="93">
        <f t="shared" si="12"/>
        <v>53569.71956270931</v>
      </c>
      <c r="J77" s="93">
        <f t="shared" si="12"/>
        <v>55174.236043818528</v>
      </c>
      <c r="K77" s="96">
        <f t="shared" si="12"/>
        <v>58047.231074820716</v>
      </c>
      <c r="L77" s="95">
        <f t="shared" si="12"/>
        <v>60998.183139891407</v>
      </c>
      <c r="M77" s="93">
        <f t="shared" si="12"/>
        <v>63010.629971059621</v>
      </c>
      <c r="N77" s="93">
        <f t="shared" si="12"/>
        <v>66798.54760638361</v>
      </c>
      <c r="O77" s="93">
        <f t="shared" si="12"/>
        <v>69503.389279024414</v>
      </c>
      <c r="P77" s="93">
        <f t="shared" si="12"/>
        <v>74936.731313648139</v>
      </c>
      <c r="Q77" s="96">
        <f t="shared" si="12"/>
        <v>76780.188062438785</v>
      </c>
      <c r="R77" s="303">
        <f t="shared" si="10"/>
        <v>3.8</v>
      </c>
      <c r="S77" s="510">
        <f t="shared" si="11"/>
        <v>4.7</v>
      </c>
      <c r="U77" s="404"/>
      <c r="V77" s="414"/>
      <c r="W77" s="404"/>
      <c r="X77" s="317"/>
      <c r="Y77" s="317"/>
      <c r="Z77" s="317"/>
      <c r="AA77" s="43"/>
      <c r="AB77" s="317"/>
      <c r="AC77" s="317"/>
      <c r="AD77" s="317"/>
      <c r="AE77" s="317"/>
      <c r="AF77" s="317"/>
      <c r="AG77" s="317"/>
    </row>
    <row r="78" spans="1:33" ht="15.75" customHeight="1">
      <c r="A78" s="16"/>
      <c r="B78" s="672" t="s">
        <v>308</v>
      </c>
      <c r="C78" s="673"/>
      <c r="D78" s="511">
        <v>430</v>
      </c>
      <c r="E78" s="512">
        <v>430</v>
      </c>
      <c r="F78" s="512">
        <v>430</v>
      </c>
      <c r="G78" s="512">
        <v>405</v>
      </c>
      <c r="H78" s="512">
        <v>405</v>
      </c>
      <c r="I78" s="512">
        <v>405</v>
      </c>
      <c r="J78" s="513">
        <v>405</v>
      </c>
      <c r="K78" s="514">
        <v>380</v>
      </c>
      <c r="L78" s="511">
        <v>380</v>
      </c>
      <c r="M78" s="512">
        <v>380</v>
      </c>
      <c r="N78" s="512">
        <v>380</v>
      </c>
      <c r="O78" s="512">
        <v>380</v>
      </c>
      <c r="P78" s="513">
        <v>380</v>
      </c>
      <c r="Q78" s="514">
        <v>380</v>
      </c>
      <c r="R78" s="303">
        <f t="shared" si="10"/>
        <v>-1.8</v>
      </c>
      <c r="S78" s="510">
        <f t="shared" si="11"/>
        <v>0</v>
      </c>
      <c r="U78" s="404"/>
      <c r="V78" s="414"/>
      <c r="W78" s="406"/>
      <c r="X78" s="279"/>
      <c r="Y78" s="279"/>
      <c r="Z78" s="279"/>
      <c r="AA78" s="280"/>
      <c r="AB78" s="279"/>
      <c r="AC78" s="279"/>
      <c r="AD78" s="279"/>
      <c r="AE78" s="279"/>
      <c r="AF78" s="279"/>
      <c r="AG78" s="279"/>
    </row>
    <row r="79" spans="1:33" ht="15" customHeight="1">
      <c r="A79" s="16"/>
      <c r="B79" s="105"/>
      <c r="C79" s="97" t="s">
        <v>309</v>
      </c>
      <c r="D79" s="511">
        <v>430</v>
      </c>
      <c r="E79" s="512">
        <v>430</v>
      </c>
      <c r="F79" s="512">
        <v>430</v>
      </c>
      <c r="G79" s="512">
        <v>405</v>
      </c>
      <c r="H79" s="512">
        <v>405</v>
      </c>
      <c r="I79" s="512">
        <v>405</v>
      </c>
      <c r="J79" s="513">
        <v>405</v>
      </c>
      <c r="K79" s="514">
        <v>380</v>
      </c>
      <c r="L79" s="511">
        <v>380</v>
      </c>
      <c r="M79" s="512">
        <v>380</v>
      </c>
      <c r="N79" s="512">
        <v>380</v>
      </c>
      <c r="O79" s="512">
        <v>380</v>
      </c>
      <c r="P79" s="513">
        <v>380</v>
      </c>
      <c r="Q79" s="514">
        <v>380</v>
      </c>
      <c r="R79" s="303">
        <f t="shared" si="10"/>
        <v>-1.8</v>
      </c>
      <c r="S79" s="510">
        <f t="shared" si="11"/>
        <v>0</v>
      </c>
      <c r="U79" s="404"/>
      <c r="V79" s="414"/>
      <c r="W79" s="406"/>
      <c r="X79" s="279"/>
      <c r="Y79" s="279"/>
      <c r="Z79" s="279"/>
      <c r="AA79" s="280"/>
      <c r="AB79" s="279"/>
      <c r="AC79" s="279"/>
      <c r="AD79" s="279"/>
      <c r="AE79" s="279"/>
      <c r="AF79" s="279"/>
      <c r="AG79" s="279"/>
    </row>
    <row r="80" spans="1:33" ht="15.75" customHeight="1">
      <c r="A80" s="16"/>
      <c r="B80" s="672" t="s">
        <v>310</v>
      </c>
      <c r="C80" s="673"/>
      <c r="D80" s="537">
        <v>22991</v>
      </c>
      <c r="E80" s="538">
        <v>22630</v>
      </c>
      <c r="F80" s="538">
        <v>21190</v>
      </c>
      <c r="G80" s="538">
        <v>21229</v>
      </c>
      <c r="H80" s="538">
        <v>21536</v>
      </c>
      <c r="I80" s="538">
        <v>21433.489999999998</v>
      </c>
      <c r="J80" s="515">
        <v>21385.960480000002</v>
      </c>
      <c r="K80" s="536">
        <v>21458.707693</v>
      </c>
      <c r="L80" s="537">
        <v>21132.652678999999</v>
      </c>
      <c r="M80" s="538">
        <v>21312.536284999998</v>
      </c>
      <c r="N80" s="538">
        <v>21453.945659999998</v>
      </c>
      <c r="O80" s="538">
        <v>21525.301009000003</v>
      </c>
      <c r="P80" s="515">
        <v>21760.435950999999</v>
      </c>
      <c r="Q80" s="536">
        <v>22206.498854000001</v>
      </c>
      <c r="R80" s="516">
        <f t="shared" si="10"/>
        <v>-1</v>
      </c>
      <c r="S80" s="517">
        <f t="shared" si="11"/>
        <v>1</v>
      </c>
      <c r="U80" s="404"/>
      <c r="V80" s="414"/>
      <c r="W80" s="404"/>
      <c r="X80" s="317"/>
      <c r="Y80" s="317"/>
      <c r="Z80" s="317"/>
      <c r="AA80" s="43"/>
      <c r="AB80" s="317"/>
      <c r="AC80" s="317"/>
      <c r="AD80" s="317"/>
      <c r="AE80" s="317"/>
      <c r="AF80" s="317"/>
      <c r="AG80" s="317"/>
    </row>
    <row r="81" spans="1:33" ht="15" customHeight="1">
      <c r="A81" s="16"/>
      <c r="B81" s="105"/>
      <c r="C81" s="615" t="s">
        <v>311</v>
      </c>
      <c r="D81" s="511">
        <v>20844</v>
      </c>
      <c r="E81" s="512">
        <v>19559</v>
      </c>
      <c r="F81" s="512">
        <v>19480</v>
      </c>
      <c r="G81" s="512">
        <v>19372</v>
      </c>
      <c r="H81" s="512">
        <v>19657</v>
      </c>
      <c r="I81" s="512">
        <v>19496.919999999998</v>
      </c>
      <c r="J81" s="513">
        <v>19680.823400000001</v>
      </c>
      <c r="K81" s="514">
        <v>19520.294001999999</v>
      </c>
      <c r="L81" s="511">
        <v>19199.209430999999</v>
      </c>
      <c r="M81" s="512">
        <v>19309.865003999999</v>
      </c>
      <c r="N81" s="512">
        <v>19381.298579999999</v>
      </c>
      <c r="O81" s="512">
        <v>19440.010975000001</v>
      </c>
      <c r="P81" s="513">
        <v>19672.459048000001</v>
      </c>
      <c r="Q81" s="514">
        <v>20144.852444</v>
      </c>
      <c r="R81" s="303">
        <f t="shared" si="10"/>
        <v>-0.9</v>
      </c>
      <c r="S81" s="510">
        <f t="shared" si="11"/>
        <v>1</v>
      </c>
      <c r="U81" s="404"/>
      <c r="V81" s="414"/>
      <c r="W81" s="404"/>
      <c r="X81" s="317"/>
      <c r="Y81" s="317"/>
      <c r="Z81" s="317"/>
      <c r="AA81" s="43"/>
      <c r="AB81" s="317"/>
      <c r="AC81" s="317"/>
      <c r="AD81" s="317"/>
      <c r="AE81" s="317"/>
      <c r="AF81" s="317"/>
      <c r="AG81" s="317"/>
    </row>
    <row r="82" spans="1:33" ht="15.75" customHeight="1">
      <c r="A82" s="16"/>
      <c r="B82" s="672" t="s">
        <v>312</v>
      </c>
      <c r="C82" s="673"/>
      <c r="D82" s="503">
        <v>18807</v>
      </c>
      <c r="E82" s="496">
        <v>21470</v>
      </c>
      <c r="F82" s="496">
        <v>22934</v>
      </c>
      <c r="G82" s="496">
        <v>24078</v>
      </c>
      <c r="H82" s="496">
        <v>25147</v>
      </c>
      <c r="I82" s="496">
        <v>25569</v>
      </c>
      <c r="J82" s="497">
        <v>26859</v>
      </c>
      <c r="K82" s="502">
        <v>27682</v>
      </c>
      <c r="L82" s="503">
        <v>28714</v>
      </c>
      <c r="M82" s="496">
        <v>29560</v>
      </c>
      <c r="N82" s="496">
        <v>29921</v>
      </c>
      <c r="O82" s="496">
        <v>30522</v>
      </c>
      <c r="P82" s="497">
        <v>31166</v>
      </c>
      <c r="Q82" s="502">
        <v>31852</v>
      </c>
      <c r="R82" s="299">
        <f t="shared" si="10"/>
        <v>5.7</v>
      </c>
      <c r="S82" s="256">
        <f t="shared" si="11"/>
        <v>2.1</v>
      </c>
      <c r="U82" s="406"/>
      <c r="V82" s="415"/>
      <c r="W82" s="406"/>
      <c r="X82" s="279"/>
      <c r="Y82" s="279"/>
      <c r="Z82" s="279"/>
      <c r="AA82" s="280"/>
      <c r="AB82" s="317"/>
      <c r="AC82" s="317"/>
      <c r="AD82" s="317"/>
      <c r="AE82" s="317"/>
      <c r="AF82" s="317"/>
      <c r="AG82" s="317"/>
    </row>
    <row r="83" spans="1:33" ht="15" customHeight="1">
      <c r="A83" s="16"/>
      <c r="B83" s="16"/>
      <c r="C83" s="615" t="s">
        <v>313</v>
      </c>
      <c r="D83" s="511">
        <v>12029</v>
      </c>
      <c r="E83" s="518">
        <v>12029</v>
      </c>
      <c r="F83" s="518">
        <v>12884</v>
      </c>
      <c r="G83" s="518">
        <v>13645</v>
      </c>
      <c r="H83" s="518">
        <v>13850</v>
      </c>
      <c r="I83" s="518">
        <v>14059</v>
      </c>
      <c r="J83" s="519">
        <v>13975</v>
      </c>
      <c r="K83" s="514">
        <v>14582</v>
      </c>
      <c r="L83" s="511">
        <v>15174</v>
      </c>
      <c r="M83" s="518">
        <v>15548</v>
      </c>
      <c r="N83" s="518">
        <v>15763</v>
      </c>
      <c r="O83" s="518">
        <v>15928</v>
      </c>
      <c r="P83" s="519">
        <v>16081</v>
      </c>
      <c r="Q83" s="514">
        <v>16388</v>
      </c>
      <c r="R83" s="303">
        <f t="shared" si="10"/>
        <v>2.8</v>
      </c>
      <c r="S83" s="510">
        <f t="shared" si="11"/>
        <v>1.6</v>
      </c>
      <c r="U83" s="406"/>
      <c r="V83" s="415"/>
      <c r="W83" s="406"/>
      <c r="X83" s="279"/>
      <c r="Y83" s="279"/>
      <c r="Z83" s="279"/>
      <c r="AA83" s="280"/>
      <c r="AB83" s="317"/>
      <c r="AC83" s="317"/>
      <c r="AD83" s="317"/>
      <c r="AE83" s="317"/>
      <c r="AF83" s="317"/>
      <c r="AG83" s="317"/>
    </row>
    <row r="84" spans="1:33" ht="15.75" customHeight="1">
      <c r="A84" s="16"/>
      <c r="B84" s="674" t="s">
        <v>314</v>
      </c>
      <c r="C84" s="675"/>
      <c r="D84" s="511">
        <v>993</v>
      </c>
      <c r="E84" s="518">
        <v>993</v>
      </c>
      <c r="F84" s="518">
        <v>993</v>
      </c>
      <c r="G84" s="518">
        <v>993</v>
      </c>
      <c r="H84" s="518">
        <v>1089</v>
      </c>
      <c r="I84" s="518">
        <v>1088</v>
      </c>
      <c r="J84" s="519">
        <v>1340</v>
      </c>
      <c r="K84" s="514">
        <v>1600</v>
      </c>
      <c r="L84" s="511">
        <v>1610</v>
      </c>
      <c r="M84" s="518">
        <v>1630</v>
      </c>
      <c r="N84" s="518">
        <v>1660</v>
      </c>
      <c r="O84" s="518">
        <v>1760</v>
      </c>
      <c r="P84" s="519">
        <v>1830</v>
      </c>
      <c r="Q84" s="514">
        <v>2000</v>
      </c>
      <c r="R84" s="303">
        <f t="shared" si="10"/>
        <v>7.1</v>
      </c>
      <c r="S84" s="510">
        <f t="shared" si="11"/>
        <v>4.4000000000000004</v>
      </c>
      <c r="U84" s="406"/>
      <c r="V84" s="415"/>
      <c r="W84" s="406"/>
      <c r="X84" s="279"/>
      <c r="Y84" s="279"/>
      <c r="Z84" s="279"/>
      <c r="AA84" s="280"/>
      <c r="AB84" s="317"/>
      <c r="AC84" s="317"/>
      <c r="AD84" s="317"/>
      <c r="AE84" s="317"/>
      <c r="AF84" s="317"/>
      <c r="AG84" s="317"/>
    </row>
    <row r="85" spans="1:33" ht="15.75" customHeight="1">
      <c r="A85" s="16"/>
      <c r="B85" s="674" t="s">
        <v>315</v>
      </c>
      <c r="C85" s="675"/>
      <c r="D85" s="520">
        <v>2777</v>
      </c>
      <c r="E85" s="521">
        <v>2983</v>
      </c>
      <c r="F85" s="521">
        <v>2542</v>
      </c>
      <c r="G85" s="521">
        <v>3067</v>
      </c>
      <c r="H85" s="521">
        <v>2779</v>
      </c>
      <c r="I85" s="521">
        <v>3054</v>
      </c>
      <c r="J85" s="522">
        <v>3549</v>
      </c>
      <c r="K85" s="523">
        <v>3627</v>
      </c>
      <c r="L85" s="520">
        <v>4000</v>
      </c>
      <c r="M85" s="521">
        <v>4500</v>
      </c>
      <c r="N85" s="521">
        <v>5200</v>
      </c>
      <c r="O85" s="521">
        <v>5800</v>
      </c>
      <c r="P85" s="522">
        <v>5920</v>
      </c>
      <c r="Q85" s="523">
        <v>6246</v>
      </c>
      <c r="R85" s="303">
        <f t="shared" si="10"/>
        <v>3.9</v>
      </c>
      <c r="S85" s="510">
        <f t="shared" si="11"/>
        <v>9.3000000000000007</v>
      </c>
      <c r="U85" s="407"/>
      <c r="V85" s="416"/>
      <c r="W85" s="407"/>
      <c r="X85" s="312"/>
      <c r="Y85" s="312"/>
      <c r="Z85" s="312"/>
      <c r="AA85" s="419"/>
      <c r="AB85" s="312"/>
      <c r="AC85" s="312"/>
      <c r="AD85" s="312"/>
      <c r="AE85" s="312"/>
      <c r="AF85" s="312"/>
      <c r="AG85" s="312"/>
    </row>
    <row r="86" spans="1:33" ht="15" customHeight="1">
      <c r="A86" s="16"/>
      <c r="B86" s="672" t="s">
        <v>316</v>
      </c>
      <c r="C86" s="673"/>
      <c r="D86" s="529">
        <v>19000</v>
      </c>
      <c r="E86" s="525">
        <v>24405</v>
      </c>
      <c r="F86" s="530">
        <v>24300</v>
      </c>
      <c r="G86" s="530">
        <v>24940</v>
      </c>
      <c r="H86" s="525">
        <v>24844</v>
      </c>
      <c r="I86" s="530">
        <v>26283</v>
      </c>
      <c r="J86" s="530">
        <v>26348</v>
      </c>
      <c r="K86" s="564">
        <v>27270</v>
      </c>
      <c r="L86" s="524">
        <v>29865</v>
      </c>
      <c r="M86" s="525">
        <v>33073</v>
      </c>
      <c r="N86" s="525">
        <v>35434</v>
      </c>
      <c r="O86" s="525">
        <v>36066</v>
      </c>
      <c r="P86" s="530">
        <v>36601</v>
      </c>
      <c r="Q86" s="564">
        <v>37104</v>
      </c>
      <c r="R86" s="299">
        <f t="shared" si="10"/>
        <v>5.3</v>
      </c>
      <c r="S86" s="256">
        <f t="shared" si="11"/>
        <v>4.4000000000000004</v>
      </c>
      <c r="U86" s="408"/>
      <c r="V86" s="417"/>
      <c r="W86" s="408"/>
      <c r="X86" s="313"/>
      <c r="Y86" s="313"/>
      <c r="Z86" s="313"/>
      <c r="AA86" s="326"/>
      <c r="AB86" s="313"/>
      <c r="AC86" s="313"/>
      <c r="AD86" s="313"/>
      <c r="AE86" s="313"/>
      <c r="AF86" s="313"/>
      <c r="AG86" s="313"/>
    </row>
    <row r="87" spans="1:33" ht="15" customHeight="1">
      <c r="A87" s="16"/>
      <c r="B87" s="670" t="s">
        <v>317</v>
      </c>
      <c r="C87" s="671"/>
      <c r="D87" s="553">
        <v>4329.0735744084677</v>
      </c>
      <c r="E87" s="525">
        <v>4221</v>
      </c>
      <c r="F87" s="530">
        <v>4540</v>
      </c>
      <c r="G87" s="530">
        <v>4407</v>
      </c>
      <c r="H87" s="525">
        <v>4512</v>
      </c>
      <c r="I87" s="530">
        <v>4559</v>
      </c>
      <c r="J87" s="530">
        <v>4612</v>
      </c>
      <c r="K87" s="564">
        <v>4849</v>
      </c>
      <c r="L87" s="524">
        <v>4948</v>
      </c>
      <c r="M87" s="525">
        <v>5038</v>
      </c>
      <c r="N87" s="525">
        <v>5128</v>
      </c>
      <c r="O87" s="525">
        <v>5220</v>
      </c>
      <c r="P87" s="530">
        <v>5304</v>
      </c>
      <c r="Q87" s="564">
        <v>5389</v>
      </c>
      <c r="R87" s="299">
        <f t="shared" si="10"/>
        <v>1.6</v>
      </c>
      <c r="S87" s="256">
        <f t="shared" si="11"/>
        <v>1.7</v>
      </c>
      <c r="U87" s="409"/>
      <c r="V87" s="417"/>
      <c r="W87" s="408"/>
      <c r="X87" s="313"/>
      <c r="Y87" s="313"/>
      <c r="Z87" s="313"/>
      <c r="AA87" s="326"/>
      <c r="AB87" s="313"/>
      <c r="AC87" s="313"/>
      <c r="AD87" s="313"/>
      <c r="AE87" s="313"/>
      <c r="AF87" s="313"/>
      <c r="AG87" s="313"/>
    </row>
    <row r="88" spans="1:33" ht="15.75" customHeight="1">
      <c r="A88" s="16"/>
      <c r="B88" s="674" t="s">
        <v>318</v>
      </c>
      <c r="C88" s="675"/>
      <c r="D88" s="95">
        <f>SUM(D86:D87)</f>
        <v>23329.073574408467</v>
      </c>
      <c r="E88" s="92">
        <f t="shared" ref="E88:Q88" si="13">SUM(E86:E87)</f>
        <v>28626</v>
      </c>
      <c r="F88" s="92">
        <f t="shared" si="13"/>
        <v>28840</v>
      </c>
      <c r="G88" s="93">
        <f t="shared" si="13"/>
        <v>29347</v>
      </c>
      <c r="H88" s="93">
        <f t="shared" si="13"/>
        <v>29356</v>
      </c>
      <c r="I88" s="94">
        <f t="shared" si="13"/>
        <v>30842</v>
      </c>
      <c r="J88" s="94">
        <f t="shared" si="13"/>
        <v>30960</v>
      </c>
      <c r="K88" s="96">
        <f t="shared" si="13"/>
        <v>32119</v>
      </c>
      <c r="L88" s="95">
        <f t="shared" si="13"/>
        <v>34813</v>
      </c>
      <c r="M88" s="93">
        <f t="shared" si="13"/>
        <v>38111</v>
      </c>
      <c r="N88" s="93">
        <f t="shared" si="13"/>
        <v>40562</v>
      </c>
      <c r="O88" s="93">
        <f t="shared" si="13"/>
        <v>41286</v>
      </c>
      <c r="P88" s="93">
        <f t="shared" si="13"/>
        <v>41905</v>
      </c>
      <c r="Q88" s="96">
        <f t="shared" si="13"/>
        <v>42493</v>
      </c>
      <c r="R88" s="303">
        <f t="shared" si="10"/>
        <v>4.7</v>
      </c>
      <c r="S88" s="510">
        <f t="shared" si="11"/>
        <v>4.0999999999999996</v>
      </c>
      <c r="U88" s="404"/>
      <c r="V88" s="414"/>
      <c r="W88" s="404"/>
      <c r="X88" s="317"/>
      <c r="Y88" s="317"/>
      <c r="Z88" s="317"/>
      <c r="AA88" s="43"/>
      <c r="AB88" s="317"/>
      <c r="AC88" s="317"/>
      <c r="AD88" s="317"/>
      <c r="AE88" s="317"/>
      <c r="AF88" s="317"/>
      <c r="AG88" s="317"/>
    </row>
    <row r="89" spans="1:33" ht="15" customHeight="1">
      <c r="A89" s="16"/>
      <c r="B89" s="672" t="s">
        <v>319</v>
      </c>
      <c r="C89" s="673"/>
      <c r="D89" s="553">
        <v>1248</v>
      </c>
      <c r="E89" s="525">
        <v>1273</v>
      </c>
      <c r="F89" s="530">
        <v>1299</v>
      </c>
      <c r="G89" s="530">
        <v>1326</v>
      </c>
      <c r="H89" s="525">
        <v>1356</v>
      </c>
      <c r="I89" s="530">
        <v>1390</v>
      </c>
      <c r="J89" s="530">
        <v>1419</v>
      </c>
      <c r="K89" s="564">
        <v>1447</v>
      </c>
      <c r="L89" s="565">
        <v>1479</v>
      </c>
      <c r="M89" s="566">
        <v>1516</v>
      </c>
      <c r="N89" s="566">
        <v>1557</v>
      </c>
      <c r="O89" s="566">
        <v>1602</v>
      </c>
      <c r="P89" s="566">
        <v>1649</v>
      </c>
      <c r="Q89" s="567">
        <v>1698</v>
      </c>
      <c r="R89" s="299">
        <f t="shared" si="10"/>
        <v>2.1</v>
      </c>
      <c r="S89" s="256">
        <f t="shared" si="11"/>
        <v>2.8</v>
      </c>
      <c r="U89" s="409"/>
      <c r="V89" s="417"/>
      <c r="W89" s="408"/>
      <c r="X89" s="313"/>
      <c r="Y89" s="313"/>
      <c r="Z89" s="313"/>
      <c r="AA89" s="326"/>
      <c r="AB89" s="313"/>
      <c r="AC89" s="313"/>
      <c r="AD89" s="313"/>
      <c r="AE89" s="313"/>
      <c r="AF89" s="313"/>
      <c r="AG89" s="313"/>
    </row>
    <row r="90" spans="1:33" ht="15" customHeight="1">
      <c r="A90" s="16"/>
      <c r="B90" s="668" t="s">
        <v>320</v>
      </c>
      <c r="C90" s="669"/>
      <c r="D90" s="553">
        <v>3098.9883915789474</v>
      </c>
      <c r="E90" s="525">
        <v>3289</v>
      </c>
      <c r="F90" s="530">
        <v>3160</v>
      </c>
      <c r="G90" s="530">
        <v>3415.5807119566989</v>
      </c>
      <c r="H90" s="525">
        <v>3518.0481333153998</v>
      </c>
      <c r="I90" s="530">
        <v>3412</v>
      </c>
      <c r="J90" s="530">
        <v>3376</v>
      </c>
      <c r="K90" s="564">
        <v>3413</v>
      </c>
      <c r="L90" s="524">
        <v>3462</v>
      </c>
      <c r="M90" s="525">
        <v>3544</v>
      </c>
      <c r="N90" s="525">
        <v>3524</v>
      </c>
      <c r="O90" s="525">
        <v>3704</v>
      </c>
      <c r="P90" s="530">
        <v>3786</v>
      </c>
      <c r="Q90" s="564">
        <v>3870</v>
      </c>
      <c r="R90" s="299">
        <f t="shared" si="10"/>
        <v>1.4</v>
      </c>
      <c r="S90" s="256">
        <f t="shared" si="11"/>
        <v>2.2999999999999998</v>
      </c>
      <c r="U90" s="409"/>
      <c r="V90" s="417"/>
      <c r="W90" s="408"/>
      <c r="X90" s="313"/>
      <c r="Y90" s="313"/>
      <c r="Z90" s="313"/>
      <c r="AA90" s="326"/>
      <c r="AB90" s="313"/>
      <c r="AC90" s="313"/>
      <c r="AD90" s="313"/>
      <c r="AE90" s="313"/>
      <c r="AF90" s="313"/>
      <c r="AG90" s="313"/>
    </row>
    <row r="91" spans="1:33" ht="15" customHeight="1">
      <c r="A91" s="16"/>
      <c r="B91" s="670" t="s">
        <v>321</v>
      </c>
      <c r="C91" s="671"/>
      <c r="D91" s="553">
        <v>1306.58</v>
      </c>
      <c r="E91" s="525">
        <v>1404.99</v>
      </c>
      <c r="F91" s="530">
        <v>1484.28</v>
      </c>
      <c r="G91" s="530">
        <v>1488.05</v>
      </c>
      <c r="H91" s="525">
        <v>1516.5802564102567</v>
      </c>
      <c r="I91" s="530">
        <v>1479</v>
      </c>
      <c r="J91" s="530">
        <v>1471</v>
      </c>
      <c r="K91" s="568">
        <v>1487</v>
      </c>
      <c r="L91" s="569">
        <v>1506</v>
      </c>
      <c r="M91" s="570">
        <v>1524</v>
      </c>
      <c r="N91" s="570">
        <v>1565</v>
      </c>
      <c r="O91" s="570">
        <v>1608</v>
      </c>
      <c r="P91" s="571">
        <v>1653</v>
      </c>
      <c r="Q91" s="568">
        <v>1700</v>
      </c>
      <c r="R91" s="299">
        <f t="shared" si="10"/>
        <v>1.9</v>
      </c>
      <c r="S91" s="256">
        <f t="shared" si="11"/>
        <v>2.5</v>
      </c>
      <c r="U91" s="411"/>
      <c r="V91" s="417"/>
      <c r="W91" s="408"/>
      <c r="X91" s="313"/>
      <c r="Y91" s="313"/>
      <c r="Z91" s="313"/>
      <c r="AA91" s="326"/>
      <c r="AB91" s="313"/>
      <c r="AC91" s="313"/>
      <c r="AD91" s="313"/>
      <c r="AE91" s="313"/>
      <c r="AF91" s="313"/>
      <c r="AG91" s="313"/>
    </row>
    <row r="92" spans="1:33" ht="15.75" customHeight="1" thickBot="1">
      <c r="A92" s="16"/>
      <c r="B92" s="678" t="s">
        <v>322</v>
      </c>
      <c r="C92" s="679"/>
      <c r="D92" s="102">
        <f>SUM(D89:D91)</f>
        <v>5653.5683915789468</v>
      </c>
      <c r="E92" s="539">
        <f t="shared" ref="E92:Q92" si="14">SUM(E89:E91)</f>
        <v>5966.99</v>
      </c>
      <c r="F92" s="539">
        <f t="shared" si="14"/>
        <v>5943.28</v>
      </c>
      <c r="G92" s="100">
        <f t="shared" si="14"/>
        <v>6229.6307119566991</v>
      </c>
      <c r="H92" s="100">
        <f t="shared" si="14"/>
        <v>6390.6283897256571</v>
      </c>
      <c r="I92" s="100">
        <f t="shared" si="14"/>
        <v>6281</v>
      </c>
      <c r="J92" s="101">
        <f t="shared" si="14"/>
        <v>6266</v>
      </c>
      <c r="K92" s="104">
        <f t="shared" si="14"/>
        <v>6347</v>
      </c>
      <c r="L92" s="540">
        <f t="shared" si="14"/>
        <v>6447</v>
      </c>
      <c r="M92" s="100">
        <f t="shared" si="14"/>
        <v>6584</v>
      </c>
      <c r="N92" s="100">
        <f t="shared" si="14"/>
        <v>6646</v>
      </c>
      <c r="O92" s="100">
        <f t="shared" si="14"/>
        <v>6914</v>
      </c>
      <c r="P92" s="100">
        <f t="shared" si="14"/>
        <v>7088</v>
      </c>
      <c r="Q92" s="104">
        <f t="shared" si="14"/>
        <v>7268</v>
      </c>
      <c r="R92" s="306">
        <f t="shared" si="10"/>
        <v>1.7</v>
      </c>
      <c r="S92" s="541">
        <f t="shared" si="11"/>
        <v>2.4</v>
      </c>
      <c r="U92" s="404"/>
      <c r="V92" s="414"/>
      <c r="W92" s="404"/>
      <c r="X92" s="317"/>
      <c r="Y92" s="317"/>
      <c r="Z92" s="317"/>
      <c r="AA92" s="43"/>
      <c r="AB92" s="317"/>
      <c r="AC92" s="317"/>
      <c r="AD92" s="317"/>
      <c r="AE92" s="317"/>
      <c r="AF92" s="317"/>
      <c r="AG92" s="317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119569.60004508837</v>
      </c>
      <c r="E93" s="543">
        <f t="shared" ref="E93:Q93" si="15">E77+E78+E80+E82+E84+E85+E88+E92</f>
        <v>128710.10986448629</v>
      </c>
      <c r="F93" s="543">
        <f t="shared" si="15"/>
        <v>128632.90911219626</v>
      </c>
      <c r="G93" s="544">
        <f t="shared" si="15"/>
        <v>134784.06468596589</v>
      </c>
      <c r="H93" s="544">
        <f t="shared" si="15"/>
        <v>138045.56527801821</v>
      </c>
      <c r="I93" s="544">
        <f t="shared" si="15"/>
        <v>142242.20956270932</v>
      </c>
      <c r="J93" s="545">
        <f>J77+J78+J80+J82+J84+J85+J88+J92</f>
        <v>145939.19652381854</v>
      </c>
      <c r="K93" s="546">
        <f t="shared" si="15"/>
        <v>151260.93876782071</v>
      </c>
      <c r="L93" s="547">
        <f t="shared" si="15"/>
        <v>158094.83581889141</v>
      </c>
      <c r="M93" s="544">
        <f t="shared" si="15"/>
        <v>165088.1662560596</v>
      </c>
      <c r="N93" s="544">
        <f t="shared" si="15"/>
        <v>172621.49326638359</v>
      </c>
      <c r="O93" s="544">
        <f t="shared" si="15"/>
        <v>177690.69028802443</v>
      </c>
      <c r="P93" s="544">
        <f t="shared" si="15"/>
        <v>184986.16726464813</v>
      </c>
      <c r="Q93" s="546">
        <f t="shared" si="15"/>
        <v>189225.6869164388</v>
      </c>
      <c r="R93" s="548">
        <f t="shared" si="10"/>
        <v>3.4</v>
      </c>
      <c r="S93" s="549">
        <f t="shared" si="11"/>
        <v>3.7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D96" s="27"/>
      <c r="E96" s="27"/>
      <c r="F96" s="24"/>
      <c r="G96" s="24"/>
      <c r="H96" s="24"/>
    </row>
    <row r="97" spans="3:22" ht="13.5" customHeight="1">
      <c r="C97" t="s">
        <v>332</v>
      </c>
      <c r="D97" s="27"/>
      <c r="E97" s="27"/>
      <c r="F97" s="24"/>
      <c r="G97" s="24"/>
      <c r="H97" s="24"/>
    </row>
    <row r="98" spans="3:22" ht="13.5" customHeight="1">
      <c r="C98" s="617" t="s">
        <v>333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T98" s="14"/>
      <c r="U98" s="439"/>
      <c r="V98" s="439"/>
    </row>
    <row r="99" spans="3:22" ht="17.25">
      <c r="C99" s="2"/>
      <c r="D99" s="27"/>
      <c r="E99" s="27"/>
      <c r="F99" s="27"/>
      <c r="G99" s="27"/>
      <c r="H99" s="27"/>
      <c r="I99" s="27"/>
      <c r="J99" s="446"/>
      <c r="K99" s="27"/>
      <c r="L99" s="27"/>
      <c r="M99" s="27"/>
      <c r="N99" s="27"/>
      <c r="O99" s="27"/>
      <c r="P99" s="27"/>
      <c r="Q99" s="27"/>
      <c r="T99" s="14"/>
      <c r="U99" s="439"/>
      <c r="V99" s="439"/>
    </row>
    <row r="100" spans="3:22" ht="17.25">
      <c r="C100" s="2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</row>
    <row r="101" spans="3:22" ht="17.25">
      <c r="C101" s="2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</row>
    <row r="102" spans="3:22" ht="17.25">
      <c r="C102" s="2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</row>
    <row r="103" spans="3:22" ht="17.25">
      <c r="C103" s="2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</row>
    <row r="104" spans="3:22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</row>
    <row r="105" spans="3:22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</row>
    <row r="106" spans="3:22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</row>
    <row r="107" spans="3:22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</row>
    <row r="108" spans="3:22">
      <c r="D108" s="24"/>
      <c r="E108" s="24"/>
      <c r="F108" s="24"/>
      <c r="G108" s="24"/>
      <c r="H108" s="24"/>
    </row>
    <row r="109" spans="3:22">
      <c r="D109" s="24"/>
      <c r="E109" s="24"/>
      <c r="F109" s="24"/>
      <c r="G109" s="24"/>
      <c r="H109" s="24"/>
    </row>
    <row r="110" spans="3:22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</row>
    <row r="111" spans="3:22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</row>
    <row r="112" spans="3:22">
      <c r="D112" s="24"/>
      <c r="E112" s="24"/>
      <c r="F112" s="24"/>
      <c r="G112" s="24"/>
      <c r="H112" s="24"/>
    </row>
    <row r="113" spans="4:17">
      <c r="D113" s="27"/>
      <c r="E113" s="27"/>
      <c r="F113" s="24"/>
      <c r="G113" s="24"/>
      <c r="H113" s="24"/>
    </row>
    <row r="114" spans="4:17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</row>
    <row r="115" spans="4:17"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</row>
    <row r="116" spans="4:17">
      <c r="D116" s="24"/>
      <c r="E116" s="24"/>
      <c r="F116" s="24"/>
      <c r="G116" s="24"/>
      <c r="H116" s="24"/>
    </row>
    <row r="117" spans="4:17">
      <c r="D117" s="27"/>
      <c r="E117" s="27"/>
      <c r="F117" s="27"/>
      <c r="G117" s="24"/>
      <c r="H117" s="24"/>
      <c r="J117" s="27"/>
      <c r="K117" s="27"/>
      <c r="L117" s="27"/>
      <c r="M117" s="27"/>
      <c r="N117" s="27"/>
      <c r="O117" s="27"/>
      <c r="P117" s="27"/>
      <c r="Q117" s="27"/>
    </row>
    <row r="118" spans="4:17">
      <c r="D118" s="27"/>
      <c r="E118" s="27"/>
      <c r="F118" s="27"/>
      <c r="G118" s="24"/>
      <c r="H118" s="24"/>
      <c r="I118" s="27"/>
    </row>
    <row r="119" spans="4:17">
      <c r="D119" s="24"/>
      <c r="E119" s="24"/>
      <c r="F119" s="24"/>
      <c r="G119" s="24"/>
      <c r="H119" s="24"/>
    </row>
    <row r="120" spans="4:17">
      <c r="D120" s="27"/>
      <c r="E120" s="27"/>
      <c r="F120" s="27"/>
      <c r="G120" s="27"/>
      <c r="H120" s="24"/>
      <c r="J120" s="27"/>
      <c r="K120" s="27"/>
      <c r="L120" s="27"/>
      <c r="M120" s="27"/>
      <c r="N120" s="27"/>
      <c r="O120" s="27"/>
      <c r="P120" s="27"/>
      <c r="Q120" s="27"/>
    </row>
    <row r="121" spans="4:17">
      <c r="D121" s="27"/>
      <c r="E121" s="27"/>
      <c r="F121" s="27"/>
      <c r="G121" s="24"/>
      <c r="H121" s="24"/>
    </row>
    <row r="122" spans="4:17">
      <c r="D122" s="27"/>
      <c r="E122" s="27"/>
      <c r="F122" s="27"/>
      <c r="G122" s="24"/>
      <c r="H122" s="24"/>
    </row>
    <row r="123" spans="4:17">
      <c r="D123" s="24"/>
      <c r="E123" s="24"/>
      <c r="F123" s="24"/>
      <c r="G123" s="24"/>
      <c r="H123" s="24"/>
    </row>
    <row r="124" spans="4:17">
      <c r="D124" s="24"/>
      <c r="E124" s="24"/>
      <c r="F124" s="24"/>
      <c r="G124" s="24"/>
      <c r="H124" s="24"/>
    </row>
    <row r="125" spans="4:17">
      <c r="D125" s="27"/>
      <c r="E125" s="27"/>
      <c r="F125" s="24"/>
      <c r="G125" s="24"/>
      <c r="H125" s="24"/>
    </row>
    <row r="126" spans="4:17">
      <c r="D126" s="27"/>
      <c r="E126" s="27"/>
      <c r="F126" s="24"/>
      <c r="G126" s="24"/>
      <c r="H126" s="24"/>
    </row>
    <row r="127" spans="4:17">
      <c r="D127" s="27"/>
      <c r="E127" s="27"/>
      <c r="F127" s="27"/>
      <c r="G127" s="27"/>
      <c r="H127" s="27"/>
      <c r="I127" s="27"/>
      <c r="J127" s="261"/>
      <c r="K127" s="261"/>
      <c r="L127" s="261"/>
      <c r="M127" s="261"/>
      <c r="N127" s="261"/>
      <c r="O127" s="261"/>
      <c r="P127" s="261"/>
      <c r="Q127" s="261"/>
    </row>
    <row r="128" spans="4:17">
      <c r="D128" s="27"/>
      <c r="E128" s="27"/>
      <c r="F128" s="27"/>
      <c r="G128" s="24"/>
      <c r="H128" s="24"/>
    </row>
    <row r="129" spans="4:17"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</row>
    <row r="130" spans="4:17"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</row>
    <row r="131" spans="4:17"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</row>
    <row r="132" spans="4:17">
      <c r="D132" s="27"/>
      <c r="E132" s="27"/>
      <c r="F132" s="27"/>
      <c r="G132" s="27"/>
      <c r="H132" s="24"/>
    </row>
    <row r="133" spans="4:17"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</row>
    <row r="134" spans="4:17"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</row>
    <row r="135" spans="4:17"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</row>
    <row r="136" spans="4:17"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</row>
    <row r="137" spans="4:17">
      <c r="D137" s="24"/>
      <c r="E137" s="24"/>
      <c r="F137" s="24"/>
      <c r="G137" s="24"/>
      <c r="H137" s="24"/>
    </row>
    <row r="138" spans="4:17">
      <c r="D138" s="24"/>
      <c r="E138" s="24"/>
      <c r="F138" s="24"/>
      <c r="G138" s="24"/>
      <c r="H138" s="24"/>
    </row>
    <row r="139" spans="4:17"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</row>
    <row r="140" spans="4:17"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</row>
    <row r="141" spans="4:17">
      <c r="D141" s="24"/>
      <c r="E141" s="24"/>
      <c r="F141" s="24"/>
      <c r="G141" s="24"/>
      <c r="H141" s="24"/>
    </row>
    <row r="142" spans="4:17">
      <c r="D142" s="27"/>
      <c r="E142" s="27"/>
      <c r="F142" s="24"/>
      <c r="G142" s="24"/>
      <c r="H142" s="24"/>
    </row>
    <row r="143" spans="4:17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</row>
    <row r="144" spans="4:17"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</row>
    <row r="145" spans="4:17">
      <c r="D145" s="24"/>
      <c r="E145" s="24"/>
      <c r="F145" s="24"/>
      <c r="G145" s="24"/>
      <c r="H145" s="24"/>
    </row>
    <row r="146" spans="4:17">
      <c r="D146" s="27"/>
      <c r="E146" s="27"/>
      <c r="F146" s="27"/>
      <c r="G146" s="24"/>
      <c r="H146" s="24"/>
      <c r="J146" s="27"/>
      <c r="K146" s="22"/>
      <c r="L146" s="22"/>
      <c r="M146" s="22"/>
      <c r="N146" s="22"/>
      <c r="O146" s="22"/>
      <c r="P146" s="22"/>
      <c r="Q146" s="22"/>
    </row>
    <row r="147" spans="4:17">
      <c r="D147" s="27"/>
      <c r="E147" s="27"/>
      <c r="F147" s="27"/>
      <c r="G147" s="24"/>
      <c r="H147" s="24"/>
      <c r="J147" s="27"/>
      <c r="K147" s="27"/>
      <c r="L147" s="27"/>
      <c r="M147" s="27"/>
      <c r="N147" s="27"/>
      <c r="O147" s="27"/>
      <c r="P147" s="27"/>
      <c r="Q147" s="27"/>
    </row>
    <row r="148" spans="4:17">
      <c r="D148" s="24"/>
      <c r="E148" s="24"/>
      <c r="F148" s="24"/>
      <c r="G148" s="24"/>
      <c r="H148" s="24"/>
    </row>
    <row r="149" spans="4:17">
      <c r="D149" s="27"/>
      <c r="E149" s="27"/>
      <c r="F149" s="27"/>
      <c r="G149" s="27"/>
      <c r="H149" s="24"/>
      <c r="J149" s="27"/>
      <c r="K149" s="27"/>
      <c r="L149" s="27"/>
      <c r="M149" s="27"/>
      <c r="N149" s="27"/>
      <c r="O149" s="27"/>
      <c r="P149" s="27"/>
      <c r="Q149" s="27"/>
    </row>
    <row r="150" spans="4:17">
      <c r="D150" s="27"/>
      <c r="E150" s="27"/>
      <c r="F150" s="27"/>
      <c r="G150" s="24"/>
      <c r="H150" s="24"/>
      <c r="J150" s="27"/>
      <c r="K150" s="27"/>
      <c r="L150" s="27"/>
      <c r="M150" s="27"/>
      <c r="N150" s="27"/>
      <c r="O150" s="27"/>
      <c r="P150" s="27"/>
      <c r="Q150" s="27"/>
    </row>
    <row r="151" spans="4:17">
      <c r="D151" s="27"/>
      <c r="E151" s="27"/>
      <c r="F151" s="27"/>
      <c r="G151" s="24"/>
      <c r="H151" s="24"/>
    </row>
    <row r="152" spans="4:17">
      <c r="D152" s="24"/>
      <c r="E152" s="24"/>
      <c r="F152" s="24"/>
      <c r="G152" s="24"/>
      <c r="H152" s="24"/>
    </row>
    <row r="153" spans="4:17">
      <c r="D153" s="24"/>
      <c r="E153" s="24"/>
      <c r="F153" s="24"/>
      <c r="G153" s="24"/>
      <c r="H153" s="24"/>
    </row>
    <row r="154" spans="4:17">
      <c r="D154" s="27"/>
      <c r="E154" s="27"/>
      <c r="F154" s="24"/>
      <c r="G154" s="24"/>
      <c r="H154" s="24"/>
    </row>
    <row r="155" spans="4:17">
      <c r="D155" s="27"/>
      <c r="E155" s="27"/>
      <c r="F155" s="24"/>
      <c r="G155" s="24"/>
      <c r="H155" s="24"/>
    </row>
    <row r="156" spans="4:17"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4:17">
      <c r="D157" s="27"/>
      <c r="E157" s="27"/>
      <c r="F157" s="27"/>
      <c r="G157" s="24"/>
      <c r="H157" s="24"/>
    </row>
    <row r="158" spans="4:17"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</row>
    <row r="159" spans="4:17"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</row>
    <row r="160" spans="4:17"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</row>
    <row r="161" spans="4:17">
      <c r="D161" s="27"/>
      <c r="E161" s="27"/>
      <c r="F161" s="27"/>
      <c r="G161" s="27"/>
      <c r="H161" s="24"/>
    </row>
    <row r="162" spans="4:17">
      <c r="D162" s="27"/>
      <c r="E162" s="27"/>
      <c r="F162" s="27"/>
      <c r="G162" s="27"/>
      <c r="H162" s="27"/>
    </row>
    <row r="163" spans="4:17">
      <c r="D163" s="27"/>
      <c r="E163" s="27"/>
      <c r="F163" s="27"/>
      <c r="G163" s="27"/>
      <c r="H163" s="27"/>
    </row>
    <row r="164" spans="4:17"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</row>
    <row r="165" spans="4:17">
      <c r="D165" s="27"/>
      <c r="E165" s="27"/>
      <c r="F165" s="27"/>
      <c r="G165" s="27"/>
      <c r="H165" s="27"/>
    </row>
    <row r="166" spans="4:17">
      <c r="D166" s="24"/>
      <c r="E166" s="24"/>
      <c r="F166" s="24"/>
      <c r="G166" s="24"/>
      <c r="H166" s="24"/>
    </row>
    <row r="167" spans="4:17">
      <c r="D167" s="24"/>
      <c r="E167" s="24"/>
      <c r="F167" s="24"/>
      <c r="G167" s="24"/>
      <c r="H167" s="24"/>
    </row>
    <row r="168" spans="4:17">
      <c r="D168" s="27"/>
      <c r="E168" s="27"/>
      <c r="F168" s="27"/>
      <c r="G168" s="27"/>
      <c r="H168" s="27"/>
    </row>
    <row r="169" spans="4:17">
      <c r="D169" s="27"/>
      <c r="E169" s="27"/>
      <c r="F169" s="27"/>
      <c r="G169" s="27"/>
      <c r="H169" s="27"/>
    </row>
    <row r="170" spans="4:17">
      <c r="D170" s="24"/>
      <c r="E170" s="24"/>
      <c r="F170" s="24"/>
      <c r="G170" s="24"/>
      <c r="H170" s="24"/>
    </row>
    <row r="171" spans="4:17">
      <c r="D171" s="27"/>
      <c r="E171" s="27"/>
      <c r="F171" s="24"/>
      <c r="G171" s="24"/>
      <c r="H171" s="24"/>
    </row>
    <row r="172" spans="4:17"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</row>
    <row r="173" spans="4:17"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</row>
    <row r="174" spans="4:17">
      <c r="D174" s="24"/>
      <c r="E174" s="24"/>
      <c r="F174" s="24"/>
      <c r="G174" s="24"/>
      <c r="H174" s="24"/>
    </row>
    <row r="175" spans="4:17">
      <c r="D175" s="27"/>
      <c r="E175" s="27"/>
      <c r="F175" s="27"/>
      <c r="G175" s="24"/>
      <c r="H175" s="24"/>
      <c r="J175" s="27"/>
      <c r="K175" s="27"/>
      <c r="L175" s="27"/>
      <c r="M175" s="27"/>
      <c r="N175" s="27"/>
      <c r="O175" s="27"/>
      <c r="P175" s="27"/>
      <c r="Q175" s="27"/>
    </row>
    <row r="176" spans="4:17">
      <c r="D176" s="27"/>
      <c r="E176" s="27"/>
      <c r="F176" s="27"/>
      <c r="G176" s="24"/>
      <c r="H176" s="24"/>
      <c r="J176" s="27"/>
      <c r="K176" s="27"/>
      <c r="L176" s="27"/>
      <c r="M176" s="27"/>
      <c r="N176" s="27"/>
      <c r="O176" s="27"/>
      <c r="P176" s="27"/>
      <c r="Q176" s="27"/>
    </row>
    <row r="177" spans="4:17">
      <c r="D177" s="24"/>
      <c r="E177" s="24"/>
      <c r="F177" s="24"/>
      <c r="G177" s="24"/>
      <c r="H177" s="24"/>
    </row>
    <row r="178" spans="4:17">
      <c r="D178" s="27"/>
      <c r="E178" s="27"/>
      <c r="F178" s="27"/>
      <c r="G178" s="27"/>
      <c r="H178" s="24"/>
      <c r="J178" s="27"/>
      <c r="K178" s="27"/>
      <c r="L178" s="27"/>
      <c r="M178" s="27"/>
      <c r="N178" s="27"/>
      <c r="O178" s="27"/>
      <c r="P178" s="27"/>
      <c r="Q178" s="27"/>
    </row>
    <row r="179" spans="4:17">
      <c r="D179" s="27"/>
      <c r="E179" s="27"/>
      <c r="F179" s="27"/>
      <c r="G179" s="24"/>
      <c r="H179" s="24"/>
      <c r="J179" s="27"/>
      <c r="K179" s="27"/>
      <c r="L179" s="27"/>
      <c r="M179" s="27"/>
      <c r="N179" s="27"/>
      <c r="O179" s="27"/>
      <c r="P179" s="27"/>
      <c r="Q179" s="27"/>
    </row>
    <row r="180" spans="4:17">
      <c r="D180" s="27"/>
      <c r="E180" s="27"/>
      <c r="F180" s="27"/>
      <c r="G180" s="24"/>
      <c r="H180" s="24"/>
    </row>
    <row r="181" spans="4:17">
      <c r="D181" s="24"/>
      <c r="E181" s="24"/>
      <c r="F181" s="24"/>
      <c r="G181" s="24"/>
      <c r="H181" s="24"/>
    </row>
    <row r="182" spans="4:17">
      <c r="D182" s="24"/>
      <c r="E182" s="24"/>
      <c r="F182" s="24"/>
      <c r="G182" s="24"/>
      <c r="H182" s="24"/>
    </row>
  </sheetData>
  <mergeCells count="97">
    <mergeCell ref="B2:C2"/>
    <mergeCell ref="F2:G2"/>
    <mergeCell ref="R3:S3"/>
    <mergeCell ref="D4:K4"/>
    <mergeCell ref="L4:Q4"/>
    <mergeCell ref="R4:S4"/>
    <mergeCell ref="O5:O6"/>
    <mergeCell ref="P5:P6"/>
    <mergeCell ref="Q5:Q6"/>
    <mergeCell ref="R5:R6"/>
    <mergeCell ref="S5:S6"/>
    <mergeCell ref="B82:C82"/>
    <mergeCell ref="B84:C84"/>
    <mergeCell ref="B85:C85"/>
    <mergeCell ref="B64:C64"/>
    <mergeCell ref="B71:C71"/>
    <mergeCell ref="B66:C66"/>
    <mergeCell ref="B67:C67"/>
    <mergeCell ref="B65:C65"/>
    <mergeCell ref="B68:C68"/>
    <mergeCell ref="B69:C69"/>
    <mergeCell ref="B70:C70"/>
    <mergeCell ref="B55:C55"/>
    <mergeCell ref="B56:C56"/>
    <mergeCell ref="B59:C59"/>
    <mergeCell ref="B80:C80"/>
    <mergeCell ref="B73:C73"/>
    <mergeCell ref="B74:C74"/>
    <mergeCell ref="B75:C75"/>
    <mergeCell ref="B77:C77"/>
    <mergeCell ref="B76:C76"/>
    <mergeCell ref="B78:C78"/>
    <mergeCell ref="B63:C63"/>
    <mergeCell ref="B62:C62"/>
    <mergeCell ref="B57:C57"/>
    <mergeCell ref="B58:C58"/>
    <mergeCell ref="B60:C60"/>
    <mergeCell ref="B61:C61"/>
    <mergeCell ref="B48:C48"/>
    <mergeCell ref="B49:C49"/>
    <mergeCell ref="B51:C51"/>
    <mergeCell ref="B53:C53"/>
    <mergeCell ref="B46:C46"/>
    <mergeCell ref="B47:C47"/>
    <mergeCell ref="B93:C93"/>
    <mergeCell ref="B86:C86"/>
    <mergeCell ref="B87:C87"/>
    <mergeCell ref="B89:C89"/>
    <mergeCell ref="B90:C90"/>
    <mergeCell ref="B88:C88"/>
    <mergeCell ref="B92:C92"/>
    <mergeCell ref="B91:C91"/>
    <mergeCell ref="B41:C41"/>
    <mergeCell ref="B42:C42"/>
    <mergeCell ref="B44:C44"/>
    <mergeCell ref="B45:C45"/>
    <mergeCell ref="B37:C37"/>
    <mergeCell ref="B38:C38"/>
    <mergeCell ref="B39:C39"/>
    <mergeCell ref="B40:C40"/>
    <mergeCell ref="B36:C36"/>
    <mergeCell ref="B24:C24"/>
    <mergeCell ref="B19:C19"/>
    <mergeCell ref="B20:C20"/>
    <mergeCell ref="B22:C22"/>
    <mergeCell ref="B28:C28"/>
    <mergeCell ref="B29:C29"/>
    <mergeCell ref="B31:C31"/>
    <mergeCell ref="B32:C32"/>
    <mergeCell ref="B35:C35"/>
    <mergeCell ref="B34:C34"/>
    <mergeCell ref="B33:C33"/>
    <mergeCell ref="B30:C30"/>
    <mergeCell ref="B26:C26"/>
    <mergeCell ref="B27:C27"/>
    <mergeCell ref="B17:C17"/>
    <mergeCell ref="B18:C18"/>
    <mergeCell ref="B11:C11"/>
    <mergeCell ref="B12:C12"/>
    <mergeCell ref="B13:C13"/>
    <mergeCell ref="B15:C15"/>
    <mergeCell ref="B16:C16"/>
    <mergeCell ref="B7:C7"/>
    <mergeCell ref="B8:C8"/>
    <mergeCell ref="B9:C9"/>
    <mergeCell ref="B10:C10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6"/>
  <conditionalFormatting sqref="C97:C98">
    <cfRule type="expression" dxfId="347" priority="5">
      <formula>CELL("protect",C97)=0</formula>
    </cfRule>
    <cfRule type="expression" dxfId="346" priority="6">
      <formula>CELL("protect",C97)=0</formula>
    </cfRule>
  </conditionalFormatting>
  <conditionalFormatting sqref="C95">
    <cfRule type="expression" dxfId="345" priority="3">
      <formula>CELL("protect",C95)=0</formula>
    </cfRule>
    <cfRule type="expression" dxfId="344" priority="4">
      <formula>CELL("protect",C95)=0</formula>
    </cfRule>
  </conditionalFormatting>
  <conditionalFormatting sqref="C97">
    <cfRule type="expression" dxfId="343" priority="1">
      <formula>CELL("protect",C97)=0</formula>
    </cfRule>
    <cfRule type="expression" dxfId="34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&amp;C141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B0F0"/>
    <pageSetUpPr fitToPage="1"/>
  </sheetPr>
  <dimension ref="A1:AG182"/>
  <sheetViews>
    <sheetView showGridLines="0" view="pageBreakPreview" zoomScale="80" zoomScaleNormal="75" zoomScaleSheetLayoutView="80" workbookViewId="0">
      <pane xSplit="3" ySplit="6" topLeftCell="D7" activePane="bottomRight" state="frozen"/>
      <selection activeCell="B65" sqref="B65:C91"/>
      <selection pane="topRight" activeCell="B65" sqref="B65:C91"/>
      <selection pane="bottomLeft" activeCell="B65" sqref="B65:C91"/>
      <selection pane="bottomRight" activeCell="T2" sqref="T2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37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57</v>
      </c>
      <c r="K2" s="14"/>
      <c r="L2" s="14"/>
      <c r="M2" s="14"/>
      <c r="N2" s="14"/>
      <c r="O2" s="14"/>
      <c r="P2" s="14"/>
      <c r="Q2" s="14"/>
    </row>
    <row r="3" spans="1:33" ht="30" customHeight="1" thickBot="1">
      <c r="L3" s="14"/>
      <c r="M3" s="14"/>
      <c r="N3" s="14"/>
      <c r="O3" s="14"/>
      <c r="P3" s="14"/>
      <c r="Q3" s="14"/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1955</v>
      </c>
      <c r="E7" s="488">
        <v>2088</v>
      </c>
      <c r="F7" s="489">
        <v>2088</v>
      </c>
      <c r="G7" s="489">
        <v>2183</v>
      </c>
      <c r="H7" s="488">
        <v>2643</v>
      </c>
      <c r="I7" s="489">
        <v>2878</v>
      </c>
      <c r="J7" s="489">
        <v>2878</v>
      </c>
      <c r="K7" s="490">
        <v>2878</v>
      </c>
      <c r="L7" s="491">
        <v>3078</v>
      </c>
      <c r="M7" s="492">
        <v>3078</v>
      </c>
      <c r="N7" s="492">
        <v>3078</v>
      </c>
      <c r="O7" s="492">
        <v>3978</v>
      </c>
      <c r="P7" s="493">
        <v>3978</v>
      </c>
      <c r="Q7" s="490">
        <v>4478</v>
      </c>
      <c r="R7" s="276">
        <f>IF(D7=0,"     -",IF(K7=0,"     -",ROUND(((K7/D7)^(1/7)-1)*100,1)))</f>
        <v>5.7</v>
      </c>
      <c r="S7" s="494">
        <f>IF(L7=0,"     -",IF(Q7=0,"     -",ROUND(((Q7/L7)^(1/5)-1)*100,1)))</f>
        <v>7.8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784</v>
      </c>
      <c r="E8" s="496">
        <v>784</v>
      </c>
      <c r="F8" s="497">
        <v>784</v>
      </c>
      <c r="G8" s="497">
        <v>784</v>
      </c>
      <c r="H8" s="496">
        <v>804</v>
      </c>
      <c r="I8" s="497">
        <v>804</v>
      </c>
      <c r="J8" s="497">
        <v>879</v>
      </c>
      <c r="K8" s="498">
        <v>879</v>
      </c>
      <c r="L8" s="499">
        <v>879</v>
      </c>
      <c r="M8" s="500">
        <v>879</v>
      </c>
      <c r="N8" s="500">
        <v>879</v>
      </c>
      <c r="O8" s="500">
        <v>879</v>
      </c>
      <c r="P8" s="501">
        <v>879</v>
      </c>
      <c r="Q8" s="498">
        <v>879</v>
      </c>
      <c r="R8" s="299">
        <f t="shared" ref="R8:R71" si="0">IF(D8=0,"     -",IF(K8=0,"     -",ROUND(((K8/D8)^(1/7)-1)*100,1)))</f>
        <v>1.6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780</v>
      </c>
      <c r="E9" s="496">
        <v>780</v>
      </c>
      <c r="F9" s="497">
        <v>2080</v>
      </c>
      <c r="G9" s="497">
        <v>2080</v>
      </c>
      <c r="H9" s="496">
        <v>2080</v>
      </c>
      <c r="I9" s="497">
        <v>2380</v>
      </c>
      <c r="J9" s="497">
        <v>2380</v>
      </c>
      <c r="K9" s="502">
        <v>2380</v>
      </c>
      <c r="L9" s="503">
        <v>2380</v>
      </c>
      <c r="M9" s="496">
        <v>2380</v>
      </c>
      <c r="N9" s="496">
        <v>2380</v>
      </c>
      <c r="O9" s="496">
        <v>2380</v>
      </c>
      <c r="P9" s="279">
        <v>2380</v>
      </c>
      <c r="Q9" s="502">
        <v>2380</v>
      </c>
      <c r="R9" s="299">
        <f t="shared" si="0"/>
        <v>17.3</v>
      </c>
      <c r="S9" s="256">
        <f t="shared" si="1"/>
        <v>0</v>
      </c>
      <c r="U9" s="318"/>
      <c r="V9" s="318"/>
      <c r="W9" s="318"/>
      <c r="X9" s="318"/>
      <c r="Y9" s="318"/>
      <c r="Z9" s="261"/>
      <c r="AA9" s="261"/>
      <c r="AB9" s="261"/>
      <c r="AC9" s="261"/>
      <c r="AD9" s="261"/>
      <c r="AE9" s="261"/>
      <c r="AF9" s="261"/>
      <c r="AG9" s="261"/>
    </row>
    <row r="10" spans="1:33" ht="15" customHeight="1">
      <c r="A10" s="16"/>
      <c r="B10" s="668" t="s">
        <v>436</v>
      </c>
      <c r="C10" s="669"/>
      <c r="D10" s="495">
        <v>5800</v>
      </c>
      <c r="E10" s="496">
        <v>6185</v>
      </c>
      <c r="F10" s="497">
        <v>6575</v>
      </c>
      <c r="G10" s="497">
        <v>7562</v>
      </c>
      <c r="H10" s="496">
        <v>8162</v>
      </c>
      <c r="I10" s="497">
        <v>9046</v>
      </c>
      <c r="J10" s="497">
        <v>9736</v>
      </c>
      <c r="K10" s="502">
        <v>10627</v>
      </c>
      <c r="L10" s="503">
        <v>11469</v>
      </c>
      <c r="M10" s="496">
        <v>11987</v>
      </c>
      <c r="N10" s="496">
        <v>13146</v>
      </c>
      <c r="O10" s="496">
        <v>14359</v>
      </c>
      <c r="P10" s="279">
        <v>14434</v>
      </c>
      <c r="Q10" s="502">
        <v>14434</v>
      </c>
      <c r="R10" s="299">
        <f t="shared" si="0"/>
        <v>9</v>
      </c>
      <c r="S10" s="256">
        <f t="shared" si="1"/>
        <v>4.7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1728</v>
      </c>
      <c r="E11" s="496">
        <v>2118</v>
      </c>
      <c r="F11" s="497">
        <v>2118</v>
      </c>
      <c r="G11" s="497">
        <v>2118</v>
      </c>
      <c r="H11" s="496">
        <v>2118</v>
      </c>
      <c r="I11" s="497">
        <v>2118</v>
      </c>
      <c r="J11" s="497">
        <v>2170</v>
      </c>
      <c r="K11" s="502">
        <v>2170</v>
      </c>
      <c r="L11" s="503">
        <v>2570</v>
      </c>
      <c r="M11" s="496">
        <v>2570</v>
      </c>
      <c r="N11" s="496">
        <v>2570</v>
      </c>
      <c r="O11" s="496">
        <v>2570</v>
      </c>
      <c r="P11" s="279">
        <v>2570</v>
      </c>
      <c r="Q11" s="502">
        <v>2570</v>
      </c>
      <c r="R11" s="299">
        <f t="shared" si="0"/>
        <v>3.3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650</v>
      </c>
      <c r="E12" s="496">
        <v>650</v>
      </c>
      <c r="F12" s="497">
        <v>650</v>
      </c>
      <c r="G12" s="497">
        <v>650</v>
      </c>
      <c r="H12" s="496">
        <v>650</v>
      </c>
      <c r="I12" s="497">
        <v>650</v>
      </c>
      <c r="J12" s="497">
        <v>650</v>
      </c>
      <c r="K12" s="502">
        <v>650</v>
      </c>
      <c r="L12" s="503">
        <v>650</v>
      </c>
      <c r="M12" s="496">
        <v>650</v>
      </c>
      <c r="N12" s="496">
        <v>650</v>
      </c>
      <c r="O12" s="496">
        <v>650</v>
      </c>
      <c r="P12" s="279">
        <v>650</v>
      </c>
      <c r="Q12" s="502">
        <v>1450</v>
      </c>
      <c r="R12" s="299">
        <f t="shared" si="0"/>
        <v>0</v>
      </c>
      <c r="S12" s="256">
        <f t="shared" si="1"/>
        <v>17.399999999999999</v>
      </c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1110</v>
      </c>
      <c r="E13" s="49">
        <v>1110</v>
      </c>
      <c r="F13" s="45">
        <v>1510</v>
      </c>
      <c r="G13" s="49">
        <v>1510</v>
      </c>
      <c r="H13" s="49">
        <v>1680</v>
      </c>
      <c r="I13" s="45">
        <v>1680</v>
      </c>
      <c r="J13" s="49">
        <v>2100</v>
      </c>
      <c r="K13" s="50">
        <v>2125</v>
      </c>
      <c r="L13" s="140">
        <v>2125</v>
      </c>
      <c r="M13" s="45">
        <v>2125</v>
      </c>
      <c r="N13" s="45">
        <v>2125</v>
      </c>
      <c r="O13" s="45">
        <v>2125</v>
      </c>
      <c r="P13" s="45">
        <v>2125</v>
      </c>
      <c r="Q13" s="50">
        <v>2125</v>
      </c>
      <c r="R13" s="299">
        <f t="shared" si="0"/>
        <v>9.6999999999999993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20.2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299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43"/>
      <c r="AC14" s="43"/>
      <c r="AD14" s="43"/>
      <c r="AE14" s="43"/>
      <c r="AF14" s="43"/>
      <c r="AG14" s="43"/>
    </row>
    <row r="15" spans="1:33" ht="15" customHeight="1">
      <c r="A15" s="16"/>
      <c r="B15" s="668" t="s">
        <v>440</v>
      </c>
      <c r="C15" s="669"/>
      <c r="D15" s="140">
        <v>220</v>
      </c>
      <c r="E15" s="49">
        <v>220</v>
      </c>
      <c r="F15" s="45">
        <v>220</v>
      </c>
      <c r="G15" s="49">
        <v>220</v>
      </c>
      <c r="H15" s="49">
        <v>220</v>
      </c>
      <c r="I15" s="45">
        <v>290</v>
      </c>
      <c r="J15" s="49">
        <v>290</v>
      </c>
      <c r="K15" s="50">
        <v>290</v>
      </c>
      <c r="L15" s="140">
        <v>290</v>
      </c>
      <c r="M15" s="45">
        <v>290</v>
      </c>
      <c r="N15" s="45">
        <v>290</v>
      </c>
      <c r="O15" s="45">
        <v>370</v>
      </c>
      <c r="P15" s="45">
        <v>370</v>
      </c>
      <c r="Q15" s="50">
        <v>370</v>
      </c>
      <c r="R15" s="299">
        <f t="shared" si="0"/>
        <v>4</v>
      </c>
      <c r="S15" s="256">
        <f t="shared" si="1"/>
        <v>5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590</v>
      </c>
      <c r="E16" s="496">
        <v>590</v>
      </c>
      <c r="F16" s="497">
        <v>590</v>
      </c>
      <c r="G16" s="497">
        <v>590</v>
      </c>
      <c r="H16" s="496">
        <v>590</v>
      </c>
      <c r="I16" s="497">
        <v>590</v>
      </c>
      <c r="J16" s="497">
        <v>590</v>
      </c>
      <c r="K16" s="502">
        <v>590</v>
      </c>
      <c r="L16" s="503">
        <v>590</v>
      </c>
      <c r="M16" s="496">
        <v>590</v>
      </c>
      <c r="N16" s="496">
        <v>940</v>
      </c>
      <c r="O16" s="496">
        <v>940</v>
      </c>
      <c r="P16" s="279">
        <v>940</v>
      </c>
      <c r="Q16" s="502">
        <v>940</v>
      </c>
      <c r="R16" s="299">
        <f t="shared" si="0"/>
        <v>0</v>
      </c>
      <c r="S16" s="256">
        <f t="shared" si="1"/>
        <v>9.8000000000000007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0</v>
      </c>
      <c r="E17" s="496">
        <v>0</v>
      </c>
      <c r="F17" s="497">
        <v>0</v>
      </c>
      <c r="G17" s="497">
        <v>0</v>
      </c>
      <c r="H17" s="496">
        <v>0</v>
      </c>
      <c r="I17" s="497">
        <v>0</v>
      </c>
      <c r="J17" s="497">
        <v>0</v>
      </c>
      <c r="K17" s="502">
        <v>0</v>
      </c>
      <c r="L17" s="503">
        <v>0</v>
      </c>
      <c r="M17" s="496">
        <v>0</v>
      </c>
      <c r="N17" s="496">
        <v>0</v>
      </c>
      <c r="O17" s="496">
        <v>0</v>
      </c>
      <c r="P17" s="279">
        <v>0</v>
      </c>
      <c r="Q17" s="502">
        <v>500</v>
      </c>
      <c r="R17" s="299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2322</v>
      </c>
      <c r="E18" s="40">
        <v>2322</v>
      </c>
      <c r="F18" s="40">
        <v>2310</v>
      </c>
      <c r="G18" s="40">
        <v>2370</v>
      </c>
      <c r="H18" s="40">
        <v>2310</v>
      </c>
      <c r="I18" s="505">
        <v>2218</v>
      </c>
      <c r="J18" s="506">
        <v>2233</v>
      </c>
      <c r="K18" s="507">
        <v>2233</v>
      </c>
      <c r="L18" s="508">
        <v>2233</v>
      </c>
      <c r="M18" s="505">
        <v>2233</v>
      </c>
      <c r="N18" s="505">
        <v>2233</v>
      </c>
      <c r="O18" s="505">
        <v>2233</v>
      </c>
      <c r="P18" s="505">
        <v>2233</v>
      </c>
      <c r="Q18" s="509">
        <v>2233</v>
      </c>
      <c r="R18" s="299">
        <f t="shared" si="0"/>
        <v>-0.6</v>
      </c>
      <c r="S18" s="256">
        <f t="shared" si="1"/>
        <v>0</v>
      </c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SUM(D7:D18)</f>
        <v>15939</v>
      </c>
      <c r="E19" s="93">
        <f t="shared" ref="E19:Q19" si="2">SUM(E7:E18)</f>
        <v>16847</v>
      </c>
      <c r="F19" s="93">
        <f t="shared" si="2"/>
        <v>18925</v>
      </c>
      <c r="G19" s="93">
        <f t="shared" si="2"/>
        <v>20067</v>
      </c>
      <c r="H19" s="93">
        <f t="shared" si="2"/>
        <v>21257</v>
      </c>
      <c r="I19" s="93">
        <f t="shared" si="2"/>
        <v>22654</v>
      </c>
      <c r="J19" s="93">
        <f t="shared" si="2"/>
        <v>23906</v>
      </c>
      <c r="K19" s="96">
        <f t="shared" si="2"/>
        <v>24822</v>
      </c>
      <c r="L19" s="95">
        <f t="shared" si="2"/>
        <v>26264</v>
      </c>
      <c r="M19" s="93">
        <f t="shared" si="2"/>
        <v>26782</v>
      </c>
      <c r="N19" s="93">
        <f t="shared" si="2"/>
        <v>28291</v>
      </c>
      <c r="O19" s="93">
        <f t="shared" si="2"/>
        <v>30484</v>
      </c>
      <c r="P19" s="93">
        <f t="shared" si="2"/>
        <v>30559</v>
      </c>
      <c r="Q19" s="96">
        <f t="shared" si="2"/>
        <v>32359</v>
      </c>
      <c r="R19" s="303">
        <f t="shared" si="0"/>
        <v>6.5</v>
      </c>
      <c r="S19" s="510">
        <f t="shared" si="1"/>
        <v>4.3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210</v>
      </c>
      <c r="E20" s="512">
        <v>210</v>
      </c>
      <c r="F20" s="512">
        <v>210</v>
      </c>
      <c r="G20" s="512">
        <v>200</v>
      </c>
      <c r="H20" s="512">
        <v>200</v>
      </c>
      <c r="I20" s="512">
        <v>200</v>
      </c>
      <c r="J20" s="513">
        <v>200</v>
      </c>
      <c r="K20" s="514">
        <v>200</v>
      </c>
      <c r="L20" s="511">
        <v>200</v>
      </c>
      <c r="M20" s="512">
        <v>200</v>
      </c>
      <c r="N20" s="512">
        <v>200</v>
      </c>
      <c r="O20" s="512">
        <v>200</v>
      </c>
      <c r="P20" s="513">
        <v>200</v>
      </c>
      <c r="Q20" s="514">
        <v>200</v>
      </c>
      <c r="R20" s="303">
        <f t="shared" si="0"/>
        <v>-0.7</v>
      </c>
      <c r="S20" s="510">
        <f t="shared" si="1"/>
        <v>0</v>
      </c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210</v>
      </c>
      <c r="E21" s="512">
        <v>210</v>
      </c>
      <c r="F21" s="512">
        <v>210</v>
      </c>
      <c r="G21" s="512">
        <v>200</v>
      </c>
      <c r="H21" s="512">
        <v>200</v>
      </c>
      <c r="I21" s="512">
        <v>200</v>
      </c>
      <c r="J21" s="513">
        <v>200</v>
      </c>
      <c r="K21" s="514">
        <v>200</v>
      </c>
      <c r="L21" s="511">
        <v>200</v>
      </c>
      <c r="M21" s="512">
        <v>200</v>
      </c>
      <c r="N21" s="512">
        <v>200</v>
      </c>
      <c r="O21" s="512">
        <v>200</v>
      </c>
      <c r="P21" s="513">
        <v>200</v>
      </c>
      <c r="Q21" s="514">
        <v>200</v>
      </c>
      <c r="R21" s="303">
        <f t="shared" si="0"/>
        <v>-0.7</v>
      </c>
      <c r="S21" s="510">
        <f t="shared" si="1"/>
        <v>0</v>
      </c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10824</v>
      </c>
      <c r="E22" s="496">
        <v>10429</v>
      </c>
      <c r="F22" s="496">
        <v>9893</v>
      </c>
      <c r="G22" s="496">
        <v>9513</v>
      </c>
      <c r="H22" s="496">
        <v>9513</v>
      </c>
      <c r="I22" s="496">
        <v>9513</v>
      </c>
      <c r="J22" s="515">
        <v>9563</v>
      </c>
      <c r="K22" s="502">
        <v>9643</v>
      </c>
      <c r="L22" s="503">
        <v>9643</v>
      </c>
      <c r="M22" s="496">
        <v>9643</v>
      </c>
      <c r="N22" s="496">
        <v>9643</v>
      </c>
      <c r="O22" s="512">
        <v>9643</v>
      </c>
      <c r="P22" s="512">
        <v>9643</v>
      </c>
      <c r="Q22" s="514">
        <v>9643</v>
      </c>
      <c r="R22" s="516">
        <f t="shared" si="0"/>
        <v>-1.6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10047</v>
      </c>
      <c r="E23" s="512">
        <v>9652</v>
      </c>
      <c r="F23" s="512">
        <v>9423</v>
      </c>
      <c r="G23" s="512">
        <v>9043</v>
      </c>
      <c r="H23" s="512">
        <v>9043</v>
      </c>
      <c r="I23" s="512">
        <v>9043</v>
      </c>
      <c r="J23" s="513">
        <v>9043</v>
      </c>
      <c r="K23" s="514">
        <v>9123</v>
      </c>
      <c r="L23" s="511">
        <v>9123</v>
      </c>
      <c r="M23" s="512">
        <v>9123</v>
      </c>
      <c r="N23" s="512">
        <v>9123</v>
      </c>
      <c r="O23" s="512">
        <v>9123</v>
      </c>
      <c r="P23" s="512">
        <v>9123</v>
      </c>
      <c r="Q23" s="514">
        <v>9123</v>
      </c>
      <c r="R23" s="303">
        <f t="shared" si="0"/>
        <v>-1.4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7665</v>
      </c>
      <c r="E24" s="496">
        <v>8000</v>
      </c>
      <c r="F24" s="496">
        <v>8600</v>
      </c>
      <c r="G24" s="496">
        <v>8800</v>
      </c>
      <c r="H24" s="496">
        <v>9990</v>
      </c>
      <c r="I24" s="496">
        <v>10090</v>
      </c>
      <c r="J24" s="497">
        <v>11090</v>
      </c>
      <c r="K24" s="502">
        <v>11350</v>
      </c>
      <c r="L24" s="503">
        <v>11350</v>
      </c>
      <c r="M24" s="496">
        <v>11350</v>
      </c>
      <c r="N24" s="496">
        <v>11885</v>
      </c>
      <c r="O24" s="496">
        <v>11885</v>
      </c>
      <c r="P24" s="497">
        <v>11885</v>
      </c>
      <c r="Q24" s="502">
        <v>11885</v>
      </c>
      <c r="R24" s="303">
        <f t="shared" si="0"/>
        <v>5.8</v>
      </c>
      <c r="S24" s="510">
        <f t="shared" si="1"/>
        <v>0.9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4650</v>
      </c>
      <c r="E25" s="518">
        <v>4650</v>
      </c>
      <c r="F25" s="518">
        <v>4650</v>
      </c>
      <c r="G25" s="518">
        <v>4850</v>
      </c>
      <c r="H25" s="518">
        <v>5050</v>
      </c>
      <c r="I25" s="518">
        <v>5050</v>
      </c>
      <c r="J25" s="519">
        <v>6050</v>
      </c>
      <c r="K25" s="514">
        <v>6215</v>
      </c>
      <c r="L25" s="511">
        <v>6215</v>
      </c>
      <c r="M25" s="518">
        <v>6215</v>
      </c>
      <c r="N25" s="518">
        <v>6215</v>
      </c>
      <c r="O25" s="518">
        <v>6215</v>
      </c>
      <c r="P25" s="519">
        <v>6215</v>
      </c>
      <c r="Q25" s="514">
        <v>6215</v>
      </c>
      <c r="R25" s="299">
        <f t="shared" si="0"/>
        <v>4.2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750</v>
      </c>
      <c r="E26" s="518">
        <v>750</v>
      </c>
      <c r="F26" s="518">
        <v>750</v>
      </c>
      <c r="G26" s="518">
        <v>750</v>
      </c>
      <c r="H26" s="518">
        <v>750</v>
      </c>
      <c r="I26" s="518">
        <v>750</v>
      </c>
      <c r="J26" s="519">
        <v>950</v>
      </c>
      <c r="K26" s="514">
        <v>950</v>
      </c>
      <c r="L26" s="511">
        <v>950</v>
      </c>
      <c r="M26" s="518">
        <v>950</v>
      </c>
      <c r="N26" s="518">
        <v>950</v>
      </c>
      <c r="O26" s="518">
        <v>950</v>
      </c>
      <c r="P26" s="519">
        <v>950</v>
      </c>
      <c r="Q26" s="514">
        <v>950</v>
      </c>
      <c r="R26" s="303">
        <f t="shared" si="0"/>
        <v>3.4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983</v>
      </c>
      <c r="E27" s="521">
        <v>983</v>
      </c>
      <c r="F27" s="521">
        <v>983</v>
      </c>
      <c r="G27" s="521">
        <v>946</v>
      </c>
      <c r="H27" s="521">
        <v>946</v>
      </c>
      <c r="I27" s="521">
        <v>946</v>
      </c>
      <c r="J27" s="522">
        <v>1158</v>
      </c>
      <c r="K27" s="523">
        <v>1158</v>
      </c>
      <c r="L27" s="520">
        <v>1158</v>
      </c>
      <c r="M27" s="521">
        <v>1358</v>
      </c>
      <c r="N27" s="521">
        <v>1558</v>
      </c>
      <c r="O27" s="521">
        <v>1758</v>
      </c>
      <c r="P27" s="522">
        <v>1958</v>
      </c>
      <c r="Q27" s="523">
        <v>1958</v>
      </c>
      <c r="R27" s="303">
        <f t="shared" si="0"/>
        <v>2.4</v>
      </c>
      <c r="S27" s="510">
        <f t="shared" si="1"/>
        <v>11.1</v>
      </c>
      <c r="U27" s="43"/>
      <c r="V27" s="43"/>
      <c r="W27" s="43"/>
      <c r="X27" s="43"/>
      <c r="Y27" s="43"/>
      <c r="Z27" s="319"/>
      <c r="AA27" s="319"/>
      <c r="AB27" s="319"/>
      <c r="AC27" s="319"/>
      <c r="AD27" s="319"/>
      <c r="AE27" s="319"/>
      <c r="AF27" s="319"/>
      <c r="AG27" s="319"/>
    </row>
    <row r="28" spans="1:33" ht="15" customHeight="1">
      <c r="A28" s="16"/>
      <c r="B28" s="672" t="s">
        <v>316</v>
      </c>
      <c r="C28" s="673"/>
      <c r="D28" s="524">
        <v>7884</v>
      </c>
      <c r="E28" s="525">
        <v>7884</v>
      </c>
      <c r="F28" s="525">
        <v>7990</v>
      </c>
      <c r="G28" s="526">
        <v>8273</v>
      </c>
      <c r="H28" s="526">
        <v>8273</v>
      </c>
      <c r="I28" s="496">
        <v>7992</v>
      </c>
      <c r="J28" s="497">
        <v>8111</v>
      </c>
      <c r="K28" s="498">
        <v>8587</v>
      </c>
      <c r="L28" s="527">
        <v>10685</v>
      </c>
      <c r="M28" s="528">
        <v>12224</v>
      </c>
      <c r="N28" s="528">
        <v>12821</v>
      </c>
      <c r="O28" s="528">
        <v>13396</v>
      </c>
      <c r="P28" s="528">
        <v>13426</v>
      </c>
      <c r="Q28" s="498">
        <v>13072</v>
      </c>
      <c r="R28" s="299">
        <f t="shared" si="0"/>
        <v>1.2</v>
      </c>
      <c r="S28" s="256">
        <f t="shared" si="1"/>
        <v>4.0999999999999996</v>
      </c>
      <c r="U28" s="283"/>
      <c r="V28" s="283"/>
      <c r="W28" s="283"/>
      <c r="X28" s="320"/>
      <c r="Y28" s="320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2410</v>
      </c>
      <c r="E29" s="525">
        <v>2410</v>
      </c>
      <c r="F29" s="530">
        <v>2410</v>
      </c>
      <c r="G29" s="531">
        <v>2218</v>
      </c>
      <c r="H29" s="526">
        <v>2218</v>
      </c>
      <c r="I29" s="497">
        <v>2218</v>
      </c>
      <c r="J29" s="497">
        <v>2725</v>
      </c>
      <c r="K29" s="498">
        <v>2725</v>
      </c>
      <c r="L29" s="499">
        <v>2725</v>
      </c>
      <c r="M29" s="532">
        <v>2725</v>
      </c>
      <c r="N29" s="532">
        <v>2725</v>
      </c>
      <c r="O29" s="532">
        <v>2838</v>
      </c>
      <c r="P29" s="532">
        <v>3175</v>
      </c>
      <c r="Q29" s="498">
        <v>3175</v>
      </c>
      <c r="R29" s="299">
        <f t="shared" si="0"/>
        <v>1.8</v>
      </c>
      <c r="S29" s="256">
        <f t="shared" si="1"/>
        <v>3.1</v>
      </c>
      <c r="U29" s="283"/>
      <c r="V29" s="283"/>
      <c r="W29" s="283"/>
      <c r="X29" s="320"/>
      <c r="Y29" s="320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10294</v>
      </c>
      <c r="E30" s="92">
        <f t="shared" ref="E30:Q30" si="3">SUM(E28:E29)</f>
        <v>10294</v>
      </c>
      <c r="F30" s="92">
        <f t="shared" si="3"/>
        <v>10400</v>
      </c>
      <c r="G30" s="93">
        <f t="shared" si="3"/>
        <v>10491</v>
      </c>
      <c r="H30" s="93">
        <f t="shared" si="3"/>
        <v>10491</v>
      </c>
      <c r="I30" s="94">
        <f t="shared" si="3"/>
        <v>10210</v>
      </c>
      <c r="J30" s="94">
        <f t="shared" si="3"/>
        <v>10836</v>
      </c>
      <c r="K30" s="96">
        <f t="shared" si="3"/>
        <v>11312</v>
      </c>
      <c r="L30" s="95">
        <f t="shared" si="3"/>
        <v>13410</v>
      </c>
      <c r="M30" s="93">
        <f t="shared" si="3"/>
        <v>14949</v>
      </c>
      <c r="N30" s="93">
        <f t="shared" si="3"/>
        <v>15546</v>
      </c>
      <c r="O30" s="93">
        <f t="shared" si="3"/>
        <v>16234</v>
      </c>
      <c r="P30" s="93">
        <f t="shared" si="3"/>
        <v>16601</v>
      </c>
      <c r="Q30" s="96">
        <f t="shared" si="3"/>
        <v>16247</v>
      </c>
      <c r="R30" s="303">
        <f t="shared" si="0"/>
        <v>1.4</v>
      </c>
      <c r="S30" s="510">
        <f t="shared" si="1"/>
        <v>3.9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565</v>
      </c>
      <c r="E31" s="525">
        <v>565</v>
      </c>
      <c r="F31" s="530">
        <v>565</v>
      </c>
      <c r="G31" s="531">
        <v>565</v>
      </c>
      <c r="H31" s="526">
        <v>565</v>
      </c>
      <c r="I31" s="497">
        <v>565</v>
      </c>
      <c r="J31" s="497">
        <v>740</v>
      </c>
      <c r="K31" s="498">
        <v>865</v>
      </c>
      <c r="L31" s="533">
        <v>865</v>
      </c>
      <c r="M31" s="534">
        <v>865</v>
      </c>
      <c r="N31" s="534">
        <v>865</v>
      </c>
      <c r="O31" s="534">
        <v>865</v>
      </c>
      <c r="P31" s="534">
        <v>865</v>
      </c>
      <c r="Q31" s="535">
        <v>865</v>
      </c>
      <c r="R31" s="299">
        <f t="shared" si="0"/>
        <v>6.3</v>
      </c>
      <c r="S31" s="256">
        <f t="shared" si="1"/>
        <v>0</v>
      </c>
      <c r="U31" s="283"/>
      <c r="V31" s="283"/>
      <c r="W31" s="283"/>
      <c r="X31" s="320"/>
      <c r="Y31" s="320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1725</v>
      </c>
      <c r="E32" s="525">
        <v>1725</v>
      </c>
      <c r="F32" s="530">
        <v>1725</v>
      </c>
      <c r="G32" s="531">
        <v>1725</v>
      </c>
      <c r="H32" s="526">
        <v>1725</v>
      </c>
      <c r="I32" s="497">
        <v>1725</v>
      </c>
      <c r="J32" s="497">
        <v>1725</v>
      </c>
      <c r="K32" s="502">
        <v>1725</v>
      </c>
      <c r="L32" s="503">
        <v>1725</v>
      </c>
      <c r="M32" s="496">
        <v>1725</v>
      </c>
      <c r="N32" s="496">
        <v>1725</v>
      </c>
      <c r="O32" s="496">
        <v>1725</v>
      </c>
      <c r="P32" s="497">
        <v>1725</v>
      </c>
      <c r="Q32" s="502">
        <v>1725</v>
      </c>
      <c r="R32" s="299">
        <f t="shared" si="0"/>
        <v>0</v>
      </c>
      <c r="S32" s="256">
        <f t="shared" si="1"/>
        <v>0</v>
      </c>
      <c r="U32" s="283"/>
      <c r="V32" s="283"/>
      <c r="W32" s="283"/>
      <c r="X32" s="320"/>
      <c r="Y32" s="320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773</v>
      </c>
      <c r="E33" s="525">
        <v>773</v>
      </c>
      <c r="F33" s="530">
        <v>773</v>
      </c>
      <c r="G33" s="531">
        <v>683</v>
      </c>
      <c r="H33" s="526">
        <v>708</v>
      </c>
      <c r="I33" s="497">
        <v>708</v>
      </c>
      <c r="J33" s="497">
        <v>708</v>
      </c>
      <c r="K33" s="536">
        <v>708</v>
      </c>
      <c r="L33" s="537">
        <v>708</v>
      </c>
      <c r="M33" s="538">
        <v>708</v>
      </c>
      <c r="N33" s="538">
        <v>708</v>
      </c>
      <c r="O33" s="538">
        <v>708</v>
      </c>
      <c r="P33" s="515">
        <v>708</v>
      </c>
      <c r="Q33" s="502">
        <v>708</v>
      </c>
      <c r="R33" s="299">
        <f t="shared" si="0"/>
        <v>-1.2</v>
      </c>
      <c r="S33" s="256">
        <f t="shared" si="1"/>
        <v>0</v>
      </c>
      <c r="U33" s="43"/>
      <c r="V33" s="43"/>
      <c r="W33" s="43"/>
      <c r="X33" s="321"/>
      <c r="Y33" s="321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3063</v>
      </c>
      <c r="E34" s="539">
        <f t="shared" ref="E34:Q34" si="4">SUM(E31:E33)</f>
        <v>3063</v>
      </c>
      <c r="F34" s="539">
        <f t="shared" si="4"/>
        <v>3063</v>
      </c>
      <c r="G34" s="100">
        <f t="shared" si="4"/>
        <v>2973</v>
      </c>
      <c r="H34" s="100">
        <f t="shared" si="4"/>
        <v>2998</v>
      </c>
      <c r="I34" s="100">
        <f t="shared" si="4"/>
        <v>2998</v>
      </c>
      <c r="J34" s="101">
        <f t="shared" si="4"/>
        <v>3173</v>
      </c>
      <c r="K34" s="104">
        <f t="shared" si="4"/>
        <v>3298</v>
      </c>
      <c r="L34" s="540">
        <f t="shared" si="4"/>
        <v>3298</v>
      </c>
      <c r="M34" s="100">
        <f t="shared" si="4"/>
        <v>3298</v>
      </c>
      <c r="N34" s="100">
        <f t="shared" si="4"/>
        <v>3298</v>
      </c>
      <c r="O34" s="100">
        <f t="shared" si="4"/>
        <v>3298</v>
      </c>
      <c r="P34" s="100">
        <f t="shared" si="4"/>
        <v>3298</v>
      </c>
      <c r="Q34" s="104">
        <f t="shared" si="4"/>
        <v>3298</v>
      </c>
      <c r="R34" s="306">
        <f t="shared" si="0"/>
        <v>1.1000000000000001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49728</v>
      </c>
      <c r="E35" s="543">
        <f t="shared" ref="E35:Q35" si="5">E19+E20+E22+E24+E26+E27+E30+E34</f>
        <v>50576</v>
      </c>
      <c r="F35" s="543">
        <f t="shared" si="5"/>
        <v>52824</v>
      </c>
      <c r="G35" s="544">
        <f t="shared" si="5"/>
        <v>53740</v>
      </c>
      <c r="H35" s="544">
        <f t="shared" si="5"/>
        <v>56145</v>
      </c>
      <c r="I35" s="544">
        <f t="shared" si="5"/>
        <v>57361</v>
      </c>
      <c r="J35" s="545">
        <f t="shared" si="5"/>
        <v>60876</v>
      </c>
      <c r="K35" s="546">
        <f t="shared" si="5"/>
        <v>62733</v>
      </c>
      <c r="L35" s="547">
        <f t="shared" si="5"/>
        <v>66273</v>
      </c>
      <c r="M35" s="544">
        <f t="shared" si="5"/>
        <v>68530</v>
      </c>
      <c r="N35" s="544">
        <f t="shared" si="5"/>
        <v>71371</v>
      </c>
      <c r="O35" s="544">
        <f t="shared" si="5"/>
        <v>74452</v>
      </c>
      <c r="P35" s="544">
        <f t="shared" si="5"/>
        <v>75094</v>
      </c>
      <c r="Q35" s="546">
        <f t="shared" si="5"/>
        <v>76540</v>
      </c>
      <c r="R35" s="548">
        <f t="shared" si="0"/>
        <v>3.4</v>
      </c>
      <c r="S35" s="549">
        <f t="shared" si="1"/>
        <v>2.9</v>
      </c>
    </row>
    <row r="36" spans="1:33" ht="15" customHeight="1">
      <c r="A36" s="613" t="s">
        <v>324</v>
      </c>
      <c r="B36" s="666" t="s">
        <v>433</v>
      </c>
      <c r="C36" s="667"/>
      <c r="D36" s="487">
        <v>2078</v>
      </c>
      <c r="E36" s="488">
        <v>2095</v>
      </c>
      <c r="F36" s="489">
        <v>2068</v>
      </c>
      <c r="G36" s="489">
        <v>2178</v>
      </c>
      <c r="H36" s="488">
        <v>2594</v>
      </c>
      <c r="I36" s="489">
        <v>2668</v>
      </c>
      <c r="J36" s="550">
        <v>2703</v>
      </c>
      <c r="K36" s="490">
        <v>2953</v>
      </c>
      <c r="L36" s="491">
        <v>2950</v>
      </c>
      <c r="M36" s="492">
        <v>2950</v>
      </c>
      <c r="N36" s="492">
        <v>2950</v>
      </c>
      <c r="O36" s="492">
        <v>3700</v>
      </c>
      <c r="P36" s="493">
        <v>3700</v>
      </c>
      <c r="Q36" s="498">
        <v>4000</v>
      </c>
      <c r="R36" s="299">
        <f t="shared" si="0"/>
        <v>5.0999999999999996</v>
      </c>
      <c r="S36" s="256">
        <f t="shared" si="1"/>
        <v>6.3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690</v>
      </c>
      <c r="E37" s="496">
        <v>571</v>
      </c>
      <c r="F37" s="497">
        <v>499</v>
      </c>
      <c r="G37" s="497">
        <v>589</v>
      </c>
      <c r="H37" s="496">
        <v>576</v>
      </c>
      <c r="I37" s="497">
        <v>610</v>
      </c>
      <c r="J37" s="551">
        <v>673</v>
      </c>
      <c r="K37" s="498">
        <v>687</v>
      </c>
      <c r="L37" s="499">
        <v>690</v>
      </c>
      <c r="M37" s="500">
        <v>690</v>
      </c>
      <c r="N37" s="500">
        <v>690</v>
      </c>
      <c r="O37" s="500">
        <v>700</v>
      </c>
      <c r="P37" s="501">
        <v>700</v>
      </c>
      <c r="Q37" s="498">
        <v>700</v>
      </c>
      <c r="R37" s="299">
        <f t="shared" si="0"/>
        <v>-0.1</v>
      </c>
      <c r="S37" s="256">
        <f t="shared" si="1"/>
        <v>0.3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750</v>
      </c>
      <c r="E38" s="496">
        <v>752</v>
      </c>
      <c r="F38" s="497">
        <v>1002</v>
      </c>
      <c r="G38" s="497">
        <v>1667.25</v>
      </c>
      <c r="H38" s="496">
        <v>2038.3999999999999</v>
      </c>
      <c r="I38" s="497">
        <v>1955.3424657534247</v>
      </c>
      <c r="J38" s="497">
        <v>2017</v>
      </c>
      <c r="K38" s="502">
        <v>1892</v>
      </c>
      <c r="L38" s="503">
        <v>2145</v>
      </c>
      <c r="M38" s="496">
        <v>2234</v>
      </c>
      <c r="N38" s="496">
        <v>2261</v>
      </c>
      <c r="O38" s="496">
        <v>2261</v>
      </c>
      <c r="P38" s="279">
        <v>2143</v>
      </c>
      <c r="Q38" s="502">
        <v>2190</v>
      </c>
      <c r="R38" s="299">
        <f t="shared" si="0"/>
        <v>14.1</v>
      </c>
      <c r="S38" s="256">
        <f t="shared" si="1"/>
        <v>0.4</v>
      </c>
      <c r="U38" s="318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5841</v>
      </c>
      <c r="E39" s="496">
        <v>6020</v>
      </c>
      <c r="F39" s="497">
        <v>5687</v>
      </c>
      <c r="G39" s="497">
        <v>6996</v>
      </c>
      <c r="H39" s="496">
        <v>7615</v>
      </c>
      <c r="I39" s="497">
        <v>8299</v>
      </c>
      <c r="J39" s="497">
        <v>9578</v>
      </c>
      <c r="K39" s="502">
        <v>10064</v>
      </c>
      <c r="L39" s="503">
        <v>10443</v>
      </c>
      <c r="M39" s="496">
        <v>10854</v>
      </c>
      <c r="N39" s="496">
        <v>11547</v>
      </c>
      <c r="O39" s="496">
        <v>12041</v>
      </c>
      <c r="P39" s="279">
        <v>12526</v>
      </c>
      <c r="Q39" s="502">
        <v>13004</v>
      </c>
      <c r="R39" s="299">
        <f t="shared" si="0"/>
        <v>8.1</v>
      </c>
      <c r="S39" s="256">
        <f t="shared" si="1"/>
        <v>4.5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1013</v>
      </c>
      <c r="E40" s="496">
        <v>1493</v>
      </c>
      <c r="F40" s="497">
        <v>1466</v>
      </c>
      <c r="G40" s="497">
        <v>1375</v>
      </c>
      <c r="H40" s="496">
        <v>1506</v>
      </c>
      <c r="I40" s="497">
        <v>1500</v>
      </c>
      <c r="J40" s="497">
        <v>1500</v>
      </c>
      <c r="K40" s="502">
        <v>1500</v>
      </c>
      <c r="L40" s="503">
        <v>1800</v>
      </c>
      <c r="M40" s="496">
        <v>1800</v>
      </c>
      <c r="N40" s="496">
        <v>1800</v>
      </c>
      <c r="O40" s="496">
        <v>1800</v>
      </c>
      <c r="P40" s="279">
        <v>1800</v>
      </c>
      <c r="Q40" s="502">
        <v>1800</v>
      </c>
      <c r="R40" s="299">
        <f t="shared" si="0"/>
        <v>5.8</v>
      </c>
      <c r="S40" s="256">
        <f t="shared" si="1"/>
        <v>0</v>
      </c>
      <c r="U40" s="280"/>
      <c r="V40" s="280"/>
      <c r="W40" s="280"/>
      <c r="X40" s="280"/>
      <c r="Y40" s="280"/>
      <c r="Z40" s="27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470</v>
      </c>
      <c r="E41" s="496">
        <v>470</v>
      </c>
      <c r="F41" s="497">
        <v>470</v>
      </c>
      <c r="G41" s="497">
        <v>470</v>
      </c>
      <c r="H41" s="496">
        <v>470</v>
      </c>
      <c r="I41" s="497">
        <v>470</v>
      </c>
      <c r="J41" s="497">
        <v>470</v>
      </c>
      <c r="K41" s="502">
        <v>470</v>
      </c>
      <c r="L41" s="503">
        <v>500</v>
      </c>
      <c r="M41" s="496">
        <v>500</v>
      </c>
      <c r="N41" s="496">
        <v>500</v>
      </c>
      <c r="O41" s="496">
        <v>1200</v>
      </c>
      <c r="P41" s="279">
        <v>1200</v>
      </c>
      <c r="Q41" s="502">
        <v>1200</v>
      </c>
      <c r="R41" s="299">
        <f t="shared" si="0"/>
        <v>0</v>
      </c>
      <c r="S41" s="256">
        <f t="shared" si="1"/>
        <v>19.100000000000001</v>
      </c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</row>
    <row r="42" spans="1:33" ht="15" customHeight="1">
      <c r="A42" s="16"/>
      <c r="B42" s="668" t="s">
        <v>439</v>
      </c>
      <c r="C42" s="669"/>
      <c r="D42" s="140">
        <v>1243</v>
      </c>
      <c r="E42" s="49">
        <v>1449</v>
      </c>
      <c r="F42" s="45">
        <v>906</v>
      </c>
      <c r="G42" s="49">
        <v>999</v>
      </c>
      <c r="H42" s="49">
        <v>1033</v>
      </c>
      <c r="I42" s="45">
        <v>1260</v>
      </c>
      <c r="J42" s="49">
        <v>1250</v>
      </c>
      <c r="K42" s="50">
        <v>1400</v>
      </c>
      <c r="L42" s="504">
        <v>1500</v>
      </c>
      <c r="M42" s="45">
        <v>1600</v>
      </c>
      <c r="N42" s="45">
        <v>1700</v>
      </c>
      <c r="O42" s="45">
        <v>2000</v>
      </c>
      <c r="P42" s="49">
        <v>2000</v>
      </c>
      <c r="Q42" s="50">
        <v>2000</v>
      </c>
      <c r="R42" s="299">
        <f t="shared" si="0"/>
        <v>1.7</v>
      </c>
      <c r="S42" s="256">
        <f t="shared" si="1"/>
        <v>5.9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9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2"/>
      <c r="R43" s="299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v>90</v>
      </c>
      <c r="E44" s="49">
        <v>73</v>
      </c>
      <c r="F44" s="45">
        <v>67</v>
      </c>
      <c r="G44" s="49">
        <v>25</v>
      </c>
      <c r="H44" s="49">
        <v>19</v>
      </c>
      <c r="I44" s="45">
        <v>91.93</v>
      </c>
      <c r="J44" s="49">
        <v>120</v>
      </c>
      <c r="K44" s="50">
        <v>140</v>
      </c>
      <c r="L44" s="504">
        <v>160</v>
      </c>
      <c r="M44" s="45">
        <v>180</v>
      </c>
      <c r="N44" s="45">
        <v>200</v>
      </c>
      <c r="O44" s="45">
        <v>220</v>
      </c>
      <c r="P44" s="45">
        <v>240</v>
      </c>
      <c r="Q44" s="50">
        <v>260</v>
      </c>
      <c r="R44" s="299">
        <f t="shared" si="0"/>
        <v>6.5</v>
      </c>
      <c r="S44" s="256">
        <f t="shared" si="1"/>
        <v>10.199999999999999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553</v>
      </c>
      <c r="E45" s="496">
        <v>553</v>
      </c>
      <c r="F45" s="497">
        <v>552</v>
      </c>
      <c r="G45" s="497">
        <v>515</v>
      </c>
      <c r="H45" s="496">
        <v>459.25600000000003</v>
      </c>
      <c r="I45" s="497">
        <v>512.13599999999997</v>
      </c>
      <c r="J45" s="497">
        <v>464.12100000000004</v>
      </c>
      <c r="K45" s="502">
        <v>490.959</v>
      </c>
      <c r="L45" s="503">
        <v>490.959</v>
      </c>
      <c r="M45" s="496">
        <v>490.959</v>
      </c>
      <c r="N45" s="496">
        <v>665.95900000000006</v>
      </c>
      <c r="O45" s="496">
        <v>840.95900000000006</v>
      </c>
      <c r="P45" s="279">
        <v>840.95900000000006</v>
      </c>
      <c r="Q45" s="502">
        <v>840.95900000000006</v>
      </c>
      <c r="R45" s="299">
        <f t="shared" si="0"/>
        <v>-1.7</v>
      </c>
      <c r="S45" s="256">
        <f t="shared" si="1"/>
        <v>11.4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0</v>
      </c>
      <c r="E46" s="496">
        <v>0</v>
      </c>
      <c r="F46" s="497">
        <v>0</v>
      </c>
      <c r="G46" s="497">
        <v>0</v>
      </c>
      <c r="H46" s="496">
        <v>0</v>
      </c>
      <c r="I46" s="497">
        <v>0</v>
      </c>
      <c r="J46" s="497">
        <v>0</v>
      </c>
      <c r="K46" s="502">
        <v>0</v>
      </c>
      <c r="L46" s="503">
        <v>0</v>
      </c>
      <c r="M46" s="496">
        <v>0</v>
      </c>
      <c r="N46" s="496">
        <v>0</v>
      </c>
      <c r="O46" s="496">
        <v>0</v>
      </c>
      <c r="P46" s="279">
        <v>0</v>
      </c>
      <c r="Q46" s="502">
        <v>500</v>
      </c>
      <c r="R46" s="299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1895.2</v>
      </c>
      <c r="E47" s="496">
        <v>1840</v>
      </c>
      <c r="F47" s="497">
        <v>1646.7</v>
      </c>
      <c r="G47" s="497">
        <v>1686.3</v>
      </c>
      <c r="H47" s="496">
        <v>1792.9</v>
      </c>
      <c r="I47" s="497">
        <v>1675.6</v>
      </c>
      <c r="J47" s="497">
        <v>1719.9</v>
      </c>
      <c r="K47" s="502">
        <v>1748</v>
      </c>
      <c r="L47" s="503">
        <v>1586.7</v>
      </c>
      <c r="M47" s="496">
        <v>1541.7</v>
      </c>
      <c r="N47" s="496">
        <v>1527.6</v>
      </c>
      <c r="O47" s="496">
        <v>1521.4</v>
      </c>
      <c r="P47" s="497">
        <v>1515.7</v>
      </c>
      <c r="Q47" s="502">
        <v>1509.8</v>
      </c>
      <c r="R47" s="299">
        <f t="shared" si="0"/>
        <v>-1.1000000000000001</v>
      </c>
      <c r="S47" s="256">
        <f t="shared" si="1"/>
        <v>-1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14623.2</v>
      </c>
      <c r="E48" s="93">
        <f t="shared" ref="E48:Q48" si="6">SUM(E36:E47)</f>
        <v>15316</v>
      </c>
      <c r="F48" s="93">
        <f t="shared" si="6"/>
        <v>14363.7</v>
      </c>
      <c r="G48" s="93">
        <f t="shared" si="6"/>
        <v>16500.55</v>
      </c>
      <c r="H48" s="93">
        <f t="shared" si="6"/>
        <v>18103.556</v>
      </c>
      <c r="I48" s="93">
        <f t="shared" si="6"/>
        <v>19042.008465753424</v>
      </c>
      <c r="J48" s="93">
        <f t="shared" si="6"/>
        <v>20495.021000000001</v>
      </c>
      <c r="K48" s="96">
        <f t="shared" si="6"/>
        <v>21344.958999999999</v>
      </c>
      <c r="L48" s="95">
        <f t="shared" si="6"/>
        <v>22265.659</v>
      </c>
      <c r="M48" s="93">
        <f t="shared" si="6"/>
        <v>22840.659</v>
      </c>
      <c r="N48" s="93">
        <f t="shared" si="6"/>
        <v>23841.558999999997</v>
      </c>
      <c r="O48" s="93">
        <f t="shared" si="6"/>
        <v>26284.359</v>
      </c>
      <c r="P48" s="93">
        <f t="shared" si="6"/>
        <v>26665.659</v>
      </c>
      <c r="Q48" s="96">
        <f t="shared" si="6"/>
        <v>28004.758999999998</v>
      </c>
      <c r="R48" s="303">
        <f t="shared" si="0"/>
        <v>5.6</v>
      </c>
      <c r="S48" s="510">
        <f t="shared" si="1"/>
        <v>4.7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167</v>
      </c>
      <c r="E49" s="512">
        <v>171</v>
      </c>
      <c r="F49" s="512">
        <v>170</v>
      </c>
      <c r="G49" s="512">
        <v>170</v>
      </c>
      <c r="H49" s="512">
        <v>170</v>
      </c>
      <c r="I49" s="512">
        <v>170</v>
      </c>
      <c r="J49" s="513">
        <v>170</v>
      </c>
      <c r="K49" s="514">
        <v>170</v>
      </c>
      <c r="L49" s="511">
        <v>170</v>
      </c>
      <c r="M49" s="512">
        <v>170</v>
      </c>
      <c r="N49" s="512">
        <v>170</v>
      </c>
      <c r="O49" s="512">
        <v>170</v>
      </c>
      <c r="P49" s="513">
        <v>170</v>
      </c>
      <c r="Q49" s="514">
        <v>170</v>
      </c>
      <c r="R49" s="303">
        <f t="shared" si="0"/>
        <v>0.3</v>
      </c>
      <c r="S49" s="510">
        <f t="shared" si="1"/>
        <v>0</v>
      </c>
      <c r="U49" s="280"/>
      <c r="V49" s="280"/>
      <c r="W49" s="280"/>
      <c r="X49" s="280"/>
      <c r="Y49" s="280"/>
      <c r="Z49" s="280"/>
      <c r="AA49" s="280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167</v>
      </c>
      <c r="E50" s="512">
        <v>171</v>
      </c>
      <c r="F50" s="512">
        <v>170</v>
      </c>
      <c r="G50" s="512">
        <v>170</v>
      </c>
      <c r="H50" s="512">
        <v>170</v>
      </c>
      <c r="I50" s="512">
        <v>170</v>
      </c>
      <c r="J50" s="513">
        <v>170</v>
      </c>
      <c r="K50" s="514">
        <v>170</v>
      </c>
      <c r="L50" s="511">
        <v>170</v>
      </c>
      <c r="M50" s="512">
        <v>170</v>
      </c>
      <c r="N50" s="512">
        <v>170</v>
      </c>
      <c r="O50" s="512">
        <v>170</v>
      </c>
      <c r="P50" s="513">
        <v>170</v>
      </c>
      <c r="Q50" s="514">
        <v>170</v>
      </c>
      <c r="R50" s="303">
        <f t="shared" si="0"/>
        <v>0.3</v>
      </c>
      <c r="S50" s="510">
        <f t="shared" si="1"/>
        <v>0</v>
      </c>
      <c r="U50" s="280"/>
      <c r="V50" s="280"/>
      <c r="W50" s="280"/>
      <c r="X50" s="280"/>
      <c r="Y50" s="280"/>
      <c r="Z50" s="280"/>
      <c r="AA50" s="280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7959</v>
      </c>
      <c r="E51" s="512">
        <v>7272</v>
      </c>
      <c r="F51" s="512">
        <v>6886</v>
      </c>
      <c r="G51" s="512">
        <v>7110</v>
      </c>
      <c r="H51" s="512">
        <v>7456</v>
      </c>
      <c r="I51" s="512">
        <v>7616.1</v>
      </c>
      <c r="J51" s="513">
        <v>7741.0681199999999</v>
      </c>
      <c r="K51" s="514">
        <v>7529.1016739999995</v>
      </c>
      <c r="L51" s="511">
        <v>7432.4330960000007</v>
      </c>
      <c r="M51" s="512">
        <v>7576.8034030000008</v>
      </c>
      <c r="N51" s="512">
        <v>7598.4347280000002</v>
      </c>
      <c r="O51" s="512">
        <v>7667.5205320000005</v>
      </c>
      <c r="P51" s="513">
        <v>7860.3576199999998</v>
      </c>
      <c r="Q51" s="514">
        <v>8069.6996679999993</v>
      </c>
      <c r="R51" s="303">
        <f t="shared" si="0"/>
        <v>-0.8</v>
      </c>
      <c r="S51" s="510">
        <f t="shared" si="1"/>
        <v>1.7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7425</v>
      </c>
      <c r="E52" s="512">
        <v>6718</v>
      </c>
      <c r="F52" s="512">
        <v>6530</v>
      </c>
      <c r="G52" s="512">
        <v>6732</v>
      </c>
      <c r="H52" s="512">
        <v>7077</v>
      </c>
      <c r="I52" s="512">
        <v>7215.59</v>
      </c>
      <c r="J52" s="513">
        <v>7339</v>
      </c>
      <c r="K52" s="514">
        <v>7119.1445679999997</v>
      </c>
      <c r="L52" s="511">
        <v>7022.7177780000002</v>
      </c>
      <c r="M52" s="512">
        <v>7159.9894670000003</v>
      </c>
      <c r="N52" s="512">
        <v>7182.3955240000005</v>
      </c>
      <c r="O52" s="512">
        <v>7250.7065839999996</v>
      </c>
      <c r="P52" s="513">
        <v>7439.7740329999997</v>
      </c>
      <c r="Q52" s="514">
        <v>7648.1033480000006</v>
      </c>
      <c r="R52" s="303">
        <f t="shared" si="0"/>
        <v>-0.6</v>
      </c>
      <c r="S52" s="510">
        <f t="shared" si="1"/>
        <v>1.7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5143</v>
      </c>
      <c r="E53" s="496">
        <v>6570</v>
      </c>
      <c r="F53" s="496">
        <v>7051.0204081632655</v>
      </c>
      <c r="G53" s="496">
        <v>7461.2244897959181</v>
      </c>
      <c r="H53" s="496">
        <v>8123</v>
      </c>
      <c r="I53" s="496">
        <v>8095</v>
      </c>
      <c r="J53" s="497">
        <v>8712</v>
      </c>
      <c r="K53" s="502">
        <v>9441</v>
      </c>
      <c r="L53" s="503">
        <v>10015</v>
      </c>
      <c r="M53" s="496">
        <v>10283</v>
      </c>
      <c r="N53" s="496">
        <v>10586</v>
      </c>
      <c r="O53" s="496">
        <v>10748</v>
      </c>
      <c r="P53" s="497">
        <v>11094</v>
      </c>
      <c r="Q53" s="502">
        <v>11150</v>
      </c>
      <c r="R53" s="299">
        <f t="shared" si="0"/>
        <v>9.1</v>
      </c>
      <c r="S53" s="256">
        <f t="shared" si="1"/>
        <v>2.2000000000000002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3500</v>
      </c>
      <c r="E54" s="518">
        <v>3500</v>
      </c>
      <c r="F54" s="518">
        <v>3658.1632653061224</v>
      </c>
      <c r="G54" s="518">
        <v>3984.6938775510207</v>
      </c>
      <c r="H54" s="518">
        <v>4380</v>
      </c>
      <c r="I54" s="518">
        <v>3884</v>
      </c>
      <c r="J54" s="519">
        <v>4135</v>
      </c>
      <c r="K54" s="514">
        <v>4521</v>
      </c>
      <c r="L54" s="511">
        <v>4920</v>
      </c>
      <c r="M54" s="518">
        <v>5140</v>
      </c>
      <c r="N54" s="518">
        <v>5260</v>
      </c>
      <c r="O54" s="518">
        <v>5324</v>
      </c>
      <c r="P54" s="519">
        <v>5370</v>
      </c>
      <c r="Q54" s="514">
        <v>5400</v>
      </c>
      <c r="R54" s="303">
        <f t="shared" si="0"/>
        <v>3.7</v>
      </c>
      <c r="S54" s="510">
        <f t="shared" si="1"/>
        <v>1.9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690</v>
      </c>
      <c r="E55" s="518">
        <v>500</v>
      </c>
      <c r="F55" s="518">
        <v>548.9795918367347</v>
      </c>
      <c r="G55" s="518">
        <v>486.29621340061448</v>
      </c>
      <c r="H55" s="518">
        <v>499.52184263535923</v>
      </c>
      <c r="I55" s="518">
        <v>510</v>
      </c>
      <c r="J55" s="519">
        <v>527</v>
      </c>
      <c r="K55" s="514">
        <v>700</v>
      </c>
      <c r="L55" s="511">
        <v>730</v>
      </c>
      <c r="M55" s="518">
        <v>740</v>
      </c>
      <c r="N55" s="518">
        <v>750</v>
      </c>
      <c r="O55" s="518">
        <v>760</v>
      </c>
      <c r="P55" s="519">
        <v>800</v>
      </c>
      <c r="Q55" s="514">
        <v>840</v>
      </c>
      <c r="R55" s="303">
        <f t="shared" si="0"/>
        <v>0.2</v>
      </c>
      <c r="S55" s="510">
        <f t="shared" si="1"/>
        <v>2.8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839</v>
      </c>
      <c r="E56" s="521">
        <v>832</v>
      </c>
      <c r="F56" s="521">
        <v>865.6</v>
      </c>
      <c r="G56" s="521">
        <v>950</v>
      </c>
      <c r="H56" s="521">
        <v>913</v>
      </c>
      <c r="I56" s="521">
        <v>892</v>
      </c>
      <c r="J56" s="522">
        <v>956.9</v>
      </c>
      <c r="K56" s="523">
        <v>963.29000000000008</v>
      </c>
      <c r="L56" s="520">
        <v>978.70264000000009</v>
      </c>
      <c r="M56" s="521">
        <v>1100</v>
      </c>
      <c r="N56" s="521">
        <v>1200</v>
      </c>
      <c r="O56" s="521">
        <v>1300</v>
      </c>
      <c r="P56" s="522">
        <v>1400</v>
      </c>
      <c r="Q56" s="523">
        <v>1612</v>
      </c>
      <c r="R56" s="303">
        <f t="shared" si="0"/>
        <v>2</v>
      </c>
      <c r="S56" s="510">
        <f t="shared" si="1"/>
        <v>10.5</v>
      </c>
      <c r="U56" s="43"/>
      <c r="V56" s="43"/>
      <c r="W56" s="43"/>
      <c r="X56" s="43"/>
      <c r="Y56" s="43"/>
      <c r="Z56" s="319"/>
      <c r="AA56" s="319"/>
      <c r="AB56" s="319"/>
      <c r="AC56" s="319"/>
      <c r="AD56" s="319"/>
      <c r="AE56" s="319"/>
      <c r="AF56" s="319"/>
      <c r="AG56" s="319"/>
    </row>
    <row r="57" spans="1:33" ht="15" customHeight="1">
      <c r="A57" s="16"/>
      <c r="B57" s="672" t="s">
        <v>316</v>
      </c>
      <c r="C57" s="673"/>
      <c r="D57" s="553">
        <v>7096</v>
      </c>
      <c r="E57" s="526">
        <v>7096</v>
      </c>
      <c r="F57" s="530">
        <v>7190</v>
      </c>
      <c r="G57" s="497">
        <v>7505.1</v>
      </c>
      <c r="H57" s="496">
        <v>7446</v>
      </c>
      <c r="I57" s="497">
        <v>7660</v>
      </c>
      <c r="J57" s="551">
        <v>7299.9000000000005</v>
      </c>
      <c r="K57" s="554">
        <v>7728.3</v>
      </c>
      <c r="L57" s="527">
        <v>9616.5</v>
      </c>
      <c r="M57" s="528">
        <v>11001.6</v>
      </c>
      <c r="N57" s="528">
        <v>11538.9</v>
      </c>
      <c r="O57" s="528">
        <v>12056.4</v>
      </c>
      <c r="P57" s="500">
        <v>12083.4</v>
      </c>
      <c r="Q57" s="554">
        <v>11765</v>
      </c>
      <c r="R57" s="299">
        <f t="shared" si="0"/>
        <v>1.2</v>
      </c>
      <c r="S57" s="256">
        <f t="shared" si="1"/>
        <v>4.0999999999999996</v>
      </c>
      <c r="U57" s="43"/>
      <c r="V57" s="43"/>
      <c r="W57" s="322"/>
      <c r="X57" s="322"/>
      <c r="Y57" s="322"/>
      <c r="Z57" s="322"/>
      <c r="AA57" s="420"/>
      <c r="AB57" s="322"/>
      <c r="AC57" s="322"/>
      <c r="AD57" s="322"/>
      <c r="AE57" s="322"/>
      <c r="AF57" s="322"/>
      <c r="AG57" s="322"/>
    </row>
    <row r="58" spans="1:33" ht="15" customHeight="1">
      <c r="A58" s="16"/>
      <c r="B58" s="670" t="s">
        <v>317</v>
      </c>
      <c r="C58" s="671"/>
      <c r="D58" s="553">
        <v>2088</v>
      </c>
      <c r="E58" s="526">
        <v>1941</v>
      </c>
      <c r="F58" s="530">
        <v>2170</v>
      </c>
      <c r="G58" s="497">
        <v>2019</v>
      </c>
      <c r="H58" s="496">
        <v>1996</v>
      </c>
      <c r="I58" s="497">
        <v>2148</v>
      </c>
      <c r="J58" s="551">
        <v>2316</v>
      </c>
      <c r="K58" s="498">
        <v>2316</v>
      </c>
      <c r="L58" s="499">
        <v>2316</v>
      </c>
      <c r="M58" s="532">
        <v>2316</v>
      </c>
      <c r="N58" s="532">
        <v>2316</v>
      </c>
      <c r="O58" s="532">
        <v>2412</v>
      </c>
      <c r="P58" s="532">
        <v>2699</v>
      </c>
      <c r="Q58" s="498">
        <v>2699</v>
      </c>
      <c r="R58" s="299">
        <f t="shared" si="0"/>
        <v>1.5</v>
      </c>
      <c r="S58" s="256">
        <f t="shared" si="1"/>
        <v>3.1</v>
      </c>
      <c r="U58" s="43"/>
      <c r="V58" s="43"/>
      <c r="W58" s="322"/>
      <c r="X58" s="322"/>
      <c r="Y58" s="322"/>
      <c r="Z58" s="322"/>
      <c r="AA58" s="420"/>
      <c r="AB58" s="322"/>
      <c r="AC58" s="322"/>
      <c r="AD58" s="322"/>
      <c r="AE58" s="322"/>
      <c r="AF58" s="322"/>
      <c r="AG58" s="322"/>
    </row>
    <row r="59" spans="1:33" ht="15.75" customHeight="1">
      <c r="A59" s="16"/>
      <c r="B59" s="674" t="s">
        <v>318</v>
      </c>
      <c r="C59" s="675"/>
      <c r="D59" s="95">
        <f>SUM(D57:D58)</f>
        <v>9184</v>
      </c>
      <c r="E59" s="92">
        <f t="shared" ref="E59:Q59" si="7">SUM(E57:E58)</f>
        <v>9037</v>
      </c>
      <c r="F59" s="92">
        <f t="shared" si="7"/>
        <v>9360</v>
      </c>
      <c r="G59" s="93">
        <f t="shared" si="7"/>
        <v>9524.1</v>
      </c>
      <c r="H59" s="93">
        <f t="shared" si="7"/>
        <v>9442</v>
      </c>
      <c r="I59" s="94">
        <f t="shared" si="7"/>
        <v>9808</v>
      </c>
      <c r="J59" s="94">
        <f t="shared" si="7"/>
        <v>9615.9000000000015</v>
      </c>
      <c r="K59" s="96">
        <f t="shared" si="7"/>
        <v>10044.299999999999</v>
      </c>
      <c r="L59" s="555">
        <f t="shared" si="7"/>
        <v>11932.5</v>
      </c>
      <c r="M59" s="556">
        <f t="shared" si="7"/>
        <v>13317.6</v>
      </c>
      <c r="N59" s="556">
        <f t="shared" si="7"/>
        <v>13854.9</v>
      </c>
      <c r="O59" s="556">
        <f t="shared" si="7"/>
        <v>14468.4</v>
      </c>
      <c r="P59" s="556">
        <f t="shared" si="7"/>
        <v>14782.4</v>
      </c>
      <c r="Q59" s="96">
        <f t="shared" si="7"/>
        <v>14464</v>
      </c>
      <c r="R59" s="303">
        <f t="shared" si="0"/>
        <v>1.3</v>
      </c>
      <c r="S59" s="510">
        <f t="shared" si="1"/>
        <v>3.9</v>
      </c>
      <c r="U59" s="43"/>
      <c r="V59" s="43"/>
      <c r="W59" s="43"/>
      <c r="X59" s="43"/>
      <c r="Y59" s="43"/>
      <c r="Z59" s="43"/>
      <c r="AA59" s="41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470</v>
      </c>
      <c r="E60" s="526">
        <v>487</v>
      </c>
      <c r="F60" s="530">
        <v>470</v>
      </c>
      <c r="G60" s="497">
        <v>436</v>
      </c>
      <c r="H60" s="496">
        <v>432</v>
      </c>
      <c r="I60" s="497">
        <v>441</v>
      </c>
      <c r="J60" s="551">
        <v>592</v>
      </c>
      <c r="K60" s="498">
        <v>692</v>
      </c>
      <c r="L60" s="533">
        <v>692</v>
      </c>
      <c r="M60" s="534">
        <v>692</v>
      </c>
      <c r="N60" s="534">
        <v>692</v>
      </c>
      <c r="O60" s="534">
        <v>692</v>
      </c>
      <c r="P60" s="534">
        <v>692</v>
      </c>
      <c r="Q60" s="535">
        <v>692</v>
      </c>
      <c r="R60" s="299">
        <f t="shared" si="0"/>
        <v>5.7</v>
      </c>
      <c r="S60" s="256">
        <f t="shared" si="1"/>
        <v>0</v>
      </c>
      <c r="U60" s="43"/>
      <c r="V60" s="43"/>
      <c r="W60" s="322"/>
      <c r="X60" s="322"/>
      <c r="Y60" s="322"/>
      <c r="Z60" s="322"/>
      <c r="AA60" s="420"/>
      <c r="AB60" s="322"/>
      <c r="AC60" s="322"/>
      <c r="AD60" s="322"/>
      <c r="AE60" s="322"/>
      <c r="AF60" s="322"/>
      <c r="AG60" s="322"/>
    </row>
    <row r="61" spans="1:33" ht="15" customHeight="1">
      <c r="A61" s="16"/>
      <c r="B61" s="668" t="s">
        <v>320</v>
      </c>
      <c r="C61" s="669"/>
      <c r="D61" s="553">
        <v>1424</v>
      </c>
      <c r="E61" s="526">
        <v>1433</v>
      </c>
      <c r="F61" s="530">
        <v>1439</v>
      </c>
      <c r="G61" s="497">
        <v>1483</v>
      </c>
      <c r="H61" s="496">
        <v>1471</v>
      </c>
      <c r="I61" s="497">
        <v>1442</v>
      </c>
      <c r="J61" s="497">
        <v>1476</v>
      </c>
      <c r="K61" s="502">
        <v>1466.25</v>
      </c>
      <c r="L61" s="503">
        <v>1466.25</v>
      </c>
      <c r="M61" s="496">
        <v>1466.25</v>
      </c>
      <c r="N61" s="496">
        <v>1466.25</v>
      </c>
      <c r="O61" s="496">
        <v>1466.25</v>
      </c>
      <c r="P61" s="497">
        <v>1466.25</v>
      </c>
      <c r="Q61" s="502">
        <v>1466</v>
      </c>
      <c r="R61" s="299">
        <f t="shared" si="0"/>
        <v>0.4</v>
      </c>
      <c r="S61" s="256">
        <f t="shared" si="1"/>
        <v>0</v>
      </c>
      <c r="U61" s="283"/>
      <c r="V61" s="283"/>
      <c r="W61" s="283"/>
      <c r="X61" s="281"/>
      <c r="Y61" s="281"/>
      <c r="Z61" s="281"/>
      <c r="AA61" s="420"/>
      <c r="AB61" s="281"/>
      <c r="AC61" s="281"/>
      <c r="AD61" s="320"/>
      <c r="AE61" s="320"/>
      <c r="AF61" s="320"/>
      <c r="AG61" s="320"/>
    </row>
    <row r="62" spans="1:33" ht="15" customHeight="1">
      <c r="A62" s="16"/>
      <c r="B62" s="670" t="s">
        <v>321</v>
      </c>
      <c r="C62" s="671"/>
      <c r="D62" s="553">
        <v>635</v>
      </c>
      <c r="E62" s="525">
        <v>696</v>
      </c>
      <c r="F62" s="530">
        <v>696</v>
      </c>
      <c r="G62" s="497">
        <v>615</v>
      </c>
      <c r="H62" s="496">
        <v>615</v>
      </c>
      <c r="I62" s="497">
        <v>615</v>
      </c>
      <c r="J62" s="497">
        <v>615</v>
      </c>
      <c r="K62" s="536">
        <v>615</v>
      </c>
      <c r="L62" s="537">
        <v>615</v>
      </c>
      <c r="M62" s="538">
        <v>615</v>
      </c>
      <c r="N62" s="538">
        <v>615</v>
      </c>
      <c r="O62" s="538">
        <v>615</v>
      </c>
      <c r="P62" s="515">
        <v>615</v>
      </c>
      <c r="Q62" s="536">
        <v>615</v>
      </c>
      <c r="R62" s="299">
        <f t="shared" si="0"/>
        <v>-0.5</v>
      </c>
      <c r="S62" s="256">
        <f t="shared" si="1"/>
        <v>0</v>
      </c>
      <c r="U62" s="43"/>
      <c r="V62" s="43"/>
      <c r="W62" s="43"/>
      <c r="X62" s="281"/>
      <c r="Y62" s="281"/>
      <c r="Z62" s="281"/>
      <c r="AA62" s="420"/>
      <c r="AB62" s="281"/>
      <c r="AC62" s="281"/>
      <c r="AD62" s="321"/>
      <c r="AE62" s="321"/>
      <c r="AF62" s="321"/>
      <c r="AG62" s="321"/>
    </row>
    <row r="63" spans="1:33" ht="15.75" customHeight="1" thickBot="1">
      <c r="A63" s="16"/>
      <c r="B63" s="678" t="s">
        <v>322</v>
      </c>
      <c r="C63" s="679"/>
      <c r="D63" s="102">
        <f>SUM(D60:D62)</f>
        <v>2529</v>
      </c>
      <c r="E63" s="539">
        <f t="shared" ref="E63:Q63" si="8">SUM(E60:E62)</f>
        <v>2616</v>
      </c>
      <c r="F63" s="539">
        <f t="shared" si="8"/>
        <v>2605</v>
      </c>
      <c r="G63" s="100">
        <f t="shared" si="8"/>
        <v>2534</v>
      </c>
      <c r="H63" s="100">
        <f t="shared" si="8"/>
        <v>2518</v>
      </c>
      <c r="I63" s="100">
        <f t="shared" si="8"/>
        <v>2498</v>
      </c>
      <c r="J63" s="101">
        <f t="shared" si="8"/>
        <v>2683</v>
      </c>
      <c r="K63" s="104">
        <f t="shared" si="8"/>
        <v>2773.25</v>
      </c>
      <c r="L63" s="540">
        <f t="shared" si="8"/>
        <v>2773.25</v>
      </c>
      <c r="M63" s="100">
        <f t="shared" si="8"/>
        <v>2773.25</v>
      </c>
      <c r="N63" s="100">
        <f t="shared" si="8"/>
        <v>2773.25</v>
      </c>
      <c r="O63" s="100">
        <f t="shared" si="8"/>
        <v>2773.25</v>
      </c>
      <c r="P63" s="100">
        <f t="shared" si="8"/>
        <v>2773.25</v>
      </c>
      <c r="Q63" s="104">
        <f t="shared" si="8"/>
        <v>2773</v>
      </c>
      <c r="R63" s="306">
        <f t="shared" si="0"/>
        <v>1.3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41134.199999999997</v>
      </c>
      <c r="E64" s="543">
        <f t="shared" ref="E64:Q64" si="9">E48+E49+E51+E53+E55+E56+E59+E63</f>
        <v>42314</v>
      </c>
      <c r="F64" s="543">
        <f t="shared" si="9"/>
        <v>41850.300000000003</v>
      </c>
      <c r="G64" s="544">
        <f t="shared" si="9"/>
        <v>44736.170703196534</v>
      </c>
      <c r="H64" s="544">
        <f t="shared" si="9"/>
        <v>47225.077842635357</v>
      </c>
      <c r="I64" s="544">
        <f t="shared" si="9"/>
        <v>48631.108465753423</v>
      </c>
      <c r="J64" s="545">
        <f t="shared" si="9"/>
        <v>50900.889120000007</v>
      </c>
      <c r="K64" s="546">
        <f t="shared" si="9"/>
        <v>52965.900674000004</v>
      </c>
      <c r="L64" s="547">
        <f t="shared" si="9"/>
        <v>56297.544736000003</v>
      </c>
      <c r="M64" s="544">
        <f t="shared" si="9"/>
        <v>58801.312402999996</v>
      </c>
      <c r="N64" s="544">
        <f t="shared" si="9"/>
        <v>60774.143728000003</v>
      </c>
      <c r="O64" s="544">
        <f t="shared" si="9"/>
        <v>64171.529532</v>
      </c>
      <c r="P64" s="544">
        <f t="shared" si="9"/>
        <v>65545.666620000004</v>
      </c>
      <c r="Q64" s="546">
        <f t="shared" si="9"/>
        <v>67083.458668000007</v>
      </c>
      <c r="R64" s="557">
        <f t="shared" si="0"/>
        <v>3.7</v>
      </c>
      <c r="S64" s="558">
        <f t="shared" si="1"/>
        <v>3.6</v>
      </c>
    </row>
    <row r="65" spans="1:33" ht="15" customHeight="1">
      <c r="A65" s="616" t="s">
        <v>327</v>
      </c>
      <c r="B65" s="666" t="s">
        <v>433</v>
      </c>
      <c r="C65" s="667"/>
      <c r="D65" s="487">
        <v>1092</v>
      </c>
      <c r="E65" s="488">
        <v>1139</v>
      </c>
      <c r="F65" s="489">
        <v>1117</v>
      </c>
      <c r="G65" s="559">
        <v>1250</v>
      </c>
      <c r="H65" s="560">
        <v>1205</v>
      </c>
      <c r="I65" s="559">
        <v>1217</v>
      </c>
      <c r="J65" s="559">
        <v>1289</v>
      </c>
      <c r="K65" s="561">
        <v>1420</v>
      </c>
      <c r="L65" s="562">
        <v>1470</v>
      </c>
      <c r="M65" s="560">
        <v>1520</v>
      </c>
      <c r="N65" s="560">
        <v>1570</v>
      </c>
      <c r="O65" s="560">
        <v>1610</v>
      </c>
      <c r="P65" s="563">
        <v>1660</v>
      </c>
      <c r="Q65" s="561">
        <v>1700</v>
      </c>
      <c r="R65" s="299">
        <f t="shared" si="0"/>
        <v>3.8</v>
      </c>
      <c r="S65" s="256">
        <f t="shared" si="1"/>
        <v>2.9</v>
      </c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</row>
    <row r="66" spans="1:33" ht="15" customHeight="1">
      <c r="A66" s="614" t="s">
        <v>328</v>
      </c>
      <c r="B66" s="668" t="s">
        <v>434</v>
      </c>
      <c r="C66" s="669"/>
      <c r="D66" s="529">
        <v>376</v>
      </c>
      <c r="E66" s="525">
        <v>441</v>
      </c>
      <c r="F66" s="530">
        <v>428</v>
      </c>
      <c r="G66" s="497">
        <v>396</v>
      </c>
      <c r="H66" s="496">
        <v>450</v>
      </c>
      <c r="I66" s="497">
        <v>420</v>
      </c>
      <c r="J66" s="551">
        <v>459</v>
      </c>
      <c r="K66" s="498">
        <v>491</v>
      </c>
      <c r="L66" s="499">
        <v>500</v>
      </c>
      <c r="M66" s="500">
        <v>500</v>
      </c>
      <c r="N66" s="500">
        <v>500</v>
      </c>
      <c r="O66" s="500">
        <v>510</v>
      </c>
      <c r="P66" s="501">
        <v>510</v>
      </c>
      <c r="Q66" s="498">
        <v>510</v>
      </c>
      <c r="R66" s="299">
        <f t="shared" si="0"/>
        <v>3.9</v>
      </c>
      <c r="S66" s="256">
        <f t="shared" si="1"/>
        <v>0.4</v>
      </c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</row>
    <row r="67" spans="1:33" ht="15" customHeight="1">
      <c r="A67" s="16"/>
      <c r="B67" s="668" t="s">
        <v>435</v>
      </c>
      <c r="C67" s="669"/>
      <c r="D67" s="503">
        <v>83</v>
      </c>
      <c r="E67" s="496">
        <v>62.722999999999956</v>
      </c>
      <c r="F67" s="497">
        <v>63.538398999999956</v>
      </c>
      <c r="G67" s="497">
        <v>65.952858161999941</v>
      </c>
      <c r="H67" s="496">
        <v>67.865491048697947</v>
      </c>
      <c r="I67" s="497">
        <v>69.222800869671914</v>
      </c>
      <c r="J67" s="497">
        <v>71</v>
      </c>
      <c r="K67" s="502">
        <v>73</v>
      </c>
      <c r="L67" s="503">
        <v>76</v>
      </c>
      <c r="M67" s="496">
        <v>77</v>
      </c>
      <c r="N67" s="496">
        <v>79</v>
      </c>
      <c r="O67" s="496">
        <v>81</v>
      </c>
      <c r="P67" s="497">
        <v>83</v>
      </c>
      <c r="Q67" s="502">
        <v>85</v>
      </c>
      <c r="R67" s="299">
        <f t="shared" si="0"/>
        <v>-1.8</v>
      </c>
      <c r="S67" s="256">
        <f t="shared" si="1"/>
        <v>2.2999999999999998</v>
      </c>
      <c r="U67" s="280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9596</v>
      </c>
      <c r="E68" s="496">
        <v>9791</v>
      </c>
      <c r="F68" s="497">
        <v>9472</v>
      </c>
      <c r="G68" s="497">
        <v>10983</v>
      </c>
      <c r="H68" s="496">
        <v>12035</v>
      </c>
      <c r="I68" s="497">
        <v>12922</v>
      </c>
      <c r="J68" s="497">
        <v>14110</v>
      </c>
      <c r="K68" s="502">
        <v>15603</v>
      </c>
      <c r="L68" s="503">
        <v>16297</v>
      </c>
      <c r="M68" s="496">
        <v>17210</v>
      </c>
      <c r="N68" s="496">
        <v>18133</v>
      </c>
      <c r="O68" s="496">
        <v>19037</v>
      </c>
      <c r="P68" s="279">
        <v>19944</v>
      </c>
      <c r="Q68" s="502">
        <v>20869</v>
      </c>
      <c r="R68" s="299">
        <f t="shared" si="0"/>
        <v>7.2</v>
      </c>
      <c r="S68" s="256">
        <f t="shared" si="1"/>
        <v>5.0999999999999996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628</v>
      </c>
      <c r="E69" s="496">
        <v>671</v>
      </c>
      <c r="F69" s="497">
        <v>647</v>
      </c>
      <c r="G69" s="497">
        <v>639.37799999999993</v>
      </c>
      <c r="H69" s="496">
        <v>652.24399999999991</v>
      </c>
      <c r="I69" s="497">
        <v>659.16399999999999</v>
      </c>
      <c r="J69" s="497">
        <v>916.95500000000015</v>
      </c>
      <c r="K69" s="502">
        <v>1114.998</v>
      </c>
      <c r="L69" s="503">
        <v>1166.287908</v>
      </c>
      <c r="M69" s="496">
        <v>1211.3066212488</v>
      </c>
      <c r="N69" s="496">
        <v>1256.0038355728807</v>
      </c>
      <c r="O69" s="496">
        <v>1300.5919717357181</v>
      </c>
      <c r="P69" s="279">
        <v>1346.1126907464682</v>
      </c>
      <c r="Q69" s="502">
        <v>1394.0343025370425</v>
      </c>
      <c r="R69" s="299">
        <f t="shared" si="0"/>
        <v>8.5</v>
      </c>
      <c r="S69" s="256">
        <f t="shared" si="1"/>
        <v>3.6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532.54890351981987</v>
      </c>
      <c r="E70" s="496">
        <v>526.63203334508842</v>
      </c>
      <c r="F70" s="497">
        <v>725</v>
      </c>
      <c r="G70" s="497">
        <v>752</v>
      </c>
      <c r="H70" s="496">
        <v>761</v>
      </c>
      <c r="I70" s="497">
        <v>780</v>
      </c>
      <c r="J70" s="497">
        <v>800</v>
      </c>
      <c r="K70" s="502">
        <v>940</v>
      </c>
      <c r="L70" s="503">
        <v>880</v>
      </c>
      <c r="M70" s="496">
        <v>925</v>
      </c>
      <c r="N70" s="496">
        <v>970</v>
      </c>
      <c r="O70" s="496">
        <v>1020</v>
      </c>
      <c r="P70" s="279">
        <v>1070</v>
      </c>
      <c r="Q70" s="502">
        <v>1120</v>
      </c>
      <c r="R70" s="299">
        <f t="shared" si="0"/>
        <v>8.5</v>
      </c>
      <c r="S70" s="256">
        <f t="shared" si="1"/>
        <v>4.9000000000000004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1867</v>
      </c>
      <c r="E71" s="49">
        <v>1433</v>
      </c>
      <c r="F71" s="45">
        <v>1663</v>
      </c>
      <c r="G71" s="49">
        <v>1758</v>
      </c>
      <c r="H71" s="49">
        <v>1223</v>
      </c>
      <c r="I71" s="45">
        <v>1465</v>
      </c>
      <c r="J71" s="49">
        <v>1600</v>
      </c>
      <c r="K71" s="50">
        <v>2500</v>
      </c>
      <c r="L71" s="140">
        <v>2600</v>
      </c>
      <c r="M71" s="45">
        <v>2600</v>
      </c>
      <c r="N71" s="45">
        <v>2600</v>
      </c>
      <c r="O71" s="45">
        <v>2700</v>
      </c>
      <c r="P71" s="45">
        <v>2700</v>
      </c>
      <c r="Q71" s="50">
        <v>2700</v>
      </c>
      <c r="R71" s="299">
        <f t="shared" si="0"/>
        <v>4.3</v>
      </c>
      <c r="S71" s="256">
        <f t="shared" si="1"/>
        <v>0.8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8.7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299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215</v>
      </c>
      <c r="E73" s="49">
        <v>224</v>
      </c>
      <c r="F73" s="45">
        <v>278</v>
      </c>
      <c r="G73" s="49">
        <v>195</v>
      </c>
      <c r="H73" s="49">
        <v>240</v>
      </c>
      <c r="I73" s="45">
        <v>254</v>
      </c>
      <c r="J73" s="49">
        <v>270</v>
      </c>
      <c r="K73" s="50">
        <v>290</v>
      </c>
      <c r="L73" s="140">
        <v>310</v>
      </c>
      <c r="M73" s="45">
        <v>330</v>
      </c>
      <c r="N73" s="45">
        <v>350</v>
      </c>
      <c r="O73" s="45">
        <v>370</v>
      </c>
      <c r="P73" s="45">
        <v>390</v>
      </c>
      <c r="Q73" s="50">
        <v>410</v>
      </c>
      <c r="R73" s="299">
        <f t="shared" si="10"/>
        <v>4.4000000000000004</v>
      </c>
      <c r="S73" s="256">
        <f t="shared" si="11"/>
        <v>5.8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463.54545454545456</v>
      </c>
      <c r="E74" s="496">
        <v>479.76954545454549</v>
      </c>
      <c r="F74" s="497">
        <v>446</v>
      </c>
      <c r="G74" s="497">
        <v>463.077</v>
      </c>
      <c r="H74" s="496">
        <v>642.471</v>
      </c>
      <c r="I74" s="497">
        <v>650</v>
      </c>
      <c r="J74" s="497">
        <v>650</v>
      </c>
      <c r="K74" s="502">
        <v>662</v>
      </c>
      <c r="L74" s="503">
        <v>693.11399999999992</v>
      </c>
      <c r="M74" s="496">
        <v>724.99724399999991</v>
      </c>
      <c r="N74" s="496">
        <v>759.79711171199995</v>
      </c>
      <c r="O74" s="496">
        <v>796.57129191886077</v>
      </c>
      <c r="P74" s="279">
        <v>835.1253424477336</v>
      </c>
      <c r="Q74" s="502">
        <v>875.5454090222039</v>
      </c>
      <c r="R74" s="299">
        <f t="shared" si="10"/>
        <v>5.2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214</v>
      </c>
      <c r="E75" s="496">
        <v>229</v>
      </c>
      <c r="F75" s="497">
        <v>244</v>
      </c>
      <c r="G75" s="497">
        <v>261</v>
      </c>
      <c r="H75" s="496">
        <v>278</v>
      </c>
      <c r="I75" s="497">
        <v>297</v>
      </c>
      <c r="J75" s="497">
        <v>315</v>
      </c>
      <c r="K75" s="502">
        <v>590.5</v>
      </c>
      <c r="L75" s="503">
        <v>689.3</v>
      </c>
      <c r="M75" s="496">
        <v>730</v>
      </c>
      <c r="N75" s="496">
        <v>774</v>
      </c>
      <c r="O75" s="496">
        <v>820</v>
      </c>
      <c r="P75" s="279">
        <v>869</v>
      </c>
      <c r="Q75" s="502">
        <v>921</v>
      </c>
      <c r="R75" s="299">
        <f t="shared" si="10"/>
        <v>15.6</v>
      </c>
      <c r="S75" s="256">
        <f t="shared" si="11"/>
        <v>6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1820.4</v>
      </c>
      <c r="E76" s="40">
        <v>1942.3</v>
      </c>
      <c r="F76" s="40">
        <v>1743</v>
      </c>
      <c r="G76" s="40">
        <v>1763.7</v>
      </c>
      <c r="H76" s="505">
        <v>1932.3</v>
      </c>
      <c r="I76" s="505">
        <v>1699.1</v>
      </c>
      <c r="J76" s="506">
        <v>1737</v>
      </c>
      <c r="K76" s="507">
        <v>1823.5</v>
      </c>
      <c r="L76" s="508">
        <v>1722.6</v>
      </c>
      <c r="M76" s="505">
        <v>1694.5</v>
      </c>
      <c r="N76" s="505">
        <v>1691</v>
      </c>
      <c r="O76" s="505">
        <v>1690.2</v>
      </c>
      <c r="P76" s="505">
        <v>1689.9</v>
      </c>
      <c r="Q76" s="509">
        <v>1689.5</v>
      </c>
      <c r="R76" s="299">
        <f t="shared" si="10"/>
        <v>0</v>
      </c>
      <c r="S76" s="256">
        <f t="shared" si="11"/>
        <v>-0.4</v>
      </c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16887.494358065276</v>
      </c>
      <c r="E77" s="93">
        <f t="shared" ref="E77:Q77" si="12">SUM(E65:E76)</f>
        <v>16939.424578799633</v>
      </c>
      <c r="F77" s="93">
        <f t="shared" si="12"/>
        <v>16826.538399000001</v>
      </c>
      <c r="G77" s="93">
        <f t="shared" si="12"/>
        <v>18527.107858162002</v>
      </c>
      <c r="H77" s="93">
        <f t="shared" si="12"/>
        <v>19486.880491048702</v>
      </c>
      <c r="I77" s="93">
        <f t="shared" si="12"/>
        <v>20432.486800869672</v>
      </c>
      <c r="J77" s="93">
        <f t="shared" si="12"/>
        <v>22217.955000000002</v>
      </c>
      <c r="K77" s="96">
        <f t="shared" si="12"/>
        <v>25507.998</v>
      </c>
      <c r="L77" s="95">
        <f t="shared" si="12"/>
        <v>26404.301907999998</v>
      </c>
      <c r="M77" s="93">
        <f t="shared" si="12"/>
        <v>27522.803865248799</v>
      </c>
      <c r="N77" s="93">
        <f t="shared" si="12"/>
        <v>28682.800947284879</v>
      </c>
      <c r="O77" s="93">
        <f t="shared" si="12"/>
        <v>29935.363263654577</v>
      </c>
      <c r="P77" s="93">
        <f t="shared" si="12"/>
        <v>31097.138033194202</v>
      </c>
      <c r="Q77" s="96">
        <f t="shared" si="12"/>
        <v>32274.079711559247</v>
      </c>
      <c r="R77" s="303">
        <f t="shared" si="10"/>
        <v>6.1</v>
      </c>
      <c r="S77" s="510">
        <f t="shared" si="11"/>
        <v>4.0999999999999996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412</v>
      </c>
      <c r="E78" s="512">
        <v>333</v>
      </c>
      <c r="F78" s="512">
        <v>215</v>
      </c>
      <c r="G78" s="512">
        <v>220</v>
      </c>
      <c r="H78" s="512">
        <v>230</v>
      </c>
      <c r="I78" s="512">
        <v>230</v>
      </c>
      <c r="J78" s="513">
        <v>246</v>
      </c>
      <c r="K78" s="514">
        <v>226</v>
      </c>
      <c r="L78" s="511">
        <v>240</v>
      </c>
      <c r="M78" s="512">
        <v>240</v>
      </c>
      <c r="N78" s="512">
        <v>245</v>
      </c>
      <c r="O78" s="512">
        <v>245</v>
      </c>
      <c r="P78" s="513">
        <v>250</v>
      </c>
      <c r="Q78" s="514">
        <v>250</v>
      </c>
      <c r="R78" s="303">
        <f t="shared" si="10"/>
        <v>-8.1999999999999993</v>
      </c>
      <c r="S78" s="510">
        <f t="shared" si="11"/>
        <v>0.8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318</v>
      </c>
      <c r="E79" s="512">
        <v>333</v>
      </c>
      <c r="F79" s="512">
        <v>215</v>
      </c>
      <c r="G79" s="512">
        <v>220</v>
      </c>
      <c r="H79" s="512">
        <v>230</v>
      </c>
      <c r="I79" s="512">
        <v>230</v>
      </c>
      <c r="J79" s="513">
        <v>246</v>
      </c>
      <c r="K79" s="514">
        <v>226</v>
      </c>
      <c r="L79" s="511">
        <v>240</v>
      </c>
      <c r="M79" s="512">
        <v>240</v>
      </c>
      <c r="N79" s="512">
        <v>245</v>
      </c>
      <c r="O79" s="512">
        <v>245</v>
      </c>
      <c r="P79" s="513">
        <v>250</v>
      </c>
      <c r="Q79" s="514">
        <v>250</v>
      </c>
      <c r="R79" s="303">
        <f t="shared" si="10"/>
        <v>-4.8</v>
      </c>
      <c r="S79" s="510">
        <f t="shared" si="11"/>
        <v>0.8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9314</v>
      </c>
      <c r="E80" s="538">
        <v>7640</v>
      </c>
      <c r="F80" s="538">
        <v>7590</v>
      </c>
      <c r="G80" s="538">
        <v>7536</v>
      </c>
      <c r="H80" s="538">
        <v>7452</v>
      </c>
      <c r="I80" s="538">
        <v>7675.49</v>
      </c>
      <c r="J80" s="515">
        <v>7976.2415149999997</v>
      </c>
      <c r="K80" s="536">
        <v>8068.4989310000001</v>
      </c>
      <c r="L80" s="537">
        <v>8172.3485650000002</v>
      </c>
      <c r="M80" s="538">
        <v>8282.4935050000004</v>
      </c>
      <c r="N80" s="538">
        <v>8405.1642059999995</v>
      </c>
      <c r="O80" s="538">
        <v>8529.4899600000008</v>
      </c>
      <c r="P80" s="515">
        <v>8647.3682420000005</v>
      </c>
      <c r="Q80" s="536">
        <v>8765.3026109999992</v>
      </c>
      <c r="R80" s="516">
        <f t="shared" si="10"/>
        <v>-2</v>
      </c>
      <c r="S80" s="517">
        <f t="shared" si="11"/>
        <v>1.4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7499</v>
      </c>
      <c r="E81" s="512">
        <v>6746</v>
      </c>
      <c r="F81" s="512">
        <v>6554</v>
      </c>
      <c r="G81" s="512">
        <v>6486</v>
      </c>
      <c r="H81" s="512">
        <v>6483</v>
      </c>
      <c r="I81" s="512">
        <v>6575.59</v>
      </c>
      <c r="J81" s="513">
        <v>6848.0000369999998</v>
      </c>
      <c r="K81" s="514">
        <v>6914.0906009999999</v>
      </c>
      <c r="L81" s="511">
        <v>6990.8668259999995</v>
      </c>
      <c r="M81" s="512">
        <v>7073.7032730000001</v>
      </c>
      <c r="N81" s="512">
        <v>7172.1620650000004</v>
      </c>
      <c r="O81" s="512">
        <v>7273.6608679999999</v>
      </c>
      <c r="P81" s="513">
        <v>7368.3246309999995</v>
      </c>
      <c r="Q81" s="514">
        <v>7462.4577179999997</v>
      </c>
      <c r="R81" s="303">
        <f t="shared" si="10"/>
        <v>-1.2</v>
      </c>
      <c r="S81" s="510">
        <f t="shared" si="11"/>
        <v>1.3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1940</v>
      </c>
      <c r="E82" s="496">
        <v>2762</v>
      </c>
      <c r="F82" s="496">
        <v>2819</v>
      </c>
      <c r="G82" s="496">
        <v>2898</v>
      </c>
      <c r="H82" s="496">
        <v>2936</v>
      </c>
      <c r="I82" s="496">
        <v>3035</v>
      </c>
      <c r="J82" s="497">
        <v>3117</v>
      </c>
      <c r="K82" s="502">
        <v>3246</v>
      </c>
      <c r="L82" s="503">
        <v>3387</v>
      </c>
      <c r="M82" s="496">
        <v>3537</v>
      </c>
      <c r="N82" s="496">
        <v>3698</v>
      </c>
      <c r="O82" s="496">
        <v>3864</v>
      </c>
      <c r="P82" s="497">
        <v>3905</v>
      </c>
      <c r="Q82" s="502">
        <v>3942</v>
      </c>
      <c r="R82" s="299">
        <f t="shared" si="10"/>
        <v>7.6</v>
      </c>
      <c r="S82" s="256">
        <f t="shared" si="11"/>
        <v>3.1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482</v>
      </c>
      <c r="E83" s="518">
        <v>482</v>
      </c>
      <c r="F83" s="518">
        <v>509</v>
      </c>
      <c r="G83" s="518">
        <v>528</v>
      </c>
      <c r="H83" s="518">
        <v>550</v>
      </c>
      <c r="I83" s="518">
        <v>575</v>
      </c>
      <c r="J83" s="519">
        <v>584</v>
      </c>
      <c r="K83" s="514">
        <v>591</v>
      </c>
      <c r="L83" s="511">
        <v>608</v>
      </c>
      <c r="M83" s="518">
        <v>627</v>
      </c>
      <c r="N83" s="518">
        <v>647</v>
      </c>
      <c r="O83" s="518">
        <v>666</v>
      </c>
      <c r="P83" s="519">
        <v>686</v>
      </c>
      <c r="Q83" s="514">
        <v>712</v>
      </c>
      <c r="R83" s="303">
        <f t="shared" si="10"/>
        <v>3</v>
      </c>
      <c r="S83" s="510">
        <f t="shared" si="11"/>
        <v>3.2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1235</v>
      </c>
      <c r="E84" s="518">
        <v>1260</v>
      </c>
      <c r="F84" s="518">
        <v>1330</v>
      </c>
      <c r="G84" s="518">
        <v>1440</v>
      </c>
      <c r="H84" s="518">
        <v>1550</v>
      </c>
      <c r="I84" s="518">
        <v>1613</v>
      </c>
      <c r="J84" s="519">
        <v>1680</v>
      </c>
      <c r="K84" s="514">
        <v>1777</v>
      </c>
      <c r="L84" s="511">
        <v>1888</v>
      </c>
      <c r="M84" s="518">
        <v>1998</v>
      </c>
      <c r="N84" s="518">
        <v>2116</v>
      </c>
      <c r="O84" s="518">
        <v>2243</v>
      </c>
      <c r="P84" s="519">
        <v>2350</v>
      </c>
      <c r="Q84" s="514">
        <v>2686</v>
      </c>
      <c r="R84" s="303">
        <f t="shared" si="10"/>
        <v>5.3</v>
      </c>
      <c r="S84" s="510">
        <f t="shared" si="11"/>
        <v>7.3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797</v>
      </c>
      <c r="E85" s="521">
        <v>782</v>
      </c>
      <c r="F85" s="521">
        <v>873.4</v>
      </c>
      <c r="G85" s="521">
        <v>1145</v>
      </c>
      <c r="H85" s="521">
        <v>920</v>
      </c>
      <c r="I85" s="521">
        <v>814</v>
      </c>
      <c r="J85" s="522">
        <v>1246.9000000000001</v>
      </c>
      <c r="K85" s="523">
        <v>860</v>
      </c>
      <c r="L85" s="520">
        <v>873.76</v>
      </c>
      <c r="M85" s="521">
        <v>885.11887999999988</v>
      </c>
      <c r="N85" s="521">
        <v>898.39566319999983</v>
      </c>
      <c r="O85" s="521">
        <v>911.87159814799975</v>
      </c>
      <c r="P85" s="522">
        <v>925.54967212021961</v>
      </c>
      <c r="Q85" s="523">
        <v>939.43291720202285</v>
      </c>
      <c r="R85" s="303">
        <f t="shared" si="10"/>
        <v>1.1000000000000001</v>
      </c>
      <c r="S85" s="510">
        <f t="shared" si="11"/>
        <v>1.5</v>
      </c>
      <c r="U85" s="318"/>
      <c r="V85" s="318"/>
      <c r="W85" s="318"/>
      <c r="X85" s="318"/>
      <c r="Y85" s="318"/>
      <c r="Z85" s="319"/>
      <c r="AA85" s="319"/>
      <c r="AB85" s="319"/>
      <c r="AC85" s="319"/>
      <c r="AD85" s="319"/>
      <c r="AE85" s="319"/>
      <c r="AF85" s="319"/>
      <c r="AG85" s="319"/>
    </row>
    <row r="86" spans="1:33" ht="15" customHeight="1">
      <c r="A86" s="16"/>
      <c r="B86" s="672" t="s">
        <v>316</v>
      </c>
      <c r="C86" s="673"/>
      <c r="D86" s="529">
        <v>6030</v>
      </c>
      <c r="E86" s="525">
        <v>6091</v>
      </c>
      <c r="F86" s="530">
        <v>6153</v>
      </c>
      <c r="G86" s="530">
        <v>6215</v>
      </c>
      <c r="H86" s="525">
        <v>6278</v>
      </c>
      <c r="I86" s="530">
        <v>6430</v>
      </c>
      <c r="J86" s="530">
        <v>6531</v>
      </c>
      <c r="K86" s="564">
        <v>6681</v>
      </c>
      <c r="L86" s="524">
        <v>6874</v>
      </c>
      <c r="M86" s="525">
        <v>7049</v>
      </c>
      <c r="N86" s="525">
        <v>7177</v>
      </c>
      <c r="O86" s="525">
        <v>7301</v>
      </c>
      <c r="P86" s="530">
        <v>7409</v>
      </c>
      <c r="Q86" s="564">
        <v>7511</v>
      </c>
      <c r="R86" s="299">
        <f t="shared" si="10"/>
        <v>1.5</v>
      </c>
      <c r="S86" s="256">
        <f t="shared" si="11"/>
        <v>1.8</v>
      </c>
      <c r="U86" s="43"/>
      <c r="V86" s="43"/>
      <c r="W86" s="43"/>
      <c r="X86" s="281"/>
      <c r="Y86" s="281"/>
      <c r="Z86" s="281"/>
      <c r="AA86" s="420"/>
      <c r="AB86" s="281"/>
      <c r="AC86" s="281"/>
      <c r="AD86" s="320"/>
      <c r="AE86" s="320"/>
      <c r="AF86" s="320"/>
      <c r="AG86" s="320"/>
    </row>
    <row r="87" spans="1:33" ht="15" customHeight="1">
      <c r="A87" s="16"/>
      <c r="B87" s="670" t="s">
        <v>317</v>
      </c>
      <c r="C87" s="671"/>
      <c r="D87" s="553">
        <v>1838</v>
      </c>
      <c r="E87" s="525">
        <v>1876</v>
      </c>
      <c r="F87" s="530">
        <v>1914</v>
      </c>
      <c r="G87" s="530">
        <v>1953</v>
      </c>
      <c r="H87" s="525">
        <v>1998</v>
      </c>
      <c r="I87" s="530">
        <v>2020</v>
      </c>
      <c r="J87" s="530">
        <v>2043</v>
      </c>
      <c r="K87" s="564">
        <v>2104</v>
      </c>
      <c r="L87" s="524">
        <v>2147</v>
      </c>
      <c r="M87" s="525">
        <v>2191</v>
      </c>
      <c r="N87" s="525">
        <v>2231</v>
      </c>
      <c r="O87" s="525">
        <v>2271</v>
      </c>
      <c r="P87" s="530">
        <v>2308</v>
      </c>
      <c r="Q87" s="564">
        <v>2345</v>
      </c>
      <c r="R87" s="299">
        <f t="shared" si="10"/>
        <v>1.9</v>
      </c>
      <c r="S87" s="256">
        <f t="shared" si="11"/>
        <v>1.8</v>
      </c>
      <c r="U87" s="43"/>
      <c r="V87" s="43"/>
      <c r="W87" s="43"/>
      <c r="X87" s="281"/>
      <c r="Y87" s="281"/>
      <c r="Z87" s="281"/>
      <c r="AA87" s="420"/>
      <c r="AB87" s="281"/>
      <c r="AC87" s="281"/>
      <c r="AD87" s="320"/>
      <c r="AE87" s="320"/>
      <c r="AF87" s="320"/>
      <c r="AG87" s="320"/>
    </row>
    <row r="88" spans="1:33" ht="15.75" customHeight="1">
      <c r="A88" s="16"/>
      <c r="B88" s="674" t="s">
        <v>318</v>
      </c>
      <c r="C88" s="675"/>
      <c r="D88" s="95">
        <f>SUM(D86:D87)</f>
        <v>7868</v>
      </c>
      <c r="E88" s="92">
        <f t="shared" ref="E88:Q88" si="13">SUM(E86:E87)</f>
        <v>7967</v>
      </c>
      <c r="F88" s="92">
        <f t="shared" si="13"/>
        <v>8067</v>
      </c>
      <c r="G88" s="93">
        <f t="shared" si="13"/>
        <v>8168</v>
      </c>
      <c r="H88" s="93">
        <f t="shared" si="13"/>
        <v>8276</v>
      </c>
      <c r="I88" s="94">
        <f t="shared" si="13"/>
        <v>8450</v>
      </c>
      <c r="J88" s="94">
        <f t="shared" si="13"/>
        <v>8574</v>
      </c>
      <c r="K88" s="96">
        <f t="shared" si="13"/>
        <v>8785</v>
      </c>
      <c r="L88" s="95">
        <f t="shared" si="13"/>
        <v>9021</v>
      </c>
      <c r="M88" s="93">
        <f t="shared" si="13"/>
        <v>9240</v>
      </c>
      <c r="N88" s="93">
        <f t="shared" si="13"/>
        <v>9408</v>
      </c>
      <c r="O88" s="93">
        <f t="shared" si="13"/>
        <v>9572</v>
      </c>
      <c r="P88" s="93">
        <f t="shared" si="13"/>
        <v>9717</v>
      </c>
      <c r="Q88" s="96">
        <f t="shared" si="13"/>
        <v>9856</v>
      </c>
      <c r="R88" s="303">
        <f t="shared" si="10"/>
        <v>1.6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715</v>
      </c>
      <c r="E89" s="525">
        <v>730</v>
      </c>
      <c r="F89" s="530">
        <v>745</v>
      </c>
      <c r="G89" s="530">
        <v>762</v>
      </c>
      <c r="H89" s="525">
        <v>780</v>
      </c>
      <c r="I89" s="530">
        <v>800</v>
      </c>
      <c r="J89" s="530">
        <v>833</v>
      </c>
      <c r="K89" s="564">
        <v>852</v>
      </c>
      <c r="L89" s="565">
        <v>871</v>
      </c>
      <c r="M89" s="566">
        <v>893</v>
      </c>
      <c r="N89" s="566">
        <v>917</v>
      </c>
      <c r="O89" s="566">
        <v>943</v>
      </c>
      <c r="P89" s="566">
        <v>971</v>
      </c>
      <c r="Q89" s="567">
        <v>1000</v>
      </c>
      <c r="R89" s="299">
        <f t="shared" si="10"/>
        <v>2.5</v>
      </c>
      <c r="S89" s="256">
        <f t="shared" si="11"/>
        <v>2.8</v>
      </c>
      <c r="U89" s="43"/>
      <c r="V89" s="43"/>
      <c r="W89" s="43"/>
      <c r="X89" s="320"/>
      <c r="Y89" s="320"/>
      <c r="Z89" s="320"/>
      <c r="AA89" s="320"/>
      <c r="AB89" s="320"/>
      <c r="AC89" s="320"/>
      <c r="AD89" s="320"/>
      <c r="AE89" s="320"/>
      <c r="AF89" s="320"/>
      <c r="AG89" s="320"/>
    </row>
    <row r="90" spans="1:33" ht="15" customHeight="1">
      <c r="A90" s="16"/>
      <c r="B90" s="668" t="s">
        <v>320</v>
      </c>
      <c r="C90" s="669"/>
      <c r="D90" s="553">
        <v>1125</v>
      </c>
      <c r="E90" s="525">
        <v>1148</v>
      </c>
      <c r="F90" s="530">
        <v>1171</v>
      </c>
      <c r="G90" s="530">
        <v>1195</v>
      </c>
      <c r="H90" s="525">
        <v>1219</v>
      </c>
      <c r="I90" s="530">
        <v>1220</v>
      </c>
      <c r="J90" s="530">
        <v>1193</v>
      </c>
      <c r="K90" s="564">
        <v>1216</v>
      </c>
      <c r="L90" s="524">
        <v>1233</v>
      </c>
      <c r="M90" s="525">
        <v>1262</v>
      </c>
      <c r="N90" s="525">
        <v>1291</v>
      </c>
      <c r="O90" s="525">
        <v>1320</v>
      </c>
      <c r="P90" s="530">
        <v>1349</v>
      </c>
      <c r="Q90" s="564">
        <v>1379</v>
      </c>
      <c r="R90" s="299">
        <f t="shared" si="10"/>
        <v>1.1000000000000001</v>
      </c>
      <c r="S90" s="256">
        <f t="shared" si="11"/>
        <v>2.2999999999999998</v>
      </c>
      <c r="U90" s="43"/>
      <c r="V90" s="43"/>
      <c r="W90" s="43"/>
      <c r="X90" s="281"/>
      <c r="Y90" s="281"/>
      <c r="Z90" s="281"/>
      <c r="AA90" s="420"/>
      <c r="AB90" s="281"/>
      <c r="AC90" s="281"/>
      <c r="AD90" s="320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1234</v>
      </c>
      <c r="E91" s="525">
        <v>1285</v>
      </c>
      <c r="F91" s="530">
        <v>1388</v>
      </c>
      <c r="G91" s="530">
        <v>1500</v>
      </c>
      <c r="H91" s="525">
        <v>1621</v>
      </c>
      <c r="I91" s="530">
        <v>1580</v>
      </c>
      <c r="J91" s="530">
        <v>1592</v>
      </c>
      <c r="K91" s="568">
        <v>1611</v>
      </c>
      <c r="L91" s="569">
        <v>1630</v>
      </c>
      <c r="M91" s="570">
        <v>1666</v>
      </c>
      <c r="N91" s="570">
        <v>1711</v>
      </c>
      <c r="O91" s="570">
        <v>1758</v>
      </c>
      <c r="P91" s="571">
        <v>1807</v>
      </c>
      <c r="Q91" s="568">
        <v>1859</v>
      </c>
      <c r="R91" s="299">
        <f t="shared" si="10"/>
        <v>3.9</v>
      </c>
      <c r="S91" s="256">
        <f t="shared" si="11"/>
        <v>2.7</v>
      </c>
      <c r="U91" s="43"/>
      <c r="V91" s="43"/>
      <c r="W91" s="43"/>
      <c r="X91" s="323"/>
      <c r="Y91" s="323"/>
      <c r="Z91" s="323"/>
      <c r="AA91" s="430"/>
      <c r="AB91" s="323"/>
      <c r="AC91" s="323"/>
      <c r="AD91" s="32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3074</v>
      </c>
      <c r="E92" s="539">
        <f t="shared" ref="E92:Q92" si="14">SUM(E89:E91)</f>
        <v>3163</v>
      </c>
      <c r="F92" s="539">
        <f t="shared" si="14"/>
        <v>3304</v>
      </c>
      <c r="G92" s="100">
        <f t="shared" si="14"/>
        <v>3457</v>
      </c>
      <c r="H92" s="100">
        <f t="shared" si="14"/>
        <v>3620</v>
      </c>
      <c r="I92" s="100">
        <f t="shared" si="14"/>
        <v>3600</v>
      </c>
      <c r="J92" s="101">
        <f t="shared" si="14"/>
        <v>3618</v>
      </c>
      <c r="K92" s="104">
        <f t="shared" si="14"/>
        <v>3679</v>
      </c>
      <c r="L92" s="540">
        <f t="shared" si="14"/>
        <v>3734</v>
      </c>
      <c r="M92" s="100">
        <f t="shared" si="14"/>
        <v>3821</v>
      </c>
      <c r="N92" s="100">
        <f t="shared" si="14"/>
        <v>3919</v>
      </c>
      <c r="O92" s="100">
        <f t="shared" si="14"/>
        <v>4021</v>
      </c>
      <c r="P92" s="100">
        <f t="shared" si="14"/>
        <v>4127</v>
      </c>
      <c r="Q92" s="104">
        <f t="shared" si="14"/>
        <v>4238</v>
      </c>
      <c r="R92" s="306">
        <f t="shared" si="10"/>
        <v>2.6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41527.494358065276</v>
      </c>
      <c r="E93" s="543">
        <f t="shared" ref="E93:Q93" si="15">E77+E78+E80+E82+E84+E85+E88+E92</f>
        <v>40846.424578799633</v>
      </c>
      <c r="F93" s="543">
        <f t="shared" si="15"/>
        <v>41024.938399000006</v>
      </c>
      <c r="G93" s="544">
        <f t="shared" si="15"/>
        <v>43391.107858162002</v>
      </c>
      <c r="H93" s="544">
        <f t="shared" si="15"/>
        <v>44470.880491048702</v>
      </c>
      <c r="I93" s="544">
        <f t="shared" si="15"/>
        <v>45849.97680086967</v>
      </c>
      <c r="J93" s="545">
        <f t="shared" si="15"/>
        <v>48676.096515000005</v>
      </c>
      <c r="K93" s="546">
        <f t="shared" si="15"/>
        <v>52149.496931000001</v>
      </c>
      <c r="L93" s="547">
        <f t="shared" si="15"/>
        <v>53720.410473000004</v>
      </c>
      <c r="M93" s="544">
        <f t="shared" si="15"/>
        <v>55526.416250248803</v>
      </c>
      <c r="N93" s="544">
        <f t="shared" si="15"/>
        <v>57372.360816484877</v>
      </c>
      <c r="O93" s="544">
        <f t="shared" si="15"/>
        <v>59321.724821802578</v>
      </c>
      <c r="P93" s="544">
        <f t="shared" si="15"/>
        <v>61019.055947314424</v>
      </c>
      <c r="Q93" s="546">
        <f t="shared" si="15"/>
        <v>62950.815239761272</v>
      </c>
      <c r="R93" s="548">
        <f t="shared" si="10"/>
        <v>3.3</v>
      </c>
      <c r="S93" s="549">
        <f t="shared" si="11"/>
        <v>3.2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61"/>
      <c r="L98" s="261"/>
      <c r="M98" s="261"/>
      <c r="N98" s="261"/>
      <c r="O98" s="261"/>
      <c r="P98" s="261"/>
      <c r="Q98" s="261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61"/>
      <c r="L127" s="261"/>
      <c r="M127" s="261"/>
      <c r="N127" s="261"/>
      <c r="O127" s="261"/>
      <c r="P127" s="261"/>
      <c r="Q127" s="261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 spans="5:17">
      <c r="E147" s="27"/>
      <c r="F147" s="27"/>
      <c r="G147" s="27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24"/>
    </row>
    <row r="150" spans="5:17">
      <c r="E150" s="27"/>
      <c r="F150" s="27"/>
      <c r="G150" s="27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4"/>
      <c r="N162" s="24"/>
      <c r="O162" s="24"/>
      <c r="P162" s="24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 spans="5:17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4"/>
      <c r="L178" s="24"/>
      <c r="M178" s="24"/>
      <c r="N178" s="24"/>
      <c r="O178" s="24"/>
      <c r="P178" s="24"/>
      <c r="Q178" s="24"/>
    </row>
    <row r="179" spans="5:17">
      <c r="E179" s="27"/>
      <c r="F179" s="27"/>
      <c r="G179" s="27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L4:Q4"/>
    <mergeCell ref="B85:C85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82:C82"/>
    <mergeCell ref="B73:C73"/>
    <mergeCell ref="B77:C77"/>
    <mergeCell ref="B78:C78"/>
    <mergeCell ref="B80:C80"/>
    <mergeCell ref="B41:C41"/>
    <mergeCell ref="B42:C42"/>
    <mergeCell ref="B44:C44"/>
    <mergeCell ref="B93:C93"/>
    <mergeCell ref="B64:C64"/>
    <mergeCell ref="B58:C58"/>
    <mergeCell ref="B60:C60"/>
    <mergeCell ref="B61:C61"/>
    <mergeCell ref="B65:C65"/>
    <mergeCell ref="B66:C66"/>
    <mergeCell ref="B88:C88"/>
    <mergeCell ref="B92:C92"/>
    <mergeCell ref="B68:C68"/>
    <mergeCell ref="B86:C86"/>
    <mergeCell ref="B69:C69"/>
    <mergeCell ref="B70:C70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9:C9"/>
    <mergeCell ref="B10:C10"/>
    <mergeCell ref="R5:R6"/>
    <mergeCell ref="S5:S6"/>
    <mergeCell ref="R4:S4"/>
    <mergeCell ref="B7:C7"/>
    <mergeCell ref="B8:C8"/>
    <mergeCell ref="Q5:Q6"/>
    <mergeCell ref="N5:N6"/>
    <mergeCell ref="O5:O6"/>
    <mergeCell ref="P5:P6"/>
    <mergeCell ref="H5:H6"/>
    <mergeCell ref="I5:I6"/>
    <mergeCell ref="J5:J6"/>
    <mergeCell ref="K5:K6"/>
    <mergeCell ref="L5:L6"/>
    <mergeCell ref="M5:M6"/>
    <mergeCell ref="D4:K4"/>
  </mergeCells>
  <phoneticPr fontId="6"/>
  <conditionalFormatting sqref="C97:C98">
    <cfRule type="expression" dxfId="341" priority="5">
      <formula>CELL("protect",C97)=0</formula>
    </cfRule>
    <cfRule type="expression" dxfId="340" priority="6">
      <formula>CELL("protect",C97)=0</formula>
    </cfRule>
  </conditionalFormatting>
  <conditionalFormatting sqref="C95">
    <cfRule type="expression" dxfId="339" priority="3">
      <formula>CELL("protect",C95)=0</formula>
    </cfRule>
    <cfRule type="expression" dxfId="338" priority="4">
      <formula>CELL("protect",C95)=0</formula>
    </cfRule>
  </conditionalFormatting>
  <conditionalFormatting sqref="C97">
    <cfRule type="expression" dxfId="337" priority="1">
      <formula>CELL("protect",C97)=0</formula>
    </cfRule>
    <cfRule type="expression" dxfId="33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&amp;C142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B0F0"/>
    <pageSetUpPr fitToPage="1"/>
  </sheetPr>
  <dimension ref="A1:AG182"/>
  <sheetViews>
    <sheetView showGridLines="0" view="pageBreakPreview" zoomScale="80" zoomScaleNormal="7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3" sqref="T3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7" max="27" width="9" style="42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2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2345</v>
      </c>
      <c r="E7" s="488">
        <v>2345</v>
      </c>
      <c r="F7" s="489">
        <v>2385</v>
      </c>
      <c r="G7" s="489">
        <v>2385</v>
      </c>
      <c r="H7" s="488">
        <v>2385</v>
      </c>
      <c r="I7" s="489">
        <v>2385</v>
      </c>
      <c r="J7" s="489">
        <v>2385</v>
      </c>
      <c r="K7" s="490">
        <v>2385</v>
      </c>
      <c r="L7" s="491">
        <v>2385</v>
      </c>
      <c r="M7" s="492">
        <v>2785</v>
      </c>
      <c r="N7" s="492">
        <v>3435</v>
      </c>
      <c r="O7" s="492">
        <v>3435</v>
      </c>
      <c r="P7" s="493">
        <v>3935</v>
      </c>
      <c r="Q7" s="490">
        <v>4435</v>
      </c>
      <c r="R7" s="572">
        <f>IF(D7=0,"     -",IF(K7=0,"     -",ROUND(((K7/D7)^(1/7)-1)*100,1)))</f>
        <v>0.2</v>
      </c>
      <c r="S7" s="494">
        <f>IF(L7=0,"     -",IF(Q7=0,"     -",ROUND(((Q7/L7)^(1/5)-1)*100,1)))</f>
        <v>13.2</v>
      </c>
      <c r="U7" s="43"/>
      <c r="V7" s="43"/>
      <c r="W7" s="43"/>
      <c r="X7" s="43"/>
      <c r="Y7" s="43"/>
      <c r="Z7" s="43"/>
      <c r="AA7" s="41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666</v>
      </c>
      <c r="E8" s="496">
        <v>666</v>
      </c>
      <c r="F8" s="497">
        <v>666</v>
      </c>
      <c r="G8" s="497">
        <v>666</v>
      </c>
      <c r="H8" s="496">
        <v>666</v>
      </c>
      <c r="I8" s="497">
        <v>666</v>
      </c>
      <c r="J8" s="497">
        <v>666</v>
      </c>
      <c r="K8" s="498">
        <v>666</v>
      </c>
      <c r="L8" s="499">
        <v>666</v>
      </c>
      <c r="M8" s="500">
        <v>666</v>
      </c>
      <c r="N8" s="500">
        <v>666</v>
      </c>
      <c r="O8" s="500">
        <v>666</v>
      </c>
      <c r="P8" s="501">
        <v>666</v>
      </c>
      <c r="Q8" s="498">
        <v>666</v>
      </c>
      <c r="R8" s="573">
        <f t="shared" ref="R8:R71" si="0">IF(D8=0,"     -",IF(K8=0,"     -",ROUND(((K8/D8)^(1/7)-1)*100,1)))</f>
        <v>0</v>
      </c>
      <c r="S8" s="256">
        <f t="shared" ref="S8:S71" si="1">IF(L8=0,"     -",IF(Q8=0,"     -",ROUND(((Q8/L8)^(1/5)-1)*100,1)))</f>
        <v>0</v>
      </c>
      <c r="U8" s="43"/>
      <c r="V8" s="324"/>
      <c r="W8" s="43"/>
      <c r="X8" s="43"/>
      <c r="Y8" s="43"/>
      <c r="Z8" s="43"/>
      <c r="AA8" s="41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390</v>
      </c>
      <c r="E9" s="496">
        <v>390</v>
      </c>
      <c r="F9" s="497">
        <v>390</v>
      </c>
      <c r="G9" s="497">
        <v>390</v>
      </c>
      <c r="H9" s="496">
        <v>390</v>
      </c>
      <c r="I9" s="497">
        <v>390</v>
      </c>
      <c r="J9" s="497">
        <v>390</v>
      </c>
      <c r="K9" s="502">
        <v>390</v>
      </c>
      <c r="L9" s="503">
        <v>390</v>
      </c>
      <c r="M9" s="496">
        <v>390</v>
      </c>
      <c r="N9" s="496">
        <v>390</v>
      </c>
      <c r="O9" s="496">
        <v>390</v>
      </c>
      <c r="P9" s="279">
        <v>390</v>
      </c>
      <c r="Q9" s="502">
        <v>390</v>
      </c>
      <c r="R9" s="573">
        <f t="shared" si="0"/>
        <v>0</v>
      </c>
      <c r="S9" s="256">
        <f t="shared" si="1"/>
        <v>0</v>
      </c>
      <c r="U9" s="318"/>
      <c r="V9" s="318"/>
      <c r="W9" s="318"/>
      <c r="X9" s="318"/>
      <c r="Y9" s="318"/>
      <c r="Z9" s="318"/>
      <c r="AA9" s="422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4830</v>
      </c>
      <c r="E10" s="496">
        <v>5110</v>
      </c>
      <c r="F10" s="497">
        <v>5175</v>
      </c>
      <c r="G10" s="497">
        <v>5863</v>
      </c>
      <c r="H10" s="496">
        <v>6490</v>
      </c>
      <c r="I10" s="497">
        <v>6880</v>
      </c>
      <c r="J10" s="497">
        <v>6955</v>
      </c>
      <c r="K10" s="502">
        <v>6955</v>
      </c>
      <c r="L10" s="503">
        <v>7317</v>
      </c>
      <c r="M10" s="496">
        <v>8476</v>
      </c>
      <c r="N10" s="496">
        <v>10222</v>
      </c>
      <c r="O10" s="496">
        <v>11585</v>
      </c>
      <c r="P10" s="279">
        <v>11735</v>
      </c>
      <c r="Q10" s="502">
        <v>11935</v>
      </c>
      <c r="R10" s="573">
        <f t="shared" si="0"/>
        <v>5.3</v>
      </c>
      <c r="S10" s="256">
        <f t="shared" si="1"/>
        <v>10.3</v>
      </c>
      <c r="U10" s="43"/>
      <c r="V10" s="43"/>
      <c r="W10" s="43"/>
      <c r="X10" s="43"/>
      <c r="Y10" s="43"/>
      <c r="Z10" s="43"/>
      <c r="AA10" s="41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1912</v>
      </c>
      <c r="E11" s="496">
        <v>1912</v>
      </c>
      <c r="F11" s="497">
        <v>1912</v>
      </c>
      <c r="G11" s="497">
        <v>1912</v>
      </c>
      <c r="H11" s="496">
        <v>1912</v>
      </c>
      <c r="I11" s="497">
        <v>1912</v>
      </c>
      <c r="J11" s="497">
        <v>1912</v>
      </c>
      <c r="K11" s="502">
        <v>1912</v>
      </c>
      <c r="L11" s="503">
        <v>1912</v>
      </c>
      <c r="M11" s="496">
        <v>1912</v>
      </c>
      <c r="N11" s="496">
        <v>1912</v>
      </c>
      <c r="O11" s="496">
        <v>1912</v>
      </c>
      <c r="P11" s="279">
        <v>1912</v>
      </c>
      <c r="Q11" s="502">
        <v>1912</v>
      </c>
      <c r="R11" s="573">
        <f t="shared" si="0"/>
        <v>0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423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136</v>
      </c>
      <c r="E12" s="496">
        <v>136</v>
      </c>
      <c r="F12" s="497">
        <v>136</v>
      </c>
      <c r="G12" s="497">
        <v>136</v>
      </c>
      <c r="H12" s="496">
        <v>136</v>
      </c>
      <c r="I12" s="497">
        <v>136</v>
      </c>
      <c r="J12" s="497">
        <v>136</v>
      </c>
      <c r="K12" s="502">
        <v>136</v>
      </c>
      <c r="L12" s="503">
        <v>136</v>
      </c>
      <c r="M12" s="496">
        <v>136</v>
      </c>
      <c r="N12" s="496">
        <v>136</v>
      </c>
      <c r="O12" s="496">
        <v>136</v>
      </c>
      <c r="P12" s="279">
        <v>136</v>
      </c>
      <c r="Q12" s="502">
        <v>136</v>
      </c>
      <c r="R12" s="573">
        <f t="shared" si="0"/>
        <v>0</v>
      </c>
      <c r="S12" s="256">
        <f t="shared" si="1"/>
        <v>0</v>
      </c>
      <c r="U12" s="280"/>
      <c r="V12" s="280"/>
      <c r="W12" s="280"/>
      <c r="X12" s="280"/>
      <c r="Y12" s="280"/>
      <c r="Z12" s="280"/>
      <c r="AA12" s="423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495">
        <v>1505</v>
      </c>
      <c r="E13" s="49">
        <v>1680</v>
      </c>
      <c r="F13" s="45">
        <v>1680</v>
      </c>
      <c r="G13" s="49">
        <v>1680</v>
      </c>
      <c r="H13" s="49">
        <v>1735</v>
      </c>
      <c r="I13" s="45">
        <v>1735</v>
      </c>
      <c r="J13" s="49">
        <v>2273</v>
      </c>
      <c r="K13" s="50">
        <v>2873</v>
      </c>
      <c r="L13" s="140">
        <v>2873</v>
      </c>
      <c r="M13" s="45">
        <v>2873</v>
      </c>
      <c r="N13" s="45">
        <v>2873</v>
      </c>
      <c r="O13" s="45">
        <v>2873</v>
      </c>
      <c r="P13" s="45">
        <v>2873</v>
      </c>
      <c r="Q13" s="50">
        <v>2873</v>
      </c>
      <c r="R13" s="573">
        <f t="shared" si="0"/>
        <v>9.6999999999999993</v>
      </c>
      <c r="S13" s="256">
        <f t="shared" si="1"/>
        <v>0</v>
      </c>
      <c r="U13" s="43"/>
      <c r="V13" s="43"/>
      <c r="W13" s="43"/>
      <c r="X13" s="43"/>
      <c r="Y13" s="43"/>
      <c r="Z13" s="43"/>
      <c r="AA13" s="413"/>
      <c r="AB13" s="43"/>
      <c r="AC13" s="43"/>
      <c r="AD13" s="43"/>
      <c r="AE13" s="43"/>
      <c r="AF13" s="43"/>
      <c r="AG13" s="43"/>
    </row>
    <row r="14" spans="1:33" ht="17.25" hidden="1" customHeight="1">
      <c r="A14" s="16"/>
      <c r="B14" s="16"/>
      <c r="C14" s="90" t="s">
        <v>306</v>
      </c>
      <c r="D14" s="495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423"/>
      <c r="AB14" s="43"/>
      <c r="AC14" s="43"/>
      <c r="AD14" s="43"/>
      <c r="AE14" s="43"/>
      <c r="AF14" s="43"/>
      <c r="AG14" s="43"/>
    </row>
    <row r="15" spans="1:33" ht="15" customHeight="1">
      <c r="A15" s="16"/>
      <c r="B15" s="668" t="s">
        <v>440</v>
      </c>
      <c r="C15" s="669"/>
      <c r="D15" s="495">
        <v>220</v>
      </c>
      <c r="E15" s="49">
        <v>220</v>
      </c>
      <c r="F15" s="45">
        <v>220</v>
      </c>
      <c r="G15" s="49">
        <v>220</v>
      </c>
      <c r="H15" s="49">
        <v>220</v>
      </c>
      <c r="I15" s="45">
        <v>290</v>
      </c>
      <c r="J15" s="49">
        <v>290</v>
      </c>
      <c r="K15" s="50">
        <v>290</v>
      </c>
      <c r="L15" s="140">
        <v>290</v>
      </c>
      <c r="M15" s="45">
        <v>290</v>
      </c>
      <c r="N15" s="45">
        <v>290</v>
      </c>
      <c r="O15" s="45">
        <v>370</v>
      </c>
      <c r="P15" s="45">
        <v>370</v>
      </c>
      <c r="Q15" s="50">
        <v>370</v>
      </c>
      <c r="R15" s="573">
        <f t="shared" si="0"/>
        <v>4</v>
      </c>
      <c r="S15" s="256">
        <f t="shared" si="1"/>
        <v>5</v>
      </c>
      <c r="U15" s="280"/>
      <c r="V15" s="280"/>
      <c r="W15" s="280"/>
      <c r="X15" s="280"/>
      <c r="Y15" s="280"/>
      <c r="Z15" s="280"/>
      <c r="AA15" s="423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530</v>
      </c>
      <c r="E16" s="496">
        <v>530</v>
      </c>
      <c r="F16" s="497">
        <v>530</v>
      </c>
      <c r="G16" s="497">
        <v>530</v>
      </c>
      <c r="H16" s="496">
        <v>530</v>
      </c>
      <c r="I16" s="497">
        <v>530</v>
      </c>
      <c r="J16" s="497">
        <v>530</v>
      </c>
      <c r="K16" s="502">
        <v>530</v>
      </c>
      <c r="L16" s="503">
        <v>530</v>
      </c>
      <c r="M16" s="496">
        <v>530</v>
      </c>
      <c r="N16" s="496">
        <v>880</v>
      </c>
      <c r="O16" s="496">
        <v>880</v>
      </c>
      <c r="P16" s="279">
        <v>880</v>
      </c>
      <c r="Q16" s="502">
        <v>880</v>
      </c>
      <c r="R16" s="573">
        <f t="shared" si="0"/>
        <v>0</v>
      </c>
      <c r="S16" s="256">
        <f t="shared" si="1"/>
        <v>10.7</v>
      </c>
      <c r="U16" s="280"/>
      <c r="V16" s="280"/>
      <c r="W16" s="280"/>
      <c r="X16" s="280"/>
      <c r="Y16" s="280"/>
      <c r="Z16" s="280"/>
      <c r="AA16" s="423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0</v>
      </c>
      <c r="E17" s="496">
        <v>0</v>
      </c>
      <c r="F17" s="497">
        <v>0</v>
      </c>
      <c r="G17" s="497">
        <v>0</v>
      </c>
      <c r="H17" s="496">
        <v>0</v>
      </c>
      <c r="I17" s="497">
        <v>0</v>
      </c>
      <c r="J17" s="497">
        <v>0</v>
      </c>
      <c r="K17" s="502">
        <v>0</v>
      </c>
      <c r="L17" s="503">
        <v>0</v>
      </c>
      <c r="M17" s="496">
        <v>0</v>
      </c>
      <c r="N17" s="496">
        <v>0</v>
      </c>
      <c r="O17" s="496">
        <v>0</v>
      </c>
      <c r="P17" s="279">
        <v>0</v>
      </c>
      <c r="Q17" s="502">
        <v>450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423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1335</v>
      </c>
      <c r="E18" s="40">
        <v>1322</v>
      </c>
      <c r="F18" s="40">
        <v>1322</v>
      </c>
      <c r="G18" s="40">
        <v>1193</v>
      </c>
      <c r="H18" s="40">
        <v>1143</v>
      </c>
      <c r="I18" s="505">
        <v>1142</v>
      </c>
      <c r="J18" s="506">
        <v>1142</v>
      </c>
      <c r="K18" s="507">
        <v>1142</v>
      </c>
      <c r="L18" s="508">
        <v>1142</v>
      </c>
      <c r="M18" s="505">
        <v>1142</v>
      </c>
      <c r="N18" s="505">
        <v>1142</v>
      </c>
      <c r="O18" s="505">
        <v>1142</v>
      </c>
      <c r="P18" s="505">
        <v>1142</v>
      </c>
      <c r="Q18" s="509">
        <v>1142</v>
      </c>
      <c r="R18" s="573">
        <f t="shared" si="0"/>
        <v>-2.2000000000000002</v>
      </c>
      <c r="S18" s="256">
        <f t="shared" si="1"/>
        <v>0</v>
      </c>
      <c r="U18" s="43"/>
      <c r="V18" s="43"/>
      <c r="W18" s="43"/>
      <c r="X18" s="43"/>
      <c r="Y18" s="43"/>
      <c r="Z18" s="43"/>
      <c r="AA18" s="41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SUM(D7:D18)</f>
        <v>13869</v>
      </c>
      <c r="E19" s="93">
        <f t="shared" ref="E19:Q19" si="2">SUM(E7:E18)</f>
        <v>14311</v>
      </c>
      <c r="F19" s="93">
        <f t="shared" si="2"/>
        <v>14416</v>
      </c>
      <c r="G19" s="93">
        <f t="shared" si="2"/>
        <v>14975</v>
      </c>
      <c r="H19" s="93">
        <f t="shared" si="2"/>
        <v>15607</v>
      </c>
      <c r="I19" s="93">
        <f t="shared" si="2"/>
        <v>16066</v>
      </c>
      <c r="J19" s="93">
        <f t="shared" si="2"/>
        <v>16679</v>
      </c>
      <c r="K19" s="96">
        <f t="shared" si="2"/>
        <v>17279</v>
      </c>
      <c r="L19" s="95">
        <f t="shared" si="2"/>
        <v>17641</v>
      </c>
      <c r="M19" s="93">
        <f t="shared" si="2"/>
        <v>19200</v>
      </c>
      <c r="N19" s="93">
        <f t="shared" si="2"/>
        <v>21946</v>
      </c>
      <c r="O19" s="93">
        <f t="shared" si="2"/>
        <v>23389</v>
      </c>
      <c r="P19" s="93">
        <f t="shared" si="2"/>
        <v>24039</v>
      </c>
      <c r="Q19" s="96">
        <f t="shared" si="2"/>
        <v>25189</v>
      </c>
      <c r="R19" s="574">
        <f t="shared" si="0"/>
        <v>3.2</v>
      </c>
      <c r="S19" s="510">
        <f t="shared" si="1"/>
        <v>7.4</v>
      </c>
      <c r="U19" s="43"/>
      <c r="V19" s="43"/>
      <c r="W19" s="43"/>
      <c r="X19" s="43"/>
      <c r="Y19" s="43"/>
      <c r="Z19" s="43"/>
      <c r="AA19" s="41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200</v>
      </c>
      <c r="E20" s="512">
        <v>200</v>
      </c>
      <c r="F20" s="512">
        <v>200</v>
      </c>
      <c r="G20" s="512">
        <v>205</v>
      </c>
      <c r="H20" s="512">
        <v>205</v>
      </c>
      <c r="I20" s="512">
        <v>205</v>
      </c>
      <c r="J20" s="513">
        <v>205</v>
      </c>
      <c r="K20" s="514">
        <v>205</v>
      </c>
      <c r="L20" s="511">
        <v>205</v>
      </c>
      <c r="M20" s="512">
        <v>205</v>
      </c>
      <c r="N20" s="512">
        <v>205</v>
      </c>
      <c r="O20" s="512">
        <v>205</v>
      </c>
      <c r="P20" s="513">
        <v>205</v>
      </c>
      <c r="Q20" s="514">
        <v>205</v>
      </c>
      <c r="R20" s="574">
        <f t="shared" si="0"/>
        <v>0.4</v>
      </c>
      <c r="S20" s="510">
        <f t="shared" si="1"/>
        <v>0</v>
      </c>
      <c r="U20" s="280"/>
      <c r="V20" s="280"/>
      <c r="W20" s="280"/>
      <c r="X20" s="280"/>
      <c r="Y20" s="280"/>
      <c r="Z20" s="280"/>
      <c r="AA20" s="423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200</v>
      </c>
      <c r="E21" s="512">
        <v>200</v>
      </c>
      <c r="F21" s="512">
        <v>200</v>
      </c>
      <c r="G21" s="512">
        <v>205</v>
      </c>
      <c r="H21" s="512">
        <v>205</v>
      </c>
      <c r="I21" s="512">
        <v>205</v>
      </c>
      <c r="J21" s="513">
        <v>205</v>
      </c>
      <c r="K21" s="514">
        <v>205</v>
      </c>
      <c r="L21" s="511">
        <v>205</v>
      </c>
      <c r="M21" s="512">
        <v>205</v>
      </c>
      <c r="N21" s="512">
        <v>205</v>
      </c>
      <c r="O21" s="512">
        <v>205</v>
      </c>
      <c r="P21" s="513">
        <v>205</v>
      </c>
      <c r="Q21" s="514">
        <v>205</v>
      </c>
      <c r="R21" s="574">
        <f t="shared" si="0"/>
        <v>0.4</v>
      </c>
      <c r="S21" s="510">
        <f t="shared" si="1"/>
        <v>0</v>
      </c>
      <c r="U21" s="280"/>
      <c r="V21" s="280"/>
      <c r="W21" s="280"/>
      <c r="X21" s="280"/>
      <c r="Y21" s="280"/>
      <c r="Z21" s="280"/>
      <c r="AA21" s="423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6505</v>
      </c>
      <c r="E22" s="496">
        <v>6365</v>
      </c>
      <c r="F22" s="496">
        <v>6683</v>
      </c>
      <c r="G22" s="496">
        <v>6413</v>
      </c>
      <c r="H22" s="496">
        <v>6238</v>
      </c>
      <c r="I22" s="496">
        <v>6068</v>
      </c>
      <c r="J22" s="515">
        <v>6068</v>
      </c>
      <c r="K22" s="502">
        <v>6068</v>
      </c>
      <c r="L22" s="503">
        <v>6068</v>
      </c>
      <c r="M22" s="496">
        <v>6338</v>
      </c>
      <c r="N22" s="496">
        <v>6338</v>
      </c>
      <c r="O22" s="512">
        <v>6338</v>
      </c>
      <c r="P22" s="512">
        <v>6338</v>
      </c>
      <c r="Q22" s="514">
        <v>6338</v>
      </c>
      <c r="R22" s="575">
        <f t="shared" si="0"/>
        <v>-1</v>
      </c>
      <c r="S22" s="517">
        <f t="shared" si="1"/>
        <v>0.9</v>
      </c>
      <c r="U22" s="280"/>
      <c r="V22" s="280"/>
      <c r="W22" s="280"/>
      <c r="X22" s="280"/>
      <c r="Y22" s="280"/>
      <c r="Z22" s="280"/>
      <c r="AA22" s="423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5465</v>
      </c>
      <c r="E23" s="512">
        <v>5275</v>
      </c>
      <c r="F23" s="512">
        <v>5453</v>
      </c>
      <c r="G23" s="512">
        <v>5173</v>
      </c>
      <c r="H23" s="512">
        <v>4998</v>
      </c>
      <c r="I23" s="512">
        <v>4828</v>
      </c>
      <c r="J23" s="513">
        <v>4828</v>
      </c>
      <c r="K23" s="514">
        <v>4828</v>
      </c>
      <c r="L23" s="511">
        <v>4828</v>
      </c>
      <c r="M23" s="512">
        <v>4828</v>
      </c>
      <c r="N23" s="512">
        <v>4828</v>
      </c>
      <c r="O23" s="512">
        <v>4828</v>
      </c>
      <c r="P23" s="512">
        <v>4828</v>
      </c>
      <c r="Q23" s="514">
        <v>4828</v>
      </c>
      <c r="R23" s="574">
        <f t="shared" si="0"/>
        <v>-1.8</v>
      </c>
      <c r="S23" s="510">
        <f t="shared" si="1"/>
        <v>0</v>
      </c>
      <c r="U23" s="43"/>
      <c r="V23" s="43"/>
      <c r="W23" s="43"/>
      <c r="X23" s="43"/>
      <c r="Y23" s="43"/>
      <c r="Z23" s="43"/>
      <c r="AA23" s="413"/>
      <c r="AB23" s="43"/>
      <c r="AC23" s="43"/>
      <c r="AD23" s="43"/>
      <c r="AE23" s="280"/>
      <c r="AF23" s="280"/>
      <c r="AG23" s="280"/>
    </row>
    <row r="24" spans="1:33" ht="15.75" customHeight="1">
      <c r="A24" s="16"/>
      <c r="B24" s="672" t="s">
        <v>312</v>
      </c>
      <c r="C24" s="673"/>
      <c r="D24" s="503">
        <v>6572</v>
      </c>
      <c r="E24" s="496">
        <v>7422</v>
      </c>
      <c r="F24" s="496">
        <v>8520</v>
      </c>
      <c r="G24" s="496">
        <v>8520</v>
      </c>
      <c r="H24" s="496">
        <v>9060</v>
      </c>
      <c r="I24" s="496">
        <v>9060</v>
      </c>
      <c r="J24" s="497">
        <v>9410</v>
      </c>
      <c r="K24" s="502">
        <v>9500</v>
      </c>
      <c r="L24" s="503">
        <v>9500</v>
      </c>
      <c r="M24" s="496">
        <v>9800</v>
      </c>
      <c r="N24" s="496">
        <v>10330</v>
      </c>
      <c r="O24" s="496">
        <v>10330</v>
      </c>
      <c r="P24" s="497">
        <v>10330</v>
      </c>
      <c r="Q24" s="502">
        <v>10330</v>
      </c>
      <c r="R24" s="574">
        <f t="shared" si="0"/>
        <v>5.4</v>
      </c>
      <c r="S24" s="510">
        <f t="shared" si="1"/>
        <v>1.7</v>
      </c>
      <c r="U24" s="280"/>
      <c r="V24" s="280"/>
      <c r="W24" s="280"/>
      <c r="X24" s="280"/>
      <c r="Y24" s="280"/>
      <c r="Z24" s="280"/>
      <c r="AA24" s="423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4040</v>
      </c>
      <c r="E25" s="518">
        <v>4040</v>
      </c>
      <c r="F25" s="518">
        <v>5140</v>
      </c>
      <c r="G25" s="518">
        <v>5140</v>
      </c>
      <c r="H25" s="518">
        <v>5140</v>
      </c>
      <c r="I25" s="518">
        <v>5140</v>
      </c>
      <c r="J25" s="519">
        <v>5490</v>
      </c>
      <c r="K25" s="514">
        <v>5490</v>
      </c>
      <c r="L25" s="511">
        <v>5490</v>
      </c>
      <c r="M25" s="518">
        <v>5490</v>
      </c>
      <c r="N25" s="518">
        <v>5490</v>
      </c>
      <c r="O25" s="518">
        <v>5490</v>
      </c>
      <c r="P25" s="519">
        <v>5490</v>
      </c>
      <c r="Q25" s="514">
        <v>5490</v>
      </c>
      <c r="R25" s="573">
        <f t="shared" si="0"/>
        <v>4.5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423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615</v>
      </c>
      <c r="E26" s="518">
        <v>615</v>
      </c>
      <c r="F26" s="518">
        <v>615</v>
      </c>
      <c r="G26" s="518">
        <v>615</v>
      </c>
      <c r="H26" s="518">
        <v>615</v>
      </c>
      <c r="I26" s="518">
        <v>615</v>
      </c>
      <c r="J26" s="519">
        <v>815</v>
      </c>
      <c r="K26" s="514">
        <v>815</v>
      </c>
      <c r="L26" s="511">
        <v>815</v>
      </c>
      <c r="M26" s="518">
        <v>815</v>
      </c>
      <c r="N26" s="518">
        <v>815</v>
      </c>
      <c r="O26" s="518">
        <v>815</v>
      </c>
      <c r="P26" s="519">
        <v>815</v>
      </c>
      <c r="Q26" s="514">
        <v>815</v>
      </c>
      <c r="R26" s="574">
        <f t="shared" si="0"/>
        <v>4.0999999999999996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423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1385</v>
      </c>
      <c r="E27" s="521">
        <v>1385</v>
      </c>
      <c r="F27" s="521">
        <v>1385</v>
      </c>
      <c r="G27" s="521">
        <v>1385</v>
      </c>
      <c r="H27" s="521">
        <v>1385</v>
      </c>
      <c r="I27" s="521">
        <v>1771</v>
      </c>
      <c r="J27" s="522">
        <v>1665</v>
      </c>
      <c r="K27" s="523">
        <v>1765</v>
      </c>
      <c r="L27" s="520">
        <v>2275</v>
      </c>
      <c r="M27" s="521">
        <v>2995</v>
      </c>
      <c r="N27" s="521">
        <v>2995</v>
      </c>
      <c r="O27" s="521">
        <v>3545</v>
      </c>
      <c r="P27" s="522">
        <v>4995</v>
      </c>
      <c r="Q27" s="523">
        <v>4995</v>
      </c>
      <c r="R27" s="574">
        <f t="shared" si="0"/>
        <v>3.5</v>
      </c>
      <c r="S27" s="510">
        <f t="shared" si="1"/>
        <v>17</v>
      </c>
      <c r="U27" s="280"/>
      <c r="V27" s="43"/>
      <c r="W27" s="43"/>
      <c r="X27" s="43"/>
      <c r="Y27" s="43"/>
      <c r="Z27" s="325"/>
      <c r="AA27" s="424"/>
      <c r="AB27" s="325"/>
      <c r="AC27" s="325"/>
      <c r="AD27" s="325"/>
      <c r="AE27" s="325"/>
      <c r="AF27" s="325"/>
      <c r="AG27" s="325"/>
    </row>
    <row r="28" spans="1:33" ht="15" customHeight="1">
      <c r="A28" s="16"/>
      <c r="B28" s="672" t="s">
        <v>316</v>
      </c>
      <c r="C28" s="673"/>
      <c r="D28" s="524">
        <v>7300</v>
      </c>
      <c r="E28" s="525">
        <v>7099</v>
      </c>
      <c r="F28" s="525">
        <v>7059</v>
      </c>
      <c r="G28" s="526">
        <v>7206</v>
      </c>
      <c r="H28" s="526">
        <v>7412</v>
      </c>
      <c r="I28" s="496">
        <v>7540</v>
      </c>
      <c r="J28" s="497">
        <v>7854</v>
      </c>
      <c r="K28" s="498">
        <v>8121</v>
      </c>
      <c r="L28" s="527">
        <v>8880</v>
      </c>
      <c r="M28" s="528">
        <v>9266</v>
      </c>
      <c r="N28" s="528">
        <v>9874</v>
      </c>
      <c r="O28" s="528">
        <v>10374</v>
      </c>
      <c r="P28" s="528">
        <v>11196</v>
      </c>
      <c r="Q28" s="498">
        <v>11499</v>
      </c>
      <c r="R28" s="573">
        <f t="shared" si="0"/>
        <v>1.5</v>
      </c>
      <c r="S28" s="256">
        <f t="shared" si="1"/>
        <v>5.3</v>
      </c>
      <c r="U28" s="326"/>
      <c r="V28" s="326"/>
      <c r="W28" s="326"/>
      <c r="X28" s="327"/>
      <c r="Y28" s="327"/>
      <c r="Z28" s="43"/>
      <c r="AA28" s="41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1410</v>
      </c>
      <c r="E29" s="525">
        <v>1410</v>
      </c>
      <c r="F29" s="530">
        <v>1410</v>
      </c>
      <c r="G29" s="531">
        <v>1590</v>
      </c>
      <c r="H29" s="526">
        <v>1590</v>
      </c>
      <c r="I29" s="497">
        <v>1615</v>
      </c>
      <c r="J29" s="497">
        <v>1630</v>
      </c>
      <c r="K29" s="498">
        <v>1630</v>
      </c>
      <c r="L29" s="499">
        <v>1630</v>
      </c>
      <c r="M29" s="532">
        <v>1630</v>
      </c>
      <c r="N29" s="532">
        <v>1630</v>
      </c>
      <c r="O29" s="532">
        <v>1630</v>
      </c>
      <c r="P29" s="532">
        <v>1630</v>
      </c>
      <c r="Q29" s="498">
        <v>1630</v>
      </c>
      <c r="R29" s="573">
        <f t="shared" si="0"/>
        <v>2.1</v>
      </c>
      <c r="S29" s="256">
        <f t="shared" si="1"/>
        <v>0</v>
      </c>
      <c r="U29" s="326"/>
      <c r="V29" s="326"/>
      <c r="W29" s="326"/>
      <c r="X29" s="327"/>
      <c r="Y29" s="280"/>
      <c r="Z29" s="280"/>
      <c r="AA29" s="423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8710</v>
      </c>
      <c r="E30" s="92">
        <f t="shared" ref="E30:Q30" si="3">SUM(E28:E29)</f>
        <v>8509</v>
      </c>
      <c r="F30" s="92">
        <f t="shared" si="3"/>
        <v>8469</v>
      </c>
      <c r="G30" s="93">
        <f t="shared" si="3"/>
        <v>8796</v>
      </c>
      <c r="H30" s="93">
        <f t="shared" si="3"/>
        <v>9002</v>
      </c>
      <c r="I30" s="94">
        <f t="shared" si="3"/>
        <v>9155</v>
      </c>
      <c r="J30" s="94">
        <f t="shared" si="3"/>
        <v>9484</v>
      </c>
      <c r="K30" s="96">
        <f t="shared" si="3"/>
        <v>9751</v>
      </c>
      <c r="L30" s="95">
        <f t="shared" si="3"/>
        <v>10510</v>
      </c>
      <c r="M30" s="93">
        <f t="shared" si="3"/>
        <v>10896</v>
      </c>
      <c r="N30" s="93">
        <f t="shared" si="3"/>
        <v>11504</v>
      </c>
      <c r="O30" s="93">
        <f t="shared" si="3"/>
        <v>12004</v>
      </c>
      <c r="P30" s="93">
        <f t="shared" si="3"/>
        <v>12826</v>
      </c>
      <c r="Q30" s="96">
        <f t="shared" si="3"/>
        <v>13129</v>
      </c>
      <c r="R30" s="574">
        <f t="shared" si="0"/>
        <v>1.6</v>
      </c>
      <c r="S30" s="510">
        <f t="shared" si="1"/>
        <v>4.5999999999999996</v>
      </c>
      <c r="U30" s="43"/>
      <c r="V30" s="43"/>
      <c r="W30" s="43"/>
      <c r="X30" s="43"/>
      <c r="Y30" s="43"/>
      <c r="Z30" s="43"/>
      <c r="AA30" s="41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230</v>
      </c>
      <c r="E31" s="525">
        <v>230</v>
      </c>
      <c r="F31" s="530">
        <v>230</v>
      </c>
      <c r="G31" s="531">
        <v>230</v>
      </c>
      <c r="H31" s="526">
        <v>230</v>
      </c>
      <c r="I31" s="497">
        <v>230</v>
      </c>
      <c r="J31" s="497">
        <v>793</v>
      </c>
      <c r="K31" s="498">
        <v>980</v>
      </c>
      <c r="L31" s="533">
        <v>980</v>
      </c>
      <c r="M31" s="534">
        <v>980</v>
      </c>
      <c r="N31" s="534">
        <v>980</v>
      </c>
      <c r="O31" s="534">
        <v>980</v>
      </c>
      <c r="P31" s="534">
        <v>980</v>
      </c>
      <c r="Q31" s="535">
        <v>980</v>
      </c>
      <c r="R31" s="573">
        <f t="shared" si="0"/>
        <v>23</v>
      </c>
      <c r="S31" s="256">
        <f t="shared" si="1"/>
        <v>0</v>
      </c>
      <c r="U31" s="326"/>
      <c r="V31" s="326"/>
      <c r="W31" s="326"/>
      <c r="X31" s="327"/>
      <c r="Y31" s="327"/>
      <c r="Z31" s="280"/>
      <c r="AA31" s="423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1290</v>
      </c>
      <c r="E32" s="525">
        <v>1290</v>
      </c>
      <c r="F32" s="530">
        <v>1325</v>
      </c>
      <c r="G32" s="531">
        <v>1325</v>
      </c>
      <c r="H32" s="526">
        <v>1325</v>
      </c>
      <c r="I32" s="497">
        <v>1330</v>
      </c>
      <c r="J32" s="497">
        <v>1330</v>
      </c>
      <c r="K32" s="502">
        <v>1330</v>
      </c>
      <c r="L32" s="503">
        <v>1330</v>
      </c>
      <c r="M32" s="496">
        <v>1330</v>
      </c>
      <c r="N32" s="496">
        <v>1330</v>
      </c>
      <c r="O32" s="496">
        <v>1330</v>
      </c>
      <c r="P32" s="497">
        <v>1330</v>
      </c>
      <c r="Q32" s="502">
        <v>1330</v>
      </c>
      <c r="R32" s="573">
        <f t="shared" si="0"/>
        <v>0.4</v>
      </c>
      <c r="S32" s="256">
        <f t="shared" si="1"/>
        <v>0</v>
      </c>
      <c r="U32" s="326"/>
      <c r="V32" s="326"/>
      <c r="W32" s="326"/>
      <c r="X32" s="327"/>
      <c r="Y32" s="327"/>
      <c r="Z32" s="280"/>
      <c r="AA32" s="423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440</v>
      </c>
      <c r="E33" s="525">
        <v>440</v>
      </c>
      <c r="F33" s="530">
        <v>440</v>
      </c>
      <c r="G33" s="531">
        <v>440</v>
      </c>
      <c r="H33" s="526">
        <v>440</v>
      </c>
      <c r="I33" s="497">
        <v>440</v>
      </c>
      <c r="J33" s="497">
        <v>440</v>
      </c>
      <c r="K33" s="536">
        <v>440</v>
      </c>
      <c r="L33" s="537">
        <v>440</v>
      </c>
      <c r="M33" s="538">
        <v>440</v>
      </c>
      <c r="N33" s="538">
        <v>440</v>
      </c>
      <c r="O33" s="538">
        <v>440</v>
      </c>
      <c r="P33" s="515">
        <v>440</v>
      </c>
      <c r="Q33" s="502">
        <v>440</v>
      </c>
      <c r="R33" s="573">
        <f t="shared" si="0"/>
        <v>0</v>
      </c>
      <c r="S33" s="256">
        <f t="shared" si="1"/>
        <v>0</v>
      </c>
      <c r="U33" s="43"/>
      <c r="V33" s="43"/>
      <c r="W33" s="43"/>
      <c r="X33" s="328"/>
      <c r="Y33" s="328"/>
      <c r="Z33" s="43"/>
      <c r="AA33" s="41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1960</v>
      </c>
      <c r="E34" s="539">
        <f t="shared" ref="E34:Q34" si="4">SUM(E31:E33)</f>
        <v>1960</v>
      </c>
      <c r="F34" s="539">
        <f t="shared" si="4"/>
        <v>1995</v>
      </c>
      <c r="G34" s="100">
        <f t="shared" si="4"/>
        <v>1995</v>
      </c>
      <c r="H34" s="100">
        <f t="shared" si="4"/>
        <v>1995</v>
      </c>
      <c r="I34" s="100">
        <f t="shared" si="4"/>
        <v>2000</v>
      </c>
      <c r="J34" s="101">
        <f t="shared" si="4"/>
        <v>2563</v>
      </c>
      <c r="K34" s="104">
        <f t="shared" si="4"/>
        <v>2750</v>
      </c>
      <c r="L34" s="540">
        <f t="shared" si="4"/>
        <v>2750</v>
      </c>
      <c r="M34" s="100">
        <f t="shared" si="4"/>
        <v>2750</v>
      </c>
      <c r="N34" s="100">
        <f t="shared" si="4"/>
        <v>2750</v>
      </c>
      <c r="O34" s="100">
        <f t="shared" si="4"/>
        <v>2750</v>
      </c>
      <c r="P34" s="100">
        <f t="shared" si="4"/>
        <v>2750</v>
      </c>
      <c r="Q34" s="103">
        <f t="shared" si="4"/>
        <v>2750</v>
      </c>
      <c r="R34" s="576">
        <f t="shared" si="0"/>
        <v>5</v>
      </c>
      <c r="S34" s="541">
        <f t="shared" si="1"/>
        <v>0</v>
      </c>
      <c r="U34" s="43"/>
      <c r="V34" s="43"/>
      <c r="W34" s="43"/>
      <c r="X34" s="43"/>
      <c r="Y34" s="43"/>
      <c r="Z34" s="43"/>
      <c r="AA34" s="41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39816</v>
      </c>
      <c r="E35" s="543">
        <f t="shared" ref="E35:Q35" si="5">E19+E20+E22+E24+E26+E27+E30+E34</f>
        <v>40767</v>
      </c>
      <c r="F35" s="543">
        <f t="shared" si="5"/>
        <v>42283</v>
      </c>
      <c r="G35" s="544">
        <f t="shared" si="5"/>
        <v>42904</v>
      </c>
      <c r="H35" s="544">
        <f t="shared" si="5"/>
        <v>44107</v>
      </c>
      <c r="I35" s="544">
        <f t="shared" si="5"/>
        <v>44940</v>
      </c>
      <c r="J35" s="545">
        <f t="shared" si="5"/>
        <v>46889</v>
      </c>
      <c r="K35" s="546">
        <f t="shared" si="5"/>
        <v>48133</v>
      </c>
      <c r="L35" s="547">
        <f t="shared" si="5"/>
        <v>49764</v>
      </c>
      <c r="M35" s="544">
        <f t="shared" si="5"/>
        <v>52999</v>
      </c>
      <c r="N35" s="544">
        <f t="shared" si="5"/>
        <v>56883</v>
      </c>
      <c r="O35" s="544">
        <f t="shared" si="5"/>
        <v>59376</v>
      </c>
      <c r="P35" s="544">
        <f t="shared" si="5"/>
        <v>62298</v>
      </c>
      <c r="Q35" s="577">
        <f t="shared" si="5"/>
        <v>63751</v>
      </c>
      <c r="R35" s="578">
        <f t="shared" si="0"/>
        <v>2.7</v>
      </c>
      <c r="S35" s="549">
        <f t="shared" si="1"/>
        <v>5.0999999999999996</v>
      </c>
    </row>
    <row r="36" spans="1:33" ht="15" customHeight="1">
      <c r="A36" s="613" t="s">
        <v>324</v>
      </c>
      <c r="B36" s="666" t="s">
        <v>433</v>
      </c>
      <c r="C36" s="667"/>
      <c r="D36" s="487">
        <v>1996</v>
      </c>
      <c r="E36" s="488">
        <v>1981</v>
      </c>
      <c r="F36" s="489">
        <v>2123</v>
      </c>
      <c r="G36" s="489">
        <v>2236</v>
      </c>
      <c r="H36" s="488">
        <v>2143</v>
      </c>
      <c r="I36" s="489">
        <v>2182</v>
      </c>
      <c r="J36" s="550">
        <v>2129</v>
      </c>
      <c r="K36" s="490">
        <v>2083</v>
      </c>
      <c r="L36" s="491">
        <v>2100</v>
      </c>
      <c r="M36" s="492">
        <v>2400</v>
      </c>
      <c r="N36" s="492">
        <v>2900</v>
      </c>
      <c r="O36" s="492">
        <v>2900</v>
      </c>
      <c r="P36" s="493">
        <v>3400</v>
      </c>
      <c r="Q36" s="498">
        <v>3600</v>
      </c>
      <c r="R36" s="573">
        <f t="shared" si="0"/>
        <v>0.6</v>
      </c>
      <c r="S36" s="256">
        <f t="shared" si="1"/>
        <v>11.4</v>
      </c>
      <c r="U36" s="43"/>
      <c r="V36" s="43"/>
      <c r="W36" s="43"/>
      <c r="X36" s="43"/>
      <c r="Y36" s="43"/>
      <c r="Z36" s="43"/>
      <c r="AA36" s="41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544</v>
      </c>
      <c r="E37" s="496">
        <v>520</v>
      </c>
      <c r="F37" s="497">
        <v>470</v>
      </c>
      <c r="G37" s="497">
        <v>560</v>
      </c>
      <c r="H37" s="496">
        <v>523</v>
      </c>
      <c r="I37" s="497">
        <v>586</v>
      </c>
      <c r="J37" s="551">
        <v>596</v>
      </c>
      <c r="K37" s="498">
        <v>582</v>
      </c>
      <c r="L37" s="499">
        <v>580</v>
      </c>
      <c r="M37" s="500">
        <v>600</v>
      </c>
      <c r="N37" s="500">
        <v>600</v>
      </c>
      <c r="O37" s="500">
        <v>600</v>
      </c>
      <c r="P37" s="501">
        <v>600</v>
      </c>
      <c r="Q37" s="498">
        <v>600</v>
      </c>
      <c r="R37" s="573">
        <f t="shared" si="0"/>
        <v>1</v>
      </c>
      <c r="S37" s="256">
        <f t="shared" si="1"/>
        <v>0.7</v>
      </c>
      <c r="U37" s="43"/>
      <c r="V37" s="324"/>
      <c r="W37" s="43"/>
      <c r="X37" s="43"/>
      <c r="Y37" s="43"/>
      <c r="Z37" s="43"/>
      <c r="AA37" s="41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371</v>
      </c>
      <c r="E38" s="496">
        <v>353.83333333333331</v>
      </c>
      <c r="F38" s="497">
        <v>319</v>
      </c>
      <c r="G38" s="497">
        <v>376</v>
      </c>
      <c r="H38" s="496">
        <v>352.51568753304809</v>
      </c>
      <c r="I38" s="497">
        <v>390</v>
      </c>
      <c r="J38" s="497">
        <v>371</v>
      </c>
      <c r="K38" s="502">
        <v>343</v>
      </c>
      <c r="L38" s="503">
        <v>353</v>
      </c>
      <c r="M38" s="496">
        <v>371</v>
      </c>
      <c r="N38" s="496">
        <v>371</v>
      </c>
      <c r="O38" s="496">
        <v>353</v>
      </c>
      <c r="P38" s="279">
        <v>371</v>
      </c>
      <c r="Q38" s="502">
        <v>353</v>
      </c>
      <c r="R38" s="573">
        <f t="shared" si="0"/>
        <v>-1.1000000000000001</v>
      </c>
      <c r="S38" s="256">
        <f t="shared" si="1"/>
        <v>0</v>
      </c>
      <c r="U38" s="318"/>
      <c r="V38" s="318"/>
      <c r="W38" s="318"/>
      <c r="X38" s="318"/>
      <c r="Y38" s="318"/>
      <c r="Z38" s="318"/>
      <c r="AA38" s="422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4840</v>
      </c>
      <c r="E39" s="496">
        <v>5284</v>
      </c>
      <c r="F39" s="497">
        <v>5164</v>
      </c>
      <c r="G39" s="497">
        <v>5329</v>
      </c>
      <c r="H39" s="496">
        <v>5838</v>
      </c>
      <c r="I39" s="497">
        <v>5932</v>
      </c>
      <c r="J39" s="497">
        <v>6342</v>
      </c>
      <c r="K39" s="502">
        <v>6413</v>
      </c>
      <c r="L39" s="503">
        <v>7149</v>
      </c>
      <c r="M39" s="496">
        <v>7650</v>
      </c>
      <c r="N39" s="496">
        <v>8500</v>
      </c>
      <c r="O39" s="496">
        <v>9435</v>
      </c>
      <c r="P39" s="279">
        <v>9720</v>
      </c>
      <c r="Q39" s="502">
        <v>10215</v>
      </c>
      <c r="R39" s="573">
        <f t="shared" si="0"/>
        <v>4.0999999999999996</v>
      </c>
      <c r="S39" s="256">
        <f t="shared" si="1"/>
        <v>7.4</v>
      </c>
      <c r="U39" s="43"/>
      <c r="V39" s="43"/>
      <c r="W39" s="43"/>
      <c r="X39" s="43"/>
      <c r="Y39" s="43"/>
      <c r="Z39" s="43"/>
      <c r="AA39" s="41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1250</v>
      </c>
      <c r="E40" s="496">
        <v>1627</v>
      </c>
      <c r="F40" s="497">
        <v>1648</v>
      </c>
      <c r="G40" s="497">
        <v>1757.46</v>
      </c>
      <c r="H40" s="496">
        <v>1681</v>
      </c>
      <c r="I40" s="497">
        <v>1863</v>
      </c>
      <c r="J40" s="497">
        <v>1808</v>
      </c>
      <c r="K40" s="502">
        <v>1817</v>
      </c>
      <c r="L40" s="503">
        <v>1817</v>
      </c>
      <c r="M40" s="496">
        <v>1817</v>
      </c>
      <c r="N40" s="496">
        <v>1817</v>
      </c>
      <c r="O40" s="496">
        <v>1817</v>
      </c>
      <c r="P40" s="279">
        <v>1817</v>
      </c>
      <c r="Q40" s="502">
        <v>1817</v>
      </c>
      <c r="R40" s="573">
        <f t="shared" si="0"/>
        <v>5.5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423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100</v>
      </c>
      <c r="E41" s="496">
        <v>100</v>
      </c>
      <c r="F41" s="497">
        <v>100</v>
      </c>
      <c r="G41" s="497">
        <v>100</v>
      </c>
      <c r="H41" s="496">
        <v>100</v>
      </c>
      <c r="I41" s="497">
        <v>100</v>
      </c>
      <c r="J41" s="497">
        <v>100</v>
      </c>
      <c r="K41" s="502">
        <v>100</v>
      </c>
      <c r="L41" s="503">
        <v>100</v>
      </c>
      <c r="M41" s="496">
        <v>100</v>
      </c>
      <c r="N41" s="496">
        <v>100</v>
      </c>
      <c r="O41" s="496">
        <v>100</v>
      </c>
      <c r="P41" s="279">
        <v>100</v>
      </c>
      <c r="Q41" s="502">
        <v>100</v>
      </c>
      <c r="R41" s="573">
        <f t="shared" si="0"/>
        <v>0</v>
      </c>
      <c r="S41" s="256">
        <f t="shared" si="1"/>
        <v>0</v>
      </c>
      <c r="U41" s="280"/>
      <c r="V41" s="280"/>
      <c r="W41" s="280"/>
      <c r="X41" s="280"/>
      <c r="Y41" s="280"/>
      <c r="Z41" s="280"/>
      <c r="AA41" s="423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1450</v>
      </c>
      <c r="E42" s="49">
        <v>1462</v>
      </c>
      <c r="F42" s="45">
        <v>1414</v>
      </c>
      <c r="G42" s="49">
        <v>1486</v>
      </c>
      <c r="H42" s="49">
        <v>1621</v>
      </c>
      <c r="I42" s="45">
        <v>1621</v>
      </c>
      <c r="J42" s="49">
        <v>1520</v>
      </c>
      <c r="K42" s="50">
        <v>1750</v>
      </c>
      <c r="L42" s="504">
        <v>1900</v>
      </c>
      <c r="M42" s="45">
        <v>2000</v>
      </c>
      <c r="N42" s="45">
        <v>2200</v>
      </c>
      <c r="O42" s="45">
        <v>2200</v>
      </c>
      <c r="P42" s="49">
        <v>2400</v>
      </c>
      <c r="Q42" s="50">
        <v>2400</v>
      </c>
      <c r="R42" s="573">
        <f t="shared" si="0"/>
        <v>2.7</v>
      </c>
      <c r="S42" s="256">
        <f t="shared" si="1"/>
        <v>4.8</v>
      </c>
      <c r="U42" s="43"/>
      <c r="V42" s="43"/>
      <c r="W42" s="43"/>
      <c r="X42" s="43"/>
      <c r="Y42" s="43"/>
      <c r="Z42" s="43"/>
      <c r="AA42" s="413"/>
      <c r="AB42" s="43"/>
      <c r="AC42" s="43"/>
      <c r="AD42" s="43"/>
      <c r="AE42" s="43"/>
      <c r="AF42" s="43"/>
      <c r="AG42" s="43"/>
    </row>
    <row r="43" spans="1:33" ht="14.2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423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v>45</v>
      </c>
      <c r="E44" s="49">
        <v>36</v>
      </c>
      <c r="F44" s="45">
        <v>33</v>
      </c>
      <c r="G44" s="49">
        <v>12</v>
      </c>
      <c r="H44" s="49">
        <v>9</v>
      </c>
      <c r="I44" s="45">
        <v>46</v>
      </c>
      <c r="J44" s="49">
        <v>80</v>
      </c>
      <c r="K44" s="50">
        <v>120</v>
      </c>
      <c r="L44" s="504">
        <v>140</v>
      </c>
      <c r="M44" s="45">
        <v>160</v>
      </c>
      <c r="N44" s="45">
        <v>180</v>
      </c>
      <c r="O44" s="45">
        <v>200</v>
      </c>
      <c r="P44" s="45">
        <v>220</v>
      </c>
      <c r="Q44" s="51">
        <v>240</v>
      </c>
      <c r="R44" s="573">
        <f t="shared" si="0"/>
        <v>15</v>
      </c>
      <c r="S44" s="256">
        <f t="shared" si="1"/>
        <v>11.4</v>
      </c>
      <c r="U44" s="280"/>
      <c r="V44" s="280"/>
      <c r="W44" s="280"/>
      <c r="X44" s="280"/>
      <c r="Y44" s="280"/>
      <c r="Z44" s="280"/>
      <c r="AA44" s="423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490</v>
      </c>
      <c r="E45" s="496">
        <v>480</v>
      </c>
      <c r="F45" s="497">
        <v>490</v>
      </c>
      <c r="G45" s="497">
        <v>487</v>
      </c>
      <c r="H45" s="496">
        <v>430</v>
      </c>
      <c r="I45" s="497">
        <v>480</v>
      </c>
      <c r="J45" s="497">
        <v>477</v>
      </c>
      <c r="K45" s="502">
        <v>462</v>
      </c>
      <c r="L45" s="503">
        <v>462</v>
      </c>
      <c r="M45" s="496">
        <v>462</v>
      </c>
      <c r="N45" s="496">
        <v>762</v>
      </c>
      <c r="O45" s="496">
        <v>762</v>
      </c>
      <c r="P45" s="279">
        <v>762</v>
      </c>
      <c r="Q45" s="502">
        <v>762</v>
      </c>
      <c r="R45" s="573">
        <f t="shared" si="0"/>
        <v>-0.8</v>
      </c>
      <c r="S45" s="256">
        <f t="shared" si="1"/>
        <v>10.5</v>
      </c>
      <c r="U45" s="280"/>
      <c r="V45" s="280"/>
      <c r="W45" s="280"/>
      <c r="X45" s="280"/>
      <c r="Y45" s="280"/>
      <c r="Z45" s="280"/>
      <c r="AA45" s="423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0</v>
      </c>
      <c r="E46" s="496">
        <v>0</v>
      </c>
      <c r="F46" s="497">
        <v>0</v>
      </c>
      <c r="G46" s="497">
        <v>0</v>
      </c>
      <c r="H46" s="496">
        <v>0</v>
      </c>
      <c r="I46" s="497">
        <v>0</v>
      </c>
      <c r="J46" s="497">
        <v>0</v>
      </c>
      <c r="K46" s="502">
        <v>0</v>
      </c>
      <c r="L46" s="503">
        <v>0</v>
      </c>
      <c r="M46" s="496">
        <v>0</v>
      </c>
      <c r="N46" s="496">
        <v>0</v>
      </c>
      <c r="O46" s="496">
        <v>0</v>
      </c>
      <c r="P46" s="279">
        <v>0</v>
      </c>
      <c r="Q46" s="502">
        <v>450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423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1005.1</v>
      </c>
      <c r="E47" s="496">
        <v>943.5</v>
      </c>
      <c r="F47" s="497">
        <v>932.6</v>
      </c>
      <c r="G47" s="497">
        <v>913.4</v>
      </c>
      <c r="H47" s="496">
        <v>818</v>
      </c>
      <c r="I47" s="497">
        <v>901.7</v>
      </c>
      <c r="J47" s="497">
        <v>827.2</v>
      </c>
      <c r="K47" s="502">
        <v>890.4</v>
      </c>
      <c r="L47" s="503">
        <v>861.2</v>
      </c>
      <c r="M47" s="496">
        <v>835.2</v>
      </c>
      <c r="N47" s="496">
        <v>828.49999999999989</v>
      </c>
      <c r="O47" s="496">
        <v>828.1</v>
      </c>
      <c r="P47" s="497">
        <v>827.89999999999986</v>
      </c>
      <c r="Q47" s="502">
        <v>827.8</v>
      </c>
      <c r="R47" s="573">
        <f t="shared" si="0"/>
        <v>-1.7</v>
      </c>
      <c r="S47" s="256">
        <f t="shared" si="1"/>
        <v>-0.8</v>
      </c>
      <c r="U47" s="43"/>
      <c r="V47" s="43"/>
      <c r="W47" s="43"/>
      <c r="X47" s="43"/>
      <c r="Y47" s="43"/>
      <c r="Z47" s="43"/>
      <c r="AA47" s="41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12091.1</v>
      </c>
      <c r="E48" s="93">
        <f t="shared" ref="E48:Q48" si="6">SUM(E36:E47)</f>
        <v>12787.333333333334</v>
      </c>
      <c r="F48" s="93">
        <f t="shared" si="6"/>
        <v>12693.6</v>
      </c>
      <c r="G48" s="93">
        <f t="shared" si="6"/>
        <v>13256.859999999999</v>
      </c>
      <c r="H48" s="93">
        <f t="shared" si="6"/>
        <v>13515.515687533049</v>
      </c>
      <c r="I48" s="93">
        <f t="shared" si="6"/>
        <v>14101.7</v>
      </c>
      <c r="J48" s="93">
        <f t="shared" si="6"/>
        <v>14250.2</v>
      </c>
      <c r="K48" s="96">
        <f t="shared" si="6"/>
        <v>14560.4</v>
      </c>
      <c r="L48" s="95">
        <f t="shared" si="6"/>
        <v>15462.2</v>
      </c>
      <c r="M48" s="93">
        <f t="shared" si="6"/>
        <v>16395.2</v>
      </c>
      <c r="N48" s="93">
        <f t="shared" si="6"/>
        <v>18258.5</v>
      </c>
      <c r="O48" s="93">
        <f t="shared" si="6"/>
        <v>19195.099999999999</v>
      </c>
      <c r="P48" s="93">
        <f t="shared" si="6"/>
        <v>20217.900000000001</v>
      </c>
      <c r="Q48" s="96">
        <f t="shared" si="6"/>
        <v>21364.799999999999</v>
      </c>
      <c r="R48" s="574">
        <f t="shared" si="0"/>
        <v>2.7</v>
      </c>
      <c r="S48" s="510">
        <f t="shared" si="1"/>
        <v>6.7</v>
      </c>
      <c r="U48" s="43"/>
      <c r="V48" s="43"/>
      <c r="W48" s="43"/>
      <c r="X48" s="43"/>
      <c r="Y48" s="43"/>
      <c r="Z48" s="43"/>
      <c r="AA48" s="41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200</v>
      </c>
      <c r="E49" s="512">
        <v>154</v>
      </c>
      <c r="F49" s="512">
        <v>180</v>
      </c>
      <c r="G49" s="512">
        <v>205</v>
      </c>
      <c r="H49" s="512">
        <v>205</v>
      </c>
      <c r="I49" s="512">
        <v>205</v>
      </c>
      <c r="J49" s="513">
        <v>205</v>
      </c>
      <c r="K49" s="514">
        <v>185</v>
      </c>
      <c r="L49" s="511">
        <v>195</v>
      </c>
      <c r="M49" s="512">
        <v>195</v>
      </c>
      <c r="N49" s="512">
        <v>195</v>
      </c>
      <c r="O49" s="512">
        <v>195</v>
      </c>
      <c r="P49" s="513">
        <v>195</v>
      </c>
      <c r="Q49" s="514">
        <v>195</v>
      </c>
      <c r="R49" s="574">
        <f t="shared" si="0"/>
        <v>-1.1000000000000001</v>
      </c>
      <c r="S49" s="510">
        <f t="shared" si="1"/>
        <v>0</v>
      </c>
      <c r="U49" s="280"/>
      <c r="V49" s="280"/>
      <c r="W49" s="280"/>
      <c r="X49" s="280"/>
      <c r="Y49" s="280"/>
      <c r="Z49" s="280"/>
      <c r="AA49" s="423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200</v>
      </c>
      <c r="E50" s="512">
        <v>154</v>
      </c>
      <c r="F50" s="512">
        <v>180</v>
      </c>
      <c r="G50" s="512">
        <v>205</v>
      </c>
      <c r="H50" s="512">
        <v>205</v>
      </c>
      <c r="I50" s="512">
        <v>205</v>
      </c>
      <c r="J50" s="513">
        <v>205</v>
      </c>
      <c r="K50" s="514">
        <v>185</v>
      </c>
      <c r="L50" s="511">
        <v>195</v>
      </c>
      <c r="M50" s="512">
        <v>195</v>
      </c>
      <c r="N50" s="512">
        <v>195</v>
      </c>
      <c r="O50" s="512">
        <v>195</v>
      </c>
      <c r="P50" s="513">
        <v>195</v>
      </c>
      <c r="Q50" s="514">
        <v>195</v>
      </c>
      <c r="R50" s="574">
        <f t="shared" si="0"/>
        <v>-1.1000000000000001</v>
      </c>
      <c r="S50" s="510">
        <f t="shared" si="1"/>
        <v>0</v>
      </c>
      <c r="U50" s="280"/>
      <c r="V50" s="280"/>
      <c r="W50" s="280"/>
      <c r="X50" s="280"/>
      <c r="Y50" s="280"/>
      <c r="Z50" s="280"/>
      <c r="AA50" s="423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5679</v>
      </c>
      <c r="E51" s="512">
        <v>5354</v>
      </c>
      <c r="F51" s="512">
        <v>5209</v>
      </c>
      <c r="G51" s="512">
        <v>5226</v>
      </c>
      <c r="H51" s="512">
        <v>5534</v>
      </c>
      <c r="I51" s="512">
        <v>5465.64</v>
      </c>
      <c r="J51" s="513">
        <v>5313.6667520000001</v>
      </c>
      <c r="K51" s="514">
        <v>5371.4614430000001</v>
      </c>
      <c r="L51" s="511">
        <v>5267.5128459999996</v>
      </c>
      <c r="M51" s="512">
        <v>5379.5584089999993</v>
      </c>
      <c r="N51" s="512">
        <v>5482.9273730000004</v>
      </c>
      <c r="O51" s="512">
        <v>5467.6514820000002</v>
      </c>
      <c r="P51" s="513">
        <v>5427.6451449999995</v>
      </c>
      <c r="Q51" s="514">
        <v>5582.6682359999995</v>
      </c>
      <c r="R51" s="574">
        <f t="shared" si="0"/>
        <v>-0.8</v>
      </c>
      <c r="S51" s="510">
        <f t="shared" si="1"/>
        <v>1.2</v>
      </c>
      <c r="U51" s="43"/>
      <c r="V51" s="43"/>
      <c r="W51" s="43"/>
      <c r="X51" s="43"/>
      <c r="Y51" s="43"/>
      <c r="Z51" s="43"/>
      <c r="AA51" s="41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4636</v>
      </c>
      <c r="E52" s="512">
        <v>5275</v>
      </c>
      <c r="F52" s="512">
        <v>4337</v>
      </c>
      <c r="G52" s="512">
        <v>4253</v>
      </c>
      <c r="H52" s="512">
        <v>4590</v>
      </c>
      <c r="I52" s="512">
        <v>4522</v>
      </c>
      <c r="J52" s="513">
        <v>4516.3114299999997</v>
      </c>
      <c r="K52" s="514">
        <v>4415.0037940000002</v>
      </c>
      <c r="L52" s="511">
        <v>4313.67004</v>
      </c>
      <c r="M52" s="512">
        <v>4374.9231099999997</v>
      </c>
      <c r="N52" s="512">
        <v>4419.798769</v>
      </c>
      <c r="O52" s="512">
        <v>4405.0963609999999</v>
      </c>
      <c r="P52" s="513">
        <v>4376.0299539999996</v>
      </c>
      <c r="Q52" s="514">
        <v>4551.337614</v>
      </c>
      <c r="R52" s="574">
        <f t="shared" si="0"/>
        <v>-0.7</v>
      </c>
      <c r="S52" s="510">
        <f t="shared" si="1"/>
        <v>1.1000000000000001</v>
      </c>
      <c r="U52" s="43"/>
      <c r="V52" s="43"/>
      <c r="W52" s="43"/>
      <c r="X52" s="43"/>
      <c r="Y52" s="43"/>
      <c r="Z52" s="43"/>
      <c r="AA52" s="41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5818</v>
      </c>
      <c r="E53" s="496">
        <v>6376</v>
      </c>
      <c r="F53" s="496">
        <v>7024.038461538461</v>
      </c>
      <c r="G53" s="496">
        <v>7565.3846153846152</v>
      </c>
      <c r="H53" s="496">
        <v>8243</v>
      </c>
      <c r="I53" s="496">
        <v>8368</v>
      </c>
      <c r="J53" s="497">
        <v>8780</v>
      </c>
      <c r="K53" s="502">
        <v>8964</v>
      </c>
      <c r="L53" s="503">
        <v>9068</v>
      </c>
      <c r="M53" s="496">
        <v>9172</v>
      </c>
      <c r="N53" s="496">
        <v>9326</v>
      </c>
      <c r="O53" s="496">
        <v>9475</v>
      </c>
      <c r="P53" s="497">
        <v>9625</v>
      </c>
      <c r="Q53" s="502">
        <v>9710</v>
      </c>
      <c r="R53" s="573">
        <f t="shared" si="0"/>
        <v>6.4</v>
      </c>
      <c r="S53" s="256">
        <f t="shared" si="1"/>
        <v>1.4</v>
      </c>
      <c r="U53" s="280"/>
      <c r="V53" s="280"/>
      <c r="W53" s="280"/>
      <c r="X53" s="280"/>
      <c r="Y53" s="280"/>
      <c r="Z53" s="280"/>
      <c r="AA53" s="423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3221.1538461538462</v>
      </c>
      <c r="F54" s="518">
        <v>3659.6153846153843</v>
      </c>
      <c r="G54" s="518">
        <v>3991.3461538461538</v>
      </c>
      <c r="H54" s="518">
        <v>4487</v>
      </c>
      <c r="I54" s="518">
        <v>4575</v>
      </c>
      <c r="J54" s="519">
        <v>4629</v>
      </c>
      <c r="K54" s="514">
        <v>4643</v>
      </c>
      <c r="L54" s="511">
        <v>4671</v>
      </c>
      <c r="M54" s="518">
        <v>4730</v>
      </c>
      <c r="N54" s="518">
        <v>4780</v>
      </c>
      <c r="O54" s="518">
        <v>4808</v>
      </c>
      <c r="P54" s="519">
        <v>4853</v>
      </c>
      <c r="Q54" s="514">
        <v>4980</v>
      </c>
      <c r="R54" s="574" t="str">
        <f t="shared" si="0"/>
        <v xml:space="preserve">     -</v>
      </c>
      <c r="S54" s="510">
        <f t="shared" si="1"/>
        <v>1.3</v>
      </c>
      <c r="U54" s="280"/>
      <c r="V54" s="280"/>
      <c r="W54" s="280"/>
      <c r="X54" s="280"/>
      <c r="Y54" s="280"/>
      <c r="Z54" s="280"/>
      <c r="AA54" s="423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535</v>
      </c>
      <c r="E55" s="518">
        <v>442</v>
      </c>
      <c r="F55" s="518">
        <v>396.15384615384613</v>
      </c>
      <c r="G55" s="518">
        <v>365</v>
      </c>
      <c r="H55" s="518">
        <v>387</v>
      </c>
      <c r="I55" s="518">
        <v>541</v>
      </c>
      <c r="J55" s="519">
        <v>594</v>
      </c>
      <c r="K55" s="514">
        <v>610</v>
      </c>
      <c r="L55" s="511">
        <v>719</v>
      </c>
      <c r="M55" s="518">
        <v>702</v>
      </c>
      <c r="N55" s="518">
        <v>710</v>
      </c>
      <c r="O55" s="518">
        <v>732</v>
      </c>
      <c r="P55" s="519">
        <v>735</v>
      </c>
      <c r="Q55" s="514">
        <v>738</v>
      </c>
      <c r="R55" s="574">
        <f t="shared" si="0"/>
        <v>1.9</v>
      </c>
      <c r="S55" s="510">
        <f t="shared" si="1"/>
        <v>0.5</v>
      </c>
      <c r="U55" s="280"/>
      <c r="V55" s="280"/>
      <c r="W55" s="280"/>
      <c r="X55" s="280"/>
      <c r="Y55" s="280"/>
      <c r="Z55" s="280"/>
      <c r="AA55" s="423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935</v>
      </c>
      <c r="E56" s="521">
        <v>1131</v>
      </c>
      <c r="F56" s="521">
        <v>791</v>
      </c>
      <c r="G56" s="521">
        <v>1110</v>
      </c>
      <c r="H56" s="521">
        <v>897</v>
      </c>
      <c r="I56" s="521">
        <v>915</v>
      </c>
      <c r="J56" s="522">
        <v>1514.6</v>
      </c>
      <c r="K56" s="523">
        <v>1455</v>
      </c>
      <c r="L56" s="520">
        <v>1800</v>
      </c>
      <c r="M56" s="521">
        <v>2500</v>
      </c>
      <c r="N56" s="521">
        <v>2500</v>
      </c>
      <c r="O56" s="521">
        <v>3000</v>
      </c>
      <c r="P56" s="522">
        <v>3500</v>
      </c>
      <c r="Q56" s="523">
        <v>3800</v>
      </c>
      <c r="R56" s="574">
        <f t="shared" si="0"/>
        <v>6.5</v>
      </c>
      <c r="S56" s="510">
        <f t="shared" si="1"/>
        <v>16.100000000000001</v>
      </c>
      <c r="U56" s="280"/>
      <c r="V56" s="43"/>
      <c r="W56" s="43"/>
      <c r="X56" s="43"/>
      <c r="Y56" s="43"/>
      <c r="Z56" s="325"/>
      <c r="AA56" s="424"/>
      <c r="AB56" s="325"/>
      <c r="AC56" s="325"/>
      <c r="AD56" s="325"/>
      <c r="AE56" s="325"/>
      <c r="AF56" s="325"/>
      <c r="AG56" s="325"/>
    </row>
    <row r="57" spans="1:33" ht="15" customHeight="1">
      <c r="A57" s="16"/>
      <c r="B57" s="672" t="s">
        <v>316</v>
      </c>
      <c r="C57" s="673"/>
      <c r="D57" s="553">
        <v>6540</v>
      </c>
      <c r="E57" s="526">
        <v>6712.7400000000007</v>
      </c>
      <c r="F57" s="530">
        <v>6350</v>
      </c>
      <c r="G57" s="497">
        <v>6615</v>
      </c>
      <c r="H57" s="496">
        <v>6671</v>
      </c>
      <c r="I57" s="497">
        <v>7168</v>
      </c>
      <c r="J57" s="551">
        <v>7365</v>
      </c>
      <c r="K57" s="554">
        <v>7415.1</v>
      </c>
      <c r="L57" s="589">
        <v>7992</v>
      </c>
      <c r="M57" s="590">
        <v>8339.4</v>
      </c>
      <c r="N57" s="590">
        <v>8886.6</v>
      </c>
      <c r="O57" s="591">
        <v>9336.6</v>
      </c>
      <c r="P57" s="590">
        <v>10076.4</v>
      </c>
      <c r="Q57" s="592">
        <v>10349.1</v>
      </c>
      <c r="R57" s="573">
        <f t="shared" si="0"/>
        <v>1.8</v>
      </c>
      <c r="S57" s="256">
        <f t="shared" si="1"/>
        <v>5.3</v>
      </c>
      <c r="U57" s="326"/>
      <c r="V57" s="326"/>
      <c r="W57" s="326"/>
      <c r="X57" s="281"/>
      <c r="Y57" s="281"/>
      <c r="Z57" s="281"/>
      <c r="AA57" s="420"/>
      <c r="AB57" s="281"/>
      <c r="AC57" s="281"/>
      <c r="AD57" s="327"/>
      <c r="AE57" s="327"/>
      <c r="AF57" s="327"/>
      <c r="AG57" s="327"/>
    </row>
    <row r="58" spans="1:33" ht="15" customHeight="1">
      <c r="A58" s="16"/>
      <c r="B58" s="670" t="s">
        <v>317</v>
      </c>
      <c r="C58" s="671"/>
      <c r="D58" s="553">
        <v>1156</v>
      </c>
      <c r="E58" s="526">
        <v>1156</v>
      </c>
      <c r="F58" s="530">
        <v>1207</v>
      </c>
      <c r="G58" s="497">
        <v>1380</v>
      </c>
      <c r="H58" s="496">
        <v>1356</v>
      </c>
      <c r="I58" s="497">
        <v>1392</v>
      </c>
      <c r="J58" s="551">
        <v>1392</v>
      </c>
      <c r="K58" s="498">
        <v>1304</v>
      </c>
      <c r="L58" s="499">
        <v>1304</v>
      </c>
      <c r="M58" s="532">
        <v>1304</v>
      </c>
      <c r="N58" s="532">
        <v>1304</v>
      </c>
      <c r="O58" s="532">
        <v>1304</v>
      </c>
      <c r="P58" s="532">
        <v>1304</v>
      </c>
      <c r="Q58" s="498">
        <v>1304</v>
      </c>
      <c r="R58" s="573">
        <f t="shared" si="0"/>
        <v>1.7</v>
      </c>
      <c r="S58" s="256">
        <f t="shared" si="1"/>
        <v>0</v>
      </c>
      <c r="U58" s="326"/>
      <c r="V58" s="326"/>
      <c r="W58" s="322"/>
      <c r="X58" s="420"/>
      <c r="Y58" s="322"/>
      <c r="Z58" s="322"/>
      <c r="AA58" s="420"/>
      <c r="AB58" s="322"/>
      <c r="AC58" s="322"/>
      <c r="AD58" s="322"/>
      <c r="AE58" s="322"/>
      <c r="AF58" s="322"/>
      <c r="AG58" s="322"/>
    </row>
    <row r="59" spans="1:33" ht="15.75" customHeight="1">
      <c r="A59" s="16"/>
      <c r="B59" s="674" t="s">
        <v>318</v>
      </c>
      <c r="C59" s="675"/>
      <c r="D59" s="95">
        <f>SUM(D57:D58)</f>
        <v>7696</v>
      </c>
      <c r="E59" s="92">
        <f t="shared" ref="E59:Q59" si="7">SUM(E57:E58)</f>
        <v>7868.7400000000007</v>
      </c>
      <c r="F59" s="92">
        <f t="shared" si="7"/>
        <v>7557</v>
      </c>
      <c r="G59" s="93">
        <f t="shared" si="7"/>
        <v>7995</v>
      </c>
      <c r="H59" s="93">
        <f t="shared" si="7"/>
        <v>8027</v>
      </c>
      <c r="I59" s="94">
        <f t="shared" si="7"/>
        <v>8560</v>
      </c>
      <c r="J59" s="94">
        <f t="shared" si="7"/>
        <v>8757</v>
      </c>
      <c r="K59" s="96">
        <f t="shared" si="7"/>
        <v>8719.1</v>
      </c>
      <c r="L59" s="555">
        <f t="shared" si="7"/>
        <v>9296</v>
      </c>
      <c r="M59" s="556">
        <f t="shared" si="7"/>
        <v>9643.4</v>
      </c>
      <c r="N59" s="556">
        <f t="shared" si="7"/>
        <v>10190.6</v>
      </c>
      <c r="O59" s="556">
        <f t="shared" si="7"/>
        <v>10640.6</v>
      </c>
      <c r="P59" s="556">
        <f t="shared" si="7"/>
        <v>11380.4</v>
      </c>
      <c r="Q59" s="227">
        <f t="shared" si="7"/>
        <v>11653.1</v>
      </c>
      <c r="R59" s="574">
        <f t="shared" si="0"/>
        <v>1.8</v>
      </c>
      <c r="S59" s="510">
        <f t="shared" si="1"/>
        <v>4.5999999999999996</v>
      </c>
      <c r="U59" s="43"/>
      <c r="V59" s="43"/>
      <c r="W59" s="43"/>
      <c r="X59" s="43"/>
      <c r="Y59" s="43"/>
      <c r="Z59" s="43"/>
      <c r="AA59" s="41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194</v>
      </c>
      <c r="E60" s="526">
        <v>194</v>
      </c>
      <c r="F60" s="530">
        <v>194</v>
      </c>
      <c r="G60" s="497">
        <v>194</v>
      </c>
      <c r="H60" s="496">
        <v>194</v>
      </c>
      <c r="I60" s="497">
        <v>135</v>
      </c>
      <c r="J60" s="551">
        <v>404</v>
      </c>
      <c r="K60" s="498">
        <v>784</v>
      </c>
      <c r="L60" s="533">
        <v>784</v>
      </c>
      <c r="M60" s="534">
        <v>784</v>
      </c>
      <c r="N60" s="534">
        <v>784</v>
      </c>
      <c r="O60" s="534">
        <v>784</v>
      </c>
      <c r="P60" s="534">
        <v>784</v>
      </c>
      <c r="Q60" s="535">
        <v>784</v>
      </c>
      <c r="R60" s="573">
        <f t="shared" si="0"/>
        <v>22.1</v>
      </c>
      <c r="S60" s="256">
        <f t="shared" si="1"/>
        <v>0</v>
      </c>
      <c r="U60" s="326"/>
      <c r="V60" s="326"/>
      <c r="W60" s="326"/>
      <c r="X60" s="281"/>
      <c r="Y60" s="281"/>
      <c r="Z60" s="281"/>
      <c r="AA60" s="420"/>
      <c r="AB60" s="281"/>
      <c r="AC60" s="281"/>
      <c r="AD60" s="327"/>
      <c r="AE60" s="327"/>
      <c r="AF60" s="327"/>
      <c r="AG60" s="327"/>
    </row>
    <row r="61" spans="1:33" ht="15" customHeight="1">
      <c r="A61" s="16"/>
      <c r="B61" s="668" t="s">
        <v>320</v>
      </c>
      <c r="C61" s="669"/>
      <c r="D61" s="553">
        <v>923</v>
      </c>
      <c r="E61" s="526">
        <v>1025</v>
      </c>
      <c r="F61" s="530">
        <v>1032</v>
      </c>
      <c r="G61" s="497">
        <v>1016</v>
      </c>
      <c r="H61" s="496">
        <v>1002</v>
      </c>
      <c r="I61" s="497">
        <v>1118</v>
      </c>
      <c r="J61" s="497">
        <v>1108</v>
      </c>
      <c r="K61" s="502">
        <v>1130.5</v>
      </c>
      <c r="L61" s="503">
        <v>1130.5</v>
      </c>
      <c r="M61" s="496">
        <v>1130.5</v>
      </c>
      <c r="N61" s="496">
        <v>1130.5</v>
      </c>
      <c r="O61" s="496">
        <v>1130.5</v>
      </c>
      <c r="P61" s="497">
        <v>1130.5</v>
      </c>
      <c r="Q61" s="502">
        <v>1131</v>
      </c>
      <c r="R61" s="573">
        <f t="shared" si="0"/>
        <v>2.9</v>
      </c>
      <c r="S61" s="256">
        <f t="shared" si="1"/>
        <v>0</v>
      </c>
      <c r="U61" s="326"/>
      <c r="V61" s="326"/>
      <c r="W61" s="326"/>
      <c r="X61" s="281"/>
      <c r="Y61" s="281"/>
      <c r="Z61" s="281"/>
      <c r="AA61" s="420"/>
      <c r="AB61" s="281"/>
      <c r="AC61" s="281"/>
      <c r="AD61" s="327"/>
      <c r="AE61" s="327"/>
      <c r="AF61" s="327"/>
      <c r="AG61" s="327"/>
    </row>
    <row r="62" spans="1:33" ht="15" customHeight="1">
      <c r="A62" s="16"/>
      <c r="B62" s="670" t="s">
        <v>321</v>
      </c>
      <c r="C62" s="671"/>
      <c r="D62" s="553">
        <v>374</v>
      </c>
      <c r="E62" s="525">
        <v>374</v>
      </c>
      <c r="F62" s="530">
        <v>374</v>
      </c>
      <c r="G62" s="497">
        <v>374</v>
      </c>
      <c r="H62" s="496">
        <v>374</v>
      </c>
      <c r="I62" s="497">
        <v>374</v>
      </c>
      <c r="J62" s="497">
        <v>374</v>
      </c>
      <c r="K62" s="536">
        <v>374</v>
      </c>
      <c r="L62" s="537">
        <v>374</v>
      </c>
      <c r="M62" s="538">
        <v>374</v>
      </c>
      <c r="N62" s="538">
        <v>374</v>
      </c>
      <c r="O62" s="538">
        <v>374</v>
      </c>
      <c r="P62" s="515">
        <v>374</v>
      </c>
      <c r="Q62" s="536">
        <v>374</v>
      </c>
      <c r="R62" s="573">
        <f t="shared" si="0"/>
        <v>0</v>
      </c>
      <c r="S62" s="256">
        <f t="shared" si="1"/>
        <v>0</v>
      </c>
      <c r="U62" s="43"/>
      <c r="V62" s="43"/>
      <c r="W62" s="43"/>
      <c r="X62" s="328"/>
      <c r="Y62" s="328"/>
      <c r="Z62" s="328"/>
      <c r="AA62" s="428"/>
      <c r="AB62" s="328"/>
      <c r="AC62" s="328"/>
      <c r="AD62" s="328"/>
      <c r="AE62" s="328"/>
      <c r="AF62" s="328"/>
      <c r="AG62" s="328"/>
    </row>
    <row r="63" spans="1:33" ht="15.75" customHeight="1" thickBot="1">
      <c r="A63" s="16"/>
      <c r="B63" s="678" t="s">
        <v>322</v>
      </c>
      <c r="C63" s="679"/>
      <c r="D63" s="102">
        <f>SUM(D60:D62)</f>
        <v>1491</v>
      </c>
      <c r="E63" s="539">
        <f t="shared" ref="E63:Q63" si="8">SUM(E60:E62)</f>
        <v>1593</v>
      </c>
      <c r="F63" s="539">
        <f t="shared" si="8"/>
        <v>1600</v>
      </c>
      <c r="G63" s="100">
        <f t="shared" si="8"/>
        <v>1584</v>
      </c>
      <c r="H63" s="100">
        <f t="shared" si="8"/>
        <v>1570</v>
      </c>
      <c r="I63" s="100">
        <f t="shared" si="8"/>
        <v>1627</v>
      </c>
      <c r="J63" s="101">
        <f t="shared" si="8"/>
        <v>1886</v>
      </c>
      <c r="K63" s="104">
        <f t="shared" si="8"/>
        <v>2288.5</v>
      </c>
      <c r="L63" s="540">
        <f t="shared" si="8"/>
        <v>2288.5</v>
      </c>
      <c r="M63" s="100">
        <f t="shared" si="8"/>
        <v>2288.5</v>
      </c>
      <c r="N63" s="100">
        <f t="shared" si="8"/>
        <v>2288.5</v>
      </c>
      <c r="O63" s="100">
        <f t="shared" si="8"/>
        <v>2288.5</v>
      </c>
      <c r="P63" s="100">
        <f t="shared" si="8"/>
        <v>2288.5</v>
      </c>
      <c r="Q63" s="103">
        <f t="shared" si="8"/>
        <v>2289</v>
      </c>
      <c r="R63" s="576">
        <f t="shared" si="0"/>
        <v>6.3</v>
      </c>
      <c r="S63" s="541">
        <f t="shared" si="1"/>
        <v>0</v>
      </c>
      <c r="U63" s="43"/>
      <c r="V63" s="43"/>
      <c r="W63" s="43"/>
      <c r="X63" s="43"/>
      <c r="Y63" s="43"/>
      <c r="Z63" s="43"/>
      <c r="AA63" s="41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34445.1</v>
      </c>
      <c r="E64" s="543">
        <f t="shared" ref="E64:Q64" si="9">E48+E49+E51+E53+E55+E56+E59+E63</f>
        <v>35706.073333333334</v>
      </c>
      <c r="F64" s="543">
        <f t="shared" si="9"/>
        <v>35450.792307692303</v>
      </c>
      <c r="G64" s="544">
        <f t="shared" si="9"/>
        <v>37307.244615384618</v>
      </c>
      <c r="H64" s="544">
        <f t="shared" si="9"/>
        <v>38378.51568753305</v>
      </c>
      <c r="I64" s="544">
        <f t="shared" si="9"/>
        <v>39783.339999999997</v>
      </c>
      <c r="J64" s="545">
        <f t="shared" si="9"/>
        <v>41300.466752</v>
      </c>
      <c r="K64" s="546">
        <f t="shared" si="9"/>
        <v>42153.461443</v>
      </c>
      <c r="L64" s="547">
        <f t="shared" si="9"/>
        <v>44096.212846000002</v>
      </c>
      <c r="M64" s="544">
        <f t="shared" si="9"/>
        <v>46275.658409000003</v>
      </c>
      <c r="N64" s="544">
        <f t="shared" si="9"/>
        <v>48951.527372999997</v>
      </c>
      <c r="O64" s="544">
        <f t="shared" si="9"/>
        <v>50993.851481999998</v>
      </c>
      <c r="P64" s="544">
        <f t="shared" si="9"/>
        <v>53369.445144999998</v>
      </c>
      <c r="Q64" s="577">
        <f t="shared" si="9"/>
        <v>55332.568235999999</v>
      </c>
      <c r="R64" s="579">
        <f t="shared" si="0"/>
        <v>2.9</v>
      </c>
      <c r="S64" s="558">
        <f t="shared" si="1"/>
        <v>4.5999999999999996</v>
      </c>
    </row>
    <row r="65" spans="1:33" ht="15" customHeight="1">
      <c r="A65" s="616" t="s">
        <v>327</v>
      </c>
      <c r="B65" s="666" t="s">
        <v>433</v>
      </c>
      <c r="C65" s="667"/>
      <c r="D65" s="487">
        <v>892</v>
      </c>
      <c r="E65" s="488">
        <v>940</v>
      </c>
      <c r="F65" s="489">
        <v>918</v>
      </c>
      <c r="G65" s="559">
        <v>883</v>
      </c>
      <c r="H65" s="560">
        <v>990</v>
      </c>
      <c r="I65" s="559">
        <v>1016</v>
      </c>
      <c r="J65" s="559">
        <v>1072</v>
      </c>
      <c r="K65" s="561">
        <v>1030</v>
      </c>
      <c r="L65" s="562">
        <v>1050</v>
      </c>
      <c r="M65" s="560">
        <v>1070</v>
      </c>
      <c r="N65" s="560">
        <v>1100</v>
      </c>
      <c r="O65" s="560">
        <v>1120</v>
      </c>
      <c r="P65" s="563">
        <v>1140</v>
      </c>
      <c r="Q65" s="561">
        <v>1160</v>
      </c>
      <c r="R65" s="573">
        <f t="shared" si="0"/>
        <v>2.1</v>
      </c>
      <c r="S65" s="256">
        <f t="shared" si="1"/>
        <v>2</v>
      </c>
      <c r="U65" s="43"/>
      <c r="V65" s="43"/>
      <c r="W65" s="43"/>
      <c r="X65" s="43"/>
      <c r="Y65" s="43"/>
      <c r="Z65" s="24"/>
      <c r="AA65" s="429"/>
      <c r="AB65" s="24"/>
      <c r="AC65" s="24"/>
      <c r="AD65" s="24"/>
      <c r="AE65" s="24"/>
      <c r="AF65" s="24"/>
      <c r="AG65" s="24"/>
    </row>
    <row r="66" spans="1:33" ht="15" customHeight="1">
      <c r="A66" s="614" t="s">
        <v>328</v>
      </c>
      <c r="B66" s="668" t="s">
        <v>434</v>
      </c>
      <c r="C66" s="669"/>
      <c r="D66" s="529">
        <v>337</v>
      </c>
      <c r="E66" s="525">
        <v>316</v>
      </c>
      <c r="F66" s="530">
        <v>290</v>
      </c>
      <c r="G66" s="497">
        <v>308</v>
      </c>
      <c r="H66" s="496">
        <v>300</v>
      </c>
      <c r="I66" s="497">
        <v>332</v>
      </c>
      <c r="J66" s="551">
        <v>331</v>
      </c>
      <c r="K66" s="498">
        <v>315</v>
      </c>
      <c r="L66" s="499">
        <v>320</v>
      </c>
      <c r="M66" s="500">
        <v>320</v>
      </c>
      <c r="N66" s="500">
        <v>340</v>
      </c>
      <c r="O66" s="500">
        <v>340</v>
      </c>
      <c r="P66" s="501">
        <v>340</v>
      </c>
      <c r="Q66" s="498">
        <v>340</v>
      </c>
      <c r="R66" s="573">
        <f t="shared" si="0"/>
        <v>-1</v>
      </c>
      <c r="S66" s="256">
        <f t="shared" si="1"/>
        <v>1.2</v>
      </c>
      <c r="U66" s="43"/>
      <c r="V66" s="324"/>
      <c r="W66" s="43"/>
      <c r="X66" s="43"/>
      <c r="Y66" s="43"/>
      <c r="Z66" s="24"/>
      <c r="AA66" s="429"/>
      <c r="AB66" s="24"/>
      <c r="AC66" s="24"/>
      <c r="AD66" s="24"/>
      <c r="AE66" s="24"/>
      <c r="AF66" s="24"/>
      <c r="AG66" s="24"/>
    </row>
    <row r="67" spans="1:33" ht="15" customHeight="1">
      <c r="A67" s="16"/>
      <c r="B67" s="668" t="s">
        <v>435</v>
      </c>
      <c r="C67" s="669"/>
      <c r="D67" s="503">
        <v>30</v>
      </c>
      <c r="E67" s="496">
        <v>32.28133333333335</v>
      </c>
      <c r="F67" s="497">
        <v>29.700990666666684</v>
      </c>
      <c r="G67" s="497">
        <v>30.829628312000018</v>
      </c>
      <c r="H67" s="496">
        <v>31.723687533048018</v>
      </c>
      <c r="I67" s="497">
        <v>32.358161283708981</v>
      </c>
      <c r="J67" s="497">
        <v>33</v>
      </c>
      <c r="K67" s="502">
        <v>34</v>
      </c>
      <c r="L67" s="503">
        <v>35</v>
      </c>
      <c r="M67" s="496">
        <v>36</v>
      </c>
      <c r="N67" s="496">
        <v>37</v>
      </c>
      <c r="O67" s="496">
        <v>38</v>
      </c>
      <c r="P67" s="497">
        <v>39</v>
      </c>
      <c r="Q67" s="502">
        <v>40</v>
      </c>
      <c r="R67" s="573">
        <f t="shared" si="0"/>
        <v>1.8</v>
      </c>
      <c r="S67" s="256">
        <f t="shared" si="1"/>
        <v>2.7</v>
      </c>
      <c r="U67" s="280"/>
      <c r="V67" s="318"/>
      <c r="W67" s="318"/>
      <c r="X67" s="318"/>
      <c r="Y67" s="318"/>
      <c r="Z67" s="318"/>
      <c r="AA67" s="422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8275</v>
      </c>
      <c r="E68" s="496">
        <v>8634</v>
      </c>
      <c r="F68" s="497">
        <v>9039</v>
      </c>
      <c r="G68" s="497">
        <v>9955</v>
      </c>
      <c r="H68" s="496">
        <v>10277</v>
      </c>
      <c r="I68" s="497">
        <v>10906</v>
      </c>
      <c r="J68" s="497">
        <v>11455</v>
      </c>
      <c r="K68" s="502">
        <v>12653</v>
      </c>
      <c r="L68" s="503">
        <v>13492</v>
      </c>
      <c r="M68" s="496">
        <v>14167</v>
      </c>
      <c r="N68" s="496">
        <v>14832</v>
      </c>
      <c r="O68" s="496">
        <v>15485</v>
      </c>
      <c r="P68" s="279">
        <v>16135</v>
      </c>
      <c r="Q68" s="502">
        <v>16797</v>
      </c>
      <c r="R68" s="573">
        <f t="shared" si="0"/>
        <v>6.3</v>
      </c>
      <c r="S68" s="256">
        <f t="shared" si="1"/>
        <v>4.5</v>
      </c>
      <c r="U68" s="43"/>
      <c r="V68" s="43"/>
      <c r="W68" s="43"/>
      <c r="X68" s="43"/>
      <c r="Y68" s="43"/>
      <c r="Z68" s="43"/>
      <c r="AA68" s="41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613</v>
      </c>
      <c r="E69" s="496">
        <v>723</v>
      </c>
      <c r="F69" s="497">
        <v>720</v>
      </c>
      <c r="G69" s="497">
        <v>760.19200000000001</v>
      </c>
      <c r="H69" s="496">
        <v>827.24399999999991</v>
      </c>
      <c r="I69" s="497">
        <v>792.28300000000013</v>
      </c>
      <c r="J69" s="497">
        <v>828</v>
      </c>
      <c r="K69" s="502">
        <v>806.20899999999983</v>
      </c>
      <c r="L69" s="503">
        <v>843.29461399999991</v>
      </c>
      <c r="M69" s="496">
        <v>875.84578610039989</v>
      </c>
      <c r="N69" s="496">
        <v>908.16449560750459</v>
      </c>
      <c r="O69" s="496">
        <v>940.40433520157103</v>
      </c>
      <c r="P69" s="279">
        <v>973.31848693362599</v>
      </c>
      <c r="Q69" s="502">
        <v>1007.9686250684631</v>
      </c>
      <c r="R69" s="573">
        <f t="shared" si="0"/>
        <v>4</v>
      </c>
      <c r="S69" s="256">
        <f t="shared" si="1"/>
        <v>3.6</v>
      </c>
      <c r="U69" s="280"/>
      <c r="V69" s="280"/>
      <c r="W69" s="280"/>
      <c r="X69" s="280"/>
      <c r="Y69" s="280"/>
      <c r="Z69" s="280"/>
      <c r="AA69" s="423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211.01043482809192</v>
      </c>
      <c r="E70" s="496">
        <v>253.21252179371029</v>
      </c>
      <c r="F70" s="497">
        <v>268.91169814492036</v>
      </c>
      <c r="G70" s="497">
        <v>329</v>
      </c>
      <c r="H70" s="496">
        <v>338</v>
      </c>
      <c r="I70" s="497">
        <v>349</v>
      </c>
      <c r="J70" s="497">
        <v>359</v>
      </c>
      <c r="K70" s="502">
        <v>430</v>
      </c>
      <c r="L70" s="503">
        <v>390</v>
      </c>
      <c r="M70" s="496">
        <v>410</v>
      </c>
      <c r="N70" s="496">
        <v>430</v>
      </c>
      <c r="O70" s="496">
        <v>450</v>
      </c>
      <c r="P70" s="279">
        <v>470</v>
      </c>
      <c r="Q70" s="502">
        <v>490</v>
      </c>
      <c r="R70" s="573">
        <f t="shared" si="0"/>
        <v>10.7</v>
      </c>
      <c r="S70" s="256">
        <f t="shared" si="1"/>
        <v>4.7</v>
      </c>
      <c r="U70" s="280"/>
      <c r="V70" s="280"/>
      <c r="W70" s="280"/>
      <c r="X70" s="280"/>
      <c r="Y70" s="280"/>
      <c r="Z70" s="280"/>
      <c r="AA70" s="423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1469</v>
      </c>
      <c r="E71" s="49">
        <v>1552</v>
      </c>
      <c r="F71" s="45">
        <v>1692</v>
      </c>
      <c r="G71" s="49">
        <v>1781</v>
      </c>
      <c r="H71" s="49">
        <v>1850</v>
      </c>
      <c r="I71" s="45">
        <v>1873</v>
      </c>
      <c r="J71" s="49">
        <v>2210</v>
      </c>
      <c r="K71" s="50">
        <v>2200</v>
      </c>
      <c r="L71" s="140">
        <v>2300</v>
      </c>
      <c r="M71" s="45">
        <v>2400</v>
      </c>
      <c r="N71" s="45">
        <v>2500</v>
      </c>
      <c r="O71" s="45">
        <v>2600</v>
      </c>
      <c r="P71" s="45">
        <v>2700</v>
      </c>
      <c r="Q71" s="50">
        <v>2700</v>
      </c>
      <c r="R71" s="573">
        <f t="shared" si="0"/>
        <v>5.9</v>
      </c>
      <c r="S71" s="256">
        <f t="shared" si="1"/>
        <v>3.3</v>
      </c>
      <c r="U71" s="43"/>
      <c r="V71" s="43"/>
      <c r="W71" s="43"/>
      <c r="X71" s="43"/>
      <c r="Y71" s="43"/>
      <c r="Z71" s="43"/>
      <c r="AA71" s="413"/>
      <c r="AB71" s="43"/>
      <c r="AC71" s="43"/>
      <c r="AD71" s="43"/>
      <c r="AE71" s="43"/>
      <c r="AF71" s="43"/>
      <c r="AG71" s="43"/>
    </row>
    <row r="72" spans="1:33" ht="14.2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43"/>
      <c r="X72" s="43"/>
      <c r="Y72" s="43"/>
      <c r="Z72" s="43"/>
      <c r="AA72" s="41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107</v>
      </c>
      <c r="E73" s="49">
        <v>111</v>
      </c>
      <c r="F73" s="45">
        <v>114</v>
      </c>
      <c r="G73" s="49">
        <v>97</v>
      </c>
      <c r="H73" s="49">
        <v>118</v>
      </c>
      <c r="I73" s="45">
        <v>125.08</v>
      </c>
      <c r="J73" s="49">
        <v>132.5</v>
      </c>
      <c r="K73" s="50">
        <v>141</v>
      </c>
      <c r="L73" s="140">
        <v>149</v>
      </c>
      <c r="M73" s="45">
        <v>158</v>
      </c>
      <c r="N73" s="45">
        <v>167</v>
      </c>
      <c r="O73" s="45">
        <v>177</v>
      </c>
      <c r="P73" s="45">
        <v>188</v>
      </c>
      <c r="Q73" s="50">
        <v>200</v>
      </c>
      <c r="R73" s="573">
        <f t="shared" si="10"/>
        <v>4</v>
      </c>
      <c r="S73" s="256">
        <f t="shared" si="11"/>
        <v>6.1</v>
      </c>
      <c r="U73" s="280"/>
      <c r="V73" s="280"/>
      <c r="W73" s="280"/>
      <c r="X73" s="43"/>
      <c r="Y73" s="43"/>
      <c r="Z73" s="43"/>
      <c r="AA73" s="41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440</v>
      </c>
      <c r="E74" s="496">
        <v>529</v>
      </c>
      <c r="F74" s="497">
        <v>493</v>
      </c>
      <c r="G74" s="497">
        <v>527.48699999999997</v>
      </c>
      <c r="H74" s="496">
        <v>613.21499999999992</v>
      </c>
      <c r="I74" s="497">
        <v>595.76400000000001</v>
      </c>
      <c r="J74" s="497">
        <v>615.82199999999989</v>
      </c>
      <c r="K74" s="502">
        <v>624.29199999999992</v>
      </c>
      <c r="L74" s="503">
        <v>653.63372399999992</v>
      </c>
      <c r="M74" s="496">
        <v>683.70087530399996</v>
      </c>
      <c r="N74" s="496">
        <v>716.51851731859199</v>
      </c>
      <c r="O74" s="496">
        <v>751.19801355681182</v>
      </c>
      <c r="P74" s="279">
        <v>787.55599741296146</v>
      </c>
      <c r="Q74" s="502">
        <v>825.67370768774879</v>
      </c>
      <c r="R74" s="573">
        <f t="shared" si="10"/>
        <v>5.0999999999999996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423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214</v>
      </c>
      <c r="E75" s="496">
        <v>229</v>
      </c>
      <c r="F75" s="497">
        <v>244</v>
      </c>
      <c r="G75" s="497">
        <v>261</v>
      </c>
      <c r="H75" s="496">
        <v>278</v>
      </c>
      <c r="I75" s="497">
        <v>297</v>
      </c>
      <c r="J75" s="497">
        <v>315</v>
      </c>
      <c r="K75" s="502">
        <v>1097</v>
      </c>
      <c r="L75" s="503">
        <v>1280</v>
      </c>
      <c r="M75" s="496">
        <v>1356</v>
      </c>
      <c r="N75" s="496">
        <v>1437</v>
      </c>
      <c r="O75" s="496">
        <v>1523</v>
      </c>
      <c r="P75" s="279">
        <v>1614</v>
      </c>
      <c r="Q75" s="502">
        <v>1710</v>
      </c>
      <c r="R75" s="573">
        <f t="shared" si="10"/>
        <v>26.3</v>
      </c>
      <c r="S75" s="256">
        <f t="shared" si="11"/>
        <v>6</v>
      </c>
      <c r="U75" s="280"/>
      <c r="V75" s="280"/>
      <c r="W75" s="280"/>
      <c r="X75" s="280"/>
      <c r="Y75" s="280"/>
      <c r="Z75" s="280"/>
      <c r="AA75" s="423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815.3</v>
      </c>
      <c r="E76" s="40">
        <v>861.6</v>
      </c>
      <c r="F76" s="40">
        <v>864.1</v>
      </c>
      <c r="G76" s="40">
        <v>878.8</v>
      </c>
      <c r="H76" s="505">
        <v>848.2</v>
      </c>
      <c r="I76" s="505">
        <v>897.3</v>
      </c>
      <c r="J76" s="506">
        <v>845.5</v>
      </c>
      <c r="K76" s="507">
        <v>950.8</v>
      </c>
      <c r="L76" s="508">
        <v>932.9</v>
      </c>
      <c r="M76" s="505">
        <v>914.6</v>
      </c>
      <c r="N76" s="505">
        <v>915.4</v>
      </c>
      <c r="O76" s="505">
        <v>916</v>
      </c>
      <c r="P76" s="505">
        <v>916.9</v>
      </c>
      <c r="Q76" s="509">
        <v>917.8</v>
      </c>
      <c r="R76" s="573">
        <f t="shared" si="10"/>
        <v>2.2000000000000002</v>
      </c>
      <c r="S76" s="256">
        <f t="shared" si="11"/>
        <v>-0.3</v>
      </c>
      <c r="U76" s="43"/>
      <c r="V76" s="43"/>
      <c r="W76" s="43"/>
      <c r="X76" s="43"/>
      <c r="Y76" s="43"/>
      <c r="Z76" s="43"/>
      <c r="AA76" s="41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13403.31043482809</v>
      </c>
      <c r="E77" s="93">
        <f t="shared" ref="E77:Q77" si="12">SUM(E65:E76)</f>
        <v>14181.093855127043</v>
      </c>
      <c r="F77" s="93">
        <f t="shared" si="12"/>
        <v>14672.712688811587</v>
      </c>
      <c r="G77" s="93">
        <f t="shared" si="12"/>
        <v>15811.308628311997</v>
      </c>
      <c r="H77" s="93">
        <f t="shared" si="12"/>
        <v>16471.382687533049</v>
      </c>
      <c r="I77" s="93">
        <f t="shared" si="12"/>
        <v>17215.785161283708</v>
      </c>
      <c r="J77" s="93">
        <f t="shared" si="12"/>
        <v>18196.822</v>
      </c>
      <c r="K77" s="96">
        <f t="shared" si="12"/>
        <v>20281.300999999999</v>
      </c>
      <c r="L77" s="95">
        <f t="shared" si="12"/>
        <v>21445.828337999999</v>
      </c>
      <c r="M77" s="93">
        <f t="shared" si="12"/>
        <v>22391.146661404397</v>
      </c>
      <c r="N77" s="93">
        <f t="shared" si="12"/>
        <v>23383.083012926098</v>
      </c>
      <c r="O77" s="93">
        <f t="shared" si="12"/>
        <v>24340.602348758384</v>
      </c>
      <c r="P77" s="93">
        <f t="shared" si="12"/>
        <v>25303.774484346588</v>
      </c>
      <c r="Q77" s="96">
        <f t="shared" si="12"/>
        <v>26188.442332756211</v>
      </c>
      <c r="R77" s="574">
        <f t="shared" si="10"/>
        <v>6.1</v>
      </c>
      <c r="S77" s="510">
        <f t="shared" si="11"/>
        <v>4.0999999999999996</v>
      </c>
      <c r="U77" s="43"/>
      <c r="V77" s="43"/>
      <c r="W77" s="43"/>
      <c r="X77" s="43"/>
      <c r="Y77" s="43"/>
      <c r="Z77" s="43"/>
      <c r="AA77" s="41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328</v>
      </c>
      <c r="E78" s="512">
        <v>288</v>
      </c>
      <c r="F78" s="512">
        <v>340</v>
      </c>
      <c r="G78" s="512">
        <v>395</v>
      </c>
      <c r="H78" s="512">
        <v>370</v>
      </c>
      <c r="I78" s="512">
        <v>348</v>
      </c>
      <c r="J78" s="513">
        <v>344</v>
      </c>
      <c r="K78" s="514">
        <v>365</v>
      </c>
      <c r="L78" s="511">
        <v>370</v>
      </c>
      <c r="M78" s="512">
        <v>370</v>
      </c>
      <c r="N78" s="512">
        <v>372</v>
      </c>
      <c r="O78" s="512">
        <v>372</v>
      </c>
      <c r="P78" s="513">
        <v>374</v>
      </c>
      <c r="Q78" s="514">
        <v>374</v>
      </c>
      <c r="R78" s="574">
        <f t="shared" si="10"/>
        <v>1.5</v>
      </c>
      <c r="S78" s="510">
        <f t="shared" si="11"/>
        <v>0.2</v>
      </c>
      <c r="U78" s="280"/>
      <c r="V78" s="280"/>
      <c r="W78" s="43"/>
      <c r="X78" s="43"/>
      <c r="Y78" s="43"/>
      <c r="Z78" s="43"/>
      <c r="AA78" s="41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267</v>
      </c>
      <c r="E79" s="512">
        <v>288</v>
      </c>
      <c r="F79" s="512">
        <v>340</v>
      </c>
      <c r="G79" s="512">
        <v>395</v>
      </c>
      <c r="H79" s="512">
        <v>370</v>
      </c>
      <c r="I79" s="512">
        <v>348</v>
      </c>
      <c r="J79" s="513">
        <v>344</v>
      </c>
      <c r="K79" s="514">
        <v>365</v>
      </c>
      <c r="L79" s="511">
        <v>370</v>
      </c>
      <c r="M79" s="512">
        <v>370</v>
      </c>
      <c r="N79" s="512">
        <v>372</v>
      </c>
      <c r="O79" s="512">
        <v>372</v>
      </c>
      <c r="P79" s="513">
        <v>374</v>
      </c>
      <c r="Q79" s="514">
        <v>374</v>
      </c>
      <c r="R79" s="574">
        <f t="shared" si="10"/>
        <v>4.5999999999999996</v>
      </c>
      <c r="S79" s="510">
        <f t="shared" si="11"/>
        <v>0.2</v>
      </c>
      <c r="U79" s="280"/>
      <c r="V79" s="280"/>
      <c r="W79" s="43"/>
      <c r="X79" s="43"/>
      <c r="Y79" s="43"/>
      <c r="Z79" s="43"/>
      <c r="AA79" s="41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7166</v>
      </c>
      <c r="E80" s="538">
        <v>5690</v>
      </c>
      <c r="F80" s="538">
        <v>5362</v>
      </c>
      <c r="G80" s="538">
        <v>5453</v>
      </c>
      <c r="H80" s="538">
        <v>5586</v>
      </c>
      <c r="I80" s="538">
        <v>5775.26</v>
      </c>
      <c r="J80" s="515">
        <v>6045.5881950000003</v>
      </c>
      <c r="K80" s="536">
        <v>6125.4381700000004</v>
      </c>
      <c r="L80" s="537">
        <v>6225.820909</v>
      </c>
      <c r="M80" s="538">
        <v>6323.7109139999993</v>
      </c>
      <c r="N80" s="538">
        <v>6415.6235319999996</v>
      </c>
      <c r="O80" s="538">
        <v>6507.3034579999994</v>
      </c>
      <c r="P80" s="515">
        <v>6595.5227290000003</v>
      </c>
      <c r="Q80" s="536">
        <v>6683.080105</v>
      </c>
      <c r="R80" s="575">
        <f t="shared" si="10"/>
        <v>-2.2000000000000002</v>
      </c>
      <c r="S80" s="517">
        <f t="shared" si="11"/>
        <v>1.4</v>
      </c>
      <c r="U80" s="43"/>
      <c r="V80" s="43"/>
      <c r="W80" s="43"/>
      <c r="X80" s="43"/>
      <c r="Y80" s="43"/>
      <c r="Z80" s="43"/>
      <c r="AA80" s="41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5457</v>
      </c>
      <c r="E81" s="512">
        <v>4866</v>
      </c>
      <c r="F81" s="512">
        <v>4463</v>
      </c>
      <c r="G81" s="512">
        <v>4542</v>
      </c>
      <c r="H81" s="512">
        <v>4649</v>
      </c>
      <c r="I81" s="512">
        <v>4798</v>
      </c>
      <c r="J81" s="513">
        <v>5037</v>
      </c>
      <c r="K81" s="514">
        <v>5088.1400000000003</v>
      </c>
      <c r="L81" s="511">
        <v>5157.67004</v>
      </c>
      <c r="M81" s="512">
        <v>5224.9231099999997</v>
      </c>
      <c r="N81" s="512">
        <v>5289.798769</v>
      </c>
      <c r="O81" s="512">
        <v>5354.5879379999997</v>
      </c>
      <c r="P81" s="513">
        <v>5415.5215310000003</v>
      </c>
      <c r="Q81" s="514">
        <v>5475.337614</v>
      </c>
      <c r="R81" s="574">
        <f t="shared" si="10"/>
        <v>-1</v>
      </c>
      <c r="S81" s="510">
        <f t="shared" si="11"/>
        <v>1.2</v>
      </c>
      <c r="U81" s="43"/>
      <c r="V81" s="43"/>
      <c r="W81" s="43"/>
      <c r="X81" s="43"/>
      <c r="Y81" s="43"/>
      <c r="Z81" s="43"/>
      <c r="AA81" s="41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1683</v>
      </c>
      <c r="E82" s="496">
        <v>2418</v>
      </c>
      <c r="F82" s="496">
        <v>2516</v>
      </c>
      <c r="G82" s="496">
        <v>2565</v>
      </c>
      <c r="H82" s="496">
        <v>2546</v>
      </c>
      <c r="I82" s="496">
        <v>2595</v>
      </c>
      <c r="J82" s="497">
        <v>2689</v>
      </c>
      <c r="K82" s="502">
        <v>2793</v>
      </c>
      <c r="L82" s="503">
        <v>2915</v>
      </c>
      <c r="M82" s="496">
        <v>3039</v>
      </c>
      <c r="N82" s="496">
        <v>3167</v>
      </c>
      <c r="O82" s="496">
        <v>3297</v>
      </c>
      <c r="P82" s="497">
        <v>3383</v>
      </c>
      <c r="Q82" s="502">
        <v>3486</v>
      </c>
      <c r="R82" s="573">
        <f t="shared" si="10"/>
        <v>7.5</v>
      </c>
      <c r="S82" s="256">
        <f t="shared" si="11"/>
        <v>3.6</v>
      </c>
      <c r="U82" s="280"/>
      <c r="V82" s="280"/>
      <c r="W82" s="280"/>
      <c r="X82" s="280"/>
      <c r="Y82" s="280"/>
      <c r="Z82" s="280"/>
      <c r="AA82" s="423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493</v>
      </c>
      <c r="E83" s="518">
        <v>493</v>
      </c>
      <c r="F83" s="518">
        <v>515</v>
      </c>
      <c r="G83" s="518">
        <v>520</v>
      </c>
      <c r="H83" s="518">
        <v>532</v>
      </c>
      <c r="I83" s="518">
        <v>545</v>
      </c>
      <c r="J83" s="519">
        <v>555</v>
      </c>
      <c r="K83" s="514">
        <v>563</v>
      </c>
      <c r="L83" s="511">
        <v>582</v>
      </c>
      <c r="M83" s="518">
        <v>600</v>
      </c>
      <c r="N83" s="518">
        <v>619</v>
      </c>
      <c r="O83" s="518">
        <v>638</v>
      </c>
      <c r="P83" s="519">
        <v>656</v>
      </c>
      <c r="Q83" s="514">
        <v>688</v>
      </c>
      <c r="R83" s="574">
        <f t="shared" si="10"/>
        <v>1.9</v>
      </c>
      <c r="S83" s="510">
        <f t="shared" si="11"/>
        <v>3.4</v>
      </c>
      <c r="U83" s="280"/>
      <c r="V83" s="280"/>
      <c r="W83" s="280"/>
      <c r="X83" s="280"/>
      <c r="Y83" s="280"/>
      <c r="Z83" s="280"/>
      <c r="AA83" s="423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1116</v>
      </c>
      <c r="E84" s="518">
        <v>1199</v>
      </c>
      <c r="F84" s="518">
        <v>1199</v>
      </c>
      <c r="G84" s="518">
        <v>1300.915</v>
      </c>
      <c r="H84" s="518">
        <v>1455</v>
      </c>
      <c r="I84" s="518">
        <v>1779</v>
      </c>
      <c r="J84" s="519">
        <v>1826</v>
      </c>
      <c r="K84" s="514">
        <v>1942</v>
      </c>
      <c r="L84" s="511">
        <v>2068</v>
      </c>
      <c r="M84" s="518">
        <v>2200</v>
      </c>
      <c r="N84" s="518">
        <v>2338</v>
      </c>
      <c r="O84" s="518">
        <v>2480</v>
      </c>
      <c r="P84" s="519">
        <v>2630</v>
      </c>
      <c r="Q84" s="514">
        <v>2790</v>
      </c>
      <c r="R84" s="574">
        <f t="shared" si="10"/>
        <v>8.1999999999999993</v>
      </c>
      <c r="S84" s="510">
        <f t="shared" si="11"/>
        <v>6.2</v>
      </c>
      <c r="U84" s="280"/>
      <c r="V84" s="280"/>
      <c r="W84" s="280"/>
      <c r="X84" s="280"/>
      <c r="Y84" s="280"/>
      <c r="Z84" s="280"/>
      <c r="AA84" s="423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1242</v>
      </c>
      <c r="E85" s="521">
        <v>1634</v>
      </c>
      <c r="F85" s="521">
        <v>1282.4000000000001</v>
      </c>
      <c r="G85" s="521">
        <v>1413</v>
      </c>
      <c r="H85" s="521">
        <v>1310</v>
      </c>
      <c r="I85" s="521">
        <v>1221</v>
      </c>
      <c r="J85" s="522">
        <v>1734.6</v>
      </c>
      <c r="K85" s="523">
        <v>1529</v>
      </c>
      <c r="L85" s="520">
        <v>1553.4639999999999</v>
      </c>
      <c r="M85" s="521">
        <v>1700</v>
      </c>
      <c r="N85" s="521">
        <v>1800</v>
      </c>
      <c r="O85" s="521">
        <v>1900</v>
      </c>
      <c r="P85" s="522">
        <v>2050</v>
      </c>
      <c r="Q85" s="523">
        <v>2200</v>
      </c>
      <c r="R85" s="574">
        <f t="shared" si="10"/>
        <v>3</v>
      </c>
      <c r="S85" s="510">
        <f t="shared" si="11"/>
        <v>7.2</v>
      </c>
      <c r="U85" s="280"/>
      <c r="V85" s="280"/>
      <c r="W85" s="280"/>
      <c r="X85" s="280"/>
      <c r="Y85" s="280"/>
      <c r="Z85" s="325"/>
      <c r="AA85" s="424"/>
      <c r="AB85" s="325"/>
      <c r="AC85" s="325"/>
      <c r="AD85" s="325"/>
      <c r="AE85" s="325"/>
      <c r="AF85" s="325"/>
      <c r="AG85" s="325"/>
    </row>
    <row r="86" spans="1:33" ht="15" customHeight="1">
      <c r="A86" s="16"/>
      <c r="B86" s="672" t="s">
        <v>316</v>
      </c>
      <c r="C86" s="673"/>
      <c r="D86" s="529">
        <v>5864</v>
      </c>
      <c r="E86" s="525">
        <v>5980</v>
      </c>
      <c r="F86" s="530">
        <v>5990</v>
      </c>
      <c r="G86" s="530">
        <v>6051</v>
      </c>
      <c r="H86" s="525">
        <v>6112</v>
      </c>
      <c r="I86" s="530">
        <v>6260</v>
      </c>
      <c r="J86" s="530">
        <v>6359</v>
      </c>
      <c r="K86" s="564">
        <v>6505</v>
      </c>
      <c r="L86" s="524">
        <v>6693</v>
      </c>
      <c r="M86" s="525">
        <v>6886</v>
      </c>
      <c r="N86" s="525">
        <v>7011</v>
      </c>
      <c r="O86" s="525">
        <v>7132</v>
      </c>
      <c r="P86" s="530">
        <v>7238</v>
      </c>
      <c r="Q86" s="564">
        <v>7338</v>
      </c>
      <c r="R86" s="573">
        <f t="shared" si="10"/>
        <v>1.5</v>
      </c>
      <c r="S86" s="256">
        <f t="shared" si="11"/>
        <v>1.9</v>
      </c>
      <c r="U86" s="326"/>
      <c r="V86" s="326"/>
      <c r="W86" s="326"/>
      <c r="X86" s="281"/>
      <c r="Y86" s="281"/>
      <c r="Z86" s="281"/>
      <c r="AA86" s="420"/>
      <c r="AB86" s="281"/>
      <c r="AC86" s="281"/>
      <c r="AD86" s="327"/>
      <c r="AE86" s="327"/>
      <c r="AF86" s="327"/>
      <c r="AG86" s="327"/>
    </row>
    <row r="87" spans="1:33" ht="15" customHeight="1">
      <c r="A87" s="16"/>
      <c r="B87" s="670" t="s">
        <v>317</v>
      </c>
      <c r="C87" s="671"/>
      <c r="D87" s="553">
        <v>400</v>
      </c>
      <c r="E87" s="525">
        <v>408</v>
      </c>
      <c r="F87" s="530">
        <v>416</v>
      </c>
      <c r="G87" s="530">
        <v>424</v>
      </c>
      <c r="H87" s="525">
        <v>435</v>
      </c>
      <c r="I87" s="530">
        <v>440</v>
      </c>
      <c r="J87" s="530">
        <v>445</v>
      </c>
      <c r="K87" s="564">
        <v>458</v>
      </c>
      <c r="L87" s="524">
        <v>467</v>
      </c>
      <c r="M87" s="525">
        <v>477</v>
      </c>
      <c r="N87" s="525">
        <v>486</v>
      </c>
      <c r="O87" s="525">
        <v>495</v>
      </c>
      <c r="P87" s="530">
        <v>503</v>
      </c>
      <c r="Q87" s="564">
        <v>511</v>
      </c>
      <c r="R87" s="573">
        <f t="shared" si="10"/>
        <v>2</v>
      </c>
      <c r="S87" s="256">
        <f t="shared" si="11"/>
        <v>1.8</v>
      </c>
      <c r="U87" s="326"/>
      <c r="V87" s="326"/>
      <c r="W87" s="326"/>
      <c r="X87" s="281"/>
      <c r="Y87" s="281"/>
      <c r="Z87" s="281"/>
      <c r="AA87" s="420"/>
      <c r="AB87" s="281"/>
      <c r="AC87" s="281"/>
      <c r="AD87" s="327"/>
      <c r="AE87" s="327"/>
      <c r="AF87" s="327"/>
      <c r="AG87" s="327"/>
    </row>
    <row r="88" spans="1:33" ht="15.75" customHeight="1">
      <c r="A88" s="16"/>
      <c r="B88" s="674" t="s">
        <v>318</v>
      </c>
      <c r="C88" s="675"/>
      <c r="D88" s="95">
        <f>SUM(D86:D87)</f>
        <v>6264</v>
      </c>
      <c r="E88" s="92">
        <f t="shared" ref="E88:Q88" si="13">SUM(E86:E87)</f>
        <v>6388</v>
      </c>
      <c r="F88" s="92">
        <f t="shared" si="13"/>
        <v>6406</v>
      </c>
      <c r="G88" s="93">
        <f t="shared" si="13"/>
        <v>6475</v>
      </c>
      <c r="H88" s="93">
        <f t="shared" si="13"/>
        <v>6547</v>
      </c>
      <c r="I88" s="94">
        <f t="shared" si="13"/>
        <v>6700</v>
      </c>
      <c r="J88" s="94">
        <f t="shared" si="13"/>
        <v>6804</v>
      </c>
      <c r="K88" s="96">
        <f t="shared" si="13"/>
        <v>6963</v>
      </c>
      <c r="L88" s="95">
        <f t="shared" si="13"/>
        <v>7160</v>
      </c>
      <c r="M88" s="93">
        <f t="shared" si="13"/>
        <v>7363</v>
      </c>
      <c r="N88" s="93">
        <f t="shared" si="13"/>
        <v>7497</v>
      </c>
      <c r="O88" s="93">
        <f t="shared" si="13"/>
        <v>7627</v>
      </c>
      <c r="P88" s="93">
        <f t="shared" si="13"/>
        <v>7741</v>
      </c>
      <c r="Q88" s="96">
        <f t="shared" si="13"/>
        <v>7849</v>
      </c>
      <c r="R88" s="574">
        <f t="shared" si="10"/>
        <v>1.5</v>
      </c>
      <c r="S88" s="510">
        <f t="shared" si="11"/>
        <v>1.9</v>
      </c>
      <c r="U88" s="43"/>
      <c r="V88" s="43"/>
      <c r="W88" s="43"/>
      <c r="X88" s="43"/>
      <c r="Y88" s="43"/>
      <c r="Z88" s="43"/>
      <c r="AA88" s="41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781</v>
      </c>
      <c r="E89" s="525">
        <v>797</v>
      </c>
      <c r="F89" s="530">
        <v>813</v>
      </c>
      <c r="G89" s="530">
        <v>830</v>
      </c>
      <c r="H89" s="525">
        <v>849</v>
      </c>
      <c r="I89" s="530">
        <v>870</v>
      </c>
      <c r="J89" s="530">
        <v>888</v>
      </c>
      <c r="K89" s="564">
        <v>906</v>
      </c>
      <c r="L89" s="565">
        <v>926</v>
      </c>
      <c r="M89" s="566">
        <v>949</v>
      </c>
      <c r="N89" s="566">
        <v>975</v>
      </c>
      <c r="O89" s="566">
        <v>1003</v>
      </c>
      <c r="P89" s="566">
        <v>1033</v>
      </c>
      <c r="Q89" s="567">
        <v>1064</v>
      </c>
      <c r="R89" s="573">
        <f t="shared" si="10"/>
        <v>2.1</v>
      </c>
      <c r="S89" s="256">
        <f t="shared" si="11"/>
        <v>2.8</v>
      </c>
      <c r="U89" s="326"/>
      <c r="V89" s="326"/>
      <c r="W89" s="326"/>
      <c r="X89" s="281"/>
      <c r="Y89" s="281"/>
      <c r="Z89" s="281"/>
      <c r="AA89" s="420"/>
      <c r="AB89" s="281"/>
      <c r="AC89" s="281"/>
      <c r="AD89" s="327"/>
      <c r="AE89" s="327"/>
      <c r="AF89" s="327"/>
      <c r="AG89" s="327"/>
    </row>
    <row r="90" spans="1:33" ht="15" customHeight="1">
      <c r="A90" s="16"/>
      <c r="B90" s="668" t="s">
        <v>320</v>
      </c>
      <c r="C90" s="669"/>
      <c r="D90" s="553">
        <v>931</v>
      </c>
      <c r="E90" s="525">
        <v>950</v>
      </c>
      <c r="F90" s="530">
        <v>969</v>
      </c>
      <c r="G90" s="530">
        <v>989</v>
      </c>
      <c r="H90" s="525">
        <v>1009</v>
      </c>
      <c r="I90" s="530">
        <v>1010</v>
      </c>
      <c r="J90" s="530">
        <v>977</v>
      </c>
      <c r="K90" s="564">
        <v>988</v>
      </c>
      <c r="L90" s="524">
        <v>1002</v>
      </c>
      <c r="M90" s="525">
        <v>1026</v>
      </c>
      <c r="N90" s="525">
        <v>1049</v>
      </c>
      <c r="O90" s="525">
        <v>1072</v>
      </c>
      <c r="P90" s="530">
        <v>1096</v>
      </c>
      <c r="Q90" s="564">
        <v>1120</v>
      </c>
      <c r="R90" s="573">
        <f t="shared" si="10"/>
        <v>0.9</v>
      </c>
      <c r="S90" s="256">
        <f t="shared" si="11"/>
        <v>2.2999999999999998</v>
      </c>
      <c r="U90" s="326"/>
      <c r="V90" s="326"/>
      <c r="W90" s="326"/>
      <c r="X90" s="281"/>
      <c r="Y90" s="281"/>
      <c r="Z90" s="281"/>
      <c r="AA90" s="420"/>
      <c r="AB90" s="281"/>
      <c r="AC90" s="281"/>
      <c r="AD90" s="327"/>
      <c r="AE90" s="327"/>
      <c r="AF90" s="327"/>
      <c r="AG90" s="327"/>
    </row>
    <row r="91" spans="1:33" ht="15" customHeight="1">
      <c r="A91" s="16"/>
      <c r="B91" s="670" t="s">
        <v>321</v>
      </c>
      <c r="C91" s="671"/>
      <c r="D91" s="553">
        <v>895</v>
      </c>
      <c r="E91" s="525">
        <v>939</v>
      </c>
      <c r="F91" s="530">
        <v>1010</v>
      </c>
      <c r="G91" s="530">
        <v>1099</v>
      </c>
      <c r="H91" s="525">
        <v>1129</v>
      </c>
      <c r="I91" s="530">
        <v>1126</v>
      </c>
      <c r="J91" s="530">
        <v>1135</v>
      </c>
      <c r="K91" s="568">
        <v>1149</v>
      </c>
      <c r="L91" s="569">
        <v>1164</v>
      </c>
      <c r="M91" s="570">
        <v>1178</v>
      </c>
      <c r="N91" s="570">
        <v>1210</v>
      </c>
      <c r="O91" s="570">
        <v>1243</v>
      </c>
      <c r="P91" s="571">
        <v>1278</v>
      </c>
      <c r="Q91" s="568">
        <v>1314</v>
      </c>
      <c r="R91" s="573">
        <f t="shared" si="10"/>
        <v>3.6</v>
      </c>
      <c r="S91" s="256">
        <f t="shared" si="11"/>
        <v>2.5</v>
      </c>
      <c r="U91" s="43"/>
      <c r="V91" s="43"/>
      <c r="W91" s="43"/>
      <c r="X91" s="283"/>
      <c r="Y91" s="283"/>
      <c r="Z91" s="283"/>
      <c r="AA91" s="420"/>
      <c r="AB91" s="283"/>
      <c r="AC91" s="283"/>
      <c r="AD91" s="328"/>
      <c r="AE91" s="328"/>
      <c r="AF91" s="328"/>
      <c r="AG91" s="328"/>
    </row>
    <row r="92" spans="1:33" ht="15.75" customHeight="1" thickBot="1">
      <c r="A92" s="16"/>
      <c r="B92" s="678" t="s">
        <v>322</v>
      </c>
      <c r="C92" s="679"/>
      <c r="D92" s="102">
        <f>SUM(D89:D91)</f>
        <v>2607</v>
      </c>
      <c r="E92" s="539">
        <f t="shared" ref="E92:Q92" si="14">SUM(E89:E91)</f>
        <v>2686</v>
      </c>
      <c r="F92" s="539">
        <f t="shared" si="14"/>
        <v>2792</v>
      </c>
      <c r="G92" s="100">
        <f t="shared" si="14"/>
        <v>2918</v>
      </c>
      <c r="H92" s="100">
        <f t="shared" si="14"/>
        <v>2987</v>
      </c>
      <c r="I92" s="100">
        <f t="shared" si="14"/>
        <v>3006</v>
      </c>
      <c r="J92" s="101">
        <f t="shared" si="14"/>
        <v>3000</v>
      </c>
      <c r="K92" s="104">
        <f t="shared" si="14"/>
        <v>3043</v>
      </c>
      <c r="L92" s="540">
        <f t="shared" si="14"/>
        <v>3092</v>
      </c>
      <c r="M92" s="100">
        <f t="shared" si="14"/>
        <v>3153</v>
      </c>
      <c r="N92" s="100">
        <f t="shared" si="14"/>
        <v>3234</v>
      </c>
      <c r="O92" s="100">
        <f t="shared" si="14"/>
        <v>3318</v>
      </c>
      <c r="P92" s="100">
        <f t="shared" si="14"/>
        <v>3407</v>
      </c>
      <c r="Q92" s="103">
        <f t="shared" si="14"/>
        <v>3498</v>
      </c>
      <c r="R92" s="576">
        <f t="shared" si="10"/>
        <v>2.2000000000000002</v>
      </c>
      <c r="S92" s="541">
        <f t="shared" si="11"/>
        <v>2.5</v>
      </c>
      <c r="U92" s="43"/>
      <c r="V92" s="43"/>
      <c r="W92" s="43"/>
      <c r="X92" s="43"/>
      <c r="Y92" s="43"/>
      <c r="Z92" s="43"/>
      <c r="AA92" s="41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33809.31043482809</v>
      </c>
      <c r="E93" s="543">
        <f t="shared" ref="E93:Q93" si="15">E77+E78+E80+E82+E84+E85+E88+E92</f>
        <v>34484.093855127045</v>
      </c>
      <c r="F93" s="543">
        <f t="shared" si="15"/>
        <v>34570.11268881159</v>
      </c>
      <c r="G93" s="544">
        <f t="shared" si="15"/>
        <v>36331.223628312</v>
      </c>
      <c r="H93" s="544">
        <f t="shared" si="15"/>
        <v>37272.382687533049</v>
      </c>
      <c r="I93" s="544">
        <f t="shared" si="15"/>
        <v>38640.045161283706</v>
      </c>
      <c r="J93" s="545">
        <f t="shared" si="15"/>
        <v>40640.010194999995</v>
      </c>
      <c r="K93" s="546">
        <f t="shared" si="15"/>
        <v>43041.739170000001</v>
      </c>
      <c r="L93" s="547">
        <f t="shared" si="15"/>
        <v>44830.113247000001</v>
      </c>
      <c r="M93" s="544">
        <f t="shared" si="15"/>
        <v>46539.8575754044</v>
      </c>
      <c r="N93" s="544">
        <f t="shared" si="15"/>
        <v>48206.706544926099</v>
      </c>
      <c r="O93" s="544">
        <f t="shared" si="15"/>
        <v>49841.905806758383</v>
      </c>
      <c r="P93" s="544">
        <f t="shared" si="15"/>
        <v>51484.297213346588</v>
      </c>
      <c r="Q93" s="577">
        <f t="shared" si="15"/>
        <v>53068.522437756212</v>
      </c>
      <c r="R93" s="578">
        <f t="shared" si="10"/>
        <v>3.5</v>
      </c>
      <c r="S93" s="549">
        <f t="shared" si="11"/>
        <v>3.4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61"/>
      <c r="L98" s="261"/>
      <c r="M98" s="261"/>
      <c r="N98" s="261"/>
      <c r="O98" s="261"/>
      <c r="P98" s="261"/>
      <c r="Q98" s="261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7"/>
      <c r="L120" s="27"/>
      <c r="M120" s="27"/>
      <c r="N120" s="27"/>
      <c r="O120" s="27"/>
      <c r="P120" s="27"/>
      <c r="Q120" s="27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61"/>
      <c r="L127" s="261"/>
      <c r="M127" s="261"/>
      <c r="N127" s="261"/>
      <c r="O127" s="261"/>
      <c r="P127" s="261"/>
      <c r="Q127" s="261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4"/>
      <c r="N162" s="24"/>
      <c r="O162" s="24"/>
      <c r="P162" s="24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335" priority="5">
      <formula>CELL("protect",C97)=0</formula>
    </cfRule>
    <cfRule type="expression" dxfId="334" priority="6">
      <formula>CELL("protect",C97)=0</formula>
    </cfRule>
  </conditionalFormatting>
  <conditionalFormatting sqref="C95">
    <cfRule type="expression" dxfId="333" priority="3">
      <formula>CELL("protect",C95)=0</formula>
    </cfRule>
    <cfRule type="expression" dxfId="332" priority="4">
      <formula>CELL("protect",C95)=0</formula>
    </cfRule>
  </conditionalFormatting>
  <conditionalFormatting sqref="C97">
    <cfRule type="expression" dxfId="331" priority="1">
      <formula>CELL("protect",C97)=0</formula>
    </cfRule>
    <cfRule type="expression" dxfId="33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&amp;C143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AG182"/>
  <sheetViews>
    <sheetView showGridLines="0" view="pageBreakPreview" zoomScale="80" zoomScaleNormal="8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4" sqref="T4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16.6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3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f>'LDPE-A2'!D7+'HDPE-A3'!D7</f>
        <v>4300</v>
      </c>
      <c r="E7" s="488">
        <f>'LDPE-A2'!E7+'HDPE-A3'!E7</f>
        <v>4433</v>
      </c>
      <c r="F7" s="489">
        <f>'LDPE-A2'!F7+'HDPE-A3'!F7</f>
        <v>4473</v>
      </c>
      <c r="G7" s="489">
        <f>'LDPE-A2'!G7+'HDPE-A3'!G7</f>
        <v>4568</v>
      </c>
      <c r="H7" s="488">
        <f>'LDPE-A2'!H7+'HDPE-A3'!H7</f>
        <v>5028</v>
      </c>
      <c r="I7" s="489">
        <f>'LDPE-A2'!I7+'HDPE-A3'!I7</f>
        <v>5263</v>
      </c>
      <c r="J7" s="489">
        <f>'LDPE-A2'!J7+'HDPE-A3'!J7</f>
        <v>5263</v>
      </c>
      <c r="K7" s="490">
        <f>'LDPE-A2'!K7+'HDPE-A3'!K7</f>
        <v>5263</v>
      </c>
      <c r="L7" s="491">
        <f>'LDPE-A2'!L7+'HDPE-A3'!L7</f>
        <v>5463</v>
      </c>
      <c r="M7" s="492">
        <f>'LDPE-A2'!M7+'HDPE-A3'!M7</f>
        <v>5863</v>
      </c>
      <c r="N7" s="492">
        <f>'LDPE-A2'!N7+'HDPE-A3'!N7</f>
        <v>6513</v>
      </c>
      <c r="O7" s="492">
        <f>'LDPE-A2'!O7+'HDPE-A3'!O7</f>
        <v>7413</v>
      </c>
      <c r="P7" s="493">
        <f>'LDPE-A2'!P7+'HDPE-A3'!P7</f>
        <v>7913</v>
      </c>
      <c r="Q7" s="490">
        <f>'LDPE-A2'!Q7+'HDPE-A3'!Q7</f>
        <v>8913</v>
      </c>
      <c r="R7" s="572">
        <f>IF(D7=0,"     -",IF(K7=0,"     -",ROUND(((K7/D7)^(1/7)-1)*100,1)))</f>
        <v>2.9</v>
      </c>
      <c r="S7" s="494">
        <f>IF(L7=0,"     -",IF(Q7=0,"     -",ROUND(((Q7/L7)^(1/5)-1)*100,1)))</f>
        <v>10.3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f>'LDPE-A2'!D8+'HDPE-A3'!D8</f>
        <v>1450</v>
      </c>
      <c r="E8" s="496">
        <f>'LDPE-A2'!E8+'HDPE-A3'!E8</f>
        <v>1450</v>
      </c>
      <c r="F8" s="497">
        <f>'LDPE-A2'!F8+'HDPE-A3'!F8</f>
        <v>1450</v>
      </c>
      <c r="G8" s="497">
        <f>'LDPE-A2'!G8+'HDPE-A3'!G8</f>
        <v>1450</v>
      </c>
      <c r="H8" s="496">
        <f>'LDPE-A2'!H8+'HDPE-A3'!H8</f>
        <v>1470</v>
      </c>
      <c r="I8" s="497">
        <f>'LDPE-A2'!I8+'HDPE-A3'!I8</f>
        <v>1470</v>
      </c>
      <c r="J8" s="497">
        <f>'LDPE-A2'!J8+'HDPE-A3'!J8</f>
        <v>1545</v>
      </c>
      <c r="K8" s="498">
        <f>'LDPE-A2'!K8+'HDPE-A3'!K8</f>
        <v>1545</v>
      </c>
      <c r="L8" s="499">
        <f>'LDPE-A2'!L8+'HDPE-A3'!L8</f>
        <v>1545</v>
      </c>
      <c r="M8" s="500">
        <f>'LDPE-A2'!M8+'HDPE-A3'!M8</f>
        <v>1545</v>
      </c>
      <c r="N8" s="500">
        <f>'LDPE-A2'!N8+'HDPE-A3'!N8</f>
        <v>1545</v>
      </c>
      <c r="O8" s="500">
        <f>'LDPE-A2'!O8+'HDPE-A3'!O8</f>
        <v>1545</v>
      </c>
      <c r="P8" s="501">
        <f>'LDPE-A2'!P8+'HDPE-A3'!P8</f>
        <v>1545</v>
      </c>
      <c r="Q8" s="498">
        <f>'LDPE-A2'!Q8+'HDPE-A3'!Q8</f>
        <v>1545</v>
      </c>
      <c r="R8" s="573">
        <f t="shared" ref="R8:R71" si="0">IF(D8=0,"     -",IF(K8=0,"     -",ROUND(((K8/D8)^(1/7)-1)*100,1)))</f>
        <v>0.9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f>'LDPE-A2'!D9+'HDPE-A3'!D9</f>
        <v>1170</v>
      </c>
      <c r="E9" s="496">
        <f>'LDPE-A2'!E9+'HDPE-A3'!E9</f>
        <v>1170</v>
      </c>
      <c r="F9" s="497">
        <f>'LDPE-A2'!F9+'HDPE-A3'!F9</f>
        <v>2470</v>
      </c>
      <c r="G9" s="497">
        <f>'LDPE-A2'!G9+'HDPE-A3'!G9</f>
        <v>2470</v>
      </c>
      <c r="H9" s="496">
        <f>'LDPE-A2'!H9+'HDPE-A3'!H9</f>
        <v>2470</v>
      </c>
      <c r="I9" s="497">
        <f>'LDPE-A2'!I9+'HDPE-A3'!I9</f>
        <v>2770</v>
      </c>
      <c r="J9" s="497">
        <f>'LDPE-A2'!J9+'HDPE-A3'!J9</f>
        <v>2770</v>
      </c>
      <c r="K9" s="502">
        <f>'LDPE-A2'!K9+'HDPE-A3'!K9</f>
        <v>2770</v>
      </c>
      <c r="L9" s="503">
        <f>'LDPE-A2'!L9+'HDPE-A3'!L9</f>
        <v>2770</v>
      </c>
      <c r="M9" s="496">
        <f>'LDPE-A2'!M9+'HDPE-A3'!M9</f>
        <v>2770</v>
      </c>
      <c r="N9" s="496">
        <f>'LDPE-A2'!N9+'HDPE-A3'!N9</f>
        <v>2770</v>
      </c>
      <c r="O9" s="496">
        <f>'LDPE-A2'!O9+'HDPE-A3'!O9</f>
        <v>2770</v>
      </c>
      <c r="P9" s="279">
        <f>'LDPE-A2'!P9+'HDPE-A3'!P9</f>
        <v>2770</v>
      </c>
      <c r="Q9" s="502">
        <f>'LDPE-A2'!Q9+'HDPE-A3'!Q9</f>
        <v>2770</v>
      </c>
      <c r="R9" s="573">
        <f t="shared" si="0"/>
        <v>13.1</v>
      </c>
      <c r="S9" s="256">
        <f t="shared" si="1"/>
        <v>0</v>
      </c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</row>
    <row r="10" spans="1:33" ht="15" customHeight="1">
      <c r="A10" s="16"/>
      <c r="B10" s="668" t="s">
        <v>436</v>
      </c>
      <c r="C10" s="669"/>
      <c r="D10" s="495">
        <f>'LDPE-A2'!D10+'HDPE-A3'!D10</f>
        <v>10630</v>
      </c>
      <c r="E10" s="496">
        <f>'LDPE-A2'!E10+'HDPE-A3'!E10</f>
        <v>11295</v>
      </c>
      <c r="F10" s="497">
        <f>'LDPE-A2'!F10+'HDPE-A3'!F10</f>
        <v>11750</v>
      </c>
      <c r="G10" s="497">
        <f>'LDPE-A2'!G10+'HDPE-A3'!G10</f>
        <v>13425</v>
      </c>
      <c r="H10" s="496">
        <f>'LDPE-A2'!H10+'HDPE-A3'!H10</f>
        <v>14652</v>
      </c>
      <c r="I10" s="497">
        <f>'LDPE-A2'!I10+'HDPE-A3'!I10</f>
        <v>15926</v>
      </c>
      <c r="J10" s="497">
        <f>'LDPE-A2'!J10+'HDPE-A3'!J10</f>
        <v>16691</v>
      </c>
      <c r="K10" s="502">
        <f>'LDPE-A2'!K10+'HDPE-A3'!K10</f>
        <v>17582</v>
      </c>
      <c r="L10" s="503">
        <f>'LDPE-A2'!L10+'HDPE-A3'!L10</f>
        <v>18786</v>
      </c>
      <c r="M10" s="496">
        <f>'LDPE-A2'!M10+'HDPE-A3'!M10</f>
        <v>20463</v>
      </c>
      <c r="N10" s="496">
        <f>'LDPE-A2'!N10+'HDPE-A3'!N10</f>
        <v>23368</v>
      </c>
      <c r="O10" s="496">
        <f>'LDPE-A2'!O10+'HDPE-A3'!O10</f>
        <v>25944</v>
      </c>
      <c r="P10" s="279">
        <f>'LDPE-A2'!P10+'HDPE-A3'!P10</f>
        <v>26169</v>
      </c>
      <c r="Q10" s="502">
        <f>'LDPE-A2'!Q10+'HDPE-A3'!Q10</f>
        <v>26369</v>
      </c>
      <c r="R10" s="573">
        <f t="shared" si="0"/>
        <v>7.5</v>
      </c>
      <c r="S10" s="256">
        <f t="shared" si="1"/>
        <v>7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f>'LDPE-A2'!D11+'HDPE-A3'!D11</f>
        <v>3640</v>
      </c>
      <c r="E11" s="496">
        <f>'LDPE-A2'!E11+'HDPE-A3'!E11</f>
        <v>4030</v>
      </c>
      <c r="F11" s="497">
        <f>'LDPE-A2'!F11+'HDPE-A3'!F11</f>
        <v>4030</v>
      </c>
      <c r="G11" s="497">
        <f>'LDPE-A2'!G11+'HDPE-A3'!G11</f>
        <v>4030</v>
      </c>
      <c r="H11" s="496">
        <f>'LDPE-A2'!H11+'HDPE-A3'!H11</f>
        <v>4030</v>
      </c>
      <c r="I11" s="497">
        <f>'LDPE-A2'!I11+'HDPE-A3'!I11</f>
        <v>4030</v>
      </c>
      <c r="J11" s="497">
        <f>'LDPE-A2'!J11+'HDPE-A3'!J11</f>
        <v>4082</v>
      </c>
      <c r="K11" s="502">
        <f>'LDPE-A2'!K11+'HDPE-A3'!K11</f>
        <v>4082</v>
      </c>
      <c r="L11" s="503">
        <f>'LDPE-A2'!L11+'HDPE-A3'!L11</f>
        <v>4482</v>
      </c>
      <c r="M11" s="496">
        <f>'LDPE-A2'!M11+'HDPE-A3'!M11</f>
        <v>4482</v>
      </c>
      <c r="N11" s="496">
        <f>'LDPE-A2'!N11+'HDPE-A3'!N11</f>
        <v>4482</v>
      </c>
      <c r="O11" s="496">
        <f>'LDPE-A2'!O11+'HDPE-A3'!O11</f>
        <v>4482</v>
      </c>
      <c r="P11" s="279">
        <f>'LDPE-A2'!P11+'HDPE-A3'!P11</f>
        <v>4482</v>
      </c>
      <c r="Q11" s="502">
        <f>'LDPE-A2'!Q11+'HDPE-A3'!Q11</f>
        <v>4482</v>
      </c>
      <c r="R11" s="573">
        <f t="shared" si="0"/>
        <v>1.7</v>
      </c>
      <c r="S11" s="256">
        <f t="shared" si="1"/>
        <v>0</v>
      </c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f>'LDPE-A2'!D12+'HDPE-A3'!D12</f>
        <v>786</v>
      </c>
      <c r="E12" s="45">
        <f>'LDPE-A2'!E12+'HDPE-A3'!E12</f>
        <v>786</v>
      </c>
      <c r="F12" s="49">
        <f>'LDPE-A2'!F12+'HDPE-A3'!F12</f>
        <v>786</v>
      </c>
      <c r="G12" s="45">
        <f>'LDPE-A2'!G12+'HDPE-A3'!G12</f>
        <v>786</v>
      </c>
      <c r="H12" s="49">
        <f>'LDPE-A2'!H12+'HDPE-A3'!H12</f>
        <v>786</v>
      </c>
      <c r="I12" s="45">
        <f>'LDPE-A2'!I12+'HDPE-A3'!I12</f>
        <v>786</v>
      </c>
      <c r="J12" s="49">
        <f>'LDPE-A2'!J12+'HDPE-A3'!J12</f>
        <v>786</v>
      </c>
      <c r="K12" s="50">
        <f>'LDPE-A2'!K12+'HDPE-A3'!K12</f>
        <v>786</v>
      </c>
      <c r="L12" s="504">
        <f>'LDPE-A2'!L12+'HDPE-A3'!L12</f>
        <v>786</v>
      </c>
      <c r="M12" s="45">
        <f>'LDPE-A2'!M12+'HDPE-A3'!M12</f>
        <v>786</v>
      </c>
      <c r="N12" s="45">
        <f>'LDPE-A2'!N12+'HDPE-A3'!N12</f>
        <v>786</v>
      </c>
      <c r="O12" s="45">
        <f>'LDPE-A2'!O12+'HDPE-A3'!O12</f>
        <v>786</v>
      </c>
      <c r="P12" s="45">
        <f>'LDPE-A2'!P12+'HDPE-A3'!P12</f>
        <v>786</v>
      </c>
      <c r="Q12" s="51">
        <f>'LDPE-A2'!Q12+'HDPE-A3'!Q12</f>
        <v>1586</v>
      </c>
      <c r="R12" s="573">
        <f t="shared" si="0"/>
        <v>0</v>
      </c>
      <c r="S12" s="256">
        <f t="shared" si="1"/>
        <v>15.1</v>
      </c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f>'LDPE-A2'!D13+'HDPE-A3'!D13</f>
        <v>2615</v>
      </c>
      <c r="E13" s="49">
        <f>'LDPE-A2'!E13+'HDPE-A3'!E13</f>
        <v>2790</v>
      </c>
      <c r="F13" s="45">
        <f>'LDPE-A2'!F13+'HDPE-A3'!F13</f>
        <v>3190</v>
      </c>
      <c r="G13" s="49">
        <f>'LDPE-A2'!G13+'HDPE-A3'!G13</f>
        <v>3190</v>
      </c>
      <c r="H13" s="49">
        <f>'LDPE-A2'!H13+'HDPE-A3'!H13</f>
        <v>3415</v>
      </c>
      <c r="I13" s="45">
        <f>'LDPE-A2'!I13+'HDPE-A3'!I13</f>
        <v>3415</v>
      </c>
      <c r="J13" s="49">
        <f>'LDPE-A2'!J13+'HDPE-A3'!J13</f>
        <v>4373</v>
      </c>
      <c r="K13" s="50">
        <f>'LDPE-A2'!K13+'HDPE-A3'!K13</f>
        <v>4998</v>
      </c>
      <c r="L13" s="140">
        <f>'LDPE-A2'!L13+'HDPE-A3'!L13</f>
        <v>4998</v>
      </c>
      <c r="M13" s="45">
        <f>'LDPE-A2'!M13+'HDPE-A3'!M13</f>
        <v>4998</v>
      </c>
      <c r="N13" s="45">
        <f>'LDPE-A2'!N13+'HDPE-A3'!N13</f>
        <v>4998</v>
      </c>
      <c r="O13" s="45">
        <f>'LDPE-A2'!O13+'HDPE-A3'!O13</f>
        <v>4998</v>
      </c>
      <c r="P13" s="45">
        <f>'LDPE-A2'!P13+'HDPE-A3'!P13</f>
        <v>4998</v>
      </c>
      <c r="Q13" s="50">
        <f>'LDPE-A2'!Q13+'HDPE-A3'!Q13</f>
        <v>4998</v>
      </c>
      <c r="R13" s="573">
        <f t="shared" si="0"/>
        <v>9.6999999999999993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>
        <f>'LDPE-A2'!D14+'HDPE-A3'!D14</f>
        <v>0</v>
      </c>
      <c r="E14" s="41">
        <f>'LDPE-A2'!E14+'HDPE-A3'!E14</f>
        <v>0</v>
      </c>
      <c r="F14" s="40">
        <f>'LDPE-A2'!F14+'HDPE-A3'!F14</f>
        <v>0</v>
      </c>
      <c r="G14" s="41">
        <f>'LDPE-A2'!G14+'HDPE-A3'!G14</f>
        <v>0</v>
      </c>
      <c r="H14" s="41">
        <f>'LDPE-A2'!H14+'HDPE-A3'!H14</f>
        <v>0</v>
      </c>
      <c r="I14" s="40">
        <f>'LDPE-A2'!I14+'HDPE-A3'!I14</f>
        <v>0</v>
      </c>
      <c r="J14" s="41">
        <f>'LDPE-A2'!J14+'HDPE-A3'!J14</f>
        <v>0</v>
      </c>
      <c r="K14" s="42">
        <f>'LDPE-A2'!K14+'HDPE-A3'!K14</f>
        <v>0</v>
      </c>
      <c r="L14" s="138">
        <f>'LDPE-A2'!L14+'HDPE-A3'!L14</f>
        <v>0</v>
      </c>
      <c r="M14" s="40">
        <f>'LDPE-A2'!M14+'HDPE-A3'!M14</f>
        <v>0</v>
      </c>
      <c r="N14" s="40">
        <f>'LDPE-A2'!N14+'HDPE-A3'!N14</f>
        <v>0</v>
      </c>
      <c r="O14" s="40">
        <f>'LDPE-A2'!O14+'HDPE-A3'!O14</f>
        <v>0</v>
      </c>
      <c r="P14" s="40">
        <f>'LDPE-A2'!P14+'HDPE-A3'!P14</f>
        <v>0</v>
      </c>
      <c r="Q14" s="42">
        <f>'LDPE-A2'!Q14+'HDPE-A3'!Q14</f>
        <v>0</v>
      </c>
      <c r="R14" s="573" t="str">
        <f t="shared" si="0"/>
        <v xml:space="preserve">     -</v>
      </c>
      <c r="S14" s="256" t="str">
        <f t="shared" si="1"/>
        <v xml:space="preserve">     -</v>
      </c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</row>
    <row r="15" spans="1:33" ht="15" customHeight="1">
      <c r="A15" s="16"/>
      <c r="B15" s="668" t="s">
        <v>440</v>
      </c>
      <c r="C15" s="669"/>
      <c r="D15" s="140">
        <f>'LDPE-A2'!D15+'HDPE-A3'!D15</f>
        <v>440</v>
      </c>
      <c r="E15" s="49">
        <f>'LDPE-A2'!E15+'HDPE-A3'!E15</f>
        <v>440</v>
      </c>
      <c r="F15" s="45">
        <f>'LDPE-A2'!F15+'HDPE-A3'!F15</f>
        <v>440</v>
      </c>
      <c r="G15" s="49">
        <f>'LDPE-A2'!G15+'HDPE-A3'!G15</f>
        <v>440</v>
      </c>
      <c r="H15" s="49">
        <f>'LDPE-A2'!H15+'HDPE-A3'!H15</f>
        <v>440</v>
      </c>
      <c r="I15" s="45">
        <f>'LDPE-A2'!I15+'HDPE-A3'!I15</f>
        <v>580</v>
      </c>
      <c r="J15" s="49">
        <f>'LDPE-A2'!J15+'HDPE-A3'!J15</f>
        <v>580</v>
      </c>
      <c r="K15" s="50">
        <f>'LDPE-A2'!K15+'HDPE-A3'!K15</f>
        <v>580</v>
      </c>
      <c r="L15" s="140">
        <f>'LDPE-A2'!L15+'HDPE-A3'!L15</f>
        <v>580</v>
      </c>
      <c r="M15" s="45">
        <f>'LDPE-A2'!M15+'HDPE-A3'!M15</f>
        <v>580</v>
      </c>
      <c r="N15" s="45">
        <f>'LDPE-A2'!N15+'HDPE-A3'!N15</f>
        <v>580</v>
      </c>
      <c r="O15" s="45">
        <f>'LDPE-A2'!O15+'HDPE-A3'!O15</f>
        <v>740</v>
      </c>
      <c r="P15" s="45">
        <f>'LDPE-A2'!P15+'HDPE-A3'!P15</f>
        <v>740</v>
      </c>
      <c r="Q15" s="50">
        <f>'LDPE-A2'!Q15+'HDPE-A3'!Q15</f>
        <v>740</v>
      </c>
      <c r="R15" s="573">
        <f t="shared" si="0"/>
        <v>4</v>
      </c>
      <c r="S15" s="256">
        <f t="shared" si="1"/>
        <v>5</v>
      </c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f>'LDPE-A2'!D16+'HDPE-A3'!D16</f>
        <v>1120</v>
      </c>
      <c r="E16" s="496">
        <f>'LDPE-A2'!E16+'HDPE-A3'!E16</f>
        <v>1120</v>
      </c>
      <c r="F16" s="497">
        <f>'LDPE-A2'!F16+'HDPE-A3'!F16</f>
        <v>1120</v>
      </c>
      <c r="G16" s="497">
        <f>'LDPE-A2'!G16+'HDPE-A3'!G16</f>
        <v>1120</v>
      </c>
      <c r="H16" s="496">
        <f>'LDPE-A2'!H16+'HDPE-A3'!H16</f>
        <v>1120</v>
      </c>
      <c r="I16" s="497">
        <f>'LDPE-A2'!I16+'HDPE-A3'!I16</f>
        <v>1120</v>
      </c>
      <c r="J16" s="497">
        <f>'LDPE-A2'!J16+'HDPE-A3'!J16</f>
        <v>1120</v>
      </c>
      <c r="K16" s="502">
        <f>'LDPE-A2'!K16+'HDPE-A3'!K16</f>
        <v>1120</v>
      </c>
      <c r="L16" s="503">
        <f>'LDPE-A2'!L16+'HDPE-A3'!L16</f>
        <v>1120</v>
      </c>
      <c r="M16" s="496">
        <f>'LDPE-A2'!M16+'HDPE-A3'!M16</f>
        <v>1120</v>
      </c>
      <c r="N16" s="496">
        <f>'LDPE-A2'!N16+'HDPE-A3'!N16</f>
        <v>1820</v>
      </c>
      <c r="O16" s="496">
        <f>'LDPE-A2'!O16+'HDPE-A3'!O16</f>
        <v>1820</v>
      </c>
      <c r="P16" s="497">
        <f>'LDPE-A2'!P16+'HDPE-A3'!P16</f>
        <v>1820</v>
      </c>
      <c r="Q16" s="502">
        <f>'LDPE-A2'!Q16+'HDPE-A3'!Q16</f>
        <v>1820</v>
      </c>
      <c r="R16" s="573">
        <f t="shared" si="0"/>
        <v>0</v>
      </c>
      <c r="S16" s="256">
        <f t="shared" si="1"/>
        <v>10.199999999999999</v>
      </c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f>'LDPE-A2'!D17+'HDPE-A3'!D17</f>
        <v>0</v>
      </c>
      <c r="E17" s="45">
        <f>'LDPE-A2'!E17+'HDPE-A3'!E17</f>
        <v>0</v>
      </c>
      <c r="F17" s="49">
        <f>'LDPE-A2'!F17+'HDPE-A3'!F17</f>
        <v>0</v>
      </c>
      <c r="G17" s="45">
        <f>'LDPE-A2'!G17+'HDPE-A3'!G17</f>
        <v>0</v>
      </c>
      <c r="H17" s="49">
        <f>'LDPE-A2'!H17+'HDPE-A3'!H17</f>
        <v>0</v>
      </c>
      <c r="I17" s="49">
        <f>'LDPE-A2'!I17+'HDPE-A3'!I17</f>
        <v>0</v>
      </c>
      <c r="J17" s="49">
        <f>'LDPE-A2'!J17+'HDPE-A3'!J17</f>
        <v>0</v>
      </c>
      <c r="K17" s="50">
        <f>'LDPE-A2'!K17+'HDPE-A3'!K17</f>
        <v>0</v>
      </c>
      <c r="L17" s="140">
        <f>'LDPE-A2'!L17+'HDPE-A3'!L17</f>
        <v>0</v>
      </c>
      <c r="M17" s="45">
        <f>'LDPE-A2'!M17+'HDPE-A3'!M17</f>
        <v>0</v>
      </c>
      <c r="N17" s="45">
        <f>'LDPE-A2'!N17+'HDPE-A3'!N17</f>
        <v>0</v>
      </c>
      <c r="O17" s="45">
        <f>'LDPE-A2'!O17+'HDPE-A3'!O17</f>
        <v>0</v>
      </c>
      <c r="P17" s="45">
        <f>'LDPE-A2'!P17+'HDPE-A3'!P17</f>
        <v>0</v>
      </c>
      <c r="Q17" s="50">
        <f>'LDPE-A2'!Q17+'HDPE-A3'!Q17</f>
        <v>950</v>
      </c>
      <c r="R17" s="573" t="str">
        <f t="shared" si="0"/>
        <v xml:space="preserve">     -</v>
      </c>
      <c r="S17" s="256" t="str">
        <f t="shared" si="1"/>
        <v xml:space="preserve">     -</v>
      </c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f>'LDPE-A2'!D18+'HDPE-A3'!D18</f>
        <v>3657</v>
      </c>
      <c r="E18" s="40">
        <f>'LDPE-A2'!E18+'HDPE-A3'!E18</f>
        <v>3644</v>
      </c>
      <c r="F18" s="40">
        <f>'LDPE-A2'!F18+'HDPE-A3'!F18</f>
        <v>3632</v>
      </c>
      <c r="G18" s="40">
        <f>'LDPE-A2'!G18+'HDPE-A3'!G18</f>
        <v>3563</v>
      </c>
      <c r="H18" s="40">
        <f>'LDPE-A2'!H18+'HDPE-A3'!H18</f>
        <v>3453</v>
      </c>
      <c r="I18" s="505">
        <f>'LDPE-A2'!I18+'HDPE-A3'!I18</f>
        <v>3360</v>
      </c>
      <c r="J18" s="506">
        <f>'LDPE-A2'!J18+'HDPE-A3'!J18</f>
        <v>3375</v>
      </c>
      <c r="K18" s="507">
        <f>'LDPE-A2'!K18+'HDPE-A3'!K18</f>
        <v>3375</v>
      </c>
      <c r="L18" s="508">
        <f>'LDPE-A2'!L18+'HDPE-A3'!L18</f>
        <v>3375</v>
      </c>
      <c r="M18" s="505">
        <f>'LDPE-A2'!M18+'HDPE-A3'!M18</f>
        <v>3375</v>
      </c>
      <c r="N18" s="505">
        <f>'LDPE-A2'!N18+'HDPE-A3'!N18</f>
        <v>3375</v>
      </c>
      <c r="O18" s="505">
        <f>'LDPE-A2'!O18+'HDPE-A3'!O18</f>
        <v>3375</v>
      </c>
      <c r="P18" s="505">
        <f>'LDPE-A2'!P18+'HDPE-A3'!P18</f>
        <v>3375</v>
      </c>
      <c r="Q18" s="509">
        <f>'LDPE-A2'!Q18+'HDPE-A3'!Q18</f>
        <v>3375</v>
      </c>
      <c r="R18" s="573">
        <f t="shared" si="0"/>
        <v>-1.1000000000000001</v>
      </c>
      <c r="S18" s="256">
        <f t="shared" si="1"/>
        <v>0</v>
      </c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'LDPE-A2'!D19+'HDPE-A3'!D19</f>
        <v>29808</v>
      </c>
      <c r="E19" s="93">
        <f>'LDPE-A2'!E19+'HDPE-A3'!E19</f>
        <v>31158</v>
      </c>
      <c r="F19" s="93">
        <f>'LDPE-A2'!F19+'HDPE-A3'!F19</f>
        <v>33341</v>
      </c>
      <c r="G19" s="93">
        <f>'LDPE-A2'!G19+'HDPE-A3'!G19</f>
        <v>35042</v>
      </c>
      <c r="H19" s="93">
        <f>'LDPE-A2'!H19+'HDPE-A3'!H19</f>
        <v>36864</v>
      </c>
      <c r="I19" s="93">
        <f>'LDPE-A2'!I19+'HDPE-A3'!I19</f>
        <v>38720</v>
      </c>
      <c r="J19" s="93">
        <f>'LDPE-A2'!J19+'HDPE-A3'!J19</f>
        <v>40585</v>
      </c>
      <c r="K19" s="96">
        <f>'LDPE-A2'!K19+'HDPE-A3'!K19</f>
        <v>42101</v>
      </c>
      <c r="L19" s="95">
        <f>'LDPE-A2'!L19+'HDPE-A3'!L19</f>
        <v>43905</v>
      </c>
      <c r="M19" s="93">
        <f>'LDPE-A2'!M19+'HDPE-A3'!M19</f>
        <v>45982</v>
      </c>
      <c r="N19" s="93">
        <f>'LDPE-A2'!N19+'HDPE-A3'!N19</f>
        <v>50237</v>
      </c>
      <c r="O19" s="93">
        <f>'LDPE-A2'!O19+'HDPE-A3'!O19</f>
        <v>53873</v>
      </c>
      <c r="P19" s="93">
        <f>'LDPE-A2'!P19+'HDPE-A3'!P19</f>
        <v>54598</v>
      </c>
      <c r="Q19" s="96">
        <f>'LDPE-A2'!Q19+'HDPE-A3'!Q19</f>
        <v>57548</v>
      </c>
      <c r="R19" s="574">
        <f t="shared" si="0"/>
        <v>5.0999999999999996</v>
      </c>
      <c r="S19" s="510">
        <f t="shared" si="1"/>
        <v>5.6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f>'LDPE-A2'!D20+'HDPE-A3'!D20</f>
        <v>410</v>
      </c>
      <c r="E20" s="512">
        <f>'LDPE-A2'!E20+'HDPE-A3'!E20</f>
        <v>410</v>
      </c>
      <c r="F20" s="512">
        <f>'LDPE-A2'!F20+'HDPE-A3'!F20</f>
        <v>410</v>
      </c>
      <c r="G20" s="512">
        <f>'LDPE-A2'!G20+'HDPE-A3'!G20</f>
        <v>405</v>
      </c>
      <c r="H20" s="512">
        <f>'LDPE-A2'!H20+'HDPE-A3'!H20</f>
        <v>405</v>
      </c>
      <c r="I20" s="512">
        <f>'LDPE-A2'!I20+'HDPE-A3'!I20</f>
        <v>405</v>
      </c>
      <c r="J20" s="513">
        <f>'LDPE-A2'!J20+'HDPE-A3'!J20</f>
        <v>405</v>
      </c>
      <c r="K20" s="514">
        <f>'LDPE-A2'!K20+'HDPE-A3'!K20</f>
        <v>405</v>
      </c>
      <c r="L20" s="511">
        <f>'LDPE-A2'!L20+'HDPE-A3'!L20</f>
        <v>405</v>
      </c>
      <c r="M20" s="512">
        <f>'LDPE-A2'!M20+'HDPE-A3'!M20</f>
        <v>405</v>
      </c>
      <c r="N20" s="512">
        <f>'LDPE-A2'!N20+'HDPE-A3'!N20</f>
        <v>405</v>
      </c>
      <c r="O20" s="512">
        <f>'LDPE-A2'!O20+'HDPE-A3'!O20</f>
        <v>405</v>
      </c>
      <c r="P20" s="513">
        <f>'LDPE-A2'!P20+'HDPE-A3'!P20</f>
        <v>405</v>
      </c>
      <c r="Q20" s="514">
        <f>'LDPE-A2'!Q20+'HDPE-A3'!Q20</f>
        <v>405</v>
      </c>
      <c r="R20" s="574">
        <f t="shared" si="0"/>
        <v>-0.2</v>
      </c>
      <c r="S20" s="510">
        <f t="shared" si="1"/>
        <v>0</v>
      </c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f>'LDPE-A2'!D21+'HDPE-A3'!D21</f>
        <v>410</v>
      </c>
      <c r="E21" s="512">
        <f>'LDPE-A2'!E21+'HDPE-A3'!E21</f>
        <v>410</v>
      </c>
      <c r="F21" s="512">
        <f>'LDPE-A2'!F21+'HDPE-A3'!F21</f>
        <v>410</v>
      </c>
      <c r="G21" s="512">
        <f>'LDPE-A2'!G21+'HDPE-A3'!G21</f>
        <v>405</v>
      </c>
      <c r="H21" s="512">
        <f>'LDPE-A2'!H21+'HDPE-A3'!H21</f>
        <v>405</v>
      </c>
      <c r="I21" s="512">
        <f>'LDPE-A2'!I21+'HDPE-A3'!I21</f>
        <v>405</v>
      </c>
      <c r="J21" s="513">
        <f>'LDPE-A2'!J21+'HDPE-A3'!J21</f>
        <v>405</v>
      </c>
      <c r="K21" s="514">
        <f>'LDPE-A2'!K21+'HDPE-A3'!K21</f>
        <v>405</v>
      </c>
      <c r="L21" s="511">
        <f>'LDPE-A2'!L21+'HDPE-A3'!L21</f>
        <v>405</v>
      </c>
      <c r="M21" s="512">
        <f>'LDPE-A2'!M21+'HDPE-A3'!M21</f>
        <v>405</v>
      </c>
      <c r="N21" s="512">
        <f>'LDPE-A2'!N21+'HDPE-A3'!N21</f>
        <v>405</v>
      </c>
      <c r="O21" s="512">
        <f>'LDPE-A2'!O21+'HDPE-A3'!O21</f>
        <v>405</v>
      </c>
      <c r="P21" s="513">
        <f>'LDPE-A2'!P21+'HDPE-A3'!P21</f>
        <v>405</v>
      </c>
      <c r="Q21" s="514">
        <f>'LDPE-A2'!Q21+'HDPE-A3'!Q21</f>
        <v>405</v>
      </c>
      <c r="R21" s="574">
        <f t="shared" si="0"/>
        <v>-0.2</v>
      </c>
      <c r="S21" s="510">
        <f t="shared" si="1"/>
        <v>0</v>
      </c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f>'LDPE-A2'!D22+'HDPE-A3'!D22</f>
        <v>17329</v>
      </c>
      <c r="E22" s="496">
        <f>'LDPE-A2'!E22+'HDPE-A3'!E22</f>
        <v>16794</v>
      </c>
      <c r="F22" s="496">
        <f>'LDPE-A2'!F22+'HDPE-A3'!F22</f>
        <v>16576</v>
      </c>
      <c r="G22" s="496">
        <f>'LDPE-A2'!G22+'HDPE-A3'!G22</f>
        <v>15926</v>
      </c>
      <c r="H22" s="496">
        <f>'LDPE-A2'!H22+'HDPE-A3'!H22</f>
        <v>15751</v>
      </c>
      <c r="I22" s="496">
        <f>'LDPE-A2'!I22+'HDPE-A3'!I22</f>
        <v>15581</v>
      </c>
      <c r="J22" s="515">
        <f>'LDPE-A2'!J22+'HDPE-A3'!J22</f>
        <v>15631</v>
      </c>
      <c r="K22" s="502">
        <f>'LDPE-A2'!K22+'HDPE-A3'!K22</f>
        <v>15711</v>
      </c>
      <c r="L22" s="503">
        <f>'LDPE-A2'!L22+'HDPE-A3'!L22</f>
        <v>15711</v>
      </c>
      <c r="M22" s="496">
        <f>'LDPE-A2'!M22+'HDPE-A3'!M22</f>
        <v>15981</v>
      </c>
      <c r="N22" s="496">
        <f>'LDPE-A2'!N22+'HDPE-A3'!N22</f>
        <v>15981</v>
      </c>
      <c r="O22" s="512">
        <f>'LDPE-A2'!O22+'HDPE-A3'!O22</f>
        <v>15981</v>
      </c>
      <c r="P22" s="512">
        <f>'LDPE-A2'!P22+'HDPE-A3'!P22</f>
        <v>15981</v>
      </c>
      <c r="Q22" s="514">
        <f>'LDPE-A2'!Q22+'HDPE-A3'!Q22</f>
        <v>15981</v>
      </c>
      <c r="R22" s="575">
        <f t="shared" si="0"/>
        <v>-1.4</v>
      </c>
      <c r="S22" s="517">
        <f t="shared" si="1"/>
        <v>0.3</v>
      </c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f>'LDPE-A2'!D23+'HDPE-A3'!D23</f>
        <v>15512</v>
      </c>
      <c r="E23" s="512">
        <f>'LDPE-A2'!E23+'HDPE-A3'!E23</f>
        <v>14927</v>
      </c>
      <c r="F23" s="512">
        <f>'LDPE-A2'!F23+'HDPE-A3'!F23</f>
        <v>14876</v>
      </c>
      <c r="G23" s="512">
        <f>'LDPE-A2'!G23+'HDPE-A3'!G23</f>
        <v>14216</v>
      </c>
      <c r="H23" s="512">
        <f>'LDPE-A2'!H23+'HDPE-A3'!H23</f>
        <v>14041</v>
      </c>
      <c r="I23" s="512">
        <f>'LDPE-A2'!I23+'HDPE-A3'!I23</f>
        <v>13871</v>
      </c>
      <c r="J23" s="513">
        <f>'LDPE-A2'!J23+'HDPE-A3'!J23</f>
        <v>13871</v>
      </c>
      <c r="K23" s="514">
        <f>'LDPE-A2'!K23+'HDPE-A3'!K23</f>
        <v>13951</v>
      </c>
      <c r="L23" s="511">
        <f>'LDPE-A2'!L23+'HDPE-A3'!L23</f>
        <v>13951</v>
      </c>
      <c r="M23" s="512">
        <f>'LDPE-A2'!M23+'HDPE-A3'!M23</f>
        <v>13951</v>
      </c>
      <c r="N23" s="512">
        <f>'LDPE-A2'!N23+'HDPE-A3'!N23</f>
        <v>13951</v>
      </c>
      <c r="O23" s="512">
        <f>'LDPE-A2'!O23+'HDPE-A3'!O23</f>
        <v>13951</v>
      </c>
      <c r="P23" s="512">
        <f>'LDPE-A2'!P23+'HDPE-A3'!P23</f>
        <v>13951</v>
      </c>
      <c r="Q23" s="514">
        <f>'LDPE-A2'!Q23+'HDPE-A3'!Q23</f>
        <v>13951</v>
      </c>
      <c r="R23" s="574">
        <f t="shared" si="0"/>
        <v>-1.5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f>'LDPE-A2'!D24+'HDPE-A3'!D24</f>
        <v>14237</v>
      </c>
      <c r="E24" s="496">
        <f>'LDPE-A2'!E24+'HDPE-A3'!E24</f>
        <v>15422</v>
      </c>
      <c r="F24" s="496">
        <f>'LDPE-A2'!F24+'HDPE-A3'!F24</f>
        <v>17120</v>
      </c>
      <c r="G24" s="496">
        <f>'LDPE-A2'!G24+'HDPE-A3'!G24</f>
        <v>17320</v>
      </c>
      <c r="H24" s="496">
        <f>'LDPE-A2'!H24+'HDPE-A3'!H24</f>
        <v>19050</v>
      </c>
      <c r="I24" s="496">
        <f>'LDPE-A2'!I24+'HDPE-A3'!I24</f>
        <v>19150</v>
      </c>
      <c r="J24" s="497">
        <f>'LDPE-A2'!J24+'HDPE-A3'!J24</f>
        <v>20500</v>
      </c>
      <c r="K24" s="502">
        <f>'LDPE-A2'!K24+'HDPE-A3'!K24</f>
        <v>20850</v>
      </c>
      <c r="L24" s="503">
        <f>'LDPE-A2'!L24+'HDPE-A3'!L24</f>
        <v>20850</v>
      </c>
      <c r="M24" s="496">
        <f>'LDPE-A2'!M24+'HDPE-A3'!M24</f>
        <v>21150</v>
      </c>
      <c r="N24" s="496">
        <f>'LDPE-A2'!N24+'HDPE-A3'!N24</f>
        <v>22215</v>
      </c>
      <c r="O24" s="496">
        <f>'LDPE-A2'!O24+'HDPE-A3'!O24</f>
        <v>22215</v>
      </c>
      <c r="P24" s="497">
        <f>'LDPE-A2'!P24+'HDPE-A3'!P24</f>
        <v>22215</v>
      </c>
      <c r="Q24" s="502">
        <f>'LDPE-A2'!Q24+'HDPE-A3'!Q24</f>
        <v>22215</v>
      </c>
      <c r="R24" s="574">
        <f t="shared" si="0"/>
        <v>5.6</v>
      </c>
      <c r="S24" s="510">
        <f t="shared" si="1"/>
        <v>1.3</v>
      </c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f>'LDPE-A2'!D25+'HDPE-A3'!D25</f>
        <v>8690</v>
      </c>
      <c r="E25" s="518">
        <f>'LDPE-A2'!E25+'HDPE-A3'!E25</f>
        <v>8690</v>
      </c>
      <c r="F25" s="518">
        <f>'LDPE-A2'!F25+'HDPE-A3'!F25</f>
        <v>9790</v>
      </c>
      <c r="G25" s="518">
        <f>'LDPE-A2'!G25+'HDPE-A3'!G25</f>
        <v>9990</v>
      </c>
      <c r="H25" s="518">
        <f>'LDPE-A2'!H25+'HDPE-A3'!H25</f>
        <v>10190</v>
      </c>
      <c r="I25" s="518">
        <f>'LDPE-A2'!I25+'HDPE-A3'!I25</f>
        <v>10190</v>
      </c>
      <c r="J25" s="519">
        <f>'LDPE-A2'!J25+'HDPE-A3'!J25</f>
        <v>11540</v>
      </c>
      <c r="K25" s="514">
        <f>'LDPE-A2'!K25+'HDPE-A3'!K25</f>
        <v>11705</v>
      </c>
      <c r="L25" s="511">
        <f>'LDPE-A2'!L25+'HDPE-A3'!L25</f>
        <v>11705</v>
      </c>
      <c r="M25" s="518">
        <f>'LDPE-A2'!M25+'HDPE-A3'!M25</f>
        <v>11705</v>
      </c>
      <c r="N25" s="518">
        <f>'LDPE-A2'!N25+'HDPE-A3'!N25</f>
        <v>11705</v>
      </c>
      <c r="O25" s="518">
        <f>'LDPE-A2'!O25+'HDPE-A3'!O25</f>
        <v>11705</v>
      </c>
      <c r="P25" s="519">
        <f>'LDPE-A2'!P25+'HDPE-A3'!P25</f>
        <v>11705</v>
      </c>
      <c r="Q25" s="514">
        <f>'LDPE-A2'!Q25+'HDPE-A3'!Q25</f>
        <v>11705</v>
      </c>
      <c r="R25" s="573">
        <f t="shared" si="0"/>
        <v>4.3</v>
      </c>
      <c r="S25" s="256">
        <f t="shared" si="1"/>
        <v>0</v>
      </c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f>'LDPE-A2'!D26+'HDPE-A3'!D26</f>
        <v>1365</v>
      </c>
      <c r="E26" s="518">
        <f>'LDPE-A2'!E26+'HDPE-A3'!E26</f>
        <v>1365</v>
      </c>
      <c r="F26" s="518">
        <f>'LDPE-A2'!F26+'HDPE-A3'!F26</f>
        <v>1365</v>
      </c>
      <c r="G26" s="518">
        <f>'LDPE-A2'!G26+'HDPE-A3'!G26</f>
        <v>1365</v>
      </c>
      <c r="H26" s="518">
        <f>'LDPE-A2'!H26+'HDPE-A3'!H26</f>
        <v>1365</v>
      </c>
      <c r="I26" s="518">
        <f>'LDPE-A2'!I26+'HDPE-A3'!I26</f>
        <v>1365</v>
      </c>
      <c r="J26" s="519">
        <f>'LDPE-A2'!J26+'HDPE-A3'!J26</f>
        <v>1765</v>
      </c>
      <c r="K26" s="514">
        <f>'LDPE-A2'!K26+'HDPE-A3'!K26</f>
        <v>1765</v>
      </c>
      <c r="L26" s="511">
        <f>'LDPE-A2'!L26+'HDPE-A3'!L26</f>
        <v>1765</v>
      </c>
      <c r="M26" s="518">
        <f>'LDPE-A2'!M26+'HDPE-A3'!M26</f>
        <v>1765</v>
      </c>
      <c r="N26" s="518">
        <f>'LDPE-A2'!N26+'HDPE-A3'!N26</f>
        <v>1765</v>
      </c>
      <c r="O26" s="518">
        <f>'LDPE-A2'!O26+'HDPE-A3'!O26</f>
        <v>1765</v>
      </c>
      <c r="P26" s="519">
        <f>'LDPE-A2'!P26+'HDPE-A3'!P26</f>
        <v>1765</v>
      </c>
      <c r="Q26" s="514">
        <f>'LDPE-A2'!Q26+'HDPE-A3'!Q26</f>
        <v>1765</v>
      </c>
      <c r="R26" s="574">
        <f t="shared" si="0"/>
        <v>3.7</v>
      </c>
      <c r="S26" s="510">
        <f t="shared" si="1"/>
        <v>0</v>
      </c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f>'LDPE-A2'!D27+'HDPE-A3'!D27</f>
        <v>2368</v>
      </c>
      <c r="E27" s="521">
        <f>'LDPE-A2'!E27+'HDPE-A3'!E27</f>
        <v>2368</v>
      </c>
      <c r="F27" s="521">
        <f>'LDPE-A2'!F27+'HDPE-A3'!F27</f>
        <v>2368</v>
      </c>
      <c r="G27" s="521">
        <f>'LDPE-A2'!G27+'HDPE-A3'!G27</f>
        <v>2331</v>
      </c>
      <c r="H27" s="521">
        <f>'LDPE-A2'!H27+'HDPE-A3'!H27</f>
        <v>2331</v>
      </c>
      <c r="I27" s="521">
        <f>'LDPE-A2'!I27+'HDPE-A3'!I27</f>
        <v>2717</v>
      </c>
      <c r="J27" s="522">
        <f>'LDPE-A2'!J27+'HDPE-A3'!J27</f>
        <v>2823</v>
      </c>
      <c r="K27" s="523">
        <f>'LDPE-A2'!K27+'HDPE-A3'!K27</f>
        <v>2923</v>
      </c>
      <c r="L27" s="520">
        <f>'LDPE-A2'!L27+'HDPE-A3'!L27</f>
        <v>3433</v>
      </c>
      <c r="M27" s="521">
        <f>'LDPE-A2'!M27+'HDPE-A3'!M27</f>
        <v>4353</v>
      </c>
      <c r="N27" s="521">
        <f>'LDPE-A2'!N27+'HDPE-A3'!N27</f>
        <v>4553</v>
      </c>
      <c r="O27" s="521">
        <f>'LDPE-A2'!O27+'HDPE-A3'!O27</f>
        <v>5303</v>
      </c>
      <c r="P27" s="522">
        <f>'LDPE-A2'!P27+'HDPE-A3'!P27</f>
        <v>6953</v>
      </c>
      <c r="Q27" s="523">
        <f>'LDPE-A2'!Q27+'HDPE-A3'!Q27</f>
        <v>6953</v>
      </c>
      <c r="R27" s="574">
        <f t="shared" si="0"/>
        <v>3.1</v>
      </c>
      <c r="S27" s="510">
        <f t="shared" si="1"/>
        <v>15.2</v>
      </c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" customHeight="1">
      <c r="A28" s="16"/>
      <c r="B28" s="672" t="s">
        <v>316</v>
      </c>
      <c r="C28" s="673"/>
      <c r="D28" s="524">
        <f>'LDPE-A2'!D28+'HDPE-A3'!D28</f>
        <v>15184</v>
      </c>
      <c r="E28" s="525">
        <f>'LDPE-A2'!E28+'HDPE-A3'!E28</f>
        <v>14983</v>
      </c>
      <c r="F28" s="525">
        <f>'LDPE-A2'!F28+'HDPE-A3'!F28</f>
        <v>15049</v>
      </c>
      <c r="G28" s="526">
        <f>'LDPE-A2'!G28+'HDPE-A3'!G28</f>
        <v>15479</v>
      </c>
      <c r="H28" s="526">
        <f>'LDPE-A2'!H28+'HDPE-A3'!H28</f>
        <v>15685</v>
      </c>
      <c r="I28" s="496">
        <f>'LDPE-A2'!I28+'HDPE-A3'!I28</f>
        <v>15532</v>
      </c>
      <c r="J28" s="497">
        <f>'LDPE-A2'!J28+'HDPE-A3'!J28</f>
        <v>15965</v>
      </c>
      <c r="K28" s="498">
        <f>'LDPE-A2'!K28+'HDPE-A3'!K28</f>
        <v>16708</v>
      </c>
      <c r="L28" s="527">
        <f>'LDPE-A2'!L28+'HDPE-A3'!L28</f>
        <v>19565</v>
      </c>
      <c r="M28" s="528">
        <f>'LDPE-A2'!M28+'HDPE-A3'!M28</f>
        <v>21490</v>
      </c>
      <c r="N28" s="528">
        <f>'LDPE-A2'!N28+'HDPE-A3'!N28</f>
        <v>22695</v>
      </c>
      <c r="O28" s="528">
        <f>'LDPE-A2'!O28+'HDPE-A3'!O28</f>
        <v>23770</v>
      </c>
      <c r="P28" s="528">
        <f>'LDPE-A2'!P28+'HDPE-A3'!P28</f>
        <v>24622</v>
      </c>
      <c r="Q28" s="498">
        <f>'LDPE-A2'!Q28+'HDPE-A3'!Q28</f>
        <v>24571</v>
      </c>
      <c r="R28" s="573">
        <f t="shared" si="0"/>
        <v>1.4</v>
      </c>
      <c r="S28" s="256">
        <f t="shared" si="1"/>
        <v>4.7</v>
      </c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f>'LDPE-A2'!D29+'HDPE-A3'!D29</f>
        <v>3820</v>
      </c>
      <c r="E29" s="525">
        <f>'LDPE-A2'!E29+'HDPE-A3'!E29</f>
        <v>3820</v>
      </c>
      <c r="F29" s="530">
        <f>'LDPE-A2'!F29+'HDPE-A3'!F29</f>
        <v>3820</v>
      </c>
      <c r="G29" s="531">
        <f>'LDPE-A2'!G29+'HDPE-A3'!G29</f>
        <v>3808</v>
      </c>
      <c r="H29" s="526">
        <f>'LDPE-A2'!H29+'HDPE-A3'!H29</f>
        <v>3808</v>
      </c>
      <c r="I29" s="497">
        <f>'LDPE-A2'!I29+'HDPE-A3'!I29</f>
        <v>3833</v>
      </c>
      <c r="J29" s="497">
        <f>'LDPE-A2'!J29+'HDPE-A3'!J29</f>
        <v>4355</v>
      </c>
      <c r="K29" s="498">
        <f>'LDPE-A2'!K29+'HDPE-A3'!K29</f>
        <v>4355</v>
      </c>
      <c r="L29" s="499">
        <f>'LDPE-A2'!L29+'HDPE-A3'!L29</f>
        <v>4355</v>
      </c>
      <c r="M29" s="532">
        <f>'LDPE-A2'!M29+'HDPE-A3'!M29</f>
        <v>4355</v>
      </c>
      <c r="N29" s="532">
        <f>'LDPE-A2'!N29+'HDPE-A3'!N29</f>
        <v>4355</v>
      </c>
      <c r="O29" s="532">
        <f>'LDPE-A2'!O29+'HDPE-A3'!O29</f>
        <v>4468</v>
      </c>
      <c r="P29" s="532">
        <f>'LDPE-A2'!P29+'HDPE-A3'!P29</f>
        <v>4805</v>
      </c>
      <c r="Q29" s="498">
        <f>'LDPE-A2'!Q29+'HDPE-A3'!Q29</f>
        <v>4805</v>
      </c>
      <c r="R29" s="573">
        <f t="shared" si="0"/>
        <v>1.9</v>
      </c>
      <c r="S29" s="256">
        <f t="shared" si="1"/>
        <v>2</v>
      </c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'LDPE-A2'!D30+'HDPE-A3'!D30</f>
        <v>19004</v>
      </c>
      <c r="E30" s="92">
        <f>'LDPE-A2'!E30+'HDPE-A3'!E30</f>
        <v>18803</v>
      </c>
      <c r="F30" s="92">
        <f>'LDPE-A2'!F30+'HDPE-A3'!F30</f>
        <v>18869</v>
      </c>
      <c r="G30" s="93">
        <f>'LDPE-A2'!G30+'HDPE-A3'!G30</f>
        <v>19287</v>
      </c>
      <c r="H30" s="93">
        <f>'LDPE-A2'!H30+'HDPE-A3'!H30</f>
        <v>19493</v>
      </c>
      <c r="I30" s="94">
        <f>'LDPE-A2'!I30+'HDPE-A3'!I30</f>
        <v>19365</v>
      </c>
      <c r="J30" s="94">
        <f>'LDPE-A2'!J30+'HDPE-A3'!J30</f>
        <v>20320</v>
      </c>
      <c r="K30" s="96">
        <f>'LDPE-A2'!K30+'HDPE-A3'!K30</f>
        <v>21063</v>
      </c>
      <c r="L30" s="95">
        <f>'LDPE-A2'!L30+'HDPE-A3'!L30</f>
        <v>23920</v>
      </c>
      <c r="M30" s="93">
        <f>'LDPE-A2'!M30+'HDPE-A3'!M30</f>
        <v>25845</v>
      </c>
      <c r="N30" s="93">
        <f>'LDPE-A2'!N30+'HDPE-A3'!N30</f>
        <v>27050</v>
      </c>
      <c r="O30" s="93">
        <f>'LDPE-A2'!O30+'HDPE-A3'!O30</f>
        <v>28238</v>
      </c>
      <c r="P30" s="93">
        <f>'LDPE-A2'!P30+'HDPE-A3'!P30</f>
        <v>29427</v>
      </c>
      <c r="Q30" s="96">
        <f>'LDPE-A2'!Q30+'HDPE-A3'!Q30</f>
        <v>29376</v>
      </c>
      <c r="R30" s="574">
        <f t="shared" si="0"/>
        <v>1.5</v>
      </c>
      <c r="S30" s="510">
        <f t="shared" si="1"/>
        <v>4.2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f>'LDPE-A2'!D31+'HDPE-A3'!D31</f>
        <v>795</v>
      </c>
      <c r="E31" s="525">
        <f>'LDPE-A2'!E31+'HDPE-A3'!E31</f>
        <v>795</v>
      </c>
      <c r="F31" s="530">
        <f>'LDPE-A2'!F31+'HDPE-A3'!F31</f>
        <v>795</v>
      </c>
      <c r="G31" s="531">
        <f>'LDPE-A2'!G31+'HDPE-A3'!G31</f>
        <v>795</v>
      </c>
      <c r="H31" s="526">
        <f>'LDPE-A2'!H31+'HDPE-A3'!H31</f>
        <v>795</v>
      </c>
      <c r="I31" s="497">
        <f>'LDPE-A2'!I31+'HDPE-A3'!I31</f>
        <v>795</v>
      </c>
      <c r="J31" s="497">
        <f>'LDPE-A2'!J31+'HDPE-A3'!J31</f>
        <v>1533</v>
      </c>
      <c r="K31" s="498">
        <f>'LDPE-A2'!K31+'HDPE-A3'!K31</f>
        <v>1845</v>
      </c>
      <c r="L31" s="533">
        <f>'LDPE-A2'!L31+'HDPE-A3'!L31</f>
        <v>1845</v>
      </c>
      <c r="M31" s="534">
        <f>'LDPE-A2'!M31+'HDPE-A3'!M31</f>
        <v>1845</v>
      </c>
      <c r="N31" s="534">
        <f>'LDPE-A2'!N31+'HDPE-A3'!N31</f>
        <v>1845</v>
      </c>
      <c r="O31" s="534">
        <f>'LDPE-A2'!O31+'HDPE-A3'!O31</f>
        <v>1845</v>
      </c>
      <c r="P31" s="534">
        <f>'LDPE-A2'!P31+'HDPE-A3'!P31</f>
        <v>1845</v>
      </c>
      <c r="Q31" s="535">
        <f>'LDPE-A2'!Q31+'HDPE-A3'!Q31</f>
        <v>1845</v>
      </c>
      <c r="R31" s="573">
        <f t="shared" si="0"/>
        <v>12.8</v>
      </c>
      <c r="S31" s="256">
        <f t="shared" si="1"/>
        <v>0</v>
      </c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f>'LDPE-A2'!D32+'HDPE-A3'!D32</f>
        <v>3015</v>
      </c>
      <c r="E32" s="525">
        <f>'LDPE-A2'!E32+'HDPE-A3'!E32</f>
        <v>3015</v>
      </c>
      <c r="F32" s="530">
        <f>'LDPE-A2'!F32+'HDPE-A3'!F32</f>
        <v>3050</v>
      </c>
      <c r="G32" s="531">
        <f>'LDPE-A2'!G32+'HDPE-A3'!G32</f>
        <v>3050</v>
      </c>
      <c r="H32" s="526">
        <f>'LDPE-A2'!H32+'HDPE-A3'!H32</f>
        <v>3050</v>
      </c>
      <c r="I32" s="497">
        <f>'LDPE-A2'!I32+'HDPE-A3'!I32</f>
        <v>3055</v>
      </c>
      <c r="J32" s="497">
        <f>'LDPE-A2'!J32+'HDPE-A3'!J32</f>
        <v>3055</v>
      </c>
      <c r="K32" s="502">
        <f>'LDPE-A2'!K32+'HDPE-A3'!K32</f>
        <v>3055</v>
      </c>
      <c r="L32" s="503">
        <f>'LDPE-A2'!L32+'HDPE-A3'!L32</f>
        <v>3055</v>
      </c>
      <c r="M32" s="496">
        <f>'LDPE-A2'!M32+'HDPE-A3'!M32</f>
        <v>3055</v>
      </c>
      <c r="N32" s="496">
        <f>'LDPE-A2'!N32+'HDPE-A3'!N32</f>
        <v>3055</v>
      </c>
      <c r="O32" s="496">
        <f>'LDPE-A2'!O32+'HDPE-A3'!O32</f>
        <v>3055</v>
      </c>
      <c r="P32" s="497">
        <f>'LDPE-A2'!P32+'HDPE-A3'!P32</f>
        <v>3055</v>
      </c>
      <c r="Q32" s="502">
        <f>'LDPE-A2'!Q32+'HDPE-A3'!Q32</f>
        <v>3055</v>
      </c>
      <c r="R32" s="573">
        <f t="shared" si="0"/>
        <v>0.2</v>
      </c>
      <c r="S32" s="256">
        <f t="shared" si="1"/>
        <v>0</v>
      </c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f>'LDPE-A2'!D33+'HDPE-A3'!D33</f>
        <v>1213</v>
      </c>
      <c r="E33" s="525">
        <f>'LDPE-A2'!E33+'HDPE-A3'!E33</f>
        <v>1213</v>
      </c>
      <c r="F33" s="530">
        <f>'LDPE-A2'!F33+'HDPE-A3'!F33</f>
        <v>1213</v>
      </c>
      <c r="G33" s="531">
        <f>'LDPE-A2'!G33+'HDPE-A3'!G33</f>
        <v>1123</v>
      </c>
      <c r="H33" s="526">
        <f>'LDPE-A2'!H33+'HDPE-A3'!H33</f>
        <v>1148</v>
      </c>
      <c r="I33" s="497">
        <f>'LDPE-A2'!I33+'HDPE-A3'!I33</f>
        <v>1148</v>
      </c>
      <c r="J33" s="497">
        <f>'LDPE-A2'!J33+'HDPE-A3'!J33</f>
        <v>1148</v>
      </c>
      <c r="K33" s="536">
        <f>'LDPE-A2'!K33+'HDPE-A3'!K33</f>
        <v>1148</v>
      </c>
      <c r="L33" s="537">
        <f>'LDPE-A2'!L33+'HDPE-A3'!L33</f>
        <v>1148</v>
      </c>
      <c r="M33" s="538">
        <f>'LDPE-A2'!M33+'HDPE-A3'!M33</f>
        <v>1148</v>
      </c>
      <c r="N33" s="538">
        <f>'LDPE-A2'!N33+'HDPE-A3'!N33</f>
        <v>1148</v>
      </c>
      <c r="O33" s="538">
        <f>'LDPE-A2'!O33+'HDPE-A3'!O33</f>
        <v>1148</v>
      </c>
      <c r="P33" s="515">
        <f>'LDPE-A2'!P33+'HDPE-A3'!P33</f>
        <v>1148</v>
      </c>
      <c r="Q33" s="502">
        <f>'LDPE-A2'!Q33+'HDPE-A3'!Q33</f>
        <v>1148</v>
      </c>
      <c r="R33" s="573">
        <f t="shared" si="0"/>
        <v>-0.8</v>
      </c>
      <c r="S33" s="256">
        <f t="shared" si="1"/>
        <v>0</v>
      </c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'LDPE-A2'!D34+'HDPE-A3'!D34</f>
        <v>5023</v>
      </c>
      <c r="E34" s="539">
        <f>'LDPE-A2'!E34+'HDPE-A3'!E34</f>
        <v>5023</v>
      </c>
      <c r="F34" s="539">
        <f>'LDPE-A2'!F34+'HDPE-A3'!F34</f>
        <v>5058</v>
      </c>
      <c r="G34" s="100">
        <f>'LDPE-A2'!G34+'HDPE-A3'!G34</f>
        <v>4968</v>
      </c>
      <c r="H34" s="100">
        <f>'LDPE-A2'!H34+'HDPE-A3'!H34</f>
        <v>4993</v>
      </c>
      <c r="I34" s="100">
        <f>'LDPE-A2'!I34+'HDPE-A3'!I34</f>
        <v>4998</v>
      </c>
      <c r="J34" s="101">
        <f>'LDPE-A2'!J34+'HDPE-A3'!J34</f>
        <v>5736</v>
      </c>
      <c r="K34" s="104">
        <f>'LDPE-A2'!K34+'HDPE-A3'!K34</f>
        <v>6048</v>
      </c>
      <c r="L34" s="540">
        <f>'LDPE-A2'!L34+'HDPE-A3'!L34</f>
        <v>6048</v>
      </c>
      <c r="M34" s="100">
        <f>'LDPE-A2'!M34+'HDPE-A3'!M34</f>
        <v>6048</v>
      </c>
      <c r="N34" s="100">
        <f>'LDPE-A2'!N34+'HDPE-A3'!N34</f>
        <v>6048</v>
      </c>
      <c r="O34" s="100">
        <f>'LDPE-A2'!O34+'HDPE-A3'!O34</f>
        <v>6048</v>
      </c>
      <c r="P34" s="100">
        <f>'LDPE-A2'!P34+'HDPE-A3'!P34</f>
        <v>6048</v>
      </c>
      <c r="Q34" s="103">
        <f>'LDPE-A2'!Q34+'HDPE-A3'!Q34</f>
        <v>6048</v>
      </c>
      <c r="R34" s="576">
        <f t="shared" si="0"/>
        <v>2.7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'LDPE-A2'!D35+'HDPE-A3'!D35</f>
        <v>89544</v>
      </c>
      <c r="E35" s="543">
        <f>'LDPE-A2'!E35+'HDPE-A3'!E35</f>
        <v>91343</v>
      </c>
      <c r="F35" s="543">
        <f>'LDPE-A2'!F35+'HDPE-A3'!F35</f>
        <v>95107</v>
      </c>
      <c r="G35" s="544">
        <f>'LDPE-A2'!G35+'HDPE-A3'!G35</f>
        <v>96644</v>
      </c>
      <c r="H35" s="544">
        <f>'LDPE-A2'!H35+'HDPE-A3'!H35</f>
        <v>100252</v>
      </c>
      <c r="I35" s="544">
        <f>'LDPE-A2'!I35+'HDPE-A3'!I35</f>
        <v>102301</v>
      </c>
      <c r="J35" s="545">
        <f>'LDPE-A2'!J35+'HDPE-A3'!J35</f>
        <v>107765</v>
      </c>
      <c r="K35" s="546">
        <f>'LDPE-A2'!K35+'HDPE-A3'!K35</f>
        <v>110866</v>
      </c>
      <c r="L35" s="547">
        <f>'LDPE-A2'!L35+'HDPE-A3'!L35</f>
        <v>116037</v>
      </c>
      <c r="M35" s="544">
        <f>'LDPE-A2'!M35+'HDPE-A3'!M35</f>
        <v>121529</v>
      </c>
      <c r="N35" s="544">
        <f>'LDPE-A2'!N35+'HDPE-A3'!N35</f>
        <v>128254</v>
      </c>
      <c r="O35" s="544">
        <f>'LDPE-A2'!O35+'HDPE-A3'!O35</f>
        <v>133828</v>
      </c>
      <c r="P35" s="544">
        <f>'LDPE-A2'!P35+'HDPE-A3'!P35</f>
        <v>137392</v>
      </c>
      <c r="Q35" s="577">
        <f>'LDPE-A2'!Q35+'HDPE-A3'!Q35</f>
        <v>140291</v>
      </c>
      <c r="R35" s="578">
        <f t="shared" si="0"/>
        <v>3.1</v>
      </c>
      <c r="S35" s="549">
        <f t="shared" si="1"/>
        <v>3.9</v>
      </c>
    </row>
    <row r="36" spans="1:33" ht="15" customHeight="1">
      <c r="A36" s="613" t="s">
        <v>324</v>
      </c>
      <c r="B36" s="666" t="s">
        <v>433</v>
      </c>
      <c r="C36" s="667"/>
      <c r="D36" s="487">
        <f>'LDPE-A2'!D36+'HDPE-A3'!D36</f>
        <v>4074</v>
      </c>
      <c r="E36" s="488">
        <f>'LDPE-A2'!E36+'HDPE-A3'!E36</f>
        <v>4076</v>
      </c>
      <c r="F36" s="489">
        <f>'LDPE-A2'!F36+'HDPE-A3'!F36</f>
        <v>4191</v>
      </c>
      <c r="G36" s="489">
        <f>'LDPE-A2'!G36+'HDPE-A3'!G36</f>
        <v>4414</v>
      </c>
      <c r="H36" s="488">
        <f>'LDPE-A2'!H36+'HDPE-A3'!H36</f>
        <v>4737</v>
      </c>
      <c r="I36" s="489">
        <f>'LDPE-A2'!I36+'HDPE-A3'!I36</f>
        <v>4850</v>
      </c>
      <c r="J36" s="550">
        <f>'LDPE-A2'!J36+'HDPE-A3'!J36</f>
        <v>4832</v>
      </c>
      <c r="K36" s="490">
        <f>'LDPE-A2'!K36+'HDPE-A3'!K36</f>
        <v>5036</v>
      </c>
      <c r="L36" s="491">
        <f>'LDPE-A2'!L36+'HDPE-A3'!L36</f>
        <v>5050</v>
      </c>
      <c r="M36" s="492">
        <f>'LDPE-A2'!M36+'HDPE-A3'!M36</f>
        <v>5350</v>
      </c>
      <c r="N36" s="492">
        <f>'LDPE-A2'!N36+'HDPE-A3'!N36</f>
        <v>5850</v>
      </c>
      <c r="O36" s="492">
        <f>'LDPE-A2'!O36+'HDPE-A3'!O36</f>
        <v>6600</v>
      </c>
      <c r="P36" s="493">
        <f>'LDPE-A2'!P36+'HDPE-A3'!P36</f>
        <v>7100</v>
      </c>
      <c r="Q36" s="498">
        <f>'LDPE-A2'!Q36+'HDPE-A3'!Q36</f>
        <v>7600</v>
      </c>
      <c r="R36" s="573">
        <f t="shared" si="0"/>
        <v>3.1</v>
      </c>
      <c r="S36" s="256">
        <f t="shared" si="1"/>
        <v>8.5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f>'LDPE-A2'!D37+'HDPE-A3'!D37</f>
        <v>1234</v>
      </c>
      <c r="E37" s="496">
        <f>'LDPE-A2'!E37+'HDPE-A3'!E37</f>
        <v>1091</v>
      </c>
      <c r="F37" s="497">
        <f>'LDPE-A2'!F37+'HDPE-A3'!F37</f>
        <v>969</v>
      </c>
      <c r="G37" s="497">
        <f>'LDPE-A2'!G37+'HDPE-A3'!G37</f>
        <v>1149</v>
      </c>
      <c r="H37" s="496">
        <f>'LDPE-A2'!H37+'HDPE-A3'!H37</f>
        <v>1099</v>
      </c>
      <c r="I37" s="497">
        <f>'LDPE-A2'!I37+'HDPE-A3'!I37</f>
        <v>1196</v>
      </c>
      <c r="J37" s="551">
        <f>'LDPE-A2'!J37+'HDPE-A3'!J37</f>
        <v>1269</v>
      </c>
      <c r="K37" s="498">
        <f>'LDPE-A2'!K37+'HDPE-A3'!K37</f>
        <v>1269</v>
      </c>
      <c r="L37" s="499">
        <f>'LDPE-A2'!L37+'HDPE-A3'!L37</f>
        <v>1270</v>
      </c>
      <c r="M37" s="500">
        <f>'LDPE-A2'!M37+'HDPE-A3'!M37</f>
        <v>1290</v>
      </c>
      <c r="N37" s="500">
        <f>'LDPE-A2'!N37+'HDPE-A3'!N37</f>
        <v>1290</v>
      </c>
      <c r="O37" s="500">
        <f>'LDPE-A2'!O37+'HDPE-A3'!O37</f>
        <v>1300</v>
      </c>
      <c r="P37" s="501">
        <f>'LDPE-A2'!P37+'HDPE-A3'!P37</f>
        <v>1300</v>
      </c>
      <c r="Q37" s="498">
        <f>'LDPE-A2'!Q37+'HDPE-A3'!Q37</f>
        <v>1300</v>
      </c>
      <c r="R37" s="573">
        <f t="shared" si="0"/>
        <v>0.4</v>
      </c>
      <c r="S37" s="256">
        <f t="shared" si="1"/>
        <v>0.5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f>'LDPE-A2'!D38+'HDPE-A3'!D38</f>
        <v>1121</v>
      </c>
      <c r="E38" s="496">
        <f>'LDPE-A2'!E38+'HDPE-A3'!E38</f>
        <v>1105.8333333333333</v>
      </c>
      <c r="F38" s="497">
        <f>'LDPE-A2'!F38+'HDPE-A3'!F38</f>
        <v>1321</v>
      </c>
      <c r="G38" s="497">
        <f>'LDPE-A2'!G38+'HDPE-A3'!G38</f>
        <v>2043.25</v>
      </c>
      <c r="H38" s="496">
        <f>'LDPE-A2'!H38+'HDPE-A3'!H38</f>
        <v>2390.9156875330482</v>
      </c>
      <c r="I38" s="497">
        <f>'LDPE-A2'!I38+'HDPE-A3'!I38</f>
        <v>2345.3424657534247</v>
      </c>
      <c r="J38" s="497">
        <f>'LDPE-A2'!J38+'HDPE-A3'!J38</f>
        <v>2388</v>
      </c>
      <c r="K38" s="502">
        <f>'LDPE-A2'!K38+'HDPE-A3'!K38</f>
        <v>2235</v>
      </c>
      <c r="L38" s="503">
        <f>'LDPE-A2'!L38+'HDPE-A3'!L38</f>
        <v>2498</v>
      </c>
      <c r="M38" s="496">
        <f>'LDPE-A2'!M38+'HDPE-A3'!M38</f>
        <v>2605</v>
      </c>
      <c r="N38" s="496">
        <f>'LDPE-A2'!N38+'HDPE-A3'!N38</f>
        <v>2632</v>
      </c>
      <c r="O38" s="496">
        <f>'LDPE-A2'!O38+'HDPE-A3'!O38</f>
        <v>2614</v>
      </c>
      <c r="P38" s="279">
        <f>'LDPE-A2'!P38+'HDPE-A3'!P38</f>
        <v>2514</v>
      </c>
      <c r="Q38" s="502">
        <f>'LDPE-A2'!Q38+'HDPE-A3'!Q38</f>
        <v>2543</v>
      </c>
      <c r="R38" s="573">
        <f t="shared" si="0"/>
        <v>10.4</v>
      </c>
      <c r="S38" s="256">
        <f t="shared" si="1"/>
        <v>0.4</v>
      </c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</row>
    <row r="39" spans="1:33" ht="15" customHeight="1">
      <c r="A39" s="16"/>
      <c r="B39" s="668" t="s">
        <v>436</v>
      </c>
      <c r="C39" s="669"/>
      <c r="D39" s="495">
        <f>'LDPE-A2'!D39+'HDPE-A3'!D39</f>
        <v>10681</v>
      </c>
      <c r="E39" s="496">
        <f>'LDPE-A2'!E39+'HDPE-A3'!E39</f>
        <v>11304</v>
      </c>
      <c r="F39" s="497">
        <f>'LDPE-A2'!F39+'HDPE-A3'!F39</f>
        <v>10851</v>
      </c>
      <c r="G39" s="497">
        <f>'LDPE-A2'!G39+'HDPE-A3'!G39</f>
        <v>12325</v>
      </c>
      <c r="H39" s="496">
        <f>'LDPE-A2'!H39+'HDPE-A3'!H39</f>
        <v>13453</v>
      </c>
      <c r="I39" s="497">
        <f>'LDPE-A2'!I39+'HDPE-A3'!I39</f>
        <v>14231</v>
      </c>
      <c r="J39" s="497">
        <f>'LDPE-A2'!J39+'HDPE-A3'!J39</f>
        <v>15920</v>
      </c>
      <c r="K39" s="502">
        <f>'LDPE-A2'!K39+'HDPE-A3'!K39</f>
        <v>16477</v>
      </c>
      <c r="L39" s="503">
        <f>'LDPE-A2'!L39+'HDPE-A3'!L39</f>
        <v>17592</v>
      </c>
      <c r="M39" s="496">
        <f>'LDPE-A2'!M39+'HDPE-A3'!M39</f>
        <v>18504</v>
      </c>
      <c r="N39" s="496">
        <f>'LDPE-A2'!N39+'HDPE-A3'!N39</f>
        <v>20047</v>
      </c>
      <c r="O39" s="496">
        <f>'LDPE-A2'!O39+'HDPE-A3'!O39</f>
        <v>21476</v>
      </c>
      <c r="P39" s="279">
        <f>'LDPE-A2'!P39+'HDPE-A3'!P39</f>
        <v>22246</v>
      </c>
      <c r="Q39" s="502">
        <f>'LDPE-A2'!Q39+'HDPE-A3'!Q39</f>
        <v>23219</v>
      </c>
      <c r="R39" s="573">
        <f t="shared" si="0"/>
        <v>6.4</v>
      </c>
      <c r="S39" s="256">
        <f t="shared" si="1"/>
        <v>5.7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f>'LDPE-A2'!D40+'HDPE-A3'!D40</f>
        <v>2263</v>
      </c>
      <c r="E40" s="496">
        <f>'LDPE-A2'!E40+'HDPE-A3'!E40</f>
        <v>3120</v>
      </c>
      <c r="F40" s="497">
        <f>'LDPE-A2'!F40+'HDPE-A3'!F40</f>
        <v>3114</v>
      </c>
      <c r="G40" s="497">
        <f>'LDPE-A2'!G40+'HDPE-A3'!G40</f>
        <v>3132.46</v>
      </c>
      <c r="H40" s="496">
        <f>'LDPE-A2'!H40+'HDPE-A3'!H40</f>
        <v>3187</v>
      </c>
      <c r="I40" s="497">
        <f>'LDPE-A2'!I40+'HDPE-A3'!I40</f>
        <v>3363</v>
      </c>
      <c r="J40" s="497">
        <f>'LDPE-A2'!J40+'HDPE-A3'!J40</f>
        <v>3308</v>
      </c>
      <c r="K40" s="502">
        <f>'LDPE-A2'!K40+'HDPE-A3'!K40</f>
        <v>3317</v>
      </c>
      <c r="L40" s="503">
        <f>'LDPE-A2'!L40+'HDPE-A3'!L40</f>
        <v>3617</v>
      </c>
      <c r="M40" s="496">
        <f>'LDPE-A2'!M40+'HDPE-A3'!M40</f>
        <v>3617</v>
      </c>
      <c r="N40" s="496">
        <f>'LDPE-A2'!N40+'HDPE-A3'!N40</f>
        <v>3617</v>
      </c>
      <c r="O40" s="496">
        <f>'LDPE-A2'!O40+'HDPE-A3'!O40</f>
        <v>3617</v>
      </c>
      <c r="P40" s="279">
        <f>'LDPE-A2'!P40+'HDPE-A3'!P40</f>
        <v>3617</v>
      </c>
      <c r="Q40" s="502">
        <f>'LDPE-A2'!Q40+'HDPE-A3'!Q40</f>
        <v>3617</v>
      </c>
      <c r="R40" s="573">
        <f t="shared" si="0"/>
        <v>5.6</v>
      </c>
      <c r="S40" s="256">
        <f t="shared" si="1"/>
        <v>0</v>
      </c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f>'LDPE-A2'!D41+'HDPE-A3'!D41</f>
        <v>570</v>
      </c>
      <c r="E41" s="45">
        <f>'LDPE-A2'!E41+'HDPE-A3'!E41</f>
        <v>570</v>
      </c>
      <c r="F41" s="49">
        <f>'LDPE-A2'!F41+'HDPE-A3'!F41</f>
        <v>570</v>
      </c>
      <c r="G41" s="45">
        <f>'LDPE-A2'!G41+'HDPE-A3'!G41</f>
        <v>570</v>
      </c>
      <c r="H41" s="49">
        <f>'LDPE-A2'!H41+'HDPE-A3'!H41</f>
        <v>570</v>
      </c>
      <c r="I41" s="45">
        <f>'LDPE-A2'!I41+'HDPE-A3'!I41</f>
        <v>570</v>
      </c>
      <c r="J41" s="49">
        <f>'LDPE-A2'!J41+'HDPE-A3'!J41</f>
        <v>570</v>
      </c>
      <c r="K41" s="50">
        <f>'LDPE-A2'!K41+'HDPE-A3'!K41</f>
        <v>570</v>
      </c>
      <c r="L41" s="504">
        <f>'LDPE-A2'!L41+'HDPE-A3'!L41</f>
        <v>600</v>
      </c>
      <c r="M41" s="45">
        <f>'LDPE-A2'!M41+'HDPE-A3'!M41</f>
        <v>600</v>
      </c>
      <c r="N41" s="45">
        <f>'LDPE-A2'!N41+'HDPE-A3'!N41</f>
        <v>600</v>
      </c>
      <c r="O41" s="45">
        <f>'LDPE-A2'!O41+'HDPE-A3'!O41</f>
        <v>1300</v>
      </c>
      <c r="P41" s="45">
        <f>'LDPE-A2'!P41+'HDPE-A3'!P41</f>
        <v>1300</v>
      </c>
      <c r="Q41" s="51">
        <f>'LDPE-A2'!Q41+'HDPE-A3'!Q41</f>
        <v>1300</v>
      </c>
      <c r="R41" s="573">
        <f t="shared" si="0"/>
        <v>0</v>
      </c>
      <c r="S41" s="256">
        <f t="shared" si="1"/>
        <v>16.7</v>
      </c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f>'LDPE-A2'!D42+'HDPE-A3'!D42</f>
        <v>2693</v>
      </c>
      <c r="E42" s="49">
        <f>'LDPE-A2'!E42+'HDPE-A3'!E42</f>
        <v>2911</v>
      </c>
      <c r="F42" s="45">
        <f>'LDPE-A2'!F42+'HDPE-A3'!F42</f>
        <v>2320</v>
      </c>
      <c r="G42" s="49">
        <f>'LDPE-A2'!G42+'HDPE-A3'!G42</f>
        <v>2485</v>
      </c>
      <c r="H42" s="49">
        <f>'LDPE-A2'!H42+'HDPE-A3'!H42</f>
        <v>2654</v>
      </c>
      <c r="I42" s="45">
        <f>'LDPE-A2'!I42+'HDPE-A3'!I42</f>
        <v>2881</v>
      </c>
      <c r="J42" s="49">
        <f>'LDPE-A2'!J42+'HDPE-A3'!J42</f>
        <v>2770</v>
      </c>
      <c r="K42" s="50">
        <f>'LDPE-A2'!K42+'HDPE-A3'!K42</f>
        <v>3150</v>
      </c>
      <c r="L42" s="504">
        <f>'LDPE-A2'!L42+'HDPE-A3'!L42</f>
        <v>3400</v>
      </c>
      <c r="M42" s="45">
        <f>'LDPE-A2'!M42+'HDPE-A3'!M42</f>
        <v>3600</v>
      </c>
      <c r="N42" s="45">
        <f>'LDPE-A2'!N42+'HDPE-A3'!N42</f>
        <v>3900</v>
      </c>
      <c r="O42" s="45">
        <f>'LDPE-A2'!O42+'HDPE-A3'!O42</f>
        <v>4200</v>
      </c>
      <c r="P42" s="49">
        <f>'LDPE-A2'!P42+'HDPE-A3'!P42</f>
        <v>4400</v>
      </c>
      <c r="Q42" s="50">
        <f>'LDPE-A2'!Q42+'HDPE-A3'!Q42</f>
        <v>4400</v>
      </c>
      <c r="R42" s="573">
        <f t="shared" si="0"/>
        <v>2.2999999999999998</v>
      </c>
      <c r="S42" s="256">
        <f t="shared" si="1"/>
        <v>5.3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>
        <f>'LDPE-A2'!D43+'HDPE-A3'!D43</f>
        <v>0</v>
      </c>
      <c r="E43" s="41">
        <f>'LDPE-A2'!E43+'HDPE-A3'!E43</f>
        <v>0</v>
      </c>
      <c r="F43" s="40">
        <f>'LDPE-A2'!F43+'HDPE-A3'!F43</f>
        <v>0</v>
      </c>
      <c r="G43" s="41">
        <f>'LDPE-A2'!G43+'HDPE-A3'!G43</f>
        <v>0</v>
      </c>
      <c r="H43" s="41">
        <f>'LDPE-A2'!H43+'HDPE-A3'!H43</f>
        <v>0</v>
      </c>
      <c r="I43" s="40">
        <f>'LDPE-A2'!I43+'HDPE-A3'!I43</f>
        <v>0</v>
      </c>
      <c r="J43" s="41">
        <f>'LDPE-A2'!J43+'HDPE-A3'!J43</f>
        <v>0</v>
      </c>
      <c r="K43" s="42">
        <f>'LDPE-A2'!K43+'HDPE-A3'!K43</f>
        <v>0</v>
      </c>
      <c r="L43" s="552">
        <f>'LDPE-A2'!L43+'HDPE-A3'!L43</f>
        <v>0</v>
      </c>
      <c r="M43" s="40">
        <f>'LDPE-A2'!M43+'HDPE-A3'!M43</f>
        <v>0</v>
      </c>
      <c r="N43" s="40">
        <f>'LDPE-A2'!N43+'HDPE-A3'!N43</f>
        <v>0</v>
      </c>
      <c r="O43" s="40">
        <f>'LDPE-A2'!O43+'HDPE-A3'!O43</f>
        <v>0</v>
      </c>
      <c r="P43" s="40">
        <f>'LDPE-A2'!P43+'HDPE-A3'!P43</f>
        <v>0</v>
      </c>
      <c r="Q43" s="44">
        <f>'LDPE-A2'!Q43+'HDPE-A3'!Q43</f>
        <v>0</v>
      </c>
      <c r="R43" s="573" t="str">
        <f t="shared" si="0"/>
        <v xml:space="preserve">     -</v>
      </c>
      <c r="S43" s="256" t="str">
        <f t="shared" si="1"/>
        <v xml:space="preserve">     -</v>
      </c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f>'LDPE-A2'!D44+'HDPE-A3'!D44</f>
        <v>135</v>
      </c>
      <c r="E44" s="49">
        <f>'LDPE-A2'!E44+'HDPE-A3'!E44</f>
        <v>109</v>
      </c>
      <c r="F44" s="45">
        <f>'LDPE-A2'!F44+'HDPE-A3'!F44</f>
        <v>100</v>
      </c>
      <c r="G44" s="49">
        <f>'LDPE-A2'!G44+'HDPE-A3'!G44</f>
        <v>37</v>
      </c>
      <c r="H44" s="49">
        <f>'LDPE-A2'!H44+'HDPE-A3'!H44</f>
        <v>28</v>
      </c>
      <c r="I44" s="45">
        <f>'LDPE-A2'!I44+'HDPE-A3'!I44</f>
        <v>137.93</v>
      </c>
      <c r="J44" s="49">
        <f>'LDPE-A2'!J44+'HDPE-A3'!J44</f>
        <v>200</v>
      </c>
      <c r="K44" s="50">
        <f>'LDPE-A2'!K44+'HDPE-A3'!K44</f>
        <v>260</v>
      </c>
      <c r="L44" s="504">
        <f>'LDPE-A2'!L44+'HDPE-A3'!L44</f>
        <v>300</v>
      </c>
      <c r="M44" s="45">
        <f>'LDPE-A2'!M44+'HDPE-A3'!M44</f>
        <v>340</v>
      </c>
      <c r="N44" s="45">
        <f>'LDPE-A2'!N44+'HDPE-A3'!N44</f>
        <v>380</v>
      </c>
      <c r="O44" s="45">
        <f>'LDPE-A2'!O44+'HDPE-A3'!O44</f>
        <v>420</v>
      </c>
      <c r="P44" s="45">
        <f>'LDPE-A2'!P44+'HDPE-A3'!P44</f>
        <v>460</v>
      </c>
      <c r="Q44" s="51">
        <f>'LDPE-A2'!Q44+'HDPE-A3'!Q44</f>
        <v>500</v>
      </c>
      <c r="R44" s="573">
        <f t="shared" si="0"/>
        <v>9.8000000000000007</v>
      </c>
      <c r="S44" s="256">
        <f t="shared" si="1"/>
        <v>10.8</v>
      </c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f>'LDPE-A2'!D45+'HDPE-A3'!D45</f>
        <v>1043</v>
      </c>
      <c r="E45" s="496">
        <f>'LDPE-A2'!E45+'HDPE-A3'!E45</f>
        <v>1033</v>
      </c>
      <c r="F45" s="497">
        <f>'LDPE-A2'!F45+'HDPE-A3'!F45</f>
        <v>1042</v>
      </c>
      <c r="G45" s="497">
        <f>'LDPE-A2'!G45+'HDPE-A3'!G45</f>
        <v>1002</v>
      </c>
      <c r="H45" s="496">
        <f>'LDPE-A2'!H45+'HDPE-A3'!H45</f>
        <v>889.25600000000009</v>
      </c>
      <c r="I45" s="497">
        <f>'LDPE-A2'!I45+'HDPE-A3'!I45</f>
        <v>992.13599999999997</v>
      </c>
      <c r="J45" s="497">
        <f>'LDPE-A2'!J45+'HDPE-A3'!J45</f>
        <v>941.12100000000009</v>
      </c>
      <c r="K45" s="502">
        <f>'LDPE-A2'!K45+'HDPE-A3'!K45</f>
        <v>952.95900000000006</v>
      </c>
      <c r="L45" s="503">
        <f>'LDPE-A2'!L45+'HDPE-A3'!L45</f>
        <v>952.95900000000006</v>
      </c>
      <c r="M45" s="496">
        <f>'LDPE-A2'!M45+'HDPE-A3'!M45</f>
        <v>952.95900000000006</v>
      </c>
      <c r="N45" s="496">
        <f>'LDPE-A2'!N45+'HDPE-A3'!N45</f>
        <v>1427.9590000000001</v>
      </c>
      <c r="O45" s="496">
        <f>'LDPE-A2'!O45+'HDPE-A3'!O45</f>
        <v>1602.9590000000001</v>
      </c>
      <c r="P45" s="497">
        <f>'LDPE-A2'!P45+'HDPE-A3'!P45</f>
        <v>1602.9590000000001</v>
      </c>
      <c r="Q45" s="502">
        <f>'LDPE-A2'!Q45+'HDPE-A3'!Q45</f>
        <v>1602.9590000000001</v>
      </c>
      <c r="R45" s="573">
        <f t="shared" si="0"/>
        <v>-1.3</v>
      </c>
      <c r="S45" s="256">
        <f t="shared" si="1"/>
        <v>11</v>
      </c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f>'LDPE-A2'!D46+'HDPE-A3'!D46</f>
        <v>0</v>
      </c>
      <c r="E46" s="49">
        <f>'LDPE-A2'!E46+'HDPE-A3'!E46</f>
        <v>0</v>
      </c>
      <c r="F46" s="45">
        <f>'LDPE-A2'!F46+'HDPE-A3'!F46</f>
        <v>0</v>
      </c>
      <c r="G46" s="49">
        <f>'LDPE-A2'!G46+'HDPE-A3'!G46</f>
        <v>0</v>
      </c>
      <c r="H46" s="49">
        <f>'LDPE-A2'!H46+'HDPE-A3'!H46</f>
        <v>0</v>
      </c>
      <c r="I46" s="45">
        <f>'LDPE-A2'!I46+'HDPE-A3'!I46</f>
        <v>0</v>
      </c>
      <c r="J46" s="49">
        <f>'LDPE-A2'!J46+'HDPE-A3'!J46</f>
        <v>0</v>
      </c>
      <c r="K46" s="50">
        <f>'LDPE-A2'!K46+'HDPE-A3'!K46</f>
        <v>0</v>
      </c>
      <c r="L46" s="504">
        <f>'LDPE-A2'!L46+'HDPE-A3'!L46</f>
        <v>0</v>
      </c>
      <c r="M46" s="45">
        <f>'LDPE-A2'!M46+'HDPE-A3'!M46</f>
        <v>0</v>
      </c>
      <c r="N46" s="45">
        <f>'LDPE-A2'!N46+'HDPE-A3'!N46</f>
        <v>0</v>
      </c>
      <c r="O46" s="45">
        <f>'LDPE-A2'!O46+'HDPE-A3'!O46</f>
        <v>0</v>
      </c>
      <c r="P46" s="45">
        <f>'LDPE-A2'!P46+'HDPE-A3'!P46</f>
        <v>0</v>
      </c>
      <c r="Q46" s="51">
        <f>'LDPE-A2'!Q46+'HDPE-A3'!Q46</f>
        <v>950</v>
      </c>
      <c r="R46" s="573" t="str">
        <f t="shared" si="0"/>
        <v xml:space="preserve">     -</v>
      </c>
      <c r="S46" s="256" t="str">
        <f t="shared" si="1"/>
        <v xml:space="preserve">     -</v>
      </c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f>'LDPE-A2'!D47+'HDPE-A3'!D47</f>
        <v>2900.3</v>
      </c>
      <c r="E47" s="496">
        <f>'LDPE-A2'!E47+'HDPE-A3'!E47</f>
        <v>2783.5</v>
      </c>
      <c r="F47" s="497">
        <f>'LDPE-A2'!F47+'HDPE-A3'!F47</f>
        <v>2579.3000000000002</v>
      </c>
      <c r="G47" s="497">
        <f>'LDPE-A2'!G47+'HDPE-A3'!G47</f>
        <v>2599.6999999999998</v>
      </c>
      <c r="H47" s="496">
        <f>'LDPE-A2'!H47+'HDPE-A3'!H47</f>
        <v>2610.9</v>
      </c>
      <c r="I47" s="497">
        <f>'LDPE-A2'!I47+'HDPE-A3'!I47</f>
        <v>2577.3000000000002</v>
      </c>
      <c r="J47" s="497">
        <f>'LDPE-A2'!J47+'HDPE-A3'!J47</f>
        <v>2547.1000000000004</v>
      </c>
      <c r="K47" s="502">
        <f>'LDPE-A2'!K47+'HDPE-A3'!K47</f>
        <v>2638.4</v>
      </c>
      <c r="L47" s="503">
        <f>'LDPE-A2'!L47+'HDPE-A3'!L47</f>
        <v>2447.9</v>
      </c>
      <c r="M47" s="496">
        <f>'LDPE-A2'!M47+'HDPE-A3'!M47</f>
        <v>2376.9</v>
      </c>
      <c r="N47" s="496">
        <f>'LDPE-A2'!N47+'HDPE-A3'!N47</f>
        <v>2356.1</v>
      </c>
      <c r="O47" s="496">
        <f>'LDPE-A2'!O47+'HDPE-A3'!O47</f>
        <v>2349.5</v>
      </c>
      <c r="P47" s="497">
        <f>'LDPE-A2'!P47+'HDPE-A3'!P47</f>
        <v>2343.6</v>
      </c>
      <c r="Q47" s="502">
        <f>'LDPE-A2'!Q47+'HDPE-A3'!Q47</f>
        <v>2337.6</v>
      </c>
      <c r="R47" s="573">
        <f t="shared" si="0"/>
        <v>-1.3</v>
      </c>
      <c r="S47" s="256">
        <f t="shared" si="1"/>
        <v>-0.9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'LDPE-A2'!D48+'HDPE-A3'!D48</f>
        <v>26714.300000000003</v>
      </c>
      <c r="E48" s="93">
        <f>'LDPE-A2'!E48+'HDPE-A3'!E48</f>
        <v>28103.333333333336</v>
      </c>
      <c r="F48" s="93">
        <f>'LDPE-A2'!F48+'HDPE-A3'!F48</f>
        <v>27057.300000000003</v>
      </c>
      <c r="G48" s="93">
        <f>'LDPE-A2'!G48+'HDPE-A3'!G48</f>
        <v>29757.409999999996</v>
      </c>
      <c r="H48" s="93">
        <f>'LDPE-A2'!H48+'HDPE-A3'!H48</f>
        <v>31619.071687533047</v>
      </c>
      <c r="I48" s="93">
        <f>'LDPE-A2'!I48+'HDPE-A3'!I48</f>
        <v>33143.708465753429</v>
      </c>
      <c r="J48" s="93">
        <f>'LDPE-A2'!J48+'HDPE-A3'!J48</f>
        <v>34745.221000000005</v>
      </c>
      <c r="K48" s="96">
        <f>'LDPE-A2'!K48+'HDPE-A3'!K48</f>
        <v>35905.358999999997</v>
      </c>
      <c r="L48" s="95">
        <f>'LDPE-A2'!L48+'HDPE-A3'!L48</f>
        <v>37727.858999999997</v>
      </c>
      <c r="M48" s="93">
        <f>'LDPE-A2'!M48+'HDPE-A3'!M48</f>
        <v>39235.858999999997</v>
      </c>
      <c r="N48" s="93">
        <f>'LDPE-A2'!N48+'HDPE-A3'!N48</f>
        <v>42100.058999999994</v>
      </c>
      <c r="O48" s="93">
        <f>'LDPE-A2'!O48+'HDPE-A3'!O48</f>
        <v>45479.459000000003</v>
      </c>
      <c r="P48" s="93">
        <f>'LDPE-A2'!P48+'HDPE-A3'!P48</f>
        <v>46883.559000000001</v>
      </c>
      <c r="Q48" s="96">
        <f>'LDPE-A2'!Q48+'HDPE-A3'!Q48</f>
        <v>49369.558999999994</v>
      </c>
      <c r="R48" s="574">
        <f t="shared" si="0"/>
        <v>4.3</v>
      </c>
      <c r="S48" s="510">
        <f t="shared" si="1"/>
        <v>5.5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f>'LDPE-A2'!D49+'HDPE-A3'!D49</f>
        <v>367</v>
      </c>
      <c r="E49" s="512">
        <f>'LDPE-A2'!E49+'HDPE-A3'!E49</f>
        <v>325</v>
      </c>
      <c r="F49" s="512">
        <f>'LDPE-A2'!F49+'HDPE-A3'!F49</f>
        <v>350</v>
      </c>
      <c r="G49" s="512">
        <f>'LDPE-A2'!G49+'HDPE-A3'!G49</f>
        <v>375</v>
      </c>
      <c r="H49" s="512">
        <f>'LDPE-A2'!H49+'HDPE-A3'!H49</f>
        <v>375</v>
      </c>
      <c r="I49" s="512">
        <f>'LDPE-A2'!I49+'HDPE-A3'!I49</f>
        <v>375</v>
      </c>
      <c r="J49" s="513">
        <f>'LDPE-A2'!J49+'HDPE-A3'!J49</f>
        <v>375</v>
      </c>
      <c r="K49" s="514">
        <f>'LDPE-A2'!K49+'HDPE-A3'!K49</f>
        <v>355</v>
      </c>
      <c r="L49" s="511">
        <f>'LDPE-A2'!L49+'HDPE-A3'!L49</f>
        <v>365</v>
      </c>
      <c r="M49" s="512">
        <f>'LDPE-A2'!M49+'HDPE-A3'!M49</f>
        <v>365</v>
      </c>
      <c r="N49" s="512">
        <f>'LDPE-A2'!N49+'HDPE-A3'!N49</f>
        <v>365</v>
      </c>
      <c r="O49" s="512">
        <f>'LDPE-A2'!O49+'HDPE-A3'!O49</f>
        <v>365</v>
      </c>
      <c r="P49" s="513">
        <f>'LDPE-A2'!P49+'HDPE-A3'!P49</f>
        <v>365</v>
      </c>
      <c r="Q49" s="514">
        <f>'LDPE-A2'!Q49+'HDPE-A3'!Q49</f>
        <v>365</v>
      </c>
      <c r="R49" s="574">
        <f t="shared" si="0"/>
        <v>-0.5</v>
      </c>
      <c r="S49" s="510">
        <f t="shared" si="1"/>
        <v>0</v>
      </c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f>'LDPE-A2'!D50+'HDPE-A3'!D50</f>
        <v>367</v>
      </c>
      <c r="E50" s="512">
        <f>'LDPE-A2'!E50+'HDPE-A3'!E50</f>
        <v>325</v>
      </c>
      <c r="F50" s="512">
        <f>'LDPE-A2'!F50+'HDPE-A3'!F50</f>
        <v>350</v>
      </c>
      <c r="G50" s="512">
        <f>'LDPE-A2'!G50+'HDPE-A3'!G50</f>
        <v>375</v>
      </c>
      <c r="H50" s="512">
        <f>'LDPE-A2'!H50+'HDPE-A3'!H50</f>
        <v>375</v>
      </c>
      <c r="I50" s="512">
        <f>'LDPE-A2'!I50+'HDPE-A3'!I50</f>
        <v>375</v>
      </c>
      <c r="J50" s="513">
        <f>'LDPE-A2'!J50+'HDPE-A3'!J50</f>
        <v>375</v>
      </c>
      <c r="K50" s="514">
        <f>'LDPE-A2'!K50+'HDPE-A3'!K50</f>
        <v>355</v>
      </c>
      <c r="L50" s="511">
        <f>'LDPE-A2'!L50+'HDPE-A3'!L50</f>
        <v>365</v>
      </c>
      <c r="M50" s="512">
        <f>'LDPE-A2'!M50+'HDPE-A3'!M50</f>
        <v>365</v>
      </c>
      <c r="N50" s="512">
        <f>'LDPE-A2'!N50+'HDPE-A3'!N50</f>
        <v>365</v>
      </c>
      <c r="O50" s="512">
        <f>'LDPE-A2'!O50+'HDPE-A3'!O50</f>
        <v>365</v>
      </c>
      <c r="P50" s="513">
        <f>'LDPE-A2'!P50+'HDPE-A3'!P50</f>
        <v>365</v>
      </c>
      <c r="Q50" s="514">
        <f>'LDPE-A2'!Q50+'HDPE-A3'!Q50</f>
        <v>365</v>
      </c>
      <c r="R50" s="574">
        <f t="shared" si="0"/>
        <v>-0.5</v>
      </c>
      <c r="S50" s="510">
        <f t="shared" si="1"/>
        <v>0</v>
      </c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f>'LDPE-A2'!D51+'HDPE-A3'!D51</f>
        <v>13638</v>
      </c>
      <c r="E51" s="512">
        <f>'LDPE-A2'!E51+'HDPE-A3'!E51</f>
        <v>12626</v>
      </c>
      <c r="F51" s="512">
        <f>'LDPE-A2'!F51+'HDPE-A3'!F51</f>
        <v>12095</v>
      </c>
      <c r="G51" s="512">
        <f>'LDPE-A2'!G51+'HDPE-A3'!G51</f>
        <v>12336</v>
      </c>
      <c r="H51" s="512">
        <f>'LDPE-A2'!H51+'HDPE-A3'!H51</f>
        <v>12990</v>
      </c>
      <c r="I51" s="512">
        <f>'LDPE-A2'!I51+'HDPE-A3'!I51</f>
        <v>13081.740000000002</v>
      </c>
      <c r="J51" s="513">
        <f>'LDPE-A2'!J51+'HDPE-A3'!J51</f>
        <v>13054.734872000001</v>
      </c>
      <c r="K51" s="514">
        <f>'LDPE-A2'!K51+'HDPE-A3'!K51</f>
        <v>12900.563117</v>
      </c>
      <c r="L51" s="511">
        <f>'LDPE-A2'!L51+'HDPE-A3'!L51</f>
        <v>12699.945942</v>
      </c>
      <c r="M51" s="512">
        <f>'LDPE-A2'!M51+'HDPE-A3'!M51</f>
        <v>12956.361811999999</v>
      </c>
      <c r="N51" s="512">
        <f>'LDPE-A2'!N51+'HDPE-A3'!N51</f>
        <v>13081.362101000001</v>
      </c>
      <c r="O51" s="512">
        <f>'LDPE-A2'!O51+'HDPE-A3'!O51</f>
        <v>13135.172014</v>
      </c>
      <c r="P51" s="513">
        <f>'LDPE-A2'!P51+'HDPE-A3'!P51</f>
        <v>13288.002764999999</v>
      </c>
      <c r="Q51" s="514">
        <f>'LDPE-A2'!Q51+'HDPE-A3'!Q51</f>
        <v>13652.367903999999</v>
      </c>
      <c r="R51" s="574">
        <f t="shared" si="0"/>
        <v>-0.8</v>
      </c>
      <c r="S51" s="510">
        <f t="shared" si="1"/>
        <v>1.5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f>'LDPE-A2'!D52+'HDPE-A3'!D52</f>
        <v>12061</v>
      </c>
      <c r="E52" s="512">
        <f>'LDPE-A2'!E52+'HDPE-A3'!E52</f>
        <v>11993</v>
      </c>
      <c r="F52" s="512">
        <f>'LDPE-A2'!F52+'HDPE-A3'!F52</f>
        <v>10867</v>
      </c>
      <c r="G52" s="512">
        <f>'LDPE-A2'!G52+'HDPE-A3'!G52</f>
        <v>10985</v>
      </c>
      <c r="H52" s="512">
        <f>'LDPE-A2'!H52+'HDPE-A3'!H52</f>
        <v>11667</v>
      </c>
      <c r="I52" s="512">
        <f>'LDPE-A2'!I52+'HDPE-A3'!I52</f>
        <v>11737.59</v>
      </c>
      <c r="J52" s="513">
        <f>'LDPE-A2'!J52+'HDPE-A3'!J52</f>
        <v>11855.31143</v>
      </c>
      <c r="K52" s="514">
        <f>'LDPE-A2'!K52+'HDPE-A3'!K52</f>
        <v>11534.148362</v>
      </c>
      <c r="L52" s="511">
        <f>'LDPE-A2'!L52+'HDPE-A3'!L52</f>
        <v>11336.387817999999</v>
      </c>
      <c r="M52" s="512">
        <f>'LDPE-A2'!M52+'HDPE-A3'!M52</f>
        <v>11534.912576999999</v>
      </c>
      <c r="N52" s="512">
        <f>'LDPE-A2'!N52+'HDPE-A3'!N52</f>
        <v>11602.194293</v>
      </c>
      <c r="O52" s="512">
        <f>'LDPE-A2'!O52+'HDPE-A3'!O52</f>
        <v>11655.802944999999</v>
      </c>
      <c r="P52" s="513">
        <f>'LDPE-A2'!P52+'HDPE-A3'!P52</f>
        <v>11815.803986999999</v>
      </c>
      <c r="Q52" s="514">
        <f>'LDPE-A2'!Q52+'HDPE-A3'!Q52</f>
        <v>12199.440962000001</v>
      </c>
      <c r="R52" s="574">
        <f t="shared" si="0"/>
        <v>-0.6</v>
      </c>
      <c r="S52" s="510">
        <f t="shared" si="1"/>
        <v>1.5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f>'LDPE-A2'!D53+'HDPE-A3'!D53</f>
        <v>10961</v>
      </c>
      <c r="E53" s="496">
        <f>'LDPE-A2'!E53+'HDPE-A3'!E53</f>
        <v>12946</v>
      </c>
      <c r="F53" s="496">
        <f>'LDPE-A2'!F53+'HDPE-A3'!F53</f>
        <v>14075.058869701727</v>
      </c>
      <c r="G53" s="496">
        <f>'LDPE-A2'!G53+'HDPE-A3'!G53</f>
        <v>15026.609105180534</v>
      </c>
      <c r="H53" s="496">
        <f>'LDPE-A2'!H53+'HDPE-A3'!H53</f>
        <v>16366</v>
      </c>
      <c r="I53" s="496">
        <f>'LDPE-A2'!I53+'HDPE-A3'!I53</f>
        <v>16463</v>
      </c>
      <c r="J53" s="497">
        <f>'LDPE-A2'!J53+'HDPE-A3'!J53</f>
        <v>17492</v>
      </c>
      <c r="K53" s="502">
        <f>'LDPE-A2'!K53+'HDPE-A3'!K53</f>
        <v>18405</v>
      </c>
      <c r="L53" s="503">
        <f>'LDPE-A2'!L53+'HDPE-A3'!L53</f>
        <v>19083</v>
      </c>
      <c r="M53" s="496">
        <f>'LDPE-A2'!M53+'HDPE-A3'!M53</f>
        <v>19455</v>
      </c>
      <c r="N53" s="496">
        <f>'LDPE-A2'!N53+'HDPE-A3'!N53</f>
        <v>19912</v>
      </c>
      <c r="O53" s="496">
        <f>'LDPE-A2'!O53+'HDPE-A3'!O53</f>
        <v>20223</v>
      </c>
      <c r="P53" s="497">
        <f>'LDPE-A2'!P53+'HDPE-A3'!P53</f>
        <v>20719</v>
      </c>
      <c r="Q53" s="502">
        <f>'LDPE-A2'!Q53+'HDPE-A3'!Q53</f>
        <v>20860</v>
      </c>
      <c r="R53" s="573">
        <f t="shared" si="0"/>
        <v>7.7</v>
      </c>
      <c r="S53" s="256">
        <f t="shared" si="1"/>
        <v>1.8</v>
      </c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f>'LDPE-A2'!D54+'HDPE-A3'!D54</f>
        <v>3500</v>
      </c>
      <c r="E54" s="518">
        <f>'LDPE-A2'!E54+'HDPE-A3'!E54</f>
        <v>6721.1538461538457</v>
      </c>
      <c r="F54" s="518">
        <f>'LDPE-A2'!F54+'HDPE-A3'!F54</f>
        <v>7317.7786499215072</v>
      </c>
      <c r="G54" s="518">
        <f>'LDPE-A2'!G54+'HDPE-A3'!G54</f>
        <v>7976.040031397175</v>
      </c>
      <c r="H54" s="518">
        <f>'LDPE-A2'!H54+'HDPE-A3'!H54</f>
        <v>8867</v>
      </c>
      <c r="I54" s="518">
        <f>'LDPE-A2'!I54+'HDPE-A3'!I54</f>
        <v>8459</v>
      </c>
      <c r="J54" s="519">
        <f>'LDPE-A2'!J54+'HDPE-A3'!J54</f>
        <v>8764</v>
      </c>
      <c r="K54" s="514">
        <f>'LDPE-A2'!K54+'HDPE-A3'!K54</f>
        <v>9164</v>
      </c>
      <c r="L54" s="511">
        <f>'LDPE-A2'!L54+'HDPE-A3'!L54</f>
        <v>9591</v>
      </c>
      <c r="M54" s="518">
        <f>'LDPE-A2'!M54+'HDPE-A3'!M54</f>
        <v>9870</v>
      </c>
      <c r="N54" s="518">
        <f>'LDPE-A2'!N54+'HDPE-A3'!N54</f>
        <v>10040</v>
      </c>
      <c r="O54" s="518">
        <f>'LDPE-A2'!O54+'HDPE-A3'!O54</f>
        <v>10132</v>
      </c>
      <c r="P54" s="519">
        <f>'LDPE-A2'!P54+'HDPE-A3'!P54</f>
        <v>10223</v>
      </c>
      <c r="Q54" s="514">
        <f>'LDPE-A2'!Q54+'HDPE-A3'!Q54</f>
        <v>10380</v>
      </c>
      <c r="R54" s="574">
        <f t="shared" si="0"/>
        <v>14.7</v>
      </c>
      <c r="S54" s="510">
        <f t="shared" si="1"/>
        <v>1.6</v>
      </c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f>'LDPE-A2'!D55+'HDPE-A3'!D55</f>
        <v>1225</v>
      </c>
      <c r="E55" s="518">
        <f>'LDPE-A2'!E55+'HDPE-A3'!E55</f>
        <v>942</v>
      </c>
      <c r="F55" s="518">
        <f>'LDPE-A2'!F55+'HDPE-A3'!F55</f>
        <v>945.13343799058089</v>
      </c>
      <c r="G55" s="518">
        <f>'LDPE-A2'!G55+'HDPE-A3'!G55</f>
        <v>851.29621340061453</v>
      </c>
      <c r="H55" s="518">
        <f>'LDPE-A2'!H55+'HDPE-A3'!H55</f>
        <v>886.52184263535923</v>
      </c>
      <c r="I55" s="518">
        <f>'LDPE-A2'!I55+'HDPE-A3'!I55</f>
        <v>1051</v>
      </c>
      <c r="J55" s="519">
        <f>'LDPE-A2'!J55+'HDPE-A3'!J55</f>
        <v>1121</v>
      </c>
      <c r="K55" s="514">
        <f>'LDPE-A2'!K55+'HDPE-A3'!K55</f>
        <v>1310</v>
      </c>
      <c r="L55" s="511">
        <f>'LDPE-A2'!L55+'HDPE-A3'!L55</f>
        <v>1449</v>
      </c>
      <c r="M55" s="518">
        <f>'LDPE-A2'!M55+'HDPE-A3'!M55</f>
        <v>1442</v>
      </c>
      <c r="N55" s="518">
        <f>'LDPE-A2'!N55+'HDPE-A3'!N55</f>
        <v>1460</v>
      </c>
      <c r="O55" s="518">
        <f>'LDPE-A2'!O55+'HDPE-A3'!O55</f>
        <v>1492</v>
      </c>
      <c r="P55" s="519">
        <f>'LDPE-A2'!P55+'HDPE-A3'!P55</f>
        <v>1535</v>
      </c>
      <c r="Q55" s="514">
        <f>'LDPE-A2'!Q55+'HDPE-A3'!Q55</f>
        <v>1578</v>
      </c>
      <c r="R55" s="574">
        <f t="shared" si="0"/>
        <v>1</v>
      </c>
      <c r="S55" s="510">
        <f t="shared" si="1"/>
        <v>1.7</v>
      </c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f>'LDPE-A2'!D56+'HDPE-A3'!D56</f>
        <v>1774</v>
      </c>
      <c r="E56" s="521">
        <f>'LDPE-A2'!E56+'HDPE-A3'!E56</f>
        <v>1963</v>
      </c>
      <c r="F56" s="521">
        <f>'LDPE-A2'!F56+'HDPE-A3'!F56</f>
        <v>1656.6</v>
      </c>
      <c r="G56" s="521">
        <f>'LDPE-A2'!G56+'HDPE-A3'!G56</f>
        <v>2060</v>
      </c>
      <c r="H56" s="521">
        <f>'LDPE-A2'!H56+'HDPE-A3'!H56</f>
        <v>1810</v>
      </c>
      <c r="I56" s="521">
        <f>'LDPE-A2'!I56+'HDPE-A3'!I56</f>
        <v>1807</v>
      </c>
      <c r="J56" s="522">
        <f>'LDPE-A2'!J56+'HDPE-A3'!J56</f>
        <v>2471.5</v>
      </c>
      <c r="K56" s="523">
        <f>'LDPE-A2'!K56+'HDPE-A3'!K56</f>
        <v>2418.29</v>
      </c>
      <c r="L56" s="520">
        <f>'LDPE-A2'!L56+'HDPE-A3'!L56</f>
        <v>2778.70264</v>
      </c>
      <c r="M56" s="521">
        <f>'LDPE-A2'!M56+'HDPE-A3'!M56</f>
        <v>3600</v>
      </c>
      <c r="N56" s="521">
        <f>'LDPE-A2'!N56+'HDPE-A3'!N56</f>
        <v>3700</v>
      </c>
      <c r="O56" s="521">
        <f>'LDPE-A2'!O56+'HDPE-A3'!O56</f>
        <v>4300</v>
      </c>
      <c r="P56" s="522">
        <f>'LDPE-A2'!P56+'HDPE-A3'!P56</f>
        <v>4900</v>
      </c>
      <c r="Q56" s="523">
        <f>'LDPE-A2'!Q56+'HDPE-A3'!Q56</f>
        <v>5412</v>
      </c>
      <c r="R56" s="574">
        <f t="shared" si="0"/>
        <v>4.5</v>
      </c>
      <c r="S56" s="510">
        <f t="shared" si="1"/>
        <v>14.3</v>
      </c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" customHeight="1">
      <c r="A57" s="16"/>
      <c r="B57" s="672" t="s">
        <v>316</v>
      </c>
      <c r="C57" s="673"/>
      <c r="D57" s="553">
        <f>'LDPE-A2'!D57+'HDPE-A3'!D57</f>
        <v>13636</v>
      </c>
      <c r="E57" s="526">
        <f>'LDPE-A2'!E57+'HDPE-A3'!E57</f>
        <v>13808.740000000002</v>
      </c>
      <c r="F57" s="530">
        <f>'LDPE-A2'!F57+'HDPE-A3'!F57</f>
        <v>13540</v>
      </c>
      <c r="G57" s="497">
        <f>'LDPE-A2'!G57+'HDPE-A3'!G57</f>
        <v>14120.1</v>
      </c>
      <c r="H57" s="496">
        <f>'LDPE-A2'!H57+'HDPE-A3'!H57</f>
        <v>14117</v>
      </c>
      <c r="I57" s="497">
        <f>'LDPE-A2'!I57+'HDPE-A3'!I57</f>
        <v>14828</v>
      </c>
      <c r="J57" s="551">
        <f>'LDPE-A2'!J57+'HDPE-A3'!J57</f>
        <v>14664.900000000001</v>
      </c>
      <c r="K57" s="554">
        <f>'LDPE-A2'!K57+'HDPE-A3'!K57</f>
        <v>15143.400000000001</v>
      </c>
      <c r="L57" s="527">
        <f>'LDPE-A2'!L57+'HDPE-A3'!L57</f>
        <v>17608.5</v>
      </c>
      <c r="M57" s="528">
        <f>'LDPE-A2'!M57+'HDPE-A3'!M57</f>
        <v>19341</v>
      </c>
      <c r="N57" s="528">
        <f>'LDPE-A2'!N57+'HDPE-A3'!N57</f>
        <v>20425.5</v>
      </c>
      <c r="O57" s="528">
        <f>'LDPE-A2'!O57+'HDPE-A3'!O57</f>
        <v>21393</v>
      </c>
      <c r="P57" s="500">
        <f>'LDPE-A2'!P57+'HDPE-A3'!P57</f>
        <v>22159.8</v>
      </c>
      <c r="Q57" s="498">
        <f>'LDPE-A2'!Q57+'HDPE-A3'!Q57</f>
        <v>22114.1</v>
      </c>
      <c r="R57" s="573">
        <f t="shared" si="0"/>
        <v>1.5</v>
      </c>
      <c r="S57" s="256">
        <f t="shared" si="1"/>
        <v>4.7</v>
      </c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f>'LDPE-A2'!D58+'HDPE-A3'!D58</f>
        <v>3244</v>
      </c>
      <c r="E58" s="526">
        <f>'LDPE-A2'!E58+'HDPE-A3'!E58</f>
        <v>3097</v>
      </c>
      <c r="F58" s="530">
        <f>'LDPE-A2'!F58+'HDPE-A3'!F58</f>
        <v>3377</v>
      </c>
      <c r="G58" s="497">
        <f>'LDPE-A2'!G58+'HDPE-A3'!G58</f>
        <v>3399</v>
      </c>
      <c r="H58" s="496">
        <f>'LDPE-A2'!H58+'HDPE-A3'!H58</f>
        <v>3352</v>
      </c>
      <c r="I58" s="497">
        <f>'LDPE-A2'!I58+'HDPE-A3'!I58</f>
        <v>3540</v>
      </c>
      <c r="J58" s="551">
        <f>'LDPE-A2'!J58+'HDPE-A3'!J58</f>
        <v>3708</v>
      </c>
      <c r="K58" s="498">
        <f>'LDPE-A2'!K58+'HDPE-A3'!K58</f>
        <v>3620</v>
      </c>
      <c r="L58" s="499">
        <f>'LDPE-A2'!L58+'HDPE-A3'!L58</f>
        <v>3620</v>
      </c>
      <c r="M58" s="532">
        <f>'LDPE-A2'!M58+'HDPE-A3'!M58</f>
        <v>3620</v>
      </c>
      <c r="N58" s="532">
        <f>'LDPE-A2'!N58+'HDPE-A3'!N58</f>
        <v>3620</v>
      </c>
      <c r="O58" s="532">
        <f>'LDPE-A2'!O58+'HDPE-A3'!O58</f>
        <v>3716</v>
      </c>
      <c r="P58" s="532">
        <f>'LDPE-A2'!P58+'HDPE-A3'!P58</f>
        <v>4003</v>
      </c>
      <c r="Q58" s="498">
        <f>'LDPE-A2'!Q58+'HDPE-A3'!Q58</f>
        <v>4003</v>
      </c>
      <c r="R58" s="573">
        <f t="shared" si="0"/>
        <v>1.6</v>
      </c>
      <c r="S58" s="256">
        <f t="shared" si="1"/>
        <v>2</v>
      </c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'LDPE-A2'!D59+'HDPE-A3'!D59</f>
        <v>16880</v>
      </c>
      <c r="E59" s="92">
        <f>'LDPE-A2'!E59+'HDPE-A3'!E59</f>
        <v>16905.740000000002</v>
      </c>
      <c r="F59" s="92">
        <f>'LDPE-A2'!F59+'HDPE-A3'!F59</f>
        <v>16917</v>
      </c>
      <c r="G59" s="93">
        <f>'LDPE-A2'!G59+'HDPE-A3'!G59</f>
        <v>17519.099999999999</v>
      </c>
      <c r="H59" s="93">
        <f>'LDPE-A2'!H59+'HDPE-A3'!H59</f>
        <v>17469</v>
      </c>
      <c r="I59" s="94">
        <f>'LDPE-A2'!I59+'HDPE-A3'!I59</f>
        <v>18368</v>
      </c>
      <c r="J59" s="94">
        <f>'LDPE-A2'!J59+'HDPE-A3'!J59</f>
        <v>18372.900000000001</v>
      </c>
      <c r="K59" s="96">
        <f>'LDPE-A2'!K59+'HDPE-A3'!K59</f>
        <v>18763.400000000001</v>
      </c>
      <c r="L59" s="555">
        <f>'LDPE-A2'!L59+'HDPE-A3'!L59</f>
        <v>21228.5</v>
      </c>
      <c r="M59" s="556">
        <f>'LDPE-A2'!M59+'HDPE-A3'!M59</f>
        <v>22961</v>
      </c>
      <c r="N59" s="556">
        <f>'LDPE-A2'!N59+'HDPE-A3'!N59</f>
        <v>24045.5</v>
      </c>
      <c r="O59" s="556">
        <f>'LDPE-A2'!O59+'HDPE-A3'!O59</f>
        <v>25109</v>
      </c>
      <c r="P59" s="556">
        <f>'LDPE-A2'!P59+'HDPE-A3'!P59</f>
        <v>26162.799999999999</v>
      </c>
      <c r="Q59" s="227">
        <f>'LDPE-A2'!Q59+'HDPE-A3'!Q59</f>
        <v>26117.1</v>
      </c>
      <c r="R59" s="574">
        <f t="shared" si="0"/>
        <v>1.5</v>
      </c>
      <c r="S59" s="510">
        <f t="shared" si="1"/>
        <v>4.2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f>'LDPE-A2'!D60+'HDPE-A3'!D60</f>
        <v>664</v>
      </c>
      <c r="E60" s="526">
        <f>'LDPE-A2'!E60+'HDPE-A3'!E60</f>
        <v>681</v>
      </c>
      <c r="F60" s="530">
        <f>'LDPE-A2'!F60+'HDPE-A3'!F60</f>
        <v>664</v>
      </c>
      <c r="G60" s="497">
        <f>'LDPE-A2'!G60+'HDPE-A3'!G60</f>
        <v>630</v>
      </c>
      <c r="H60" s="496">
        <f>'LDPE-A2'!H60+'HDPE-A3'!H60</f>
        <v>626</v>
      </c>
      <c r="I60" s="497">
        <f>'LDPE-A2'!I60+'HDPE-A3'!I60</f>
        <v>576</v>
      </c>
      <c r="J60" s="551">
        <f>'LDPE-A2'!J60+'HDPE-A3'!J60</f>
        <v>996</v>
      </c>
      <c r="K60" s="498">
        <f>'LDPE-A2'!K60+'HDPE-A3'!K60</f>
        <v>1476</v>
      </c>
      <c r="L60" s="533">
        <f>'LDPE-A2'!L60+'HDPE-A3'!L60</f>
        <v>1476</v>
      </c>
      <c r="M60" s="534">
        <f>'LDPE-A2'!M60+'HDPE-A3'!M60</f>
        <v>1476</v>
      </c>
      <c r="N60" s="534">
        <f>'LDPE-A2'!N60+'HDPE-A3'!N60</f>
        <v>1476</v>
      </c>
      <c r="O60" s="534">
        <f>'LDPE-A2'!O60+'HDPE-A3'!O60</f>
        <v>1476</v>
      </c>
      <c r="P60" s="534">
        <f>'LDPE-A2'!P60+'HDPE-A3'!P60</f>
        <v>1476</v>
      </c>
      <c r="Q60" s="535">
        <f>'LDPE-A2'!Q60+'HDPE-A3'!Q60</f>
        <v>1476</v>
      </c>
      <c r="R60" s="573">
        <f t="shared" si="0"/>
        <v>12.1</v>
      </c>
      <c r="S60" s="256">
        <f t="shared" si="1"/>
        <v>0</v>
      </c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f>'LDPE-A2'!D61+'HDPE-A3'!D61</f>
        <v>2347</v>
      </c>
      <c r="E61" s="526">
        <f>'LDPE-A2'!E61+'HDPE-A3'!E61</f>
        <v>2458</v>
      </c>
      <c r="F61" s="530">
        <f>'LDPE-A2'!F61+'HDPE-A3'!F61</f>
        <v>2471</v>
      </c>
      <c r="G61" s="497">
        <f>'LDPE-A2'!G61+'HDPE-A3'!G61</f>
        <v>2499</v>
      </c>
      <c r="H61" s="496">
        <f>'LDPE-A2'!H61+'HDPE-A3'!H61</f>
        <v>2473</v>
      </c>
      <c r="I61" s="497">
        <f>'LDPE-A2'!I61+'HDPE-A3'!I61</f>
        <v>2560</v>
      </c>
      <c r="J61" s="497">
        <f>'LDPE-A2'!J61+'HDPE-A3'!J61</f>
        <v>2584</v>
      </c>
      <c r="K61" s="502">
        <f>'LDPE-A2'!K61+'HDPE-A3'!K61</f>
        <v>2596.75</v>
      </c>
      <c r="L61" s="503">
        <f>'LDPE-A2'!L61+'HDPE-A3'!L61</f>
        <v>2596.75</v>
      </c>
      <c r="M61" s="496">
        <f>'LDPE-A2'!M61+'HDPE-A3'!M61</f>
        <v>2596.75</v>
      </c>
      <c r="N61" s="496">
        <f>'LDPE-A2'!N61+'HDPE-A3'!N61</f>
        <v>2596.75</v>
      </c>
      <c r="O61" s="496">
        <f>'LDPE-A2'!O61+'HDPE-A3'!O61</f>
        <v>2596.75</v>
      </c>
      <c r="P61" s="497">
        <f>'LDPE-A2'!P61+'HDPE-A3'!P61</f>
        <v>2596.75</v>
      </c>
      <c r="Q61" s="502">
        <f>'LDPE-A2'!Q61+'HDPE-A3'!Q61</f>
        <v>2597</v>
      </c>
      <c r="R61" s="573">
        <f t="shared" si="0"/>
        <v>1.5</v>
      </c>
      <c r="S61" s="256">
        <f t="shared" si="1"/>
        <v>0</v>
      </c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f>'LDPE-A2'!D62+'HDPE-A3'!D62</f>
        <v>1009</v>
      </c>
      <c r="E62" s="525">
        <f>'LDPE-A2'!E62+'HDPE-A3'!E62</f>
        <v>1070</v>
      </c>
      <c r="F62" s="530">
        <f>'LDPE-A2'!F62+'HDPE-A3'!F62</f>
        <v>1070</v>
      </c>
      <c r="G62" s="497">
        <f>'LDPE-A2'!G62+'HDPE-A3'!G62</f>
        <v>989</v>
      </c>
      <c r="H62" s="496">
        <f>'LDPE-A2'!H62+'HDPE-A3'!H62</f>
        <v>989</v>
      </c>
      <c r="I62" s="497">
        <f>'LDPE-A2'!I62+'HDPE-A3'!I62</f>
        <v>989</v>
      </c>
      <c r="J62" s="497">
        <f>'LDPE-A2'!J62+'HDPE-A3'!J62</f>
        <v>989</v>
      </c>
      <c r="K62" s="536">
        <f>'LDPE-A2'!K62+'HDPE-A3'!K62</f>
        <v>989</v>
      </c>
      <c r="L62" s="537">
        <f>'LDPE-A2'!L62+'HDPE-A3'!L62</f>
        <v>989</v>
      </c>
      <c r="M62" s="538">
        <f>'LDPE-A2'!M62+'HDPE-A3'!M62</f>
        <v>989</v>
      </c>
      <c r="N62" s="538">
        <f>'LDPE-A2'!N62+'HDPE-A3'!N62</f>
        <v>989</v>
      </c>
      <c r="O62" s="538">
        <f>'LDPE-A2'!O62+'HDPE-A3'!O62</f>
        <v>989</v>
      </c>
      <c r="P62" s="515">
        <f>'LDPE-A2'!P62+'HDPE-A3'!P62</f>
        <v>989</v>
      </c>
      <c r="Q62" s="536">
        <f>'LDPE-A2'!Q62+'HDPE-A3'!Q62</f>
        <v>989</v>
      </c>
      <c r="R62" s="573">
        <f t="shared" si="0"/>
        <v>-0.3</v>
      </c>
      <c r="S62" s="256">
        <f t="shared" si="1"/>
        <v>0</v>
      </c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'LDPE-A2'!D63+'HDPE-A3'!D63</f>
        <v>4020</v>
      </c>
      <c r="E63" s="539">
        <f>'LDPE-A2'!E63+'HDPE-A3'!E63</f>
        <v>4209</v>
      </c>
      <c r="F63" s="539">
        <f>'LDPE-A2'!F63+'HDPE-A3'!F63</f>
        <v>4205</v>
      </c>
      <c r="G63" s="100">
        <f>'LDPE-A2'!G63+'HDPE-A3'!G63</f>
        <v>4118</v>
      </c>
      <c r="H63" s="100">
        <f>'LDPE-A2'!H63+'HDPE-A3'!H63</f>
        <v>4088</v>
      </c>
      <c r="I63" s="100">
        <f>'LDPE-A2'!I63+'HDPE-A3'!I63</f>
        <v>4125</v>
      </c>
      <c r="J63" s="101">
        <f>'LDPE-A2'!J63+'HDPE-A3'!J63</f>
        <v>4569</v>
      </c>
      <c r="K63" s="104">
        <f>'LDPE-A2'!K63+'HDPE-A3'!K63</f>
        <v>5061.75</v>
      </c>
      <c r="L63" s="540">
        <f>'LDPE-A2'!L63+'HDPE-A3'!L63</f>
        <v>5061.75</v>
      </c>
      <c r="M63" s="100">
        <f>'LDPE-A2'!M63+'HDPE-A3'!M63</f>
        <v>5061.75</v>
      </c>
      <c r="N63" s="100">
        <f>'LDPE-A2'!N63+'HDPE-A3'!N63</f>
        <v>5061.75</v>
      </c>
      <c r="O63" s="100">
        <f>'LDPE-A2'!O63+'HDPE-A3'!O63</f>
        <v>5061.75</v>
      </c>
      <c r="P63" s="100">
        <f>'LDPE-A2'!P63+'HDPE-A3'!P63</f>
        <v>5061.75</v>
      </c>
      <c r="Q63" s="103">
        <f>'LDPE-A2'!Q63+'HDPE-A3'!Q63</f>
        <v>5062</v>
      </c>
      <c r="R63" s="576">
        <f t="shared" si="0"/>
        <v>3.3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'LDPE-A2'!D64+'HDPE-A3'!D64</f>
        <v>75579.299999999988</v>
      </c>
      <c r="E64" s="543">
        <f>'LDPE-A2'!E64+'HDPE-A3'!E64</f>
        <v>78020.073333333334</v>
      </c>
      <c r="F64" s="543">
        <f>'LDPE-A2'!F64+'HDPE-A3'!F64</f>
        <v>77301.092307692306</v>
      </c>
      <c r="G64" s="544">
        <f>'LDPE-A2'!G64+'HDPE-A3'!G64</f>
        <v>82043.415318581159</v>
      </c>
      <c r="H64" s="544">
        <f>'LDPE-A2'!H64+'HDPE-A3'!H64</f>
        <v>85603.593530168408</v>
      </c>
      <c r="I64" s="544">
        <f>'LDPE-A2'!I64+'HDPE-A3'!I64</f>
        <v>88414.448465753419</v>
      </c>
      <c r="J64" s="545">
        <f>'LDPE-A2'!J64+'HDPE-A3'!J64</f>
        <v>92201.355872000015</v>
      </c>
      <c r="K64" s="546">
        <f>'LDPE-A2'!K64+'HDPE-A3'!K64</f>
        <v>95119.362117000011</v>
      </c>
      <c r="L64" s="547">
        <f>'LDPE-A2'!L64+'HDPE-A3'!L64</f>
        <v>100393.75758200001</v>
      </c>
      <c r="M64" s="544">
        <f>'LDPE-A2'!M64+'HDPE-A3'!M64</f>
        <v>105076.970812</v>
      </c>
      <c r="N64" s="544">
        <f>'LDPE-A2'!N64+'HDPE-A3'!N64</f>
        <v>109725.671101</v>
      </c>
      <c r="O64" s="544">
        <f>'LDPE-A2'!O64+'HDPE-A3'!O64</f>
        <v>115165.381014</v>
      </c>
      <c r="P64" s="544">
        <f>'LDPE-A2'!P64+'HDPE-A3'!P64</f>
        <v>118915.11176500001</v>
      </c>
      <c r="Q64" s="577">
        <f>'LDPE-A2'!Q64+'HDPE-A3'!Q64</f>
        <v>122416.026904</v>
      </c>
      <c r="R64" s="579">
        <f t="shared" si="0"/>
        <v>3.3</v>
      </c>
      <c r="S64" s="558">
        <f t="shared" si="1"/>
        <v>4</v>
      </c>
    </row>
    <row r="65" spans="1:33" ht="15" customHeight="1">
      <c r="A65" s="616" t="s">
        <v>327</v>
      </c>
      <c r="B65" s="666" t="s">
        <v>433</v>
      </c>
      <c r="C65" s="667"/>
      <c r="D65" s="487">
        <f>'LDPE-A2'!D65+'HDPE-A3'!D65</f>
        <v>1984</v>
      </c>
      <c r="E65" s="488">
        <f>'LDPE-A2'!E65+'HDPE-A3'!E65</f>
        <v>2079</v>
      </c>
      <c r="F65" s="489">
        <f>'LDPE-A2'!F65+'HDPE-A3'!F65</f>
        <v>2035</v>
      </c>
      <c r="G65" s="559">
        <f>'LDPE-A2'!G65+'HDPE-A3'!G65</f>
        <v>2133</v>
      </c>
      <c r="H65" s="560">
        <f>'LDPE-A2'!H65+'HDPE-A3'!H65</f>
        <v>2195</v>
      </c>
      <c r="I65" s="559">
        <f>'LDPE-A2'!I65+'HDPE-A3'!I65</f>
        <v>2233</v>
      </c>
      <c r="J65" s="559">
        <f>'LDPE-A2'!J65+'HDPE-A3'!J65</f>
        <v>2361</v>
      </c>
      <c r="K65" s="561">
        <f>'LDPE-A2'!K65+'HDPE-A3'!K65</f>
        <v>2450</v>
      </c>
      <c r="L65" s="562">
        <f>'LDPE-A2'!L65+'HDPE-A3'!L65</f>
        <v>2520</v>
      </c>
      <c r="M65" s="560">
        <f>'LDPE-A2'!M65+'HDPE-A3'!M65</f>
        <v>2590</v>
      </c>
      <c r="N65" s="560">
        <f>'LDPE-A2'!N65+'HDPE-A3'!N65</f>
        <v>2670</v>
      </c>
      <c r="O65" s="560">
        <f>'LDPE-A2'!O65+'HDPE-A3'!O65</f>
        <v>2730</v>
      </c>
      <c r="P65" s="563">
        <f>'LDPE-A2'!P65+'HDPE-A3'!P65</f>
        <v>2800</v>
      </c>
      <c r="Q65" s="561">
        <f>'LDPE-A2'!Q65+'HDPE-A3'!Q65</f>
        <v>2860</v>
      </c>
      <c r="R65" s="573">
        <f t="shared" si="0"/>
        <v>3.1</v>
      </c>
      <c r="S65" s="256">
        <f t="shared" si="1"/>
        <v>2.6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f>'LDPE-A2'!D66+'HDPE-A3'!D66</f>
        <v>713</v>
      </c>
      <c r="E66" s="525">
        <f>'LDPE-A2'!E66+'HDPE-A3'!E66</f>
        <v>757</v>
      </c>
      <c r="F66" s="530">
        <f>'LDPE-A2'!F66+'HDPE-A3'!F66</f>
        <v>718</v>
      </c>
      <c r="G66" s="497">
        <f>'LDPE-A2'!G66+'HDPE-A3'!G66</f>
        <v>704</v>
      </c>
      <c r="H66" s="496">
        <f>'LDPE-A2'!H66+'HDPE-A3'!H66</f>
        <v>750</v>
      </c>
      <c r="I66" s="497">
        <f>'LDPE-A2'!I66+'HDPE-A3'!I66</f>
        <v>752</v>
      </c>
      <c r="J66" s="551">
        <f>'LDPE-A2'!J66+'HDPE-A3'!J66</f>
        <v>790</v>
      </c>
      <c r="K66" s="498">
        <f>'LDPE-A2'!K66+'HDPE-A3'!K66</f>
        <v>806</v>
      </c>
      <c r="L66" s="499">
        <f>'LDPE-A2'!L66+'HDPE-A3'!L66</f>
        <v>820</v>
      </c>
      <c r="M66" s="500">
        <f>'LDPE-A2'!M66+'HDPE-A3'!M66</f>
        <v>820</v>
      </c>
      <c r="N66" s="500">
        <f>'LDPE-A2'!N66+'HDPE-A3'!N66</f>
        <v>840</v>
      </c>
      <c r="O66" s="500">
        <f>'LDPE-A2'!O66+'HDPE-A3'!O66</f>
        <v>850</v>
      </c>
      <c r="P66" s="501">
        <f>'LDPE-A2'!P66+'HDPE-A3'!P66</f>
        <v>850</v>
      </c>
      <c r="Q66" s="498">
        <f>'LDPE-A2'!Q66+'HDPE-A3'!Q66</f>
        <v>850</v>
      </c>
      <c r="R66" s="573">
        <f t="shared" si="0"/>
        <v>1.8</v>
      </c>
      <c r="S66" s="256">
        <f t="shared" si="1"/>
        <v>0.7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f>'LDPE-A2'!D67+'HDPE-A3'!D67</f>
        <v>113</v>
      </c>
      <c r="E67" s="496">
        <f>'LDPE-A2'!E67+'HDPE-A3'!E67</f>
        <v>95.004333333333307</v>
      </c>
      <c r="F67" s="497">
        <f>'LDPE-A2'!F67+'HDPE-A3'!F67</f>
        <v>93.239389666666639</v>
      </c>
      <c r="G67" s="497">
        <f>'LDPE-A2'!G67+'HDPE-A3'!G67</f>
        <v>96.782486473999967</v>
      </c>
      <c r="H67" s="496">
        <f>'LDPE-A2'!H67+'HDPE-A3'!H67</f>
        <v>99.589178581745969</v>
      </c>
      <c r="I67" s="497">
        <f>'LDPE-A2'!I67+'HDPE-A3'!I67</f>
        <v>101.5809621533809</v>
      </c>
      <c r="J67" s="497">
        <f>'LDPE-A2'!J67+'HDPE-A3'!J67</f>
        <v>104</v>
      </c>
      <c r="K67" s="502">
        <f>'LDPE-A2'!K67+'HDPE-A3'!K67</f>
        <v>107</v>
      </c>
      <c r="L67" s="503">
        <f>'LDPE-A2'!L67+'HDPE-A3'!L67</f>
        <v>111</v>
      </c>
      <c r="M67" s="496">
        <f>'LDPE-A2'!M67+'HDPE-A3'!M67</f>
        <v>113</v>
      </c>
      <c r="N67" s="496">
        <f>'LDPE-A2'!N67+'HDPE-A3'!N67</f>
        <v>116</v>
      </c>
      <c r="O67" s="496">
        <f>'LDPE-A2'!O67+'HDPE-A3'!O67</f>
        <v>119</v>
      </c>
      <c r="P67" s="497">
        <f>'LDPE-A2'!P67+'HDPE-A3'!P67</f>
        <v>122</v>
      </c>
      <c r="Q67" s="502">
        <f>'LDPE-A2'!Q67+'HDPE-A3'!Q67</f>
        <v>125</v>
      </c>
      <c r="R67" s="573">
        <f t="shared" si="0"/>
        <v>-0.8</v>
      </c>
      <c r="S67" s="256">
        <f t="shared" si="1"/>
        <v>2.4</v>
      </c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</row>
    <row r="68" spans="1:33" ht="15" customHeight="1">
      <c r="A68" s="16"/>
      <c r="B68" s="668" t="s">
        <v>436</v>
      </c>
      <c r="C68" s="669"/>
      <c r="D68" s="495">
        <f>'LDPE-A2'!D68+'HDPE-A3'!D68</f>
        <v>17871</v>
      </c>
      <c r="E68" s="496">
        <f>'LDPE-A2'!E68+'HDPE-A3'!E68</f>
        <v>18425</v>
      </c>
      <c r="F68" s="497">
        <f>'LDPE-A2'!F68+'HDPE-A3'!F68</f>
        <v>18511</v>
      </c>
      <c r="G68" s="497">
        <f>'LDPE-A2'!G68+'HDPE-A3'!G68</f>
        <v>20938</v>
      </c>
      <c r="H68" s="496">
        <f>'LDPE-A2'!H68+'HDPE-A3'!H68</f>
        <v>22312</v>
      </c>
      <c r="I68" s="497">
        <f>'LDPE-A2'!I68+'HDPE-A3'!I68</f>
        <v>23828</v>
      </c>
      <c r="J68" s="497">
        <f>'LDPE-A2'!J68+'HDPE-A3'!J68</f>
        <v>25565</v>
      </c>
      <c r="K68" s="502">
        <f>'LDPE-A2'!K68+'HDPE-A3'!K68</f>
        <v>28256</v>
      </c>
      <c r="L68" s="503">
        <f>'LDPE-A2'!L68+'HDPE-A3'!L68</f>
        <v>29789</v>
      </c>
      <c r="M68" s="496">
        <f>'LDPE-A2'!M68+'HDPE-A3'!M68</f>
        <v>31377</v>
      </c>
      <c r="N68" s="496">
        <f>'LDPE-A2'!N68+'HDPE-A3'!N68</f>
        <v>32965</v>
      </c>
      <c r="O68" s="496">
        <f>'LDPE-A2'!O68+'HDPE-A3'!O68</f>
        <v>34522</v>
      </c>
      <c r="P68" s="497">
        <f>'LDPE-A2'!P68+'HDPE-A3'!P68</f>
        <v>36079</v>
      </c>
      <c r="Q68" s="502">
        <f>'LDPE-A2'!Q68+'HDPE-A3'!Q68</f>
        <v>37666</v>
      </c>
      <c r="R68" s="573">
        <f t="shared" si="0"/>
        <v>6.8</v>
      </c>
      <c r="S68" s="256">
        <f t="shared" si="1"/>
        <v>4.8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f>'LDPE-A2'!D69+'HDPE-A3'!D69</f>
        <v>1241</v>
      </c>
      <c r="E69" s="496">
        <f>'LDPE-A2'!E69+'HDPE-A3'!E69</f>
        <v>1394</v>
      </c>
      <c r="F69" s="497">
        <f>'LDPE-A2'!F69+'HDPE-A3'!F69</f>
        <v>1367</v>
      </c>
      <c r="G69" s="497">
        <f>'LDPE-A2'!G69+'HDPE-A3'!G69</f>
        <v>1399.57</v>
      </c>
      <c r="H69" s="496">
        <f>'LDPE-A2'!H69+'HDPE-A3'!H69</f>
        <v>1479.4879999999998</v>
      </c>
      <c r="I69" s="497">
        <f>'LDPE-A2'!I69+'HDPE-A3'!I69</f>
        <v>1451.4470000000001</v>
      </c>
      <c r="J69" s="497">
        <f>'LDPE-A2'!J69+'HDPE-A3'!J69</f>
        <v>1744.9550000000002</v>
      </c>
      <c r="K69" s="502">
        <f>'LDPE-A2'!K69+'HDPE-A3'!K69</f>
        <v>1921.2069999999999</v>
      </c>
      <c r="L69" s="503">
        <f>'LDPE-A2'!L69+'HDPE-A3'!L69</f>
        <v>2009.5825219999999</v>
      </c>
      <c r="M69" s="496">
        <f>'LDPE-A2'!M69+'HDPE-A3'!M69</f>
        <v>2087.1524073492001</v>
      </c>
      <c r="N69" s="496">
        <f>'LDPE-A2'!N69+'HDPE-A3'!N69</f>
        <v>2164.1683311803854</v>
      </c>
      <c r="O69" s="496">
        <f>'LDPE-A2'!O69+'HDPE-A3'!O69</f>
        <v>2240.9963069372889</v>
      </c>
      <c r="P69" s="497">
        <f>'LDPE-A2'!P69+'HDPE-A3'!P69</f>
        <v>2319.4311776800942</v>
      </c>
      <c r="Q69" s="502">
        <f>'LDPE-A2'!Q69+'HDPE-A3'!Q69</f>
        <v>2402.0029276055056</v>
      </c>
      <c r="R69" s="573">
        <f t="shared" si="0"/>
        <v>6.4</v>
      </c>
      <c r="S69" s="256">
        <f t="shared" si="1"/>
        <v>3.6</v>
      </c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f>'LDPE-A2'!D70+'HDPE-A3'!D70</f>
        <v>743.55933834791176</v>
      </c>
      <c r="E70" s="45">
        <f>'LDPE-A2'!E70+'HDPE-A3'!E70</f>
        <v>779.84455513879868</v>
      </c>
      <c r="F70" s="49">
        <f>'LDPE-A2'!F70+'HDPE-A3'!F70</f>
        <v>993.91169814492036</v>
      </c>
      <c r="G70" s="45">
        <f>'LDPE-A2'!G70+'HDPE-A3'!G70</f>
        <v>1081</v>
      </c>
      <c r="H70" s="49">
        <f>'LDPE-A2'!H70+'HDPE-A3'!H70</f>
        <v>1099</v>
      </c>
      <c r="I70" s="45">
        <f>'LDPE-A2'!I70+'HDPE-A3'!I70</f>
        <v>1129</v>
      </c>
      <c r="J70" s="49">
        <f>'LDPE-A2'!J70+'HDPE-A3'!J70</f>
        <v>1159</v>
      </c>
      <c r="K70" s="50">
        <f>'LDPE-A2'!K70+'HDPE-A3'!K70</f>
        <v>1370</v>
      </c>
      <c r="L70" s="504">
        <f>'LDPE-A2'!L70+'HDPE-A3'!L70</f>
        <v>1270</v>
      </c>
      <c r="M70" s="45">
        <f>'LDPE-A2'!M70+'HDPE-A3'!M70</f>
        <v>1335</v>
      </c>
      <c r="N70" s="45">
        <f>'LDPE-A2'!N70+'HDPE-A3'!N70</f>
        <v>1400</v>
      </c>
      <c r="O70" s="45">
        <f>'LDPE-A2'!O70+'HDPE-A3'!O70</f>
        <v>1470</v>
      </c>
      <c r="P70" s="45">
        <f>'LDPE-A2'!P70+'HDPE-A3'!P70</f>
        <v>1540</v>
      </c>
      <c r="Q70" s="51">
        <f>'LDPE-A2'!Q70+'HDPE-A3'!Q70</f>
        <v>1610</v>
      </c>
      <c r="R70" s="573">
        <f t="shared" si="0"/>
        <v>9.1</v>
      </c>
      <c r="S70" s="256">
        <f t="shared" si="1"/>
        <v>4.9000000000000004</v>
      </c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f>'LDPE-A2'!D71+'HDPE-A3'!D71</f>
        <v>3336</v>
      </c>
      <c r="E71" s="49">
        <f>'LDPE-A2'!E71+'HDPE-A3'!E71</f>
        <v>2985</v>
      </c>
      <c r="F71" s="45">
        <f>'LDPE-A2'!F71+'HDPE-A3'!F71</f>
        <v>3355</v>
      </c>
      <c r="G71" s="49">
        <f>'LDPE-A2'!G71+'HDPE-A3'!G71</f>
        <v>3539</v>
      </c>
      <c r="H71" s="49">
        <f>'LDPE-A2'!H71+'HDPE-A3'!H71</f>
        <v>3073</v>
      </c>
      <c r="I71" s="45">
        <f>'LDPE-A2'!I71+'HDPE-A3'!I71</f>
        <v>3338</v>
      </c>
      <c r="J71" s="49">
        <f>'LDPE-A2'!J71+'HDPE-A3'!J71</f>
        <v>3810</v>
      </c>
      <c r="K71" s="50">
        <f>'LDPE-A2'!K71+'HDPE-A3'!K71</f>
        <v>4700</v>
      </c>
      <c r="L71" s="140">
        <f>'LDPE-A2'!L71+'HDPE-A3'!L71</f>
        <v>4900</v>
      </c>
      <c r="M71" s="45">
        <f>'LDPE-A2'!M71+'HDPE-A3'!M71</f>
        <v>5000</v>
      </c>
      <c r="N71" s="45">
        <f>'LDPE-A2'!N71+'HDPE-A3'!N71</f>
        <v>5100</v>
      </c>
      <c r="O71" s="45">
        <f>'LDPE-A2'!O71+'HDPE-A3'!O71</f>
        <v>5300</v>
      </c>
      <c r="P71" s="45">
        <f>'LDPE-A2'!P71+'HDPE-A3'!P71</f>
        <v>5400</v>
      </c>
      <c r="Q71" s="50">
        <f>'LDPE-A2'!Q71+'HDPE-A3'!Q71</f>
        <v>5400</v>
      </c>
      <c r="R71" s="573">
        <f t="shared" si="0"/>
        <v>5</v>
      </c>
      <c r="S71" s="256">
        <f t="shared" si="1"/>
        <v>2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>
        <f>'LDPE-A2'!D72+'HDPE-A3'!D72</f>
        <v>0</v>
      </c>
      <c r="E72" s="41">
        <f>'LDPE-A2'!E72+'HDPE-A3'!E72</f>
        <v>0</v>
      </c>
      <c r="F72" s="40">
        <f>'LDPE-A2'!F72+'HDPE-A3'!F72</f>
        <v>0</v>
      </c>
      <c r="G72" s="41">
        <f>'LDPE-A2'!G72+'HDPE-A3'!G72</f>
        <v>0</v>
      </c>
      <c r="H72" s="41">
        <f>'LDPE-A2'!H72+'HDPE-A3'!H72</f>
        <v>0</v>
      </c>
      <c r="I72" s="40">
        <f>'LDPE-A2'!I72+'HDPE-A3'!I72</f>
        <v>0</v>
      </c>
      <c r="J72" s="41">
        <f>'LDPE-A2'!J72+'HDPE-A3'!J72</f>
        <v>0</v>
      </c>
      <c r="K72" s="42">
        <f>'LDPE-A2'!K72+'HDPE-A3'!K72</f>
        <v>0</v>
      </c>
      <c r="L72" s="138">
        <f>'LDPE-A2'!L72+'HDPE-A3'!L72</f>
        <v>0</v>
      </c>
      <c r="M72" s="40">
        <f>'LDPE-A2'!M72+'HDPE-A3'!M72</f>
        <v>0</v>
      </c>
      <c r="N72" s="40">
        <f>'LDPE-A2'!N72+'HDPE-A3'!N72</f>
        <v>0</v>
      </c>
      <c r="O72" s="40">
        <f>'LDPE-A2'!O72+'HDPE-A3'!O72</f>
        <v>0</v>
      </c>
      <c r="P72" s="40">
        <f>'LDPE-A2'!P72+'HDPE-A3'!P72</f>
        <v>0</v>
      </c>
      <c r="Q72" s="42">
        <f>'LDPE-A2'!Q72+'HDPE-A3'!Q72</f>
        <v>0</v>
      </c>
      <c r="R72" s="573" t="str">
        <f t="shared" ref="R72:R93" si="2">IF(D72=0,"     -",IF(K72=0,"     -",ROUND(((K72/D72)^(1/7)-1)*100,1)))</f>
        <v xml:space="preserve">     -</v>
      </c>
      <c r="S72" s="256" t="str">
        <f t="shared" ref="S72:S93" si="3">IF(L72=0,"     -",IF(Q72=0,"     -",ROUND(((Q72/L72)^(1/5)-1)*100,1)))</f>
        <v xml:space="preserve">     -</v>
      </c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f>'LDPE-A2'!D73+'HDPE-A3'!D73</f>
        <v>322</v>
      </c>
      <c r="E73" s="49">
        <f>'LDPE-A2'!E73+'HDPE-A3'!E73</f>
        <v>335</v>
      </c>
      <c r="F73" s="45">
        <f>'LDPE-A2'!F73+'HDPE-A3'!F73</f>
        <v>392</v>
      </c>
      <c r="G73" s="49">
        <f>'LDPE-A2'!G73+'HDPE-A3'!G73</f>
        <v>292</v>
      </c>
      <c r="H73" s="49">
        <f>'LDPE-A2'!H73+'HDPE-A3'!H73</f>
        <v>358</v>
      </c>
      <c r="I73" s="45">
        <f>'LDPE-A2'!I73+'HDPE-A3'!I73</f>
        <v>379.08</v>
      </c>
      <c r="J73" s="49">
        <f>'LDPE-A2'!J73+'HDPE-A3'!J73</f>
        <v>402.5</v>
      </c>
      <c r="K73" s="50">
        <f>'LDPE-A2'!K73+'HDPE-A3'!K73</f>
        <v>431</v>
      </c>
      <c r="L73" s="140">
        <f>'LDPE-A2'!L73+'HDPE-A3'!L73</f>
        <v>459</v>
      </c>
      <c r="M73" s="45">
        <f>'LDPE-A2'!M73+'HDPE-A3'!M73</f>
        <v>488</v>
      </c>
      <c r="N73" s="45">
        <f>'LDPE-A2'!N73+'HDPE-A3'!N73</f>
        <v>517</v>
      </c>
      <c r="O73" s="45">
        <f>'LDPE-A2'!O73+'HDPE-A3'!O73</f>
        <v>547</v>
      </c>
      <c r="P73" s="45">
        <f>'LDPE-A2'!P73+'HDPE-A3'!P73</f>
        <v>578</v>
      </c>
      <c r="Q73" s="50">
        <f>'LDPE-A2'!Q73+'HDPE-A3'!Q73</f>
        <v>610</v>
      </c>
      <c r="R73" s="573">
        <f t="shared" si="2"/>
        <v>4.3</v>
      </c>
      <c r="S73" s="256">
        <f t="shared" si="3"/>
        <v>5.9</v>
      </c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f>'LDPE-A2'!D74+'HDPE-A3'!D74</f>
        <v>903.5454545454545</v>
      </c>
      <c r="E74" s="496">
        <f>'LDPE-A2'!E74+'HDPE-A3'!E74</f>
        <v>1008.7695454545456</v>
      </c>
      <c r="F74" s="497">
        <f>'LDPE-A2'!F74+'HDPE-A3'!F74</f>
        <v>939</v>
      </c>
      <c r="G74" s="497">
        <f>'LDPE-A2'!G74+'HDPE-A3'!G74</f>
        <v>990.56399999999996</v>
      </c>
      <c r="H74" s="496">
        <f>'LDPE-A2'!H74+'HDPE-A3'!H74</f>
        <v>1255.6859999999999</v>
      </c>
      <c r="I74" s="497">
        <f>'LDPE-A2'!I74+'HDPE-A3'!I74</f>
        <v>1245.7640000000001</v>
      </c>
      <c r="J74" s="497">
        <f>'LDPE-A2'!J74+'HDPE-A3'!J74</f>
        <v>1265.8219999999999</v>
      </c>
      <c r="K74" s="502">
        <f>'LDPE-A2'!K74+'HDPE-A3'!K74</f>
        <v>1286.2919999999999</v>
      </c>
      <c r="L74" s="503">
        <f>'LDPE-A2'!L74+'HDPE-A3'!L74</f>
        <v>1346.7477239999998</v>
      </c>
      <c r="M74" s="496">
        <f>'LDPE-A2'!M74+'HDPE-A3'!M74</f>
        <v>1408.6981193039999</v>
      </c>
      <c r="N74" s="496">
        <f>'LDPE-A2'!N74+'HDPE-A3'!N74</f>
        <v>1476.3156290305919</v>
      </c>
      <c r="O74" s="496">
        <f>'LDPE-A2'!O74+'HDPE-A3'!O74</f>
        <v>1547.7693054756726</v>
      </c>
      <c r="P74" s="497">
        <f>'LDPE-A2'!P74+'HDPE-A3'!P74</f>
        <v>1622.6813398606951</v>
      </c>
      <c r="Q74" s="502">
        <f>'LDPE-A2'!Q74+'HDPE-A3'!Q74</f>
        <v>1701.2191167099527</v>
      </c>
      <c r="R74" s="573">
        <f t="shared" si="2"/>
        <v>5.2</v>
      </c>
      <c r="S74" s="256">
        <f t="shared" si="3"/>
        <v>4.8</v>
      </c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f>'LDPE-A2'!D75+'HDPE-A3'!D75</f>
        <v>428</v>
      </c>
      <c r="E75" s="49">
        <f>'LDPE-A2'!E75+'HDPE-A3'!E75</f>
        <v>458</v>
      </c>
      <c r="F75" s="45">
        <f>'LDPE-A2'!F75+'HDPE-A3'!F75</f>
        <v>488</v>
      </c>
      <c r="G75" s="49">
        <f>'LDPE-A2'!G75+'HDPE-A3'!G75</f>
        <v>522</v>
      </c>
      <c r="H75" s="49">
        <f>'LDPE-A2'!H75+'HDPE-A3'!H75</f>
        <v>556</v>
      </c>
      <c r="I75" s="45">
        <f>'LDPE-A2'!I75+'HDPE-A3'!I75</f>
        <v>594</v>
      </c>
      <c r="J75" s="49">
        <f>'LDPE-A2'!J75+'HDPE-A3'!J75</f>
        <v>630</v>
      </c>
      <c r="K75" s="50">
        <f>'LDPE-A2'!K75+'HDPE-A3'!K75</f>
        <v>1687.5</v>
      </c>
      <c r="L75" s="140">
        <f>'LDPE-A2'!L75+'HDPE-A3'!L75</f>
        <v>1969.3</v>
      </c>
      <c r="M75" s="45">
        <f>'LDPE-A2'!M75+'HDPE-A3'!M75</f>
        <v>2086</v>
      </c>
      <c r="N75" s="45">
        <f>'LDPE-A2'!N75+'HDPE-A3'!N75</f>
        <v>2211</v>
      </c>
      <c r="O75" s="45">
        <f>'LDPE-A2'!O75+'HDPE-A3'!O75</f>
        <v>2343</v>
      </c>
      <c r="P75" s="45">
        <f>'LDPE-A2'!P75+'HDPE-A3'!P75</f>
        <v>2483</v>
      </c>
      <c r="Q75" s="50">
        <f>'LDPE-A2'!Q75+'HDPE-A3'!Q75</f>
        <v>2631</v>
      </c>
      <c r="R75" s="573">
        <f t="shared" si="2"/>
        <v>21.7</v>
      </c>
      <c r="S75" s="256">
        <f t="shared" si="3"/>
        <v>6</v>
      </c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f>'LDPE-A2'!D76+'HDPE-A3'!D76</f>
        <v>2635.7</v>
      </c>
      <c r="E76" s="40">
        <f>'LDPE-A2'!E76+'HDPE-A3'!E76</f>
        <v>2803.9</v>
      </c>
      <c r="F76" s="40">
        <f>'LDPE-A2'!F76+'HDPE-A3'!F76</f>
        <v>2607.1</v>
      </c>
      <c r="G76" s="40">
        <f>'LDPE-A2'!G76+'HDPE-A3'!G76</f>
        <v>2642.5</v>
      </c>
      <c r="H76" s="505">
        <f>'LDPE-A2'!H76+'HDPE-A3'!H76</f>
        <v>2780.5</v>
      </c>
      <c r="I76" s="505">
        <f>'LDPE-A2'!I76+'HDPE-A3'!I76</f>
        <v>2596.3999999999996</v>
      </c>
      <c r="J76" s="506">
        <f>'LDPE-A2'!J76+'HDPE-A3'!J76</f>
        <v>2582.5</v>
      </c>
      <c r="K76" s="507">
        <f>'LDPE-A2'!K76+'HDPE-A3'!K76</f>
        <v>2774.3</v>
      </c>
      <c r="L76" s="508">
        <f>'LDPE-A2'!L76+'HDPE-A3'!L76</f>
        <v>2655.5</v>
      </c>
      <c r="M76" s="505">
        <f>'LDPE-A2'!M76+'HDPE-A3'!M76</f>
        <v>2609.1</v>
      </c>
      <c r="N76" s="505">
        <f>'LDPE-A2'!N76+'HDPE-A3'!N76</f>
        <v>2606.4</v>
      </c>
      <c r="O76" s="505">
        <f>'LDPE-A2'!O76+'HDPE-A3'!O76</f>
        <v>2606.1999999999998</v>
      </c>
      <c r="P76" s="505">
        <f>'LDPE-A2'!P76+'HDPE-A3'!P76</f>
        <v>2606.8000000000002</v>
      </c>
      <c r="Q76" s="509">
        <f>'LDPE-A2'!Q76+'HDPE-A3'!Q76</f>
        <v>2607.3000000000002</v>
      </c>
      <c r="R76" s="573">
        <f t="shared" si="2"/>
        <v>0.7</v>
      </c>
      <c r="S76" s="256">
        <f t="shared" si="3"/>
        <v>-0.4</v>
      </c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'LDPE-A2'!D77+'HDPE-A3'!D77</f>
        <v>30290.804792893367</v>
      </c>
      <c r="E77" s="93">
        <f>'LDPE-A2'!E77+'HDPE-A3'!E77</f>
        <v>31120.518433926678</v>
      </c>
      <c r="F77" s="93">
        <f>'LDPE-A2'!F77+'HDPE-A3'!F77</f>
        <v>31499.251087811586</v>
      </c>
      <c r="G77" s="93">
        <f>'LDPE-A2'!G77+'HDPE-A3'!G77</f>
        <v>34338.416486474001</v>
      </c>
      <c r="H77" s="93">
        <f>'LDPE-A2'!H77+'HDPE-A3'!H77</f>
        <v>35958.26317858175</v>
      </c>
      <c r="I77" s="93">
        <f>'LDPE-A2'!I77+'HDPE-A3'!I77</f>
        <v>37648.271962153376</v>
      </c>
      <c r="J77" s="93">
        <f>'LDPE-A2'!J77+'HDPE-A3'!J77</f>
        <v>40414.777000000002</v>
      </c>
      <c r="K77" s="96">
        <f>'LDPE-A2'!K77+'HDPE-A3'!K77</f>
        <v>45789.298999999999</v>
      </c>
      <c r="L77" s="95">
        <f>'LDPE-A2'!L77+'HDPE-A3'!L77</f>
        <v>47850.130246000001</v>
      </c>
      <c r="M77" s="93">
        <f>'LDPE-A2'!M77+'HDPE-A3'!M77</f>
        <v>49913.950526653192</v>
      </c>
      <c r="N77" s="93">
        <f>'LDPE-A2'!N77+'HDPE-A3'!N77</f>
        <v>52065.88396021098</v>
      </c>
      <c r="O77" s="93">
        <f>'LDPE-A2'!O77+'HDPE-A3'!O77</f>
        <v>54275.965612412961</v>
      </c>
      <c r="P77" s="93">
        <f>'LDPE-A2'!P77+'HDPE-A3'!P77</f>
        <v>56400.91251754079</v>
      </c>
      <c r="Q77" s="96">
        <f>'LDPE-A2'!Q77+'HDPE-A3'!Q77</f>
        <v>58462.522044315454</v>
      </c>
      <c r="R77" s="574">
        <f t="shared" si="2"/>
        <v>6.1</v>
      </c>
      <c r="S77" s="510">
        <f t="shared" si="3"/>
        <v>4.0999999999999996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f>'LDPE-A2'!D78+'HDPE-A3'!D78</f>
        <v>740</v>
      </c>
      <c r="E78" s="512">
        <f>'LDPE-A2'!E78+'HDPE-A3'!E78</f>
        <v>621</v>
      </c>
      <c r="F78" s="512">
        <f>'LDPE-A2'!F78+'HDPE-A3'!F78</f>
        <v>555</v>
      </c>
      <c r="G78" s="512">
        <f>'LDPE-A2'!G78+'HDPE-A3'!G78</f>
        <v>615</v>
      </c>
      <c r="H78" s="512">
        <f>'LDPE-A2'!H78+'HDPE-A3'!H78</f>
        <v>600</v>
      </c>
      <c r="I78" s="512">
        <f>'LDPE-A2'!I78+'HDPE-A3'!I78</f>
        <v>578</v>
      </c>
      <c r="J78" s="513">
        <f>'LDPE-A2'!J78+'HDPE-A3'!J78</f>
        <v>590</v>
      </c>
      <c r="K78" s="514">
        <f>'LDPE-A2'!K78+'HDPE-A3'!K78</f>
        <v>591</v>
      </c>
      <c r="L78" s="511">
        <f>'LDPE-A2'!L78+'HDPE-A3'!L78</f>
        <v>610</v>
      </c>
      <c r="M78" s="512">
        <f>'LDPE-A2'!M78+'HDPE-A3'!M78</f>
        <v>610</v>
      </c>
      <c r="N78" s="512">
        <f>'LDPE-A2'!N78+'HDPE-A3'!N78</f>
        <v>617</v>
      </c>
      <c r="O78" s="512">
        <f>'LDPE-A2'!O78+'HDPE-A3'!O78</f>
        <v>617</v>
      </c>
      <c r="P78" s="513">
        <f>'LDPE-A2'!P78+'HDPE-A3'!P78</f>
        <v>624</v>
      </c>
      <c r="Q78" s="514">
        <f>'LDPE-A2'!Q78+'HDPE-A3'!Q78</f>
        <v>624</v>
      </c>
      <c r="R78" s="574">
        <f t="shared" si="2"/>
        <v>-3.2</v>
      </c>
      <c r="S78" s="510">
        <f t="shared" si="3"/>
        <v>0.5</v>
      </c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f>'LDPE-A2'!D79+'HDPE-A3'!D79</f>
        <v>585</v>
      </c>
      <c r="E79" s="512">
        <f>'LDPE-A2'!E79+'HDPE-A3'!E79</f>
        <v>621</v>
      </c>
      <c r="F79" s="512">
        <f>'LDPE-A2'!F79+'HDPE-A3'!F79</f>
        <v>555</v>
      </c>
      <c r="G79" s="512">
        <f>'LDPE-A2'!G79+'HDPE-A3'!G79</f>
        <v>615</v>
      </c>
      <c r="H79" s="512">
        <f>'LDPE-A2'!H79+'HDPE-A3'!H79</f>
        <v>600</v>
      </c>
      <c r="I79" s="512">
        <f>'LDPE-A2'!I79+'HDPE-A3'!I79</f>
        <v>578</v>
      </c>
      <c r="J79" s="513">
        <f>'LDPE-A2'!J79+'HDPE-A3'!J79</f>
        <v>590</v>
      </c>
      <c r="K79" s="514">
        <f>'LDPE-A2'!K79+'HDPE-A3'!K79</f>
        <v>591</v>
      </c>
      <c r="L79" s="511">
        <f>'LDPE-A2'!L79+'HDPE-A3'!L79</f>
        <v>610</v>
      </c>
      <c r="M79" s="512">
        <f>'LDPE-A2'!M79+'HDPE-A3'!M79</f>
        <v>610</v>
      </c>
      <c r="N79" s="512">
        <f>'LDPE-A2'!N79+'HDPE-A3'!N79</f>
        <v>617</v>
      </c>
      <c r="O79" s="512">
        <f>'LDPE-A2'!O79+'HDPE-A3'!O79</f>
        <v>617</v>
      </c>
      <c r="P79" s="513">
        <f>'LDPE-A2'!P79+'HDPE-A3'!P79</f>
        <v>624</v>
      </c>
      <c r="Q79" s="514">
        <f>'LDPE-A2'!Q79+'HDPE-A3'!Q79</f>
        <v>624</v>
      </c>
      <c r="R79" s="574">
        <f t="shared" si="2"/>
        <v>0.1</v>
      </c>
      <c r="S79" s="510">
        <f t="shared" si="3"/>
        <v>0.5</v>
      </c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f>'LDPE-A2'!D80+'HDPE-A3'!D80</f>
        <v>16480</v>
      </c>
      <c r="E80" s="538">
        <f>'LDPE-A2'!E80+'HDPE-A3'!E80</f>
        <v>13330</v>
      </c>
      <c r="F80" s="538">
        <f>'LDPE-A2'!F80+'HDPE-A3'!F80</f>
        <v>12952</v>
      </c>
      <c r="G80" s="538">
        <f>'LDPE-A2'!G80+'HDPE-A3'!G80</f>
        <v>12989</v>
      </c>
      <c r="H80" s="538">
        <f>'LDPE-A2'!H80+'HDPE-A3'!H80</f>
        <v>13038</v>
      </c>
      <c r="I80" s="538">
        <f>'LDPE-A2'!I80+'HDPE-A3'!I80</f>
        <v>13450.75</v>
      </c>
      <c r="J80" s="515">
        <f>'LDPE-A2'!J80+'HDPE-A3'!J80</f>
        <v>14021.82971</v>
      </c>
      <c r="K80" s="536">
        <f>'LDPE-A2'!K80+'HDPE-A3'!K80</f>
        <v>14193.937101</v>
      </c>
      <c r="L80" s="537">
        <f>'LDPE-A2'!L80+'HDPE-A3'!L80</f>
        <v>14398.169474</v>
      </c>
      <c r="M80" s="538">
        <f>'LDPE-A2'!M80+'HDPE-A3'!M80</f>
        <v>14606.204419</v>
      </c>
      <c r="N80" s="538">
        <f>'LDPE-A2'!N80+'HDPE-A3'!N80</f>
        <v>14820.787737999999</v>
      </c>
      <c r="O80" s="538">
        <f>'LDPE-A2'!O80+'HDPE-A3'!O80</f>
        <v>15036.793418000001</v>
      </c>
      <c r="P80" s="515">
        <f>'LDPE-A2'!P80+'HDPE-A3'!P80</f>
        <v>15242.890971000001</v>
      </c>
      <c r="Q80" s="536">
        <f>'LDPE-A2'!Q80+'HDPE-A3'!Q80</f>
        <v>15448.382716</v>
      </c>
      <c r="R80" s="575">
        <f t="shared" si="2"/>
        <v>-2.1</v>
      </c>
      <c r="S80" s="517">
        <f t="shared" si="3"/>
        <v>1.4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f>'LDPE-A2'!D81+'HDPE-A3'!D81</f>
        <v>12956</v>
      </c>
      <c r="E81" s="512">
        <f>'LDPE-A2'!E81+'HDPE-A3'!E81</f>
        <v>11612</v>
      </c>
      <c r="F81" s="512">
        <f>'LDPE-A2'!F81+'HDPE-A3'!F81</f>
        <v>11017</v>
      </c>
      <c r="G81" s="512">
        <f>'LDPE-A2'!G81+'HDPE-A3'!G81</f>
        <v>11028</v>
      </c>
      <c r="H81" s="512">
        <f>'LDPE-A2'!H81+'HDPE-A3'!H81</f>
        <v>11132</v>
      </c>
      <c r="I81" s="512">
        <f>'LDPE-A2'!I81+'HDPE-A3'!I81</f>
        <v>11373.59</v>
      </c>
      <c r="J81" s="513">
        <f>'LDPE-A2'!J81+'HDPE-A3'!J81</f>
        <v>11885.000037</v>
      </c>
      <c r="K81" s="514">
        <f>'LDPE-A2'!K81+'HDPE-A3'!K81</f>
        <v>12002.230600999999</v>
      </c>
      <c r="L81" s="511">
        <f>'LDPE-A2'!L81+'HDPE-A3'!L81</f>
        <v>12148.536865999999</v>
      </c>
      <c r="M81" s="512">
        <f>'LDPE-A2'!M81+'HDPE-A3'!M81</f>
        <v>12298.626382999999</v>
      </c>
      <c r="N81" s="512">
        <f>'LDPE-A2'!N81+'HDPE-A3'!N81</f>
        <v>12461.960834000001</v>
      </c>
      <c r="O81" s="512">
        <f>'LDPE-A2'!O81+'HDPE-A3'!O81</f>
        <v>12628.248806</v>
      </c>
      <c r="P81" s="513">
        <f>'LDPE-A2'!P81+'HDPE-A3'!P81</f>
        <v>12783.846162</v>
      </c>
      <c r="Q81" s="514">
        <f>'LDPE-A2'!Q81+'HDPE-A3'!Q81</f>
        <v>12937.795332</v>
      </c>
      <c r="R81" s="574">
        <f t="shared" si="2"/>
        <v>-1.1000000000000001</v>
      </c>
      <c r="S81" s="510">
        <f t="shared" si="3"/>
        <v>1.3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f>'LDPE-A2'!D82+'HDPE-A3'!D82</f>
        <v>3623</v>
      </c>
      <c r="E82" s="496">
        <f>'LDPE-A2'!E82+'HDPE-A3'!E82</f>
        <v>5180</v>
      </c>
      <c r="F82" s="496">
        <f>'LDPE-A2'!F82+'HDPE-A3'!F82</f>
        <v>5335</v>
      </c>
      <c r="G82" s="496">
        <f>'LDPE-A2'!G82+'HDPE-A3'!G82</f>
        <v>5463</v>
      </c>
      <c r="H82" s="496">
        <f>'LDPE-A2'!H82+'HDPE-A3'!H82</f>
        <v>5482</v>
      </c>
      <c r="I82" s="496">
        <f>'LDPE-A2'!I82+'HDPE-A3'!I82</f>
        <v>5630</v>
      </c>
      <c r="J82" s="497">
        <f>'LDPE-A2'!J82+'HDPE-A3'!J82</f>
        <v>5806</v>
      </c>
      <c r="K82" s="502">
        <f>'LDPE-A2'!K82+'HDPE-A3'!K82</f>
        <v>6039</v>
      </c>
      <c r="L82" s="503">
        <f>'LDPE-A2'!L82+'HDPE-A3'!L82</f>
        <v>6302</v>
      </c>
      <c r="M82" s="496">
        <f>'LDPE-A2'!M82+'HDPE-A3'!M82</f>
        <v>6576</v>
      </c>
      <c r="N82" s="496">
        <f>'LDPE-A2'!N82+'HDPE-A3'!N82</f>
        <v>6865</v>
      </c>
      <c r="O82" s="496">
        <f>'LDPE-A2'!O82+'HDPE-A3'!O82</f>
        <v>7161</v>
      </c>
      <c r="P82" s="497">
        <f>'LDPE-A2'!P82+'HDPE-A3'!P82</f>
        <v>7288</v>
      </c>
      <c r="Q82" s="502">
        <f>'LDPE-A2'!Q82+'HDPE-A3'!Q82</f>
        <v>7428</v>
      </c>
      <c r="R82" s="573">
        <f t="shared" si="2"/>
        <v>7.6</v>
      </c>
      <c r="S82" s="256">
        <f t="shared" si="3"/>
        <v>3.3</v>
      </c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f>'LDPE-A2'!D83+'HDPE-A3'!D83</f>
        <v>975</v>
      </c>
      <c r="E83" s="518">
        <f>'LDPE-A2'!E83+'HDPE-A3'!E83</f>
        <v>975</v>
      </c>
      <c r="F83" s="518">
        <f>'LDPE-A2'!F83+'HDPE-A3'!F83</f>
        <v>1024</v>
      </c>
      <c r="G83" s="518">
        <f>'LDPE-A2'!G83+'HDPE-A3'!G83</f>
        <v>1048</v>
      </c>
      <c r="H83" s="518">
        <f>'LDPE-A2'!H83+'HDPE-A3'!H83</f>
        <v>1082</v>
      </c>
      <c r="I83" s="518">
        <f>'LDPE-A2'!I83+'HDPE-A3'!I83</f>
        <v>1120</v>
      </c>
      <c r="J83" s="519">
        <f>'LDPE-A2'!J83+'HDPE-A3'!J83</f>
        <v>1139</v>
      </c>
      <c r="K83" s="514">
        <f>'LDPE-A2'!K83+'HDPE-A3'!K83</f>
        <v>1154</v>
      </c>
      <c r="L83" s="511">
        <f>'LDPE-A2'!L83+'HDPE-A3'!L83</f>
        <v>1190</v>
      </c>
      <c r="M83" s="518">
        <f>'LDPE-A2'!M83+'HDPE-A3'!M83</f>
        <v>1227</v>
      </c>
      <c r="N83" s="518">
        <f>'LDPE-A2'!N83+'HDPE-A3'!N83</f>
        <v>1266</v>
      </c>
      <c r="O83" s="518">
        <f>'LDPE-A2'!O83+'HDPE-A3'!O83</f>
        <v>1304</v>
      </c>
      <c r="P83" s="519">
        <f>'LDPE-A2'!P83+'HDPE-A3'!P83</f>
        <v>1342</v>
      </c>
      <c r="Q83" s="514">
        <f>'LDPE-A2'!Q83+'HDPE-A3'!Q83</f>
        <v>1400</v>
      </c>
      <c r="R83" s="574">
        <f t="shared" si="2"/>
        <v>2.4</v>
      </c>
      <c r="S83" s="510">
        <f t="shared" si="3"/>
        <v>3.3</v>
      </c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f>'LDPE-A2'!D84+'HDPE-A3'!D84</f>
        <v>2351</v>
      </c>
      <c r="E84" s="518">
        <f>'LDPE-A2'!E84+'HDPE-A3'!E84</f>
        <v>2459</v>
      </c>
      <c r="F84" s="518">
        <f>'LDPE-A2'!F84+'HDPE-A3'!F84</f>
        <v>2529</v>
      </c>
      <c r="G84" s="518">
        <f>'LDPE-A2'!G84+'HDPE-A3'!G84</f>
        <v>2740.915</v>
      </c>
      <c r="H84" s="518">
        <f>'LDPE-A2'!H84+'HDPE-A3'!H84</f>
        <v>3005</v>
      </c>
      <c r="I84" s="518">
        <f>'LDPE-A2'!I84+'HDPE-A3'!I84</f>
        <v>3392</v>
      </c>
      <c r="J84" s="519">
        <f>'LDPE-A2'!J84+'HDPE-A3'!J84</f>
        <v>3506</v>
      </c>
      <c r="K84" s="514">
        <f>'LDPE-A2'!K84+'HDPE-A3'!K84</f>
        <v>3719</v>
      </c>
      <c r="L84" s="511">
        <f>'LDPE-A2'!L84+'HDPE-A3'!L84</f>
        <v>3956</v>
      </c>
      <c r="M84" s="518">
        <f>'LDPE-A2'!M84+'HDPE-A3'!M84</f>
        <v>4198</v>
      </c>
      <c r="N84" s="518">
        <f>'LDPE-A2'!N84+'HDPE-A3'!N84</f>
        <v>4454</v>
      </c>
      <c r="O84" s="518">
        <f>'LDPE-A2'!O84+'HDPE-A3'!O84</f>
        <v>4723</v>
      </c>
      <c r="P84" s="519">
        <f>'LDPE-A2'!P84+'HDPE-A3'!P84</f>
        <v>4980</v>
      </c>
      <c r="Q84" s="514">
        <f>'LDPE-A2'!Q84+'HDPE-A3'!Q84</f>
        <v>5476</v>
      </c>
      <c r="R84" s="574">
        <f t="shared" si="2"/>
        <v>6.8</v>
      </c>
      <c r="S84" s="510">
        <f t="shared" si="3"/>
        <v>6.7</v>
      </c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f>'LDPE-A2'!D85+'HDPE-A3'!D85</f>
        <v>2039</v>
      </c>
      <c r="E85" s="521">
        <f>'LDPE-A2'!E85+'HDPE-A3'!E85</f>
        <v>2416</v>
      </c>
      <c r="F85" s="521">
        <f>'LDPE-A2'!F85+'HDPE-A3'!F85</f>
        <v>2155.8000000000002</v>
      </c>
      <c r="G85" s="521">
        <f>'LDPE-A2'!G85+'HDPE-A3'!G85</f>
        <v>2558</v>
      </c>
      <c r="H85" s="521">
        <f>'LDPE-A2'!H85+'HDPE-A3'!H85</f>
        <v>2230</v>
      </c>
      <c r="I85" s="521">
        <f>'LDPE-A2'!I85+'HDPE-A3'!I85</f>
        <v>2035</v>
      </c>
      <c r="J85" s="522">
        <f>'LDPE-A2'!J85+'HDPE-A3'!J85</f>
        <v>2981.5</v>
      </c>
      <c r="K85" s="523">
        <f>'LDPE-A2'!K85+'HDPE-A3'!K85</f>
        <v>2389</v>
      </c>
      <c r="L85" s="520">
        <f>'LDPE-A2'!L85+'HDPE-A3'!L85</f>
        <v>2427.2240000000002</v>
      </c>
      <c r="M85" s="521">
        <f>'LDPE-A2'!M85+'HDPE-A3'!M85</f>
        <v>2585.11888</v>
      </c>
      <c r="N85" s="521">
        <f>'LDPE-A2'!N85+'HDPE-A3'!N85</f>
        <v>2698.3956631999999</v>
      </c>
      <c r="O85" s="521">
        <f>'LDPE-A2'!O85+'HDPE-A3'!O85</f>
        <v>2811.871598148</v>
      </c>
      <c r="P85" s="522">
        <f>'LDPE-A2'!P85+'HDPE-A3'!P85</f>
        <v>2975.5496721202198</v>
      </c>
      <c r="Q85" s="523">
        <f>'LDPE-A2'!Q85+'HDPE-A3'!Q85</f>
        <v>3139.432917202023</v>
      </c>
      <c r="R85" s="574">
        <f t="shared" si="2"/>
        <v>2.2999999999999998</v>
      </c>
      <c r="S85" s="510">
        <f t="shared" si="3"/>
        <v>5.3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f>'LDPE-A2'!D86+'HDPE-A3'!D86</f>
        <v>11894</v>
      </c>
      <c r="E86" s="525">
        <f>'LDPE-A2'!E86+'HDPE-A3'!E86</f>
        <v>12071</v>
      </c>
      <c r="F86" s="530">
        <f>'LDPE-A2'!F86+'HDPE-A3'!F86</f>
        <v>12143</v>
      </c>
      <c r="G86" s="530">
        <f>'LDPE-A2'!G86+'HDPE-A3'!G86</f>
        <v>12266</v>
      </c>
      <c r="H86" s="525">
        <f>'LDPE-A2'!H86+'HDPE-A3'!H86</f>
        <v>12390</v>
      </c>
      <c r="I86" s="530">
        <f>'LDPE-A2'!I86+'HDPE-A3'!I86</f>
        <v>12690</v>
      </c>
      <c r="J86" s="530">
        <f>'LDPE-A2'!J86+'HDPE-A3'!J86</f>
        <v>12890</v>
      </c>
      <c r="K86" s="564">
        <f>'LDPE-A2'!K86+'HDPE-A3'!K86</f>
        <v>13186</v>
      </c>
      <c r="L86" s="524">
        <f>'LDPE-A2'!L86+'HDPE-A3'!L86</f>
        <v>13567</v>
      </c>
      <c r="M86" s="525">
        <f>'LDPE-A2'!M86+'HDPE-A3'!M86</f>
        <v>13935</v>
      </c>
      <c r="N86" s="525">
        <f>'LDPE-A2'!N86+'HDPE-A3'!N86</f>
        <v>14188</v>
      </c>
      <c r="O86" s="525">
        <f>'LDPE-A2'!O86+'HDPE-A3'!O86</f>
        <v>14433</v>
      </c>
      <c r="P86" s="530">
        <f>'LDPE-A2'!P86+'HDPE-A3'!P86</f>
        <v>14647</v>
      </c>
      <c r="Q86" s="564">
        <f>'LDPE-A2'!Q86+'HDPE-A3'!Q86</f>
        <v>14849</v>
      </c>
      <c r="R86" s="573">
        <f t="shared" si="2"/>
        <v>1.5</v>
      </c>
      <c r="S86" s="256">
        <f t="shared" si="3"/>
        <v>1.8</v>
      </c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f>'LDPE-A2'!D87+'HDPE-A3'!D87</f>
        <v>2238</v>
      </c>
      <c r="E87" s="525">
        <f>'LDPE-A2'!E87+'HDPE-A3'!E87</f>
        <v>2284</v>
      </c>
      <c r="F87" s="530">
        <f>'LDPE-A2'!F87+'HDPE-A3'!F87</f>
        <v>2330</v>
      </c>
      <c r="G87" s="530">
        <f>'LDPE-A2'!G87+'HDPE-A3'!G87</f>
        <v>2377</v>
      </c>
      <c r="H87" s="525">
        <f>'LDPE-A2'!H87+'HDPE-A3'!H87</f>
        <v>2433</v>
      </c>
      <c r="I87" s="530">
        <f>'LDPE-A2'!I87+'HDPE-A3'!I87</f>
        <v>2460</v>
      </c>
      <c r="J87" s="530">
        <f>'LDPE-A2'!J87+'HDPE-A3'!J87</f>
        <v>2488</v>
      </c>
      <c r="K87" s="564">
        <f>'LDPE-A2'!K87+'HDPE-A3'!K87</f>
        <v>2562</v>
      </c>
      <c r="L87" s="524">
        <f>'LDPE-A2'!L87+'HDPE-A3'!L87</f>
        <v>2614</v>
      </c>
      <c r="M87" s="525">
        <f>'LDPE-A2'!M87+'HDPE-A3'!M87</f>
        <v>2668</v>
      </c>
      <c r="N87" s="525">
        <f>'LDPE-A2'!N87+'HDPE-A3'!N87</f>
        <v>2717</v>
      </c>
      <c r="O87" s="525">
        <f>'LDPE-A2'!O87+'HDPE-A3'!O87</f>
        <v>2766</v>
      </c>
      <c r="P87" s="530">
        <f>'LDPE-A2'!P87+'HDPE-A3'!P87</f>
        <v>2811</v>
      </c>
      <c r="Q87" s="564">
        <f>'LDPE-A2'!Q87+'HDPE-A3'!Q87</f>
        <v>2856</v>
      </c>
      <c r="R87" s="573">
        <f t="shared" si="2"/>
        <v>2</v>
      </c>
      <c r="S87" s="256">
        <f t="shared" si="3"/>
        <v>1.8</v>
      </c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5.75" customHeight="1">
      <c r="A88" s="16"/>
      <c r="B88" s="674" t="s">
        <v>318</v>
      </c>
      <c r="C88" s="675"/>
      <c r="D88" s="95">
        <f>'LDPE-A2'!D88+'HDPE-A3'!D88</f>
        <v>14132</v>
      </c>
      <c r="E88" s="92">
        <f>'LDPE-A2'!E88+'HDPE-A3'!E88</f>
        <v>14355</v>
      </c>
      <c r="F88" s="92">
        <f>'LDPE-A2'!F88+'HDPE-A3'!F88</f>
        <v>14473</v>
      </c>
      <c r="G88" s="93">
        <f>'LDPE-A2'!G88+'HDPE-A3'!G88</f>
        <v>14643</v>
      </c>
      <c r="H88" s="93">
        <f>'LDPE-A2'!H88+'HDPE-A3'!H88</f>
        <v>14823</v>
      </c>
      <c r="I88" s="94">
        <f>'LDPE-A2'!I88+'HDPE-A3'!I88</f>
        <v>15150</v>
      </c>
      <c r="J88" s="94">
        <f>'LDPE-A2'!J88+'HDPE-A3'!J88</f>
        <v>15378</v>
      </c>
      <c r="K88" s="96">
        <f>'LDPE-A2'!K88+'HDPE-A3'!K88</f>
        <v>15748</v>
      </c>
      <c r="L88" s="95">
        <f>'LDPE-A2'!L88+'HDPE-A3'!L88</f>
        <v>16181</v>
      </c>
      <c r="M88" s="93">
        <f>'LDPE-A2'!M88+'HDPE-A3'!M88</f>
        <v>16603</v>
      </c>
      <c r="N88" s="93">
        <f>'LDPE-A2'!N88+'HDPE-A3'!N88</f>
        <v>16905</v>
      </c>
      <c r="O88" s="93">
        <f>'LDPE-A2'!O88+'HDPE-A3'!O88</f>
        <v>17199</v>
      </c>
      <c r="P88" s="93">
        <f>'LDPE-A2'!P88+'HDPE-A3'!P88</f>
        <v>17458</v>
      </c>
      <c r="Q88" s="96">
        <f>'LDPE-A2'!Q88+'HDPE-A3'!Q88</f>
        <v>17705</v>
      </c>
      <c r="R88" s="574">
        <f t="shared" si="2"/>
        <v>1.6</v>
      </c>
      <c r="S88" s="510">
        <f t="shared" si="3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f>'LDPE-A2'!D89+'HDPE-A3'!D89</f>
        <v>1496</v>
      </c>
      <c r="E89" s="525">
        <f>'LDPE-A2'!E89+'HDPE-A3'!E89</f>
        <v>1527</v>
      </c>
      <c r="F89" s="530">
        <f>'LDPE-A2'!F89+'HDPE-A3'!F89</f>
        <v>1558</v>
      </c>
      <c r="G89" s="530">
        <f>'LDPE-A2'!G89+'HDPE-A3'!G89</f>
        <v>1592</v>
      </c>
      <c r="H89" s="525">
        <f>'LDPE-A2'!H89+'HDPE-A3'!H89</f>
        <v>1629</v>
      </c>
      <c r="I89" s="530">
        <f>'LDPE-A2'!I89+'HDPE-A3'!I89</f>
        <v>1670</v>
      </c>
      <c r="J89" s="530">
        <f>'LDPE-A2'!J89+'HDPE-A3'!J89</f>
        <v>1721</v>
      </c>
      <c r="K89" s="564">
        <f>'LDPE-A2'!K89+'HDPE-A3'!K89</f>
        <v>1758</v>
      </c>
      <c r="L89" s="565">
        <f>'LDPE-A2'!L89+'HDPE-A3'!L89</f>
        <v>1797</v>
      </c>
      <c r="M89" s="566">
        <f>'LDPE-A2'!M89+'HDPE-A3'!M89</f>
        <v>1842</v>
      </c>
      <c r="N89" s="566">
        <f>'LDPE-A2'!N89+'HDPE-A3'!N89</f>
        <v>1892</v>
      </c>
      <c r="O89" s="566">
        <f>'LDPE-A2'!O89+'HDPE-A3'!O89</f>
        <v>1946</v>
      </c>
      <c r="P89" s="566">
        <f>'LDPE-A2'!P89+'HDPE-A3'!P89</f>
        <v>2004</v>
      </c>
      <c r="Q89" s="567">
        <f>'LDPE-A2'!Q89+'HDPE-A3'!Q89</f>
        <v>2064</v>
      </c>
      <c r="R89" s="573">
        <f t="shared" si="2"/>
        <v>2.2999999999999998</v>
      </c>
      <c r="S89" s="256">
        <f t="shared" si="3"/>
        <v>2.8</v>
      </c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f>'LDPE-A2'!D90+'HDPE-A3'!D90</f>
        <v>2056</v>
      </c>
      <c r="E90" s="525">
        <f>'LDPE-A2'!E90+'HDPE-A3'!E90</f>
        <v>2098</v>
      </c>
      <c r="F90" s="530">
        <f>'LDPE-A2'!F90+'HDPE-A3'!F90</f>
        <v>2140</v>
      </c>
      <c r="G90" s="530">
        <f>'LDPE-A2'!G90+'HDPE-A3'!G90</f>
        <v>2184</v>
      </c>
      <c r="H90" s="525">
        <f>'LDPE-A2'!H90+'HDPE-A3'!H90</f>
        <v>2228</v>
      </c>
      <c r="I90" s="530">
        <f>'LDPE-A2'!I90+'HDPE-A3'!I90</f>
        <v>2230</v>
      </c>
      <c r="J90" s="530">
        <f>'LDPE-A2'!J90+'HDPE-A3'!J90</f>
        <v>2170</v>
      </c>
      <c r="K90" s="564">
        <f>'LDPE-A2'!K90+'HDPE-A3'!K90</f>
        <v>2204</v>
      </c>
      <c r="L90" s="524">
        <f>'LDPE-A2'!L90+'HDPE-A3'!L90</f>
        <v>2235</v>
      </c>
      <c r="M90" s="525">
        <f>'LDPE-A2'!M90+'HDPE-A3'!M90</f>
        <v>2288</v>
      </c>
      <c r="N90" s="525">
        <f>'LDPE-A2'!N90+'HDPE-A3'!N90</f>
        <v>2340</v>
      </c>
      <c r="O90" s="525">
        <f>'LDPE-A2'!O90+'HDPE-A3'!O90</f>
        <v>2392</v>
      </c>
      <c r="P90" s="530">
        <f>'LDPE-A2'!P90+'HDPE-A3'!P90</f>
        <v>2445</v>
      </c>
      <c r="Q90" s="564">
        <f>'LDPE-A2'!Q90+'HDPE-A3'!Q90</f>
        <v>2499</v>
      </c>
      <c r="R90" s="573">
        <f t="shared" si="2"/>
        <v>1</v>
      </c>
      <c r="S90" s="256">
        <f t="shared" si="3"/>
        <v>2.2999999999999998</v>
      </c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f>'LDPE-A2'!D91+'HDPE-A3'!D91</f>
        <v>2129</v>
      </c>
      <c r="E91" s="525">
        <f>'LDPE-A2'!E91+'HDPE-A3'!E91</f>
        <v>2224</v>
      </c>
      <c r="F91" s="530">
        <f>'LDPE-A2'!F91+'HDPE-A3'!F91</f>
        <v>2398</v>
      </c>
      <c r="G91" s="530">
        <f>'LDPE-A2'!G91+'HDPE-A3'!G91</f>
        <v>2599</v>
      </c>
      <c r="H91" s="525">
        <f>'LDPE-A2'!H91+'HDPE-A3'!H91</f>
        <v>2750</v>
      </c>
      <c r="I91" s="530">
        <f>'LDPE-A2'!I91+'HDPE-A3'!I91</f>
        <v>2706</v>
      </c>
      <c r="J91" s="530">
        <f>'LDPE-A2'!J91+'HDPE-A3'!J91</f>
        <v>2727</v>
      </c>
      <c r="K91" s="568">
        <f>'LDPE-A2'!K91+'HDPE-A3'!K91</f>
        <v>2760</v>
      </c>
      <c r="L91" s="569">
        <f>'LDPE-A2'!L91+'HDPE-A3'!L91</f>
        <v>2794</v>
      </c>
      <c r="M91" s="570">
        <f>'LDPE-A2'!M91+'HDPE-A3'!M91</f>
        <v>2844</v>
      </c>
      <c r="N91" s="570">
        <f>'LDPE-A2'!N91+'HDPE-A3'!N91</f>
        <v>2921</v>
      </c>
      <c r="O91" s="570">
        <f>'LDPE-A2'!O91+'HDPE-A3'!O91</f>
        <v>3001</v>
      </c>
      <c r="P91" s="571">
        <f>'LDPE-A2'!P91+'HDPE-A3'!P91</f>
        <v>3085</v>
      </c>
      <c r="Q91" s="568">
        <f>'LDPE-A2'!Q91+'HDPE-A3'!Q91</f>
        <v>3173</v>
      </c>
      <c r="R91" s="573">
        <f t="shared" si="2"/>
        <v>3.8</v>
      </c>
      <c r="S91" s="256">
        <f t="shared" si="3"/>
        <v>2.6</v>
      </c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'LDPE-A2'!D92+'HDPE-A3'!D92</f>
        <v>5681</v>
      </c>
      <c r="E92" s="539">
        <f>'LDPE-A2'!E92+'HDPE-A3'!E92</f>
        <v>5849</v>
      </c>
      <c r="F92" s="539">
        <f>'LDPE-A2'!F92+'HDPE-A3'!F92</f>
        <v>6096</v>
      </c>
      <c r="G92" s="100">
        <f>'LDPE-A2'!G92+'HDPE-A3'!G92</f>
        <v>6375</v>
      </c>
      <c r="H92" s="100">
        <f>'LDPE-A2'!H92+'HDPE-A3'!H92</f>
        <v>6607</v>
      </c>
      <c r="I92" s="100">
        <f>'LDPE-A2'!I92+'HDPE-A3'!I92</f>
        <v>6606</v>
      </c>
      <c r="J92" s="101">
        <f>'LDPE-A2'!J92+'HDPE-A3'!J92</f>
        <v>6618</v>
      </c>
      <c r="K92" s="104">
        <f>'LDPE-A2'!K92+'HDPE-A3'!K92</f>
        <v>6722</v>
      </c>
      <c r="L92" s="540">
        <f>'LDPE-A2'!L92+'HDPE-A3'!L92</f>
        <v>6826</v>
      </c>
      <c r="M92" s="100">
        <f>'LDPE-A2'!M92+'HDPE-A3'!M92</f>
        <v>6974</v>
      </c>
      <c r="N92" s="100">
        <f>'LDPE-A2'!N92+'HDPE-A3'!N92</f>
        <v>7153</v>
      </c>
      <c r="O92" s="100">
        <f>'LDPE-A2'!O92+'HDPE-A3'!O92</f>
        <v>7339</v>
      </c>
      <c r="P92" s="100">
        <f>'LDPE-A2'!P92+'HDPE-A3'!P92</f>
        <v>7534</v>
      </c>
      <c r="Q92" s="103">
        <f>'LDPE-A2'!Q92+'HDPE-A3'!Q92</f>
        <v>7736</v>
      </c>
      <c r="R92" s="576">
        <f t="shared" si="2"/>
        <v>2.4</v>
      </c>
      <c r="S92" s="541">
        <f t="shared" si="3"/>
        <v>2.5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'LDPE-A2'!D93+'HDPE-A3'!D93</f>
        <v>75336.804792893367</v>
      </c>
      <c r="E93" s="543">
        <f>'LDPE-A2'!E93+'HDPE-A3'!E93</f>
        <v>75330.518433926685</v>
      </c>
      <c r="F93" s="543">
        <f>'LDPE-A2'!F93+'HDPE-A3'!F93</f>
        <v>75595.051087811589</v>
      </c>
      <c r="G93" s="544">
        <f>'LDPE-A2'!G93+'HDPE-A3'!G93</f>
        <v>79722.331486473995</v>
      </c>
      <c r="H93" s="544">
        <f>'LDPE-A2'!H93+'HDPE-A3'!H93</f>
        <v>81743.26317858175</v>
      </c>
      <c r="I93" s="544">
        <f>'LDPE-A2'!I93+'HDPE-A3'!I93</f>
        <v>84490.021962153376</v>
      </c>
      <c r="J93" s="545">
        <f>'LDPE-A2'!J93+'HDPE-A3'!J93</f>
        <v>89316.106709999993</v>
      </c>
      <c r="K93" s="546">
        <f>'LDPE-A2'!K93+'HDPE-A3'!K93</f>
        <v>95191.236101000002</v>
      </c>
      <c r="L93" s="547">
        <f>'LDPE-A2'!L93+'HDPE-A3'!L93</f>
        <v>98550.523719999997</v>
      </c>
      <c r="M93" s="544">
        <f>'LDPE-A2'!M93+'HDPE-A3'!M93</f>
        <v>102066.2738256532</v>
      </c>
      <c r="N93" s="544">
        <f>'LDPE-A2'!N93+'HDPE-A3'!N93</f>
        <v>105579.06736141097</v>
      </c>
      <c r="O93" s="544">
        <f>'LDPE-A2'!O93+'HDPE-A3'!O93</f>
        <v>109163.63062856096</v>
      </c>
      <c r="P93" s="544">
        <f>'LDPE-A2'!P93+'HDPE-A3'!P93</f>
        <v>112503.353160661</v>
      </c>
      <c r="Q93" s="577">
        <f>'LDPE-A2'!Q93+'HDPE-A3'!Q93</f>
        <v>116019.33767751748</v>
      </c>
      <c r="R93" s="578">
        <f t="shared" si="2"/>
        <v>3.4</v>
      </c>
      <c r="S93" s="549">
        <f t="shared" si="3"/>
        <v>3.3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61"/>
      <c r="L98" s="261"/>
      <c r="M98" s="261"/>
      <c r="N98" s="261"/>
      <c r="O98" s="261"/>
      <c r="P98" s="261"/>
      <c r="Q98" s="261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7"/>
      <c r="L120" s="27"/>
      <c r="M120" s="27"/>
      <c r="N120" s="27"/>
      <c r="O120" s="27"/>
      <c r="P120" s="27"/>
      <c r="Q120" s="27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13"/>
      <c r="L127" s="13"/>
      <c r="M127" s="13"/>
      <c r="N127" s="13"/>
      <c r="O127" s="13"/>
      <c r="P127" s="13"/>
      <c r="Q127" s="13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4"/>
      <c r="N162" s="24"/>
      <c r="O162" s="24"/>
      <c r="P162" s="24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329" priority="5">
      <formula>CELL("protect",C97)=0</formula>
    </cfRule>
    <cfRule type="expression" dxfId="328" priority="6">
      <formula>CELL("protect",C97)=0</formula>
    </cfRule>
  </conditionalFormatting>
  <conditionalFormatting sqref="C95">
    <cfRule type="expression" dxfId="327" priority="3">
      <formula>CELL("protect",C95)=0</formula>
    </cfRule>
    <cfRule type="expression" dxfId="326" priority="4">
      <formula>CELL("protect",C95)=0</formula>
    </cfRule>
  </conditionalFormatting>
  <conditionalFormatting sqref="C97">
    <cfRule type="expression" dxfId="325" priority="1">
      <formula>CELL("protect",C97)=0</formula>
    </cfRule>
    <cfRule type="expression" dxfId="32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&amp;C144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B0F0"/>
    <pageSetUpPr fitToPage="1"/>
  </sheetPr>
  <dimension ref="A1:AG182"/>
  <sheetViews>
    <sheetView showGridLines="0" view="pageBreakPreview" zoomScale="80" zoomScaleNormal="4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4" sqref="T4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16.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4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1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4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6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1275</v>
      </c>
      <c r="E7" s="488">
        <v>1275</v>
      </c>
      <c r="F7" s="489">
        <v>1275</v>
      </c>
      <c r="G7" s="489">
        <v>1275</v>
      </c>
      <c r="H7" s="488">
        <v>1275</v>
      </c>
      <c r="I7" s="489">
        <v>1275</v>
      </c>
      <c r="J7" s="489">
        <v>1275</v>
      </c>
      <c r="K7" s="490">
        <v>1220</v>
      </c>
      <c r="L7" s="491">
        <v>1220</v>
      </c>
      <c r="M7" s="492">
        <v>1220</v>
      </c>
      <c r="N7" s="492">
        <v>1220</v>
      </c>
      <c r="O7" s="492">
        <v>1220</v>
      </c>
      <c r="P7" s="493">
        <v>1220</v>
      </c>
      <c r="Q7" s="490">
        <v>1220</v>
      </c>
      <c r="R7" s="572">
        <f>IF(D7=0,"     -",IF(K7=0,"     -",ROUND(((K7/D7)^(1/7)-1)*100,1)))</f>
        <v>-0.6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1438</v>
      </c>
      <c r="E8" s="496">
        <v>1310</v>
      </c>
      <c r="F8" s="497">
        <v>1310</v>
      </c>
      <c r="G8" s="497">
        <v>1310</v>
      </c>
      <c r="H8" s="496">
        <v>1310</v>
      </c>
      <c r="I8" s="497">
        <v>1310</v>
      </c>
      <c r="J8" s="497">
        <v>1310</v>
      </c>
      <c r="K8" s="498">
        <v>1310</v>
      </c>
      <c r="L8" s="499">
        <v>1310</v>
      </c>
      <c r="M8" s="500">
        <v>1310</v>
      </c>
      <c r="N8" s="500">
        <v>1310</v>
      </c>
      <c r="O8" s="500">
        <v>1310</v>
      </c>
      <c r="P8" s="501">
        <v>1310</v>
      </c>
      <c r="Q8" s="498">
        <v>1310</v>
      </c>
      <c r="R8" s="573">
        <f t="shared" ref="R8:R71" si="0">IF(D8=0,"     -",IF(K8=0,"     -",ROUND(((K8/D8)^(1/7)-1)*100,1)))</f>
        <v>-1.3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270</v>
      </c>
      <c r="E9" s="496">
        <v>270</v>
      </c>
      <c r="F9" s="497">
        <v>270</v>
      </c>
      <c r="G9" s="497">
        <v>270</v>
      </c>
      <c r="H9" s="496">
        <v>270</v>
      </c>
      <c r="I9" s="497">
        <v>270</v>
      </c>
      <c r="J9" s="497">
        <v>270</v>
      </c>
      <c r="K9" s="502">
        <v>270</v>
      </c>
      <c r="L9" s="503">
        <v>270</v>
      </c>
      <c r="M9" s="496">
        <v>270</v>
      </c>
      <c r="N9" s="496">
        <v>270</v>
      </c>
      <c r="O9" s="496">
        <v>270</v>
      </c>
      <c r="P9" s="279">
        <v>270</v>
      </c>
      <c r="Q9" s="502">
        <v>270</v>
      </c>
      <c r="R9" s="573">
        <f t="shared" si="0"/>
        <v>0</v>
      </c>
      <c r="S9" s="256">
        <f t="shared" si="1"/>
        <v>0</v>
      </c>
      <c r="U9" s="329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2240</v>
      </c>
      <c r="E10" s="496">
        <v>2530</v>
      </c>
      <c r="F10" s="497">
        <v>2661</v>
      </c>
      <c r="G10" s="497">
        <v>2890</v>
      </c>
      <c r="H10" s="496">
        <v>3110</v>
      </c>
      <c r="I10" s="497">
        <v>3450</v>
      </c>
      <c r="J10" s="497">
        <v>3450</v>
      </c>
      <c r="K10" s="502">
        <v>3440</v>
      </c>
      <c r="L10" s="503">
        <v>3460</v>
      </c>
      <c r="M10" s="496">
        <v>3545</v>
      </c>
      <c r="N10" s="496">
        <v>3900</v>
      </c>
      <c r="O10" s="496">
        <v>3900</v>
      </c>
      <c r="P10" s="279">
        <v>3900</v>
      </c>
      <c r="Q10" s="502">
        <v>3900</v>
      </c>
      <c r="R10" s="573">
        <f t="shared" si="0"/>
        <v>6.3</v>
      </c>
      <c r="S10" s="256">
        <f t="shared" si="1"/>
        <v>2.4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450</v>
      </c>
      <c r="E11" s="496">
        <v>415</v>
      </c>
      <c r="F11" s="497">
        <v>415</v>
      </c>
      <c r="G11" s="497">
        <v>415</v>
      </c>
      <c r="H11" s="496">
        <v>415</v>
      </c>
      <c r="I11" s="497">
        <v>415</v>
      </c>
      <c r="J11" s="497">
        <v>415</v>
      </c>
      <c r="K11" s="502">
        <v>415</v>
      </c>
      <c r="L11" s="503">
        <v>415</v>
      </c>
      <c r="M11" s="496">
        <v>415</v>
      </c>
      <c r="N11" s="496">
        <v>415</v>
      </c>
      <c r="O11" s="496">
        <v>415</v>
      </c>
      <c r="P11" s="279">
        <v>415</v>
      </c>
      <c r="Q11" s="502">
        <v>415</v>
      </c>
      <c r="R11" s="573">
        <f t="shared" si="0"/>
        <v>-1.2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92</v>
      </c>
      <c r="E12" s="496">
        <v>92</v>
      </c>
      <c r="F12" s="497">
        <v>92</v>
      </c>
      <c r="G12" s="497">
        <v>92</v>
      </c>
      <c r="H12" s="496">
        <v>92</v>
      </c>
      <c r="I12" s="497">
        <v>92</v>
      </c>
      <c r="J12" s="497">
        <v>92</v>
      </c>
      <c r="K12" s="502">
        <v>92</v>
      </c>
      <c r="L12" s="503">
        <v>92</v>
      </c>
      <c r="M12" s="496">
        <v>92</v>
      </c>
      <c r="N12" s="496">
        <v>92</v>
      </c>
      <c r="O12" s="496">
        <v>92</v>
      </c>
      <c r="P12" s="279">
        <v>92</v>
      </c>
      <c r="Q12" s="502">
        <v>92</v>
      </c>
      <c r="R12" s="573">
        <f t="shared" si="0"/>
        <v>0</v>
      </c>
      <c r="S12" s="256">
        <f t="shared" si="1"/>
        <v>0</v>
      </c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452</v>
      </c>
      <c r="E13" s="49">
        <v>452</v>
      </c>
      <c r="F13" s="45">
        <v>452</v>
      </c>
      <c r="G13" s="49">
        <v>452</v>
      </c>
      <c r="H13" s="49">
        <v>452</v>
      </c>
      <c r="I13" s="45">
        <v>452</v>
      </c>
      <c r="J13" s="49">
        <v>490</v>
      </c>
      <c r="K13" s="50">
        <v>490</v>
      </c>
      <c r="L13" s="140">
        <v>490</v>
      </c>
      <c r="M13" s="45">
        <v>490</v>
      </c>
      <c r="N13" s="45">
        <v>490</v>
      </c>
      <c r="O13" s="45">
        <v>490</v>
      </c>
      <c r="P13" s="45">
        <v>490</v>
      </c>
      <c r="Q13" s="50">
        <v>490</v>
      </c>
      <c r="R13" s="573">
        <f t="shared" si="0"/>
        <v>1.2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72</v>
      </c>
      <c r="E15" s="49">
        <v>72</v>
      </c>
      <c r="F15" s="45">
        <v>72</v>
      </c>
      <c r="G15" s="49">
        <v>72</v>
      </c>
      <c r="H15" s="49">
        <v>72</v>
      </c>
      <c r="I15" s="45">
        <v>72</v>
      </c>
      <c r="J15" s="49">
        <v>72</v>
      </c>
      <c r="K15" s="50">
        <v>72</v>
      </c>
      <c r="L15" s="140">
        <v>72</v>
      </c>
      <c r="M15" s="45">
        <v>72</v>
      </c>
      <c r="N15" s="45">
        <v>72</v>
      </c>
      <c r="O15" s="45">
        <v>72</v>
      </c>
      <c r="P15" s="45">
        <v>72</v>
      </c>
      <c r="Q15" s="50">
        <v>72</v>
      </c>
      <c r="R15" s="573">
        <f t="shared" si="0"/>
        <v>0</v>
      </c>
      <c r="S15" s="256">
        <f t="shared" si="1"/>
        <v>0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140</v>
      </c>
      <c r="E16" s="496">
        <v>140</v>
      </c>
      <c r="F16" s="497">
        <v>140</v>
      </c>
      <c r="G16" s="497">
        <v>140</v>
      </c>
      <c r="H16" s="496">
        <v>140</v>
      </c>
      <c r="I16" s="497">
        <v>140</v>
      </c>
      <c r="J16" s="497">
        <v>140</v>
      </c>
      <c r="K16" s="502">
        <v>140</v>
      </c>
      <c r="L16" s="503">
        <v>140</v>
      </c>
      <c r="M16" s="496">
        <v>140</v>
      </c>
      <c r="N16" s="496">
        <v>140</v>
      </c>
      <c r="O16" s="496">
        <v>140</v>
      </c>
      <c r="P16" s="279">
        <v>140</v>
      </c>
      <c r="Q16" s="502">
        <v>140</v>
      </c>
      <c r="R16" s="573">
        <f t="shared" si="0"/>
        <v>0</v>
      </c>
      <c r="S16" s="256">
        <f t="shared" si="1"/>
        <v>0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0</v>
      </c>
      <c r="E17" s="496">
        <v>0</v>
      </c>
      <c r="F17" s="497">
        <v>50</v>
      </c>
      <c r="G17" s="497">
        <v>50</v>
      </c>
      <c r="H17" s="496">
        <v>50</v>
      </c>
      <c r="I17" s="497">
        <v>50</v>
      </c>
      <c r="J17" s="497">
        <v>50</v>
      </c>
      <c r="K17" s="502">
        <v>50</v>
      </c>
      <c r="L17" s="503">
        <v>50</v>
      </c>
      <c r="M17" s="496">
        <v>50</v>
      </c>
      <c r="N17" s="496">
        <v>50</v>
      </c>
      <c r="O17" s="496">
        <v>50</v>
      </c>
      <c r="P17" s="279">
        <v>50</v>
      </c>
      <c r="Q17" s="502">
        <v>50</v>
      </c>
      <c r="R17" s="573" t="str">
        <f t="shared" si="0"/>
        <v xml:space="preserve">     -</v>
      </c>
      <c r="S17" s="256">
        <f t="shared" si="1"/>
        <v>0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906</v>
      </c>
      <c r="E18" s="40">
        <v>861</v>
      </c>
      <c r="F18" s="40">
        <v>861</v>
      </c>
      <c r="G18" s="40">
        <v>818</v>
      </c>
      <c r="H18" s="40">
        <v>816</v>
      </c>
      <c r="I18" s="505">
        <v>816</v>
      </c>
      <c r="J18" s="506">
        <v>816</v>
      </c>
      <c r="K18" s="507">
        <v>853</v>
      </c>
      <c r="L18" s="508">
        <v>853</v>
      </c>
      <c r="M18" s="505">
        <v>853</v>
      </c>
      <c r="N18" s="505">
        <v>853</v>
      </c>
      <c r="O18" s="505">
        <v>853</v>
      </c>
      <c r="P18" s="505">
        <v>853</v>
      </c>
      <c r="Q18" s="509">
        <v>853</v>
      </c>
      <c r="R18" s="573">
        <f t="shared" si="0"/>
        <v>-0.9</v>
      </c>
      <c r="S18" s="256">
        <f t="shared" si="1"/>
        <v>0</v>
      </c>
      <c r="U18" s="318"/>
      <c r="V18" s="318"/>
      <c r="W18" s="318"/>
      <c r="X18" s="318"/>
      <c r="Y18" s="330"/>
      <c r="Z18" s="330"/>
      <c r="AA18" s="330"/>
      <c r="AB18" s="330"/>
      <c r="AC18" s="330"/>
      <c r="AD18" s="330"/>
      <c r="AE18" s="330"/>
      <c r="AF18" s="330"/>
      <c r="AG18" s="330"/>
    </row>
    <row r="19" spans="1:33" ht="15.75" customHeight="1">
      <c r="A19" s="16"/>
      <c r="B19" s="674" t="s">
        <v>307</v>
      </c>
      <c r="C19" s="675"/>
      <c r="D19" s="95">
        <f>SUM(D7:D18)</f>
        <v>7335</v>
      </c>
      <c r="E19" s="93">
        <f t="shared" ref="E19:Q19" si="2">SUM(E7:E18)</f>
        <v>7417</v>
      </c>
      <c r="F19" s="93">
        <f t="shared" si="2"/>
        <v>7598</v>
      </c>
      <c r="G19" s="93">
        <f t="shared" si="2"/>
        <v>7784</v>
      </c>
      <c r="H19" s="93">
        <f t="shared" si="2"/>
        <v>8002</v>
      </c>
      <c r="I19" s="93">
        <f t="shared" si="2"/>
        <v>8342</v>
      </c>
      <c r="J19" s="93">
        <f t="shared" si="2"/>
        <v>8380</v>
      </c>
      <c r="K19" s="96">
        <f t="shared" si="2"/>
        <v>8352</v>
      </c>
      <c r="L19" s="95">
        <f t="shared" si="2"/>
        <v>8372</v>
      </c>
      <c r="M19" s="93">
        <f t="shared" si="2"/>
        <v>8457</v>
      </c>
      <c r="N19" s="93">
        <f t="shared" si="2"/>
        <v>8812</v>
      </c>
      <c r="O19" s="93">
        <f t="shared" si="2"/>
        <v>8812</v>
      </c>
      <c r="P19" s="93">
        <f t="shared" si="2"/>
        <v>8812</v>
      </c>
      <c r="Q19" s="96">
        <f t="shared" si="2"/>
        <v>8812</v>
      </c>
      <c r="R19" s="574">
        <f t="shared" si="0"/>
        <v>1.9</v>
      </c>
      <c r="S19" s="510">
        <f t="shared" si="1"/>
        <v>1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120</v>
      </c>
      <c r="E20" s="512">
        <v>120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120</v>
      </c>
      <c r="E21" s="512">
        <v>120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4045</v>
      </c>
      <c r="E22" s="496">
        <v>2560</v>
      </c>
      <c r="F22" s="496">
        <v>2495</v>
      </c>
      <c r="G22" s="496">
        <v>2262</v>
      </c>
      <c r="H22" s="496">
        <v>2267</v>
      </c>
      <c r="I22" s="496">
        <v>2192</v>
      </c>
      <c r="J22" s="515">
        <v>2192</v>
      </c>
      <c r="K22" s="502">
        <v>2192</v>
      </c>
      <c r="L22" s="503">
        <v>2142</v>
      </c>
      <c r="M22" s="496">
        <v>2042</v>
      </c>
      <c r="N22" s="496">
        <v>2042</v>
      </c>
      <c r="O22" s="512">
        <v>2042</v>
      </c>
      <c r="P22" s="512">
        <v>2042</v>
      </c>
      <c r="Q22" s="514">
        <v>2042</v>
      </c>
      <c r="R22" s="575">
        <f t="shared" si="0"/>
        <v>-8.4</v>
      </c>
      <c r="S22" s="517">
        <f t="shared" si="1"/>
        <v>-1</v>
      </c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3785</v>
      </c>
      <c r="E23" s="512">
        <v>2267</v>
      </c>
      <c r="F23" s="512">
        <v>2202</v>
      </c>
      <c r="G23" s="512">
        <v>2057</v>
      </c>
      <c r="H23" s="512">
        <v>2062</v>
      </c>
      <c r="I23" s="512">
        <v>1987</v>
      </c>
      <c r="J23" s="513">
        <v>1987</v>
      </c>
      <c r="K23" s="514">
        <v>1987</v>
      </c>
      <c r="L23" s="511">
        <v>1937</v>
      </c>
      <c r="M23" s="512">
        <v>1837</v>
      </c>
      <c r="N23" s="512">
        <v>1837</v>
      </c>
      <c r="O23" s="512">
        <v>1837</v>
      </c>
      <c r="P23" s="512">
        <v>1837</v>
      </c>
      <c r="Q23" s="514">
        <v>1837</v>
      </c>
      <c r="R23" s="574">
        <f t="shared" si="0"/>
        <v>-8.8000000000000007</v>
      </c>
      <c r="S23" s="510">
        <f t="shared" si="1"/>
        <v>-1.1000000000000001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281</v>
      </c>
      <c r="E24" s="496">
        <v>281</v>
      </c>
      <c r="F24" s="496">
        <v>481</v>
      </c>
      <c r="G24" s="496">
        <v>520</v>
      </c>
      <c r="H24" s="496">
        <v>520</v>
      </c>
      <c r="I24" s="496">
        <v>595</v>
      </c>
      <c r="J24" s="497">
        <v>595</v>
      </c>
      <c r="K24" s="502">
        <v>965</v>
      </c>
      <c r="L24" s="503">
        <v>1015</v>
      </c>
      <c r="M24" s="496">
        <v>1015</v>
      </c>
      <c r="N24" s="496">
        <v>1015</v>
      </c>
      <c r="O24" s="496">
        <v>1015</v>
      </c>
      <c r="P24" s="497">
        <v>1015</v>
      </c>
      <c r="Q24" s="502">
        <v>1015</v>
      </c>
      <c r="R24" s="574">
        <f t="shared" si="0"/>
        <v>19.3</v>
      </c>
      <c r="S24" s="510">
        <f t="shared" si="1"/>
        <v>0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135</v>
      </c>
      <c r="F25" s="518">
        <v>335</v>
      </c>
      <c r="G25" s="518">
        <v>335</v>
      </c>
      <c r="H25" s="518">
        <v>335</v>
      </c>
      <c r="I25" s="518">
        <v>335</v>
      </c>
      <c r="J25" s="519">
        <v>335</v>
      </c>
      <c r="K25" s="514">
        <v>335</v>
      </c>
      <c r="L25" s="511">
        <v>335</v>
      </c>
      <c r="M25" s="518">
        <v>335</v>
      </c>
      <c r="N25" s="518">
        <v>335</v>
      </c>
      <c r="O25" s="518">
        <v>335</v>
      </c>
      <c r="P25" s="519">
        <v>335</v>
      </c>
      <c r="Q25" s="514">
        <v>335</v>
      </c>
      <c r="R25" s="573" t="str">
        <f t="shared" si="0"/>
        <v xml:space="preserve">     -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5</v>
      </c>
      <c r="E26" s="518">
        <v>0</v>
      </c>
      <c r="F26" s="518">
        <v>0</v>
      </c>
      <c r="G26" s="518">
        <v>0</v>
      </c>
      <c r="H26" s="518">
        <v>0</v>
      </c>
      <c r="I26" s="518">
        <v>200</v>
      </c>
      <c r="J26" s="519">
        <v>200</v>
      </c>
      <c r="K26" s="514">
        <v>200</v>
      </c>
      <c r="L26" s="511">
        <v>200</v>
      </c>
      <c r="M26" s="518">
        <v>200</v>
      </c>
      <c r="N26" s="518">
        <v>200</v>
      </c>
      <c r="O26" s="518">
        <v>200</v>
      </c>
      <c r="P26" s="519">
        <v>200</v>
      </c>
      <c r="Q26" s="514">
        <v>200</v>
      </c>
      <c r="R26" s="574">
        <f t="shared" si="0"/>
        <v>69.400000000000006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494</v>
      </c>
      <c r="E27" s="521">
        <v>494</v>
      </c>
      <c r="F27" s="521">
        <v>494</v>
      </c>
      <c r="G27" s="521">
        <v>546</v>
      </c>
      <c r="H27" s="521">
        <v>546</v>
      </c>
      <c r="I27" s="521">
        <v>546</v>
      </c>
      <c r="J27" s="522">
        <v>555</v>
      </c>
      <c r="K27" s="523">
        <v>555</v>
      </c>
      <c r="L27" s="520">
        <v>555</v>
      </c>
      <c r="M27" s="521">
        <v>555</v>
      </c>
      <c r="N27" s="521">
        <v>555</v>
      </c>
      <c r="O27" s="521">
        <v>555</v>
      </c>
      <c r="P27" s="522">
        <v>555</v>
      </c>
      <c r="Q27" s="523">
        <v>555</v>
      </c>
      <c r="R27" s="574">
        <f t="shared" si="0"/>
        <v>1.7</v>
      </c>
      <c r="S27" s="510">
        <f t="shared" si="1"/>
        <v>0</v>
      </c>
      <c r="U27" s="43"/>
      <c r="V27" s="43"/>
      <c r="W27" s="43"/>
      <c r="X27" s="43"/>
      <c r="Y27" s="43"/>
      <c r="Z27" s="331"/>
      <c r="AA27" s="331"/>
      <c r="AB27" s="331"/>
      <c r="AC27" s="331"/>
      <c r="AD27" s="331"/>
      <c r="AE27" s="331"/>
      <c r="AF27" s="331"/>
      <c r="AG27" s="331"/>
    </row>
    <row r="28" spans="1:33" ht="15" customHeight="1">
      <c r="A28" s="16"/>
      <c r="B28" s="672" t="s">
        <v>316</v>
      </c>
      <c r="C28" s="673"/>
      <c r="D28" s="524">
        <v>2404</v>
      </c>
      <c r="E28" s="525">
        <v>2404</v>
      </c>
      <c r="F28" s="525">
        <v>2404</v>
      </c>
      <c r="G28" s="526">
        <v>2404</v>
      </c>
      <c r="H28" s="526">
        <v>2409</v>
      </c>
      <c r="I28" s="496">
        <v>2274</v>
      </c>
      <c r="J28" s="497">
        <v>2274</v>
      </c>
      <c r="K28" s="498">
        <v>2274</v>
      </c>
      <c r="L28" s="527">
        <v>2274</v>
      </c>
      <c r="M28" s="528">
        <v>2274</v>
      </c>
      <c r="N28" s="528">
        <v>2274</v>
      </c>
      <c r="O28" s="528">
        <v>2274</v>
      </c>
      <c r="P28" s="528">
        <v>2274</v>
      </c>
      <c r="Q28" s="498">
        <v>2274</v>
      </c>
      <c r="R28" s="573">
        <f t="shared" si="0"/>
        <v>-0.8</v>
      </c>
      <c r="S28" s="256">
        <f t="shared" si="1"/>
        <v>0</v>
      </c>
      <c r="U28" s="326"/>
      <c r="V28" s="326"/>
      <c r="W28" s="326"/>
      <c r="X28" s="282"/>
      <c r="Y28" s="282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0</v>
      </c>
      <c r="E29" s="525">
        <v>0</v>
      </c>
      <c r="F29" s="530">
        <v>0</v>
      </c>
      <c r="G29" s="531">
        <v>0</v>
      </c>
      <c r="H29" s="526">
        <v>0</v>
      </c>
      <c r="I29" s="497">
        <v>0</v>
      </c>
      <c r="J29" s="497">
        <v>0</v>
      </c>
      <c r="K29" s="498">
        <v>0</v>
      </c>
      <c r="L29" s="499">
        <v>0</v>
      </c>
      <c r="M29" s="532">
        <v>0</v>
      </c>
      <c r="N29" s="532">
        <v>0</v>
      </c>
      <c r="O29" s="532">
        <v>0</v>
      </c>
      <c r="P29" s="532">
        <v>0</v>
      </c>
      <c r="Q29" s="498">
        <v>0</v>
      </c>
      <c r="R29" s="573" t="str">
        <f t="shared" si="0"/>
        <v xml:space="preserve">     -</v>
      </c>
      <c r="S29" s="256" t="str">
        <f t="shared" si="1"/>
        <v xml:space="preserve">     -</v>
      </c>
      <c r="U29" s="326"/>
      <c r="V29" s="326"/>
      <c r="W29" s="326"/>
      <c r="X29" s="282"/>
      <c r="Y29" s="282"/>
      <c r="Z29" s="282"/>
      <c r="AA29" s="282"/>
      <c r="AB29" s="282"/>
      <c r="AC29" s="282"/>
      <c r="AD29" s="282"/>
      <c r="AE29" s="282"/>
      <c r="AF29" s="282"/>
      <c r="AG29" s="282"/>
    </row>
    <row r="30" spans="1:33" ht="15.75" customHeight="1">
      <c r="A30" s="16"/>
      <c r="B30" s="674" t="s">
        <v>318</v>
      </c>
      <c r="C30" s="675"/>
      <c r="D30" s="95">
        <f>SUM(D28:D29)</f>
        <v>2404</v>
      </c>
      <c r="E30" s="92">
        <f t="shared" ref="E30:Q30" si="3">SUM(E28:E29)</f>
        <v>2404</v>
      </c>
      <c r="F30" s="92">
        <f t="shared" si="3"/>
        <v>2404</v>
      </c>
      <c r="G30" s="93">
        <f t="shared" si="3"/>
        <v>2404</v>
      </c>
      <c r="H30" s="93">
        <f t="shared" si="3"/>
        <v>2409</v>
      </c>
      <c r="I30" s="94">
        <f t="shared" si="3"/>
        <v>2274</v>
      </c>
      <c r="J30" s="94">
        <f t="shared" si="3"/>
        <v>2274</v>
      </c>
      <c r="K30" s="96">
        <f t="shared" si="3"/>
        <v>2274</v>
      </c>
      <c r="L30" s="95">
        <f t="shared" si="3"/>
        <v>2274</v>
      </c>
      <c r="M30" s="93">
        <f t="shared" si="3"/>
        <v>2274</v>
      </c>
      <c r="N30" s="93">
        <f t="shared" si="3"/>
        <v>2274</v>
      </c>
      <c r="O30" s="93">
        <f t="shared" si="3"/>
        <v>2274</v>
      </c>
      <c r="P30" s="93">
        <f t="shared" si="3"/>
        <v>2274</v>
      </c>
      <c r="Q30" s="96">
        <f t="shared" si="3"/>
        <v>2274</v>
      </c>
      <c r="R30" s="574">
        <f t="shared" si="0"/>
        <v>-0.8</v>
      </c>
      <c r="S30" s="510">
        <f t="shared" si="1"/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310</v>
      </c>
      <c r="E31" s="525">
        <v>310</v>
      </c>
      <c r="F31" s="530">
        <v>310</v>
      </c>
      <c r="G31" s="531">
        <v>310</v>
      </c>
      <c r="H31" s="526">
        <v>325</v>
      </c>
      <c r="I31" s="497">
        <v>325</v>
      </c>
      <c r="J31" s="497">
        <v>325</v>
      </c>
      <c r="K31" s="498">
        <v>325</v>
      </c>
      <c r="L31" s="533">
        <v>325</v>
      </c>
      <c r="M31" s="534">
        <v>325</v>
      </c>
      <c r="N31" s="534">
        <v>325</v>
      </c>
      <c r="O31" s="534">
        <v>325</v>
      </c>
      <c r="P31" s="534">
        <v>325</v>
      </c>
      <c r="Q31" s="535">
        <v>325</v>
      </c>
      <c r="R31" s="573">
        <f t="shared" si="0"/>
        <v>0.7</v>
      </c>
      <c r="S31" s="256">
        <f t="shared" si="1"/>
        <v>0</v>
      </c>
      <c r="U31" s="326"/>
      <c r="V31" s="326"/>
      <c r="W31" s="326"/>
      <c r="X31" s="282"/>
      <c r="Y31" s="282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558</v>
      </c>
      <c r="E32" s="525">
        <v>558</v>
      </c>
      <c r="F32" s="530">
        <v>580</v>
      </c>
      <c r="G32" s="531">
        <v>580</v>
      </c>
      <c r="H32" s="526">
        <v>600</v>
      </c>
      <c r="I32" s="497">
        <v>600</v>
      </c>
      <c r="J32" s="497">
        <v>625</v>
      </c>
      <c r="K32" s="502">
        <v>630</v>
      </c>
      <c r="L32" s="503">
        <v>630</v>
      </c>
      <c r="M32" s="496">
        <v>630</v>
      </c>
      <c r="N32" s="496">
        <v>630</v>
      </c>
      <c r="O32" s="496">
        <v>630</v>
      </c>
      <c r="P32" s="497">
        <v>630</v>
      </c>
      <c r="Q32" s="502">
        <v>630</v>
      </c>
      <c r="R32" s="573">
        <f t="shared" si="0"/>
        <v>1.7</v>
      </c>
      <c r="S32" s="256">
        <f t="shared" si="1"/>
        <v>0</v>
      </c>
      <c r="U32" s="326"/>
      <c r="V32" s="326"/>
      <c r="W32" s="326"/>
      <c r="X32" s="282"/>
      <c r="Y32" s="282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215</v>
      </c>
      <c r="E33" s="525">
        <v>215</v>
      </c>
      <c r="F33" s="530">
        <v>215</v>
      </c>
      <c r="G33" s="531">
        <v>215</v>
      </c>
      <c r="H33" s="526">
        <v>215</v>
      </c>
      <c r="I33" s="497">
        <v>215</v>
      </c>
      <c r="J33" s="497">
        <v>217</v>
      </c>
      <c r="K33" s="536">
        <v>217</v>
      </c>
      <c r="L33" s="537">
        <v>217</v>
      </c>
      <c r="M33" s="538">
        <v>217</v>
      </c>
      <c r="N33" s="538">
        <v>217</v>
      </c>
      <c r="O33" s="538">
        <v>217</v>
      </c>
      <c r="P33" s="515">
        <v>217</v>
      </c>
      <c r="Q33" s="502">
        <v>217</v>
      </c>
      <c r="R33" s="573">
        <f t="shared" si="0"/>
        <v>0.1</v>
      </c>
      <c r="S33" s="256">
        <f t="shared" si="1"/>
        <v>0</v>
      </c>
      <c r="U33" s="43"/>
      <c r="V33" s="43"/>
      <c r="W33" s="43"/>
      <c r="X33" s="332"/>
      <c r="Y33" s="332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1083</v>
      </c>
      <c r="E34" s="539">
        <f t="shared" ref="E34:Q34" si="4">SUM(E31:E33)</f>
        <v>1083</v>
      </c>
      <c r="F34" s="539">
        <f t="shared" si="4"/>
        <v>1105</v>
      </c>
      <c r="G34" s="100">
        <f t="shared" si="4"/>
        <v>1105</v>
      </c>
      <c r="H34" s="100">
        <f t="shared" si="4"/>
        <v>1140</v>
      </c>
      <c r="I34" s="100">
        <f t="shared" si="4"/>
        <v>1140</v>
      </c>
      <c r="J34" s="101">
        <f t="shared" si="4"/>
        <v>1167</v>
      </c>
      <c r="K34" s="104">
        <f t="shared" si="4"/>
        <v>1172</v>
      </c>
      <c r="L34" s="540">
        <f t="shared" si="4"/>
        <v>1172</v>
      </c>
      <c r="M34" s="100">
        <f t="shared" si="4"/>
        <v>1172</v>
      </c>
      <c r="N34" s="100">
        <f t="shared" si="4"/>
        <v>1172</v>
      </c>
      <c r="O34" s="100">
        <f t="shared" si="4"/>
        <v>1172</v>
      </c>
      <c r="P34" s="100">
        <f t="shared" si="4"/>
        <v>1172</v>
      </c>
      <c r="Q34" s="103">
        <f t="shared" si="4"/>
        <v>1172</v>
      </c>
      <c r="R34" s="576">
        <f t="shared" si="0"/>
        <v>1.1000000000000001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15767</v>
      </c>
      <c r="E35" s="543">
        <f t="shared" ref="E35:Q35" si="5">E19+E20+E22+E24+E26+E27+E30+E34</f>
        <v>14359</v>
      </c>
      <c r="F35" s="543">
        <f t="shared" si="5"/>
        <v>14577</v>
      </c>
      <c r="G35" s="544">
        <f t="shared" si="5"/>
        <v>14621</v>
      </c>
      <c r="H35" s="544">
        <f t="shared" si="5"/>
        <v>14884</v>
      </c>
      <c r="I35" s="544">
        <f t="shared" si="5"/>
        <v>15289</v>
      </c>
      <c r="J35" s="545">
        <f t="shared" si="5"/>
        <v>15363</v>
      </c>
      <c r="K35" s="546">
        <f t="shared" si="5"/>
        <v>15710</v>
      </c>
      <c r="L35" s="547">
        <f t="shared" si="5"/>
        <v>15730</v>
      </c>
      <c r="M35" s="544">
        <f t="shared" si="5"/>
        <v>15715</v>
      </c>
      <c r="N35" s="544">
        <f t="shared" si="5"/>
        <v>16070</v>
      </c>
      <c r="O35" s="544">
        <f t="shared" si="5"/>
        <v>16070</v>
      </c>
      <c r="P35" s="544">
        <f t="shared" si="5"/>
        <v>16070</v>
      </c>
      <c r="Q35" s="577">
        <f t="shared" si="5"/>
        <v>16070</v>
      </c>
      <c r="R35" s="578">
        <f t="shared" si="0"/>
        <v>-0.1</v>
      </c>
      <c r="S35" s="549">
        <f t="shared" si="1"/>
        <v>0.4</v>
      </c>
    </row>
    <row r="36" spans="1:33" ht="15" customHeight="1">
      <c r="A36" s="613" t="s">
        <v>324</v>
      </c>
      <c r="B36" s="666" t="s">
        <v>433</v>
      </c>
      <c r="C36" s="667"/>
      <c r="D36" s="487">
        <v>1014</v>
      </c>
      <c r="E36" s="488">
        <v>1035</v>
      </c>
      <c r="F36" s="489">
        <v>1050</v>
      </c>
      <c r="G36" s="489">
        <v>1052</v>
      </c>
      <c r="H36" s="488">
        <v>1027</v>
      </c>
      <c r="I36" s="489">
        <v>1029</v>
      </c>
      <c r="J36" s="550">
        <v>1084</v>
      </c>
      <c r="K36" s="490">
        <v>1035</v>
      </c>
      <c r="L36" s="491">
        <v>1050</v>
      </c>
      <c r="M36" s="492">
        <v>1050</v>
      </c>
      <c r="N36" s="492">
        <v>1050</v>
      </c>
      <c r="O36" s="492">
        <v>1070</v>
      </c>
      <c r="P36" s="493">
        <v>1070</v>
      </c>
      <c r="Q36" s="498">
        <v>1070</v>
      </c>
      <c r="R36" s="573">
        <f t="shared" si="0"/>
        <v>0.3</v>
      </c>
      <c r="S36" s="256">
        <f t="shared" si="1"/>
        <v>0.4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845</v>
      </c>
      <c r="E37" s="496">
        <v>872</v>
      </c>
      <c r="F37" s="497">
        <v>838</v>
      </c>
      <c r="G37" s="497">
        <v>828</v>
      </c>
      <c r="H37" s="496">
        <v>775</v>
      </c>
      <c r="I37" s="497">
        <v>797</v>
      </c>
      <c r="J37" s="551">
        <v>778</v>
      </c>
      <c r="K37" s="498">
        <v>748</v>
      </c>
      <c r="L37" s="499">
        <v>750</v>
      </c>
      <c r="M37" s="500">
        <v>750</v>
      </c>
      <c r="N37" s="500">
        <v>770</v>
      </c>
      <c r="O37" s="500">
        <v>770</v>
      </c>
      <c r="P37" s="501">
        <v>800</v>
      </c>
      <c r="Q37" s="498">
        <v>800</v>
      </c>
      <c r="R37" s="573">
        <f t="shared" si="0"/>
        <v>-1.7</v>
      </c>
      <c r="S37" s="256">
        <f t="shared" si="1"/>
        <v>1.3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257</v>
      </c>
      <c r="E38" s="496">
        <v>251.66200000000001</v>
      </c>
      <c r="F38" s="497">
        <v>257</v>
      </c>
      <c r="G38" s="497">
        <v>250</v>
      </c>
      <c r="H38" s="496">
        <v>256.5</v>
      </c>
      <c r="I38" s="497">
        <v>220.274</v>
      </c>
      <c r="J38" s="497">
        <v>257</v>
      </c>
      <c r="K38" s="502">
        <v>254</v>
      </c>
      <c r="L38" s="503">
        <v>257</v>
      </c>
      <c r="M38" s="496">
        <v>257</v>
      </c>
      <c r="N38" s="496">
        <v>257</v>
      </c>
      <c r="O38" s="496">
        <v>257</v>
      </c>
      <c r="P38" s="279">
        <v>257</v>
      </c>
      <c r="Q38" s="502">
        <v>257</v>
      </c>
      <c r="R38" s="573">
        <f t="shared" si="0"/>
        <v>-0.2</v>
      </c>
      <c r="S38" s="256">
        <f t="shared" si="1"/>
        <v>0</v>
      </c>
      <c r="U38" s="329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1879</v>
      </c>
      <c r="E39" s="496">
        <v>1978</v>
      </c>
      <c r="F39" s="497">
        <v>1920</v>
      </c>
      <c r="G39" s="497">
        <v>2224</v>
      </c>
      <c r="H39" s="496">
        <v>2290</v>
      </c>
      <c r="I39" s="497">
        <v>2360</v>
      </c>
      <c r="J39" s="497">
        <v>2310</v>
      </c>
      <c r="K39" s="502">
        <v>2424</v>
      </c>
      <c r="L39" s="503">
        <v>2370</v>
      </c>
      <c r="M39" s="496">
        <v>2436</v>
      </c>
      <c r="N39" s="496">
        <v>2493</v>
      </c>
      <c r="O39" s="496">
        <v>2569</v>
      </c>
      <c r="P39" s="279">
        <v>2616</v>
      </c>
      <c r="Q39" s="502">
        <v>2648</v>
      </c>
      <c r="R39" s="573">
        <f t="shared" si="0"/>
        <v>3.7</v>
      </c>
      <c r="S39" s="256">
        <f t="shared" si="1"/>
        <v>2.2000000000000002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288</v>
      </c>
      <c r="E40" s="496">
        <v>338</v>
      </c>
      <c r="F40" s="497">
        <v>371</v>
      </c>
      <c r="G40" s="497">
        <v>373.73399999999998</v>
      </c>
      <c r="H40" s="496">
        <v>380</v>
      </c>
      <c r="I40" s="497">
        <v>347.50600000000003</v>
      </c>
      <c r="J40" s="497">
        <v>358.76519440000004</v>
      </c>
      <c r="K40" s="502">
        <v>376</v>
      </c>
      <c r="L40" s="503">
        <v>373.5</v>
      </c>
      <c r="M40" s="496">
        <v>373.5</v>
      </c>
      <c r="N40" s="496">
        <v>373.5</v>
      </c>
      <c r="O40" s="496">
        <v>373.5</v>
      </c>
      <c r="P40" s="279">
        <v>373.5</v>
      </c>
      <c r="Q40" s="502">
        <v>373.5</v>
      </c>
      <c r="R40" s="573">
        <f t="shared" si="0"/>
        <v>3.9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61.75</v>
      </c>
      <c r="E41" s="496">
        <v>61.75</v>
      </c>
      <c r="F41" s="497">
        <v>61.75</v>
      </c>
      <c r="G41" s="497">
        <v>61.75</v>
      </c>
      <c r="H41" s="496">
        <v>61.75</v>
      </c>
      <c r="I41" s="497">
        <v>61.75</v>
      </c>
      <c r="J41" s="497">
        <v>61.75</v>
      </c>
      <c r="K41" s="502">
        <v>61.75</v>
      </c>
      <c r="L41" s="503">
        <v>61.75</v>
      </c>
      <c r="M41" s="496">
        <v>61.75</v>
      </c>
      <c r="N41" s="496">
        <v>61.75</v>
      </c>
      <c r="O41" s="496">
        <v>61.75</v>
      </c>
      <c r="P41" s="279">
        <v>62</v>
      </c>
      <c r="Q41" s="502">
        <v>62</v>
      </c>
      <c r="R41" s="573">
        <f t="shared" si="0"/>
        <v>0</v>
      </c>
      <c r="S41" s="256">
        <f t="shared" si="1"/>
        <v>0.1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260</v>
      </c>
      <c r="E42" s="49">
        <v>260</v>
      </c>
      <c r="F42" s="45">
        <v>275</v>
      </c>
      <c r="G42" s="49">
        <v>308</v>
      </c>
      <c r="H42" s="49">
        <v>308</v>
      </c>
      <c r="I42" s="45">
        <v>308</v>
      </c>
      <c r="J42" s="49">
        <v>332</v>
      </c>
      <c r="K42" s="50">
        <v>360</v>
      </c>
      <c r="L42" s="504">
        <v>360</v>
      </c>
      <c r="M42" s="45">
        <v>360</v>
      </c>
      <c r="N42" s="45">
        <v>360</v>
      </c>
      <c r="O42" s="45">
        <v>360</v>
      </c>
      <c r="P42" s="49">
        <v>360</v>
      </c>
      <c r="Q42" s="50">
        <v>360</v>
      </c>
      <c r="R42" s="573">
        <f t="shared" si="0"/>
        <v>4.8</v>
      </c>
      <c r="S42" s="256">
        <f t="shared" si="1"/>
        <v>0</v>
      </c>
      <c r="U42" s="280"/>
      <c r="V42" s="280"/>
      <c r="W42" s="280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v>58</v>
      </c>
      <c r="E44" s="49">
        <v>58</v>
      </c>
      <c r="F44" s="45">
        <v>58</v>
      </c>
      <c r="G44" s="49">
        <v>58</v>
      </c>
      <c r="H44" s="49">
        <v>58</v>
      </c>
      <c r="I44" s="45">
        <v>58</v>
      </c>
      <c r="J44" s="49">
        <v>58</v>
      </c>
      <c r="K44" s="50">
        <v>58</v>
      </c>
      <c r="L44" s="504">
        <v>58</v>
      </c>
      <c r="M44" s="45">
        <v>58</v>
      </c>
      <c r="N44" s="45">
        <v>58</v>
      </c>
      <c r="O44" s="45">
        <v>58</v>
      </c>
      <c r="P44" s="45">
        <v>58</v>
      </c>
      <c r="Q44" s="51">
        <v>58</v>
      </c>
      <c r="R44" s="573">
        <f t="shared" si="0"/>
        <v>0</v>
      </c>
      <c r="S44" s="256">
        <f t="shared" si="1"/>
        <v>0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110</v>
      </c>
      <c r="E45" s="496">
        <v>126</v>
      </c>
      <c r="F45" s="497">
        <v>126</v>
      </c>
      <c r="G45" s="497">
        <v>88.385999999999996</v>
      </c>
      <c r="H45" s="496">
        <v>80</v>
      </c>
      <c r="I45" s="497">
        <v>80</v>
      </c>
      <c r="J45" s="497">
        <v>100</v>
      </c>
      <c r="K45" s="502">
        <v>90</v>
      </c>
      <c r="L45" s="503">
        <v>90</v>
      </c>
      <c r="M45" s="496">
        <v>90</v>
      </c>
      <c r="N45" s="496">
        <v>90</v>
      </c>
      <c r="O45" s="496">
        <v>90</v>
      </c>
      <c r="P45" s="279">
        <v>90</v>
      </c>
      <c r="Q45" s="502">
        <v>90</v>
      </c>
      <c r="R45" s="573">
        <f t="shared" si="0"/>
        <v>-2.8</v>
      </c>
      <c r="S45" s="256">
        <f t="shared" si="1"/>
        <v>0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0</v>
      </c>
      <c r="E46" s="496">
        <v>0</v>
      </c>
      <c r="F46" s="497">
        <v>50</v>
      </c>
      <c r="G46" s="497">
        <v>50</v>
      </c>
      <c r="H46" s="496">
        <v>50</v>
      </c>
      <c r="I46" s="497">
        <v>50</v>
      </c>
      <c r="J46" s="497">
        <v>50</v>
      </c>
      <c r="K46" s="502">
        <v>50</v>
      </c>
      <c r="L46" s="503">
        <v>50</v>
      </c>
      <c r="M46" s="496">
        <v>50</v>
      </c>
      <c r="N46" s="496">
        <v>50</v>
      </c>
      <c r="O46" s="496">
        <v>50</v>
      </c>
      <c r="P46" s="279">
        <v>50</v>
      </c>
      <c r="Q46" s="502">
        <v>50</v>
      </c>
      <c r="R46" s="573" t="str">
        <f t="shared" si="0"/>
        <v xml:space="preserve">     -</v>
      </c>
      <c r="S46" s="256">
        <f t="shared" si="1"/>
        <v>0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703.3</v>
      </c>
      <c r="E47" s="496">
        <v>673.8</v>
      </c>
      <c r="F47" s="497">
        <v>633.29999999999995</v>
      </c>
      <c r="G47" s="497">
        <v>657.7</v>
      </c>
      <c r="H47" s="496">
        <v>652.5</v>
      </c>
      <c r="I47" s="497">
        <v>674.6</v>
      </c>
      <c r="J47" s="497">
        <v>687.6</v>
      </c>
      <c r="K47" s="502">
        <v>706.1</v>
      </c>
      <c r="L47" s="503">
        <v>692</v>
      </c>
      <c r="M47" s="496">
        <v>696</v>
      </c>
      <c r="N47" s="496">
        <v>696</v>
      </c>
      <c r="O47" s="496">
        <v>695</v>
      </c>
      <c r="P47" s="497">
        <v>694</v>
      </c>
      <c r="Q47" s="502">
        <v>693</v>
      </c>
      <c r="R47" s="573">
        <f t="shared" si="0"/>
        <v>0.1</v>
      </c>
      <c r="S47" s="256">
        <f t="shared" si="1"/>
        <v>0</v>
      </c>
      <c r="U47" s="318"/>
      <c r="V47" s="318"/>
      <c r="W47" s="318"/>
      <c r="X47" s="318"/>
      <c r="Y47" s="330"/>
      <c r="Z47" s="330"/>
      <c r="AA47" s="330"/>
      <c r="AB47" s="330"/>
      <c r="AC47" s="330"/>
      <c r="AD47" s="330"/>
      <c r="AE47" s="330"/>
      <c r="AF47" s="330"/>
      <c r="AG47" s="330"/>
    </row>
    <row r="48" spans="1:33" ht="15.75" customHeight="1">
      <c r="A48" s="16"/>
      <c r="B48" s="674" t="s">
        <v>307</v>
      </c>
      <c r="C48" s="675"/>
      <c r="D48" s="95">
        <f>SUM(D36:D47)</f>
        <v>5476.05</v>
      </c>
      <c r="E48" s="93">
        <f t="shared" ref="E48:Q48" si="6">SUM(E36:E47)</f>
        <v>5654.2120000000004</v>
      </c>
      <c r="F48" s="93">
        <f t="shared" si="6"/>
        <v>5640.05</v>
      </c>
      <c r="G48" s="93">
        <f t="shared" si="6"/>
        <v>5951.5700000000006</v>
      </c>
      <c r="H48" s="93">
        <f t="shared" si="6"/>
        <v>5938.75</v>
      </c>
      <c r="I48" s="93">
        <f t="shared" si="6"/>
        <v>5986.13</v>
      </c>
      <c r="J48" s="93">
        <f t="shared" si="6"/>
        <v>6077.1151944000003</v>
      </c>
      <c r="K48" s="96">
        <f t="shared" si="6"/>
        <v>6162.85</v>
      </c>
      <c r="L48" s="95">
        <f t="shared" si="6"/>
        <v>6112.25</v>
      </c>
      <c r="M48" s="93">
        <f t="shared" si="6"/>
        <v>6182.25</v>
      </c>
      <c r="N48" s="93">
        <f t="shared" si="6"/>
        <v>6259.25</v>
      </c>
      <c r="O48" s="93">
        <f t="shared" si="6"/>
        <v>6354.25</v>
      </c>
      <c r="P48" s="93">
        <f t="shared" si="6"/>
        <v>6430.5</v>
      </c>
      <c r="Q48" s="96">
        <f t="shared" si="6"/>
        <v>6461.5</v>
      </c>
      <c r="R48" s="574">
        <f t="shared" si="0"/>
        <v>1.7</v>
      </c>
      <c r="S48" s="510">
        <f t="shared" si="1"/>
        <v>1.1000000000000001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3713</v>
      </c>
      <c r="E51" s="512">
        <v>2286</v>
      </c>
      <c r="F51" s="512">
        <v>2160.984375</v>
      </c>
      <c r="G51" s="512">
        <v>2105.5519148936169</v>
      </c>
      <c r="H51" s="512">
        <v>2019.8953125</v>
      </c>
      <c r="I51" s="512">
        <v>1778</v>
      </c>
      <c r="J51" s="513">
        <v>1616</v>
      </c>
      <c r="K51" s="514">
        <v>1580</v>
      </c>
      <c r="L51" s="511">
        <v>1562</v>
      </c>
      <c r="M51" s="512">
        <v>1553</v>
      </c>
      <c r="N51" s="512">
        <v>1542</v>
      </c>
      <c r="O51" s="512">
        <v>1531</v>
      </c>
      <c r="P51" s="513">
        <v>1531</v>
      </c>
      <c r="Q51" s="514">
        <v>1531</v>
      </c>
      <c r="R51" s="574">
        <f t="shared" si="0"/>
        <v>-11.5</v>
      </c>
      <c r="S51" s="510">
        <f t="shared" si="1"/>
        <v>-0.4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3415</v>
      </c>
      <c r="E52" s="512">
        <v>2027.2097112860893</v>
      </c>
      <c r="F52" s="512">
        <v>2062.9787401574804</v>
      </c>
      <c r="G52" s="512">
        <v>1877.617094308277</v>
      </c>
      <c r="H52" s="512">
        <v>1861.7779527559055</v>
      </c>
      <c r="I52" s="512">
        <v>1601</v>
      </c>
      <c r="J52" s="513">
        <v>1448</v>
      </c>
      <c r="K52" s="514">
        <v>1414</v>
      </c>
      <c r="L52" s="511">
        <v>1401</v>
      </c>
      <c r="M52" s="512">
        <v>1390</v>
      </c>
      <c r="N52" s="512">
        <v>1379</v>
      </c>
      <c r="O52" s="512">
        <v>1368</v>
      </c>
      <c r="P52" s="513">
        <v>1368</v>
      </c>
      <c r="Q52" s="514">
        <v>1368</v>
      </c>
      <c r="R52" s="574">
        <f t="shared" si="0"/>
        <v>-11.8</v>
      </c>
      <c r="S52" s="510">
        <f t="shared" si="1"/>
        <v>-0.5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272</v>
      </c>
      <c r="E53" s="496">
        <v>280</v>
      </c>
      <c r="F53" s="496">
        <v>270</v>
      </c>
      <c r="G53" s="496">
        <v>304</v>
      </c>
      <c r="H53" s="496">
        <v>380.754569</v>
      </c>
      <c r="I53" s="496">
        <v>456.33804400000002</v>
      </c>
      <c r="J53" s="497">
        <v>477.676084</v>
      </c>
      <c r="K53" s="502">
        <v>491.12370600000003</v>
      </c>
      <c r="L53" s="503">
        <v>515.77960800000005</v>
      </c>
      <c r="M53" s="496">
        <v>520.767878</v>
      </c>
      <c r="N53" s="496">
        <v>521</v>
      </c>
      <c r="O53" s="496">
        <v>530</v>
      </c>
      <c r="P53" s="497">
        <v>530</v>
      </c>
      <c r="Q53" s="502">
        <v>550</v>
      </c>
      <c r="R53" s="573">
        <f t="shared" si="0"/>
        <v>8.8000000000000007</v>
      </c>
      <c r="S53" s="256">
        <f t="shared" si="1"/>
        <v>1.3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157</v>
      </c>
      <c r="F54" s="518">
        <v>311</v>
      </c>
      <c r="G54" s="518">
        <v>178</v>
      </c>
      <c r="H54" s="518">
        <v>250</v>
      </c>
      <c r="I54" s="518">
        <v>290.11129099999999</v>
      </c>
      <c r="J54" s="519">
        <v>296.31887699999999</v>
      </c>
      <c r="K54" s="514">
        <v>302.97914300000002</v>
      </c>
      <c r="L54" s="511">
        <v>306</v>
      </c>
      <c r="M54" s="518">
        <v>309</v>
      </c>
      <c r="N54" s="518">
        <v>310</v>
      </c>
      <c r="O54" s="518">
        <v>310</v>
      </c>
      <c r="P54" s="519">
        <v>310</v>
      </c>
      <c r="Q54" s="514">
        <v>310</v>
      </c>
      <c r="R54" s="574" t="str">
        <f t="shared" si="0"/>
        <v xml:space="preserve">     -</v>
      </c>
      <c r="S54" s="510">
        <f t="shared" si="1"/>
        <v>0.3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4</v>
      </c>
      <c r="E55" s="518">
        <v>0</v>
      </c>
      <c r="F55" s="518">
        <v>0</v>
      </c>
      <c r="G55" s="518">
        <v>0</v>
      </c>
      <c r="H55" s="518">
        <v>0</v>
      </c>
      <c r="I55" s="518">
        <v>147.17121800000001</v>
      </c>
      <c r="J55" s="519">
        <v>149.36469099999999</v>
      </c>
      <c r="K55" s="514">
        <v>151.71320399999999</v>
      </c>
      <c r="L55" s="511">
        <v>164.242312</v>
      </c>
      <c r="M55" s="518">
        <v>164.81695300000001</v>
      </c>
      <c r="N55" s="518">
        <v>164.548294</v>
      </c>
      <c r="O55" s="518">
        <v>164.548294</v>
      </c>
      <c r="P55" s="519">
        <v>170</v>
      </c>
      <c r="Q55" s="514">
        <v>170</v>
      </c>
      <c r="R55" s="574">
        <f t="shared" si="0"/>
        <v>68.099999999999994</v>
      </c>
      <c r="S55" s="510">
        <f t="shared" si="1"/>
        <v>0.7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305</v>
      </c>
      <c r="E56" s="521">
        <v>344</v>
      </c>
      <c r="F56" s="521">
        <v>374.5</v>
      </c>
      <c r="G56" s="521">
        <v>448</v>
      </c>
      <c r="H56" s="521">
        <v>504</v>
      </c>
      <c r="I56" s="521">
        <v>493</v>
      </c>
      <c r="J56" s="522">
        <v>493.43200000000002</v>
      </c>
      <c r="K56" s="523">
        <v>555</v>
      </c>
      <c r="L56" s="520">
        <v>555</v>
      </c>
      <c r="M56" s="521">
        <v>555</v>
      </c>
      <c r="N56" s="521">
        <v>555</v>
      </c>
      <c r="O56" s="521">
        <v>555</v>
      </c>
      <c r="P56" s="522">
        <v>555</v>
      </c>
      <c r="Q56" s="523">
        <v>555</v>
      </c>
      <c r="R56" s="574">
        <f t="shared" si="0"/>
        <v>8.9</v>
      </c>
      <c r="S56" s="510">
        <f t="shared" si="1"/>
        <v>0</v>
      </c>
      <c r="U56" s="43"/>
      <c r="V56" s="43"/>
      <c r="W56" s="43"/>
      <c r="X56" s="43"/>
      <c r="Y56" s="43"/>
      <c r="Z56" s="331"/>
      <c r="AA56" s="331"/>
      <c r="AB56" s="331"/>
      <c r="AC56" s="331"/>
      <c r="AD56" s="331"/>
      <c r="AE56" s="331"/>
      <c r="AF56" s="331"/>
      <c r="AG56" s="331"/>
    </row>
    <row r="57" spans="1:33" ht="15" customHeight="1">
      <c r="A57" s="16"/>
      <c r="B57" s="672" t="s">
        <v>316</v>
      </c>
      <c r="C57" s="673"/>
      <c r="D57" s="553">
        <v>2164</v>
      </c>
      <c r="E57" s="526">
        <v>2164</v>
      </c>
      <c r="F57" s="530">
        <v>2164</v>
      </c>
      <c r="G57" s="497">
        <v>2164</v>
      </c>
      <c r="H57" s="496">
        <v>2168</v>
      </c>
      <c r="I57" s="497">
        <v>2260</v>
      </c>
      <c r="J57" s="551">
        <v>2260</v>
      </c>
      <c r="K57" s="554">
        <v>2260</v>
      </c>
      <c r="L57" s="527">
        <v>2260</v>
      </c>
      <c r="M57" s="528">
        <v>2260</v>
      </c>
      <c r="N57" s="528">
        <v>2260</v>
      </c>
      <c r="O57" s="528">
        <v>2260</v>
      </c>
      <c r="P57" s="500">
        <v>2260</v>
      </c>
      <c r="Q57" s="554">
        <v>2260</v>
      </c>
      <c r="R57" s="573">
        <f t="shared" si="0"/>
        <v>0.6</v>
      </c>
      <c r="S57" s="256">
        <f t="shared" si="1"/>
        <v>0</v>
      </c>
      <c r="U57" s="326"/>
      <c r="V57" s="326"/>
      <c r="W57" s="326"/>
      <c r="X57" s="282"/>
      <c r="Y57" s="282"/>
      <c r="Z57" s="282"/>
      <c r="AA57" s="282"/>
      <c r="AB57" s="282"/>
      <c r="AC57" s="282"/>
      <c r="AD57" s="282"/>
      <c r="AE57" s="282"/>
      <c r="AF57" s="282"/>
      <c r="AG57" s="282"/>
    </row>
    <row r="58" spans="1:33" ht="15" customHeight="1">
      <c r="A58" s="16"/>
      <c r="B58" s="670" t="s">
        <v>317</v>
      </c>
      <c r="C58" s="671"/>
      <c r="D58" s="553">
        <v>0</v>
      </c>
      <c r="E58" s="526">
        <v>0</v>
      </c>
      <c r="F58" s="530">
        <v>0</v>
      </c>
      <c r="G58" s="497">
        <v>0</v>
      </c>
      <c r="H58" s="496">
        <v>0</v>
      </c>
      <c r="I58" s="497">
        <v>0</v>
      </c>
      <c r="J58" s="551">
        <v>0</v>
      </c>
      <c r="K58" s="498">
        <v>0</v>
      </c>
      <c r="L58" s="499">
        <v>0</v>
      </c>
      <c r="M58" s="532">
        <v>0</v>
      </c>
      <c r="N58" s="532">
        <v>0</v>
      </c>
      <c r="O58" s="532">
        <v>0</v>
      </c>
      <c r="P58" s="532">
        <v>0</v>
      </c>
      <c r="Q58" s="498">
        <v>0</v>
      </c>
      <c r="R58" s="573" t="str">
        <f t="shared" si="0"/>
        <v xml:space="preserve">     -</v>
      </c>
      <c r="S58" s="256" t="str">
        <f t="shared" si="1"/>
        <v xml:space="preserve">     -</v>
      </c>
      <c r="U58" s="326"/>
      <c r="V58" s="326"/>
      <c r="W58" s="281"/>
      <c r="X58" s="281"/>
      <c r="Y58" s="281"/>
      <c r="Z58" s="281"/>
      <c r="AA58" s="420"/>
      <c r="AB58" s="281"/>
      <c r="AC58" s="281"/>
      <c r="AD58" s="281"/>
      <c r="AE58" s="281"/>
      <c r="AF58" s="281"/>
      <c r="AG58" s="281"/>
    </row>
    <row r="59" spans="1:33" ht="15.75" customHeight="1">
      <c r="A59" s="16"/>
      <c r="B59" s="674" t="s">
        <v>318</v>
      </c>
      <c r="C59" s="675"/>
      <c r="D59" s="95">
        <f>SUM(D57:D58)</f>
        <v>2164</v>
      </c>
      <c r="E59" s="92">
        <f t="shared" ref="E59:Q59" si="7">SUM(E57:E58)</f>
        <v>2164</v>
      </c>
      <c r="F59" s="92">
        <f t="shared" si="7"/>
        <v>2164</v>
      </c>
      <c r="G59" s="93">
        <f t="shared" si="7"/>
        <v>2164</v>
      </c>
      <c r="H59" s="93">
        <f t="shared" si="7"/>
        <v>2168</v>
      </c>
      <c r="I59" s="94">
        <f t="shared" si="7"/>
        <v>2260</v>
      </c>
      <c r="J59" s="94">
        <f t="shared" si="7"/>
        <v>2260</v>
      </c>
      <c r="K59" s="96">
        <f t="shared" si="7"/>
        <v>2260</v>
      </c>
      <c r="L59" s="555">
        <f t="shared" si="7"/>
        <v>2260</v>
      </c>
      <c r="M59" s="556">
        <f t="shared" si="7"/>
        <v>2260</v>
      </c>
      <c r="N59" s="556">
        <f t="shared" si="7"/>
        <v>2260</v>
      </c>
      <c r="O59" s="556">
        <f t="shared" si="7"/>
        <v>2260</v>
      </c>
      <c r="P59" s="556">
        <f t="shared" si="7"/>
        <v>2260</v>
      </c>
      <c r="Q59" s="227">
        <f t="shared" si="7"/>
        <v>2260</v>
      </c>
      <c r="R59" s="574">
        <f t="shared" si="0"/>
        <v>0.6</v>
      </c>
      <c r="S59" s="510">
        <f t="shared" si="1"/>
        <v>0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280</v>
      </c>
      <c r="E60" s="526">
        <v>280</v>
      </c>
      <c r="F60" s="530">
        <v>281</v>
      </c>
      <c r="G60" s="497">
        <v>280</v>
      </c>
      <c r="H60" s="496">
        <v>299</v>
      </c>
      <c r="I60" s="497">
        <v>294</v>
      </c>
      <c r="J60" s="551">
        <v>294</v>
      </c>
      <c r="K60" s="498">
        <v>294</v>
      </c>
      <c r="L60" s="533">
        <v>294</v>
      </c>
      <c r="M60" s="534">
        <v>294</v>
      </c>
      <c r="N60" s="534">
        <v>294</v>
      </c>
      <c r="O60" s="534">
        <v>294</v>
      </c>
      <c r="P60" s="534">
        <v>294</v>
      </c>
      <c r="Q60" s="535">
        <v>294</v>
      </c>
      <c r="R60" s="573">
        <f t="shared" si="0"/>
        <v>0.7</v>
      </c>
      <c r="S60" s="256">
        <f t="shared" si="1"/>
        <v>0</v>
      </c>
      <c r="U60" s="326"/>
      <c r="V60" s="326"/>
      <c r="W60" s="326"/>
      <c r="X60" s="282"/>
      <c r="Y60" s="282"/>
      <c r="Z60" s="282"/>
      <c r="AA60" s="282"/>
      <c r="AB60" s="282"/>
      <c r="AC60" s="282"/>
      <c r="AD60" s="282"/>
      <c r="AE60" s="282"/>
      <c r="AF60" s="282"/>
      <c r="AG60" s="282"/>
    </row>
    <row r="61" spans="1:33" ht="15" customHeight="1">
      <c r="A61" s="16"/>
      <c r="B61" s="668" t="s">
        <v>320</v>
      </c>
      <c r="C61" s="669"/>
      <c r="D61" s="553">
        <v>409</v>
      </c>
      <c r="E61" s="526">
        <v>434</v>
      </c>
      <c r="F61" s="530">
        <v>493</v>
      </c>
      <c r="G61" s="497">
        <v>493</v>
      </c>
      <c r="H61" s="496">
        <v>510</v>
      </c>
      <c r="I61" s="497">
        <v>510</v>
      </c>
      <c r="J61" s="497">
        <v>510</v>
      </c>
      <c r="K61" s="502">
        <v>536</v>
      </c>
      <c r="L61" s="503">
        <v>536</v>
      </c>
      <c r="M61" s="496">
        <v>536</v>
      </c>
      <c r="N61" s="496">
        <v>536</v>
      </c>
      <c r="O61" s="496">
        <v>536</v>
      </c>
      <c r="P61" s="497">
        <v>536</v>
      </c>
      <c r="Q61" s="502">
        <v>536</v>
      </c>
      <c r="R61" s="573">
        <f t="shared" si="0"/>
        <v>3.9</v>
      </c>
      <c r="S61" s="256">
        <f t="shared" si="1"/>
        <v>0</v>
      </c>
      <c r="U61" s="326"/>
      <c r="V61" s="326"/>
      <c r="W61" s="326"/>
      <c r="X61" s="282"/>
      <c r="Y61" s="282"/>
      <c r="Z61" s="282"/>
      <c r="AA61" s="282"/>
      <c r="AB61" s="282"/>
      <c r="AC61" s="282"/>
      <c r="AD61" s="282"/>
      <c r="AE61" s="282"/>
      <c r="AF61" s="282"/>
      <c r="AG61" s="282"/>
    </row>
    <row r="62" spans="1:33" ht="15" customHeight="1">
      <c r="A62" s="16"/>
      <c r="B62" s="670" t="s">
        <v>321</v>
      </c>
      <c r="C62" s="671"/>
      <c r="D62" s="553">
        <v>183</v>
      </c>
      <c r="E62" s="525">
        <v>183</v>
      </c>
      <c r="F62" s="530">
        <v>183</v>
      </c>
      <c r="G62" s="497">
        <v>183</v>
      </c>
      <c r="H62" s="496">
        <v>183</v>
      </c>
      <c r="I62" s="497">
        <v>183</v>
      </c>
      <c r="J62" s="497">
        <v>183</v>
      </c>
      <c r="K62" s="536">
        <v>184</v>
      </c>
      <c r="L62" s="537">
        <v>184</v>
      </c>
      <c r="M62" s="538">
        <v>184</v>
      </c>
      <c r="N62" s="538">
        <v>184</v>
      </c>
      <c r="O62" s="538">
        <v>184</v>
      </c>
      <c r="P62" s="515">
        <v>184</v>
      </c>
      <c r="Q62" s="536">
        <v>184</v>
      </c>
      <c r="R62" s="573">
        <f t="shared" si="0"/>
        <v>0.1</v>
      </c>
      <c r="S62" s="256">
        <f t="shared" si="1"/>
        <v>0</v>
      </c>
      <c r="U62" s="43"/>
      <c r="V62" s="43"/>
      <c r="W62" s="43"/>
      <c r="X62" s="332"/>
      <c r="Y62" s="332"/>
      <c r="Z62" s="332"/>
      <c r="AA62" s="332"/>
      <c r="AB62" s="332"/>
      <c r="AC62" s="332"/>
      <c r="AD62" s="332"/>
      <c r="AE62" s="332"/>
      <c r="AF62" s="332"/>
      <c r="AG62" s="332"/>
    </row>
    <row r="63" spans="1:33" ht="15.75" customHeight="1" thickBot="1">
      <c r="A63" s="16"/>
      <c r="B63" s="678" t="s">
        <v>322</v>
      </c>
      <c r="C63" s="679"/>
      <c r="D63" s="102">
        <f>SUM(D60:D62)</f>
        <v>872</v>
      </c>
      <c r="E63" s="539">
        <f t="shared" ref="E63:Q63" si="8">SUM(E60:E62)</f>
        <v>897</v>
      </c>
      <c r="F63" s="539">
        <f t="shared" si="8"/>
        <v>957</v>
      </c>
      <c r="G63" s="100">
        <f t="shared" si="8"/>
        <v>956</v>
      </c>
      <c r="H63" s="100">
        <f t="shared" si="8"/>
        <v>992</v>
      </c>
      <c r="I63" s="100">
        <f t="shared" si="8"/>
        <v>987</v>
      </c>
      <c r="J63" s="101">
        <f t="shared" si="8"/>
        <v>987</v>
      </c>
      <c r="K63" s="104">
        <f t="shared" si="8"/>
        <v>1014</v>
      </c>
      <c r="L63" s="540">
        <f t="shared" si="8"/>
        <v>1014</v>
      </c>
      <c r="M63" s="100">
        <f t="shared" si="8"/>
        <v>1014</v>
      </c>
      <c r="N63" s="100">
        <f t="shared" si="8"/>
        <v>1014</v>
      </c>
      <c r="O63" s="100">
        <f t="shared" si="8"/>
        <v>1014</v>
      </c>
      <c r="P63" s="100">
        <f t="shared" si="8"/>
        <v>1014</v>
      </c>
      <c r="Q63" s="103">
        <f t="shared" si="8"/>
        <v>1014</v>
      </c>
      <c r="R63" s="576">
        <f t="shared" si="0"/>
        <v>2.2000000000000002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12806.05</v>
      </c>
      <c r="E64" s="543">
        <f t="shared" ref="E64:Q64" si="9">E48+E49+E51+E53+E55+E56+E59+E63</f>
        <v>11625.212</v>
      </c>
      <c r="F64" s="543">
        <f t="shared" si="9"/>
        <v>11566.534374999999</v>
      </c>
      <c r="G64" s="544">
        <f t="shared" si="9"/>
        <v>11929.121914893618</v>
      </c>
      <c r="H64" s="544">
        <f t="shared" si="9"/>
        <v>12003.3998815</v>
      </c>
      <c r="I64" s="544">
        <f t="shared" si="9"/>
        <v>12107.639261999999</v>
      </c>
      <c r="J64" s="545">
        <f t="shared" si="9"/>
        <v>12060.587969400001</v>
      </c>
      <c r="K64" s="546">
        <f t="shared" si="9"/>
        <v>12214.68691</v>
      </c>
      <c r="L64" s="547">
        <f t="shared" si="9"/>
        <v>12183.271919999999</v>
      </c>
      <c r="M64" s="544">
        <f t="shared" si="9"/>
        <v>12249.834831</v>
      </c>
      <c r="N64" s="544">
        <f t="shared" si="9"/>
        <v>12315.798294</v>
      </c>
      <c r="O64" s="544">
        <f t="shared" si="9"/>
        <v>12408.798294</v>
      </c>
      <c r="P64" s="544">
        <f t="shared" si="9"/>
        <v>12490.5</v>
      </c>
      <c r="Q64" s="577">
        <f t="shared" si="9"/>
        <v>12541.5</v>
      </c>
      <c r="R64" s="579">
        <f t="shared" si="0"/>
        <v>-0.7</v>
      </c>
      <c r="S64" s="558">
        <f t="shared" si="1"/>
        <v>0.6</v>
      </c>
    </row>
    <row r="65" spans="1:33" ht="15" customHeight="1">
      <c r="A65" s="616" t="s">
        <v>327</v>
      </c>
      <c r="B65" s="666" t="s">
        <v>433</v>
      </c>
      <c r="C65" s="667"/>
      <c r="D65" s="487">
        <v>414</v>
      </c>
      <c r="E65" s="488">
        <v>408</v>
      </c>
      <c r="F65" s="489">
        <v>461</v>
      </c>
      <c r="G65" s="559">
        <v>494</v>
      </c>
      <c r="H65" s="560">
        <v>522</v>
      </c>
      <c r="I65" s="559">
        <v>566</v>
      </c>
      <c r="J65" s="559">
        <v>623</v>
      </c>
      <c r="K65" s="561">
        <v>646</v>
      </c>
      <c r="L65" s="562">
        <v>650</v>
      </c>
      <c r="M65" s="560">
        <v>650</v>
      </c>
      <c r="N65" s="560">
        <v>670</v>
      </c>
      <c r="O65" s="560">
        <v>670</v>
      </c>
      <c r="P65" s="563">
        <v>680</v>
      </c>
      <c r="Q65" s="561">
        <v>680</v>
      </c>
      <c r="R65" s="573">
        <f t="shared" si="0"/>
        <v>6.6</v>
      </c>
      <c r="S65" s="256">
        <f t="shared" si="1"/>
        <v>0.9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109</v>
      </c>
      <c r="E66" s="525">
        <v>102</v>
      </c>
      <c r="F66" s="530">
        <v>103</v>
      </c>
      <c r="G66" s="497">
        <v>76</v>
      </c>
      <c r="H66" s="496">
        <v>59</v>
      </c>
      <c r="I66" s="497">
        <v>37</v>
      </c>
      <c r="J66" s="551">
        <v>55</v>
      </c>
      <c r="K66" s="498">
        <v>24</v>
      </c>
      <c r="L66" s="499">
        <v>25</v>
      </c>
      <c r="M66" s="500">
        <v>30</v>
      </c>
      <c r="N66" s="500">
        <v>35</v>
      </c>
      <c r="O66" s="500">
        <v>35</v>
      </c>
      <c r="P66" s="501">
        <v>40</v>
      </c>
      <c r="Q66" s="498">
        <v>40</v>
      </c>
      <c r="R66" s="573">
        <f t="shared" si="0"/>
        <v>-19.399999999999999</v>
      </c>
      <c r="S66" s="256">
        <f t="shared" si="1"/>
        <v>9.9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U67" s="280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3050</v>
      </c>
      <c r="E68" s="496">
        <v>3087</v>
      </c>
      <c r="F68" s="497">
        <v>3040</v>
      </c>
      <c r="G68" s="497">
        <v>3336</v>
      </c>
      <c r="H68" s="496">
        <v>3202</v>
      </c>
      <c r="I68" s="497">
        <v>3300</v>
      </c>
      <c r="J68" s="497">
        <v>3123</v>
      </c>
      <c r="K68" s="502">
        <v>3300</v>
      </c>
      <c r="L68" s="503">
        <v>3420</v>
      </c>
      <c r="M68" s="496">
        <v>3500</v>
      </c>
      <c r="N68" s="496">
        <v>3560</v>
      </c>
      <c r="O68" s="496">
        <v>3610</v>
      </c>
      <c r="P68" s="279">
        <v>3660</v>
      </c>
      <c r="Q68" s="502">
        <v>3700</v>
      </c>
      <c r="R68" s="573">
        <f t="shared" si="0"/>
        <v>1.1000000000000001</v>
      </c>
      <c r="S68" s="256">
        <f t="shared" si="1"/>
        <v>1.6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227</v>
      </c>
      <c r="E69" s="496">
        <v>231</v>
      </c>
      <c r="F69" s="497">
        <v>231</v>
      </c>
      <c r="G69" s="497">
        <v>272</v>
      </c>
      <c r="H69" s="496">
        <v>321.51700000000005</v>
      </c>
      <c r="I69" s="497">
        <v>320</v>
      </c>
      <c r="J69" s="497">
        <v>290</v>
      </c>
      <c r="K69" s="502">
        <v>269</v>
      </c>
      <c r="L69" s="503">
        <v>276</v>
      </c>
      <c r="M69" s="496">
        <v>286.65359999999998</v>
      </c>
      <c r="N69" s="496">
        <v>297.23111783999997</v>
      </c>
      <c r="O69" s="496">
        <v>307.78282252331996</v>
      </c>
      <c r="P69" s="279">
        <v>318.55522131163616</v>
      </c>
      <c r="Q69" s="502">
        <v>329.89578719033045</v>
      </c>
      <c r="R69" s="573">
        <f t="shared" si="0"/>
        <v>2.5</v>
      </c>
      <c r="S69" s="256">
        <f t="shared" si="1"/>
        <v>3.6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89.997017498362581</v>
      </c>
      <c r="E70" s="496">
        <v>95.75682661825779</v>
      </c>
      <c r="F70" s="497">
        <v>101.69374986858978</v>
      </c>
      <c r="G70" s="497">
        <v>105</v>
      </c>
      <c r="H70" s="496">
        <v>108</v>
      </c>
      <c r="I70" s="497">
        <v>111</v>
      </c>
      <c r="J70" s="497">
        <v>115</v>
      </c>
      <c r="K70" s="502">
        <v>121</v>
      </c>
      <c r="L70" s="503">
        <v>130</v>
      </c>
      <c r="M70" s="496">
        <v>137</v>
      </c>
      <c r="N70" s="496">
        <v>140</v>
      </c>
      <c r="O70" s="496">
        <v>150</v>
      </c>
      <c r="P70" s="279">
        <v>160</v>
      </c>
      <c r="Q70" s="502">
        <v>170</v>
      </c>
      <c r="R70" s="573">
        <f t="shared" si="0"/>
        <v>4.3</v>
      </c>
      <c r="S70" s="256">
        <f t="shared" si="1"/>
        <v>5.5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238</v>
      </c>
      <c r="E71" s="49">
        <v>264</v>
      </c>
      <c r="F71" s="45">
        <v>284</v>
      </c>
      <c r="G71" s="49">
        <v>267</v>
      </c>
      <c r="H71" s="49">
        <v>267</v>
      </c>
      <c r="I71" s="45">
        <v>267</v>
      </c>
      <c r="J71" s="49">
        <v>265</v>
      </c>
      <c r="K71" s="50">
        <v>270</v>
      </c>
      <c r="L71" s="140">
        <v>300</v>
      </c>
      <c r="M71" s="45">
        <v>300</v>
      </c>
      <c r="N71" s="45">
        <v>300</v>
      </c>
      <c r="O71" s="45">
        <v>300</v>
      </c>
      <c r="P71" s="45">
        <v>300</v>
      </c>
      <c r="Q71" s="50">
        <v>300</v>
      </c>
      <c r="R71" s="573">
        <f t="shared" si="0"/>
        <v>1.8</v>
      </c>
      <c r="S71" s="256">
        <f t="shared" si="1"/>
        <v>0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52</v>
      </c>
      <c r="E73" s="49">
        <v>42</v>
      </c>
      <c r="F73" s="45">
        <v>65</v>
      </c>
      <c r="G73" s="49">
        <v>55</v>
      </c>
      <c r="H73" s="49">
        <v>61</v>
      </c>
      <c r="I73" s="45">
        <v>65</v>
      </c>
      <c r="J73" s="49">
        <v>68</v>
      </c>
      <c r="K73" s="50">
        <v>73</v>
      </c>
      <c r="L73" s="140">
        <v>77</v>
      </c>
      <c r="M73" s="45">
        <v>82</v>
      </c>
      <c r="N73" s="45">
        <v>87</v>
      </c>
      <c r="O73" s="45">
        <v>92</v>
      </c>
      <c r="P73" s="45">
        <v>98</v>
      </c>
      <c r="Q73" s="50">
        <v>104</v>
      </c>
      <c r="R73" s="573">
        <f t="shared" si="10"/>
        <v>5</v>
      </c>
      <c r="S73" s="256">
        <f t="shared" si="11"/>
        <v>6.2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100</v>
      </c>
      <c r="E74" s="496">
        <v>105.25</v>
      </c>
      <c r="F74" s="497">
        <v>110.77562500000001</v>
      </c>
      <c r="G74" s="497">
        <v>100</v>
      </c>
      <c r="H74" s="496">
        <v>103.79300000000001</v>
      </c>
      <c r="I74" s="497">
        <v>80</v>
      </c>
      <c r="J74" s="497">
        <v>80</v>
      </c>
      <c r="K74" s="502">
        <v>65</v>
      </c>
      <c r="L74" s="503">
        <v>65</v>
      </c>
      <c r="M74" s="496">
        <v>65</v>
      </c>
      <c r="N74" s="496">
        <v>65</v>
      </c>
      <c r="O74" s="496">
        <v>65</v>
      </c>
      <c r="P74" s="279">
        <v>65</v>
      </c>
      <c r="Q74" s="502">
        <v>65</v>
      </c>
      <c r="R74" s="573">
        <f t="shared" si="10"/>
        <v>-6</v>
      </c>
      <c r="S74" s="256">
        <f t="shared" si="11"/>
        <v>0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208</v>
      </c>
      <c r="E75" s="496">
        <v>222</v>
      </c>
      <c r="F75" s="497">
        <v>238</v>
      </c>
      <c r="G75" s="497">
        <v>254</v>
      </c>
      <c r="H75" s="496">
        <v>271</v>
      </c>
      <c r="I75" s="497">
        <v>289</v>
      </c>
      <c r="J75" s="497">
        <v>307</v>
      </c>
      <c r="K75" s="502">
        <v>325</v>
      </c>
      <c r="L75" s="503">
        <v>345</v>
      </c>
      <c r="M75" s="496">
        <v>366</v>
      </c>
      <c r="N75" s="496">
        <v>388</v>
      </c>
      <c r="O75" s="496">
        <v>411</v>
      </c>
      <c r="P75" s="279">
        <v>436</v>
      </c>
      <c r="Q75" s="502">
        <v>462</v>
      </c>
      <c r="R75" s="573">
        <f t="shared" si="10"/>
        <v>6.6</v>
      </c>
      <c r="S75" s="256">
        <f t="shared" si="11"/>
        <v>6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747</v>
      </c>
      <c r="E76" s="40">
        <v>719.4</v>
      </c>
      <c r="F76" s="40">
        <v>711.6</v>
      </c>
      <c r="G76" s="40">
        <v>687.6</v>
      </c>
      <c r="H76" s="505">
        <v>681.7</v>
      </c>
      <c r="I76" s="505">
        <v>692.7</v>
      </c>
      <c r="J76" s="506">
        <v>689.1</v>
      </c>
      <c r="K76" s="507">
        <v>705</v>
      </c>
      <c r="L76" s="508">
        <v>682.9</v>
      </c>
      <c r="M76" s="505">
        <v>693</v>
      </c>
      <c r="N76" s="505">
        <v>693</v>
      </c>
      <c r="O76" s="505">
        <v>692</v>
      </c>
      <c r="P76" s="505">
        <v>691</v>
      </c>
      <c r="Q76" s="509">
        <v>690</v>
      </c>
      <c r="R76" s="573">
        <f t="shared" si="10"/>
        <v>-0.8</v>
      </c>
      <c r="S76" s="256">
        <f t="shared" si="11"/>
        <v>0.2</v>
      </c>
      <c r="U76" s="43"/>
      <c r="V76" s="43"/>
      <c r="W76" s="43"/>
      <c r="X76" s="43"/>
      <c r="Y76" s="330"/>
      <c r="Z76" s="330"/>
      <c r="AA76" s="330"/>
      <c r="AB76" s="330"/>
      <c r="AC76" s="330"/>
      <c r="AD76" s="330"/>
      <c r="AE76" s="330"/>
      <c r="AF76" s="330"/>
      <c r="AG76" s="330"/>
    </row>
    <row r="77" spans="1:33" ht="15.75" customHeight="1">
      <c r="A77" s="16"/>
      <c r="B77" s="674" t="s">
        <v>307</v>
      </c>
      <c r="C77" s="675"/>
      <c r="D77" s="95">
        <f>SUM(D65:D76)</f>
        <v>5234.9970174983628</v>
      </c>
      <c r="E77" s="93">
        <f t="shared" ref="E77:Q77" si="12">SUM(E65:E76)</f>
        <v>5276.4068266182576</v>
      </c>
      <c r="F77" s="93">
        <f t="shared" si="12"/>
        <v>5346.0693748685899</v>
      </c>
      <c r="G77" s="93">
        <f t="shared" si="12"/>
        <v>5646.6</v>
      </c>
      <c r="H77" s="93">
        <f t="shared" si="12"/>
        <v>5597.0099999999993</v>
      </c>
      <c r="I77" s="93">
        <f t="shared" si="12"/>
        <v>5727.7</v>
      </c>
      <c r="J77" s="93">
        <f t="shared" si="12"/>
        <v>5615.1</v>
      </c>
      <c r="K77" s="96">
        <f t="shared" si="12"/>
        <v>5798</v>
      </c>
      <c r="L77" s="95">
        <f t="shared" si="12"/>
        <v>5970.9</v>
      </c>
      <c r="M77" s="93">
        <f t="shared" si="12"/>
        <v>6109.6535999999996</v>
      </c>
      <c r="N77" s="93">
        <f t="shared" si="12"/>
        <v>6235.2311178399996</v>
      </c>
      <c r="O77" s="93">
        <f t="shared" si="12"/>
        <v>6332.7828225233197</v>
      </c>
      <c r="P77" s="93">
        <f t="shared" si="12"/>
        <v>6448.5552213116362</v>
      </c>
      <c r="Q77" s="96">
        <f t="shared" si="12"/>
        <v>6540.8957871903303</v>
      </c>
      <c r="R77" s="574">
        <f t="shared" si="10"/>
        <v>1.5</v>
      </c>
      <c r="S77" s="510">
        <f t="shared" si="11"/>
        <v>1.8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70</v>
      </c>
      <c r="E78" s="512">
        <v>70</v>
      </c>
      <c r="F78" s="512">
        <v>55</v>
      </c>
      <c r="G78" s="512">
        <v>55</v>
      </c>
      <c r="H78" s="512">
        <v>55</v>
      </c>
      <c r="I78" s="512">
        <v>68</v>
      </c>
      <c r="J78" s="513">
        <v>67</v>
      </c>
      <c r="K78" s="514">
        <v>68</v>
      </c>
      <c r="L78" s="511">
        <v>69</v>
      </c>
      <c r="M78" s="512">
        <v>70</v>
      </c>
      <c r="N78" s="512">
        <v>71</v>
      </c>
      <c r="O78" s="512">
        <v>72</v>
      </c>
      <c r="P78" s="513">
        <v>73</v>
      </c>
      <c r="Q78" s="514">
        <v>74</v>
      </c>
      <c r="R78" s="574">
        <f t="shared" si="10"/>
        <v>-0.4</v>
      </c>
      <c r="S78" s="510">
        <f t="shared" si="11"/>
        <v>1.4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70</v>
      </c>
      <c r="E79" s="512">
        <v>70</v>
      </c>
      <c r="F79" s="512">
        <v>55</v>
      </c>
      <c r="G79" s="512">
        <v>55</v>
      </c>
      <c r="H79" s="512">
        <v>55</v>
      </c>
      <c r="I79" s="512">
        <v>68</v>
      </c>
      <c r="J79" s="513">
        <v>67</v>
      </c>
      <c r="K79" s="514">
        <v>68</v>
      </c>
      <c r="L79" s="511">
        <v>69</v>
      </c>
      <c r="M79" s="512">
        <v>70</v>
      </c>
      <c r="N79" s="512">
        <v>71</v>
      </c>
      <c r="O79" s="512">
        <v>72</v>
      </c>
      <c r="P79" s="513">
        <v>73</v>
      </c>
      <c r="Q79" s="514">
        <v>74</v>
      </c>
      <c r="R79" s="574">
        <f t="shared" si="10"/>
        <v>-0.4</v>
      </c>
      <c r="S79" s="510">
        <f t="shared" si="11"/>
        <v>1.4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3347</v>
      </c>
      <c r="E80" s="538">
        <v>1946</v>
      </c>
      <c r="F80" s="538">
        <v>1839.578125</v>
      </c>
      <c r="G80" s="538">
        <v>1800.05</v>
      </c>
      <c r="H80" s="538">
        <v>1786.3671875</v>
      </c>
      <c r="I80" s="538">
        <v>2135</v>
      </c>
      <c r="J80" s="515">
        <v>3016</v>
      </c>
      <c r="K80" s="536">
        <v>2959</v>
      </c>
      <c r="L80" s="537">
        <v>2948</v>
      </c>
      <c r="M80" s="538">
        <v>2911</v>
      </c>
      <c r="N80" s="538">
        <v>2909</v>
      </c>
      <c r="O80" s="538">
        <v>2891</v>
      </c>
      <c r="P80" s="515">
        <v>2887</v>
      </c>
      <c r="Q80" s="536">
        <v>2860</v>
      </c>
      <c r="R80" s="575">
        <f t="shared" si="10"/>
        <v>-1.7</v>
      </c>
      <c r="S80" s="517">
        <f t="shared" si="11"/>
        <v>-0.6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3169</v>
      </c>
      <c r="E81" s="512">
        <v>1933.1976377952756</v>
      </c>
      <c r="F81" s="512">
        <v>1967.307874015748</v>
      </c>
      <c r="G81" s="512">
        <v>1775.4377952755906</v>
      </c>
      <c r="H81" s="512">
        <v>1775.4377952755906</v>
      </c>
      <c r="I81" s="512">
        <v>1739</v>
      </c>
      <c r="J81" s="513">
        <v>2620</v>
      </c>
      <c r="K81" s="514">
        <v>2559</v>
      </c>
      <c r="L81" s="511">
        <v>2552</v>
      </c>
      <c r="M81" s="512">
        <v>2515</v>
      </c>
      <c r="N81" s="512">
        <v>2512</v>
      </c>
      <c r="O81" s="512">
        <v>2491</v>
      </c>
      <c r="P81" s="513">
        <v>2479</v>
      </c>
      <c r="Q81" s="514">
        <v>2434</v>
      </c>
      <c r="R81" s="574">
        <f t="shared" si="10"/>
        <v>-3</v>
      </c>
      <c r="S81" s="510">
        <f t="shared" si="11"/>
        <v>-0.9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521</v>
      </c>
      <c r="E82" s="496">
        <v>618</v>
      </c>
      <c r="F82" s="496">
        <v>645</v>
      </c>
      <c r="G82" s="496">
        <v>639</v>
      </c>
      <c r="H82" s="496">
        <v>657</v>
      </c>
      <c r="I82" s="496">
        <v>679</v>
      </c>
      <c r="J82" s="497">
        <v>702</v>
      </c>
      <c r="K82" s="502">
        <v>725</v>
      </c>
      <c r="L82" s="503">
        <v>748</v>
      </c>
      <c r="M82" s="496">
        <v>771</v>
      </c>
      <c r="N82" s="496">
        <v>771</v>
      </c>
      <c r="O82" s="496">
        <v>780</v>
      </c>
      <c r="P82" s="497">
        <v>790</v>
      </c>
      <c r="Q82" s="502">
        <v>810</v>
      </c>
      <c r="R82" s="573">
        <f t="shared" si="10"/>
        <v>4.8</v>
      </c>
      <c r="S82" s="256">
        <f t="shared" si="11"/>
        <v>1.6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155</v>
      </c>
      <c r="F83" s="518">
        <v>162</v>
      </c>
      <c r="G83" s="518">
        <v>162</v>
      </c>
      <c r="H83" s="518">
        <v>165</v>
      </c>
      <c r="I83" s="518">
        <v>170.11129099999999</v>
      </c>
      <c r="J83" s="519">
        <v>176.31887699999999</v>
      </c>
      <c r="K83" s="514">
        <v>182.97914299999999</v>
      </c>
      <c r="L83" s="511">
        <v>189.994777</v>
      </c>
      <c r="M83" s="518">
        <v>197.43575100000001</v>
      </c>
      <c r="N83" s="518">
        <v>204.89571699999999</v>
      </c>
      <c r="O83" s="518">
        <v>204.89571699999999</v>
      </c>
      <c r="P83" s="519">
        <v>205</v>
      </c>
      <c r="Q83" s="514">
        <v>210</v>
      </c>
      <c r="R83" s="574" t="str">
        <f t="shared" si="10"/>
        <v xml:space="preserve">     -</v>
      </c>
      <c r="S83" s="510">
        <f t="shared" si="11"/>
        <v>2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195</v>
      </c>
      <c r="E84" s="518">
        <v>150</v>
      </c>
      <c r="F84" s="518">
        <v>160</v>
      </c>
      <c r="G84" s="518">
        <v>175</v>
      </c>
      <c r="H84" s="518">
        <v>179.958001</v>
      </c>
      <c r="I84" s="518">
        <v>190.68500800000001</v>
      </c>
      <c r="J84" s="519">
        <v>198.89844600000001</v>
      </c>
      <c r="K84" s="514">
        <v>210.42166</v>
      </c>
      <c r="L84" s="511">
        <v>221.51949500000001</v>
      </c>
      <c r="M84" s="518">
        <v>231.26639499999999</v>
      </c>
      <c r="N84" s="518">
        <v>241.04829100000001</v>
      </c>
      <c r="O84" s="518">
        <v>241.04829100000001</v>
      </c>
      <c r="P84" s="519">
        <v>255</v>
      </c>
      <c r="Q84" s="514">
        <v>275</v>
      </c>
      <c r="R84" s="574">
        <f t="shared" si="10"/>
        <v>1.1000000000000001</v>
      </c>
      <c r="S84" s="510">
        <f t="shared" si="11"/>
        <v>4.4000000000000004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410</v>
      </c>
      <c r="E85" s="521">
        <v>575</v>
      </c>
      <c r="F85" s="521">
        <v>628</v>
      </c>
      <c r="G85" s="521">
        <v>635</v>
      </c>
      <c r="H85" s="521">
        <v>639.44499999999994</v>
      </c>
      <c r="I85" s="521">
        <v>599</v>
      </c>
      <c r="J85" s="522">
        <v>532.33199999999999</v>
      </c>
      <c r="K85" s="523">
        <v>542.97864000000004</v>
      </c>
      <c r="L85" s="520">
        <v>551</v>
      </c>
      <c r="M85" s="521">
        <v>559</v>
      </c>
      <c r="N85" s="521">
        <v>567</v>
      </c>
      <c r="O85" s="521">
        <v>575</v>
      </c>
      <c r="P85" s="522">
        <v>584</v>
      </c>
      <c r="Q85" s="523">
        <v>593</v>
      </c>
      <c r="R85" s="574">
        <f t="shared" si="10"/>
        <v>4.0999999999999996</v>
      </c>
      <c r="S85" s="510">
        <f t="shared" si="11"/>
        <v>1.5</v>
      </c>
      <c r="U85" s="280"/>
      <c r="V85" s="43"/>
      <c r="W85" s="43"/>
      <c r="X85" s="43"/>
      <c r="Y85" s="43"/>
      <c r="Z85" s="331"/>
      <c r="AA85" s="331"/>
      <c r="AB85" s="331"/>
      <c r="AC85" s="331"/>
      <c r="AD85" s="331"/>
      <c r="AE85" s="331"/>
      <c r="AF85" s="331"/>
      <c r="AG85" s="331"/>
    </row>
    <row r="86" spans="1:33" ht="15" customHeight="1">
      <c r="A86" s="16"/>
      <c r="B86" s="672" t="s">
        <v>316</v>
      </c>
      <c r="C86" s="673"/>
      <c r="D86" s="529">
        <v>2090</v>
      </c>
      <c r="E86" s="525">
        <v>2081</v>
      </c>
      <c r="F86" s="530">
        <v>2121</v>
      </c>
      <c r="G86" s="530">
        <v>2195</v>
      </c>
      <c r="H86" s="525">
        <v>2248</v>
      </c>
      <c r="I86" s="530">
        <v>2274</v>
      </c>
      <c r="J86" s="530">
        <v>2302</v>
      </c>
      <c r="K86" s="564">
        <v>2355</v>
      </c>
      <c r="L86" s="524">
        <v>2423</v>
      </c>
      <c r="M86" s="525">
        <v>2485</v>
      </c>
      <c r="N86" s="525">
        <v>2530</v>
      </c>
      <c r="O86" s="525">
        <v>2574</v>
      </c>
      <c r="P86" s="530">
        <v>2612</v>
      </c>
      <c r="Q86" s="564">
        <v>2648</v>
      </c>
      <c r="R86" s="573">
        <f t="shared" si="10"/>
        <v>1.7</v>
      </c>
      <c r="S86" s="256">
        <f t="shared" si="11"/>
        <v>1.8</v>
      </c>
      <c r="U86" s="326"/>
      <c r="V86" s="326"/>
      <c r="W86" s="326"/>
      <c r="X86" s="282"/>
      <c r="Y86" s="282"/>
      <c r="Z86" s="282"/>
      <c r="AA86" s="282"/>
      <c r="AB86" s="282"/>
      <c r="AC86" s="282"/>
      <c r="AD86" s="282"/>
      <c r="AE86" s="282"/>
      <c r="AF86" s="282"/>
      <c r="AG86" s="282"/>
    </row>
    <row r="87" spans="1:33" ht="15" customHeight="1">
      <c r="A87" s="16"/>
      <c r="B87" s="670" t="s">
        <v>317</v>
      </c>
      <c r="C87" s="671"/>
      <c r="D87" s="553">
        <v>126</v>
      </c>
      <c r="E87" s="525">
        <v>122</v>
      </c>
      <c r="F87" s="530">
        <v>121</v>
      </c>
      <c r="G87" s="530">
        <v>101</v>
      </c>
      <c r="H87" s="525">
        <v>88</v>
      </c>
      <c r="I87" s="530">
        <v>87</v>
      </c>
      <c r="J87" s="530">
        <v>113</v>
      </c>
      <c r="K87" s="564">
        <v>116</v>
      </c>
      <c r="L87" s="524">
        <v>118</v>
      </c>
      <c r="M87" s="525">
        <v>120</v>
      </c>
      <c r="N87" s="525">
        <v>122</v>
      </c>
      <c r="O87" s="525">
        <v>124</v>
      </c>
      <c r="P87" s="530">
        <v>126</v>
      </c>
      <c r="Q87" s="564">
        <v>128</v>
      </c>
      <c r="R87" s="573">
        <f t="shared" si="10"/>
        <v>-1.2</v>
      </c>
      <c r="S87" s="256">
        <f t="shared" si="11"/>
        <v>1.6</v>
      </c>
      <c r="U87" s="326"/>
      <c r="V87" s="326"/>
      <c r="W87" s="326"/>
      <c r="X87" s="282"/>
      <c r="Y87" s="282"/>
      <c r="Z87" s="282"/>
      <c r="AA87" s="282"/>
      <c r="AB87" s="282"/>
      <c r="AC87" s="282"/>
      <c r="AD87" s="282"/>
      <c r="AE87" s="282"/>
      <c r="AF87" s="282"/>
      <c r="AG87" s="282"/>
    </row>
    <row r="88" spans="1:33" ht="15.75" customHeight="1">
      <c r="A88" s="16"/>
      <c r="B88" s="674" t="s">
        <v>318</v>
      </c>
      <c r="C88" s="675"/>
      <c r="D88" s="95">
        <f>SUM(D86:D87)</f>
        <v>2216</v>
      </c>
      <c r="E88" s="92">
        <f t="shared" ref="E88:Q88" si="13">SUM(E86:E87)</f>
        <v>2203</v>
      </c>
      <c r="F88" s="92">
        <f t="shared" si="13"/>
        <v>2242</v>
      </c>
      <c r="G88" s="93">
        <f t="shared" si="13"/>
        <v>2296</v>
      </c>
      <c r="H88" s="93">
        <f t="shared" si="13"/>
        <v>2336</v>
      </c>
      <c r="I88" s="94">
        <f t="shared" si="13"/>
        <v>2361</v>
      </c>
      <c r="J88" s="94">
        <f t="shared" si="13"/>
        <v>2415</v>
      </c>
      <c r="K88" s="96">
        <f t="shared" si="13"/>
        <v>2471</v>
      </c>
      <c r="L88" s="95">
        <f t="shared" si="13"/>
        <v>2541</v>
      </c>
      <c r="M88" s="93">
        <f t="shared" si="13"/>
        <v>2605</v>
      </c>
      <c r="N88" s="93">
        <f t="shared" si="13"/>
        <v>2652</v>
      </c>
      <c r="O88" s="93">
        <f t="shared" si="13"/>
        <v>2698</v>
      </c>
      <c r="P88" s="93">
        <f t="shared" si="13"/>
        <v>2738</v>
      </c>
      <c r="Q88" s="96">
        <f t="shared" si="13"/>
        <v>2776</v>
      </c>
      <c r="R88" s="574">
        <f t="shared" si="10"/>
        <v>1.6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310</v>
      </c>
      <c r="E89" s="525">
        <v>310</v>
      </c>
      <c r="F89" s="530">
        <v>310</v>
      </c>
      <c r="G89" s="530">
        <v>310</v>
      </c>
      <c r="H89" s="525">
        <v>318</v>
      </c>
      <c r="I89" s="530">
        <v>325</v>
      </c>
      <c r="J89" s="530">
        <v>332</v>
      </c>
      <c r="K89" s="564">
        <v>339</v>
      </c>
      <c r="L89" s="565">
        <v>346</v>
      </c>
      <c r="M89" s="566">
        <v>355</v>
      </c>
      <c r="N89" s="566">
        <v>365</v>
      </c>
      <c r="O89" s="566">
        <v>375</v>
      </c>
      <c r="P89" s="566">
        <v>386</v>
      </c>
      <c r="Q89" s="567">
        <v>398</v>
      </c>
      <c r="R89" s="573">
        <f t="shared" si="10"/>
        <v>1.3</v>
      </c>
      <c r="S89" s="256">
        <f t="shared" si="11"/>
        <v>2.8</v>
      </c>
      <c r="U89" s="326"/>
      <c r="V89" s="326"/>
      <c r="W89" s="281"/>
      <c r="X89" s="281"/>
      <c r="Y89" s="281"/>
      <c r="Z89" s="281"/>
      <c r="AA89" s="420"/>
      <c r="AB89" s="281"/>
      <c r="AC89" s="281"/>
      <c r="AD89" s="281"/>
      <c r="AE89" s="281"/>
      <c r="AF89" s="281"/>
      <c r="AG89" s="281"/>
    </row>
    <row r="90" spans="1:33" ht="15" customHeight="1">
      <c r="A90" s="16"/>
      <c r="B90" s="668" t="s">
        <v>320</v>
      </c>
      <c r="C90" s="669"/>
      <c r="D90" s="553">
        <v>417</v>
      </c>
      <c r="E90" s="525">
        <v>440</v>
      </c>
      <c r="F90" s="530">
        <v>450</v>
      </c>
      <c r="G90" s="530">
        <v>470</v>
      </c>
      <c r="H90" s="525">
        <v>490</v>
      </c>
      <c r="I90" s="530">
        <v>510</v>
      </c>
      <c r="J90" s="530">
        <v>493</v>
      </c>
      <c r="K90" s="564">
        <v>498</v>
      </c>
      <c r="L90" s="524">
        <v>505</v>
      </c>
      <c r="M90" s="525">
        <v>517</v>
      </c>
      <c r="N90" s="525">
        <v>529</v>
      </c>
      <c r="O90" s="525">
        <v>541</v>
      </c>
      <c r="P90" s="530">
        <v>553</v>
      </c>
      <c r="Q90" s="564">
        <v>565</v>
      </c>
      <c r="R90" s="573">
        <f t="shared" si="10"/>
        <v>2.6</v>
      </c>
      <c r="S90" s="256">
        <f t="shared" si="11"/>
        <v>2.2999999999999998</v>
      </c>
      <c r="U90" s="326"/>
      <c r="V90" s="326"/>
      <c r="W90" s="326"/>
      <c r="X90" s="282"/>
      <c r="Y90" s="282"/>
      <c r="Z90" s="282"/>
      <c r="AA90" s="282"/>
      <c r="AB90" s="282"/>
      <c r="AC90" s="282"/>
      <c r="AD90" s="282"/>
      <c r="AE90" s="282"/>
      <c r="AF90" s="282"/>
      <c r="AG90" s="282"/>
    </row>
    <row r="91" spans="1:33" ht="15" customHeight="1">
      <c r="A91" s="16"/>
      <c r="B91" s="670" t="s">
        <v>321</v>
      </c>
      <c r="C91" s="671"/>
      <c r="D91" s="553">
        <v>318</v>
      </c>
      <c r="E91" s="525">
        <v>337</v>
      </c>
      <c r="F91" s="530">
        <v>350</v>
      </c>
      <c r="G91" s="530">
        <v>366</v>
      </c>
      <c r="H91" s="525">
        <v>371</v>
      </c>
      <c r="I91" s="530">
        <v>362</v>
      </c>
      <c r="J91" s="530">
        <v>360</v>
      </c>
      <c r="K91" s="568">
        <v>364</v>
      </c>
      <c r="L91" s="569">
        <v>368</v>
      </c>
      <c r="M91" s="570">
        <v>376</v>
      </c>
      <c r="N91" s="570">
        <v>386</v>
      </c>
      <c r="O91" s="570">
        <v>397</v>
      </c>
      <c r="P91" s="571">
        <v>408</v>
      </c>
      <c r="Q91" s="568">
        <v>420</v>
      </c>
      <c r="R91" s="573">
        <f t="shared" si="10"/>
        <v>1.9</v>
      </c>
      <c r="S91" s="256">
        <f t="shared" si="11"/>
        <v>2.7</v>
      </c>
      <c r="U91" s="43"/>
      <c r="V91" s="43"/>
      <c r="W91" s="43"/>
      <c r="X91" s="332"/>
      <c r="Y91" s="332"/>
      <c r="Z91" s="332"/>
      <c r="AA91" s="332"/>
      <c r="AB91" s="332"/>
      <c r="AC91" s="332"/>
      <c r="AD91" s="332"/>
      <c r="AE91" s="332"/>
      <c r="AF91" s="332"/>
      <c r="AG91" s="332"/>
    </row>
    <row r="92" spans="1:33" ht="15.75" customHeight="1" thickBot="1">
      <c r="A92" s="16"/>
      <c r="B92" s="678" t="s">
        <v>322</v>
      </c>
      <c r="C92" s="679"/>
      <c r="D92" s="102">
        <f>SUM(D89:D91)</f>
        <v>1045</v>
      </c>
      <c r="E92" s="539">
        <f t="shared" ref="E92:Q92" si="14">SUM(E89:E91)</f>
        <v>1087</v>
      </c>
      <c r="F92" s="539">
        <f t="shared" si="14"/>
        <v>1110</v>
      </c>
      <c r="G92" s="100">
        <f t="shared" si="14"/>
        <v>1146</v>
      </c>
      <c r="H92" s="100">
        <f t="shared" si="14"/>
        <v>1179</v>
      </c>
      <c r="I92" s="100">
        <f t="shared" si="14"/>
        <v>1197</v>
      </c>
      <c r="J92" s="101">
        <f t="shared" si="14"/>
        <v>1185</v>
      </c>
      <c r="K92" s="104">
        <f t="shared" si="14"/>
        <v>1201</v>
      </c>
      <c r="L92" s="540">
        <f t="shared" si="14"/>
        <v>1219</v>
      </c>
      <c r="M92" s="100">
        <f t="shared" si="14"/>
        <v>1248</v>
      </c>
      <c r="N92" s="100">
        <f t="shared" si="14"/>
        <v>1280</v>
      </c>
      <c r="O92" s="100">
        <f t="shared" si="14"/>
        <v>1313</v>
      </c>
      <c r="P92" s="100">
        <f t="shared" si="14"/>
        <v>1347</v>
      </c>
      <c r="Q92" s="103">
        <f t="shared" si="14"/>
        <v>1383</v>
      </c>
      <c r="R92" s="576">
        <f t="shared" si="10"/>
        <v>2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13038.997017498363</v>
      </c>
      <c r="E93" s="543">
        <f t="shared" ref="E93:Q93" si="15">E77+E78+E80+E82+E84+E85+E88+E92</f>
        <v>11925.406826618258</v>
      </c>
      <c r="F93" s="543">
        <f t="shared" si="15"/>
        <v>12025.64749986859</v>
      </c>
      <c r="G93" s="544">
        <f t="shared" si="15"/>
        <v>12392.650000000001</v>
      </c>
      <c r="H93" s="544">
        <f t="shared" si="15"/>
        <v>12429.780188499999</v>
      </c>
      <c r="I93" s="544">
        <f t="shared" si="15"/>
        <v>12957.385008000001</v>
      </c>
      <c r="J93" s="545">
        <f t="shared" si="15"/>
        <v>13731.330446</v>
      </c>
      <c r="K93" s="546">
        <f t="shared" si="15"/>
        <v>13975.400299999999</v>
      </c>
      <c r="L93" s="547">
        <f t="shared" si="15"/>
        <v>14268.419495</v>
      </c>
      <c r="M93" s="544">
        <f t="shared" si="15"/>
        <v>14504.919995</v>
      </c>
      <c r="N93" s="544">
        <f t="shared" si="15"/>
        <v>14726.279408839999</v>
      </c>
      <c r="O93" s="544">
        <f t="shared" si="15"/>
        <v>14902.83111352332</v>
      </c>
      <c r="P93" s="544">
        <f t="shared" si="15"/>
        <v>15122.555221311635</v>
      </c>
      <c r="Q93" s="577">
        <f t="shared" si="15"/>
        <v>15311.895787190329</v>
      </c>
      <c r="R93" s="578">
        <f t="shared" si="10"/>
        <v>1</v>
      </c>
      <c r="S93" s="549">
        <f t="shared" si="11"/>
        <v>1.4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13"/>
      <c r="L98" s="13"/>
      <c r="M98" s="13"/>
      <c r="N98" s="13"/>
      <c r="O98" s="13"/>
      <c r="P98" s="13"/>
      <c r="Q98" s="13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7"/>
      <c r="L118" s="27"/>
      <c r="M118" s="27"/>
      <c r="N118" s="27"/>
      <c r="O118" s="27"/>
      <c r="P118" s="27"/>
      <c r="Q118" s="27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13"/>
      <c r="L127" s="13"/>
      <c r="M127" s="13"/>
      <c r="N127" s="13"/>
      <c r="O127" s="13"/>
      <c r="P127" s="13"/>
      <c r="Q127" s="13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0"/>
  <conditionalFormatting sqref="C97:C98">
    <cfRule type="expression" dxfId="323" priority="5">
      <formula>CELL("protect",C97)=0</formula>
    </cfRule>
    <cfRule type="expression" dxfId="322" priority="6">
      <formula>CELL("protect",C97)=0</formula>
    </cfRule>
  </conditionalFormatting>
  <conditionalFormatting sqref="C95">
    <cfRule type="expression" dxfId="321" priority="3">
      <formula>CELL("protect",C95)=0</formula>
    </cfRule>
    <cfRule type="expression" dxfId="320" priority="4">
      <formula>CELL("protect",C95)=0</formula>
    </cfRule>
  </conditionalFormatting>
  <conditionalFormatting sqref="C97">
    <cfRule type="expression" dxfId="319" priority="1">
      <formula>CELL("protect",C97)=0</formula>
    </cfRule>
    <cfRule type="expression" dxfId="318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&amp;C145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B0F0"/>
    <pageSetUpPr fitToPage="1"/>
  </sheetPr>
  <dimension ref="A1:AG182"/>
  <sheetViews>
    <sheetView showGridLines="0" view="pageBreakPreview" zoomScale="80" zoomScaleNormal="4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5" sqref="T5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5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3383</v>
      </c>
      <c r="E7" s="488">
        <v>3320</v>
      </c>
      <c r="F7" s="489">
        <v>3306</v>
      </c>
      <c r="G7" s="489">
        <v>3306</v>
      </c>
      <c r="H7" s="488">
        <v>3306</v>
      </c>
      <c r="I7" s="489">
        <v>3306</v>
      </c>
      <c r="J7" s="489">
        <v>3306</v>
      </c>
      <c r="K7" s="490">
        <v>3306</v>
      </c>
      <c r="L7" s="491">
        <v>3306</v>
      </c>
      <c r="M7" s="492">
        <v>3306</v>
      </c>
      <c r="N7" s="492">
        <v>3306</v>
      </c>
      <c r="O7" s="492">
        <v>3306</v>
      </c>
      <c r="P7" s="493">
        <v>3306</v>
      </c>
      <c r="Q7" s="490">
        <v>3306</v>
      </c>
      <c r="R7" s="572">
        <f>IF(D7=0,"     -",IF(K7=0,"     -",ROUND(((K7/D7)^(1/7)-1)*100,1)))</f>
        <v>-0.3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2010</v>
      </c>
      <c r="E8" s="496">
        <v>2010</v>
      </c>
      <c r="F8" s="497">
        <v>2010</v>
      </c>
      <c r="G8" s="497">
        <v>2030</v>
      </c>
      <c r="H8" s="496">
        <v>2030</v>
      </c>
      <c r="I8" s="497">
        <v>2030</v>
      </c>
      <c r="J8" s="497">
        <v>2030</v>
      </c>
      <c r="K8" s="498">
        <v>2030</v>
      </c>
      <c r="L8" s="499">
        <v>2030</v>
      </c>
      <c r="M8" s="500">
        <v>2030</v>
      </c>
      <c r="N8" s="500">
        <v>2030</v>
      </c>
      <c r="O8" s="500">
        <v>2030</v>
      </c>
      <c r="P8" s="501">
        <v>2030</v>
      </c>
      <c r="Q8" s="498">
        <v>2030</v>
      </c>
      <c r="R8" s="573">
        <f t="shared" ref="R8:R71" si="0">IF(D8=0,"     -",IF(K8=0,"     -",ROUND(((K8/D8)^(1/7)-1)*100,1)))</f>
        <v>0.1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930</v>
      </c>
      <c r="E9" s="496">
        <v>930</v>
      </c>
      <c r="F9" s="497">
        <v>930</v>
      </c>
      <c r="G9" s="497">
        <v>930</v>
      </c>
      <c r="H9" s="496">
        <v>930</v>
      </c>
      <c r="I9" s="497">
        <v>930</v>
      </c>
      <c r="J9" s="497">
        <v>930</v>
      </c>
      <c r="K9" s="502">
        <v>930</v>
      </c>
      <c r="L9" s="503">
        <v>930</v>
      </c>
      <c r="M9" s="496">
        <v>930</v>
      </c>
      <c r="N9" s="496">
        <v>930</v>
      </c>
      <c r="O9" s="496">
        <v>930</v>
      </c>
      <c r="P9" s="279">
        <v>930</v>
      </c>
      <c r="Q9" s="502">
        <v>930</v>
      </c>
      <c r="R9" s="573">
        <f t="shared" si="0"/>
        <v>0</v>
      </c>
      <c r="S9" s="256">
        <f t="shared" si="1"/>
        <v>0</v>
      </c>
      <c r="U9" s="329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4815</v>
      </c>
      <c r="E10" s="496">
        <v>5520</v>
      </c>
      <c r="F10" s="497">
        <v>5825</v>
      </c>
      <c r="G10" s="497">
        <v>6440</v>
      </c>
      <c r="H10" s="496">
        <v>6862</v>
      </c>
      <c r="I10" s="497">
        <v>7102</v>
      </c>
      <c r="J10" s="497">
        <v>7622</v>
      </c>
      <c r="K10" s="502">
        <v>8265</v>
      </c>
      <c r="L10" s="503">
        <v>9012</v>
      </c>
      <c r="M10" s="496">
        <v>9207</v>
      </c>
      <c r="N10" s="496">
        <v>10264</v>
      </c>
      <c r="O10" s="496">
        <v>14574</v>
      </c>
      <c r="P10" s="279">
        <v>15549</v>
      </c>
      <c r="Q10" s="502">
        <v>15799</v>
      </c>
      <c r="R10" s="573">
        <f t="shared" si="0"/>
        <v>8</v>
      </c>
      <c r="S10" s="256">
        <f t="shared" si="1"/>
        <v>11.9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520</v>
      </c>
      <c r="E11" s="496">
        <v>520</v>
      </c>
      <c r="F11" s="497">
        <v>520</v>
      </c>
      <c r="G11" s="497">
        <v>520</v>
      </c>
      <c r="H11" s="496">
        <v>580</v>
      </c>
      <c r="I11" s="497">
        <v>580</v>
      </c>
      <c r="J11" s="497">
        <v>580</v>
      </c>
      <c r="K11" s="502">
        <v>580</v>
      </c>
      <c r="L11" s="503">
        <v>580</v>
      </c>
      <c r="M11" s="496">
        <v>580</v>
      </c>
      <c r="N11" s="496">
        <v>580</v>
      </c>
      <c r="O11" s="496">
        <v>580</v>
      </c>
      <c r="P11" s="279">
        <v>580</v>
      </c>
      <c r="Q11" s="502">
        <v>580</v>
      </c>
      <c r="R11" s="573">
        <f t="shared" si="0"/>
        <v>1.6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340</v>
      </c>
      <c r="E12" s="496">
        <v>340</v>
      </c>
      <c r="F12" s="497">
        <v>340</v>
      </c>
      <c r="G12" s="497">
        <v>340</v>
      </c>
      <c r="H12" s="496">
        <v>340</v>
      </c>
      <c r="I12" s="497">
        <v>340</v>
      </c>
      <c r="J12" s="497">
        <v>340</v>
      </c>
      <c r="K12" s="502">
        <v>340</v>
      </c>
      <c r="L12" s="503">
        <v>340</v>
      </c>
      <c r="M12" s="496">
        <v>340</v>
      </c>
      <c r="N12" s="496">
        <v>340</v>
      </c>
      <c r="O12" s="496">
        <v>340</v>
      </c>
      <c r="P12" s="279">
        <v>340</v>
      </c>
      <c r="Q12" s="502">
        <v>340</v>
      </c>
      <c r="R12" s="573">
        <f t="shared" si="0"/>
        <v>0</v>
      </c>
      <c r="S12" s="256">
        <f t="shared" si="1"/>
        <v>0</v>
      </c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0</v>
      </c>
      <c r="E13" s="49">
        <v>0</v>
      </c>
      <c r="F13" s="45">
        <v>0</v>
      </c>
      <c r="G13" s="49">
        <v>0</v>
      </c>
      <c r="H13" s="49">
        <v>0</v>
      </c>
      <c r="I13" s="45">
        <v>0</v>
      </c>
      <c r="J13" s="49">
        <v>0</v>
      </c>
      <c r="K13" s="50">
        <v>0</v>
      </c>
      <c r="L13" s="140">
        <v>0</v>
      </c>
      <c r="M13" s="45">
        <v>0</v>
      </c>
      <c r="N13" s="45">
        <v>0</v>
      </c>
      <c r="O13" s="45">
        <v>0</v>
      </c>
      <c r="P13" s="45">
        <v>0</v>
      </c>
      <c r="Q13" s="50">
        <v>0</v>
      </c>
      <c r="R13" s="573" t="str">
        <f t="shared" si="0"/>
        <v xml:space="preserve">     -</v>
      </c>
      <c r="S13" s="256" t="str">
        <f t="shared" si="1"/>
        <v xml:space="preserve">     -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43"/>
      <c r="AC14" s="43"/>
      <c r="AD14" s="43"/>
      <c r="AE14" s="43"/>
      <c r="AF14" s="43"/>
      <c r="AG14" s="43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240</v>
      </c>
      <c r="E16" s="496">
        <v>240</v>
      </c>
      <c r="F16" s="497">
        <v>240</v>
      </c>
      <c r="G16" s="497">
        <v>240</v>
      </c>
      <c r="H16" s="496">
        <v>240</v>
      </c>
      <c r="I16" s="497">
        <v>240</v>
      </c>
      <c r="J16" s="497">
        <v>240</v>
      </c>
      <c r="K16" s="502">
        <v>240</v>
      </c>
      <c r="L16" s="503">
        <v>240</v>
      </c>
      <c r="M16" s="496">
        <v>240</v>
      </c>
      <c r="N16" s="496">
        <v>240</v>
      </c>
      <c r="O16" s="496">
        <v>240</v>
      </c>
      <c r="P16" s="279">
        <v>240</v>
      </c>
      <c r="Q16" s="502">
        <v>240</v>
      </c>
      <c r="R16" s="573">
        <f t="shared" si="0"/>
        <v>0</v>
      </c>
      <c r="S16" s="256">
        <f t="shared" si="1"/>
        <v>0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3278</v>
      </c>
      <c r="E18" s="40">
        <v>2907</v>
      </c>
      <c r="F18" s="40">
        <v>2667</v>
      </c>
      <c r="G18" s="40">
        <v>2667</v>
      </c>
      <c r="H18" s="40">
        <v>2667</v>
      </c>
      <c r="I18" s="505">
        <v>2255</v>
      </c>
      <c r="J18" s="506">
        <v>1949</v>
      </c>
      <c r="K18" s="507">
        <v>1949</v>
      </c>
      <c r="L18" s="508">
        <v>1949</v>
      </c>
      <c r="M18" s="505">
        <v>1949</v>
      </c>
      <c r="N18" s="505">
        <v>1949</v>
      </c>
      <c r="O18" s="505">
        <v>1949</v>
      </c>
      <c r="P18" s="505">
        <v>1949</v>
      </c>
      <c r="Q18" s="509">
        <v>1949</v>
      </c>
      <c r="R18" s="573">
        <f t="shared" si="0"/>
        <v>-7.2</v>
      </c>
      <c r="S18" s="256">
        <f t="shared" si="1"/>
        <v>0</v>
      </c>
      <c r="U18" s="318"/>
      <c r="V18" s="318"/>
      <c r="W18" s="318"/>
      <c r="X18" s="318"/>
      <c r="Y18" s="330"/>
      <c r="Z18" s="330"/>
      <c r="AA18" s="330"/>
      <c r="AB18" s="330"/>
      <c r="AC18" s="330"/>
      <c r="AD18" s="330"/>
      <c r="AE18" s="330"/>
      <c r="AF18" s="330"/>
      <c r="AG18" s="330"/>
    </row>
    <row r="19" spans="1:33" ht="15.75" customHeight="1">
      <c r="A19" s="16"/>
      <c r="B19" s="674" t="s">
        <v>307</v>
      </c>
      <c r="C19" s="675"/>
      <c r="D19" s="95">
        <f>SUM(D7:D18)</f>
        <v>15516</v>
      </c>
      <c r="E19" s="93">
        <f t="shared" ref="E19:Q19" si="2">SUM(E7:E18)</f>
        <v>15787</v>
      </c>
      <c r="F19" s="93">
        <f t="shared" si="2"/>
        <v>15838</v>
      </c>
      <c r="G19" s="93">
        <f t="shared" si="2"/>
        <v>16473</v>
      </c>
      <c r="H19" s="93">
        <f t="shared" si="2"/>
        <v>16955</v>
      </c>
      <c r="I19" s="93">
        <f t="shared" si="2"/>
        <v>16783</v>
      </c>
      <c r="J19" s="93">
        <f t="shared" si="2"/>
        <v>16997</v>
      </c>
      <c r="K19" s="96">
        <f t="shared" si="2"/>
        <v>17640</v>
      </c>
      <c r="L19" s="95">
        <f t="shared" si="2"/>
        <v>18387</v>
      </c>
      <c r="M19" s="93">
        <f t="shared" si="2"/>
        <v>18582</v>
      </c>
      <c r="N19" s="93">
        <f t="shared" si="2"/>
        <v>19639</v>
      </c>
      <c r="O19" s="93">
        <f t="shared" si="2"/>
        <v>23949</v>
      </c>
      <c r="P19" s="93">
        <f t="shared" si="2"/>
        <v>24924</v>
      </c>
      <c r="Q19" s="96">
        <f t="shared" si="2"/>
        <v>25174</v>
      </c>
      <c r="R19" s="574">
        <f t="shared" si="0"/>
        <v>1.8</v>
      </c>
      <c r="S19" s="510">
        <f t="shared" si="1"/>
        <v>6.5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100</v>
      </c>
      <c r="E20" s="512">
        <v>100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100</v>
      </c>
      <c r="E21" s="512">
        <v>100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5840</v>
      </c>
      <c r="E22" s="496">
        <v>5832</v>
      </c>
      <c r="F22" s="496">
        <v>5482</v>
      </c>
      <c r="G22" s="496">
        <v>5482</v>
      </c>
      <c r="H22" s="496">
        <v>5455</v>
      </c>
      <c r="I22" s="496">
        <v>5455</v>
      </c>
      <c r="J22" s="515">
        <v>5455</v>
      </c>
      <c r="K22" s="502">
        <v>5480</v>
      </c>
      <c r="L22" s="503">
        <v>5480</v>
      </c>
      <c r="M22" s="496">
        <v>5480</v>
      </c>
      <c r="N22" s="496">
        <v>5480</v>
      </c>
      <c r="O22" s="512">
        <v>5480</v>
      </c>
      <c r="P22" s="512">
        <v>5480</v>
      </c>
      <c r="Q22" s="514">
        <v>5480</v>
      </c>
      <c r="R22" s="575">
        <f t="shared" si="0"/>
        <v>-0.9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5550</v>
      </c>
      <c r="E23" s="512">
        <v>5542</v>
      </c>
      <c r="F23" s="512">
        <v>5192</v>
      </c>
      <c r="G23" s="512">
        <v>5192</v>
      </c>
      <c r="H23" s="512">
        <v>5165</v>
      </c>
      <c r="I23" s="512">
        <v>5165</v>
      </c>
      <c r="J23" s="513">
        <v>5165</v>
      </c>
      <c r="K23" s="514">
        <v>5190</v>
      </c>
      <c r="L23" s="511">
        <v>5190</v>
      </c>
      <c r="M23" s="512">
        <v>5190</v>
      </c>
      <c r="N23" s="512">
        <v>5190</v>
      </c>
      <c r="O23" s="512">
        <v>5190</v>
      </c>
      <c r="P23" s="512">
        <v>5190</v>
      </c>
      <c r="Q23" s="514">
        <v>5190</v>
      </c>
      <c r="R23" s="574">
        <f t="shared" si="0"/>
        <v>-1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3047</v>
      </c>
      <c r="E24" s="496">
        <v>3047</v>
      </c>
      <c r="F24" s="496">
        <v>3047</v>
      </c>
      <c r="G24" s="496">
        <v>3047</v>
      </c>
      <c r="H24" s="496">
        <v>3047</v>
      </c>
      <c r="I24" s="496">
        <v>3047</v>
      </c>
      <c r="J24" s="497">
        <v>3047</v>
      </c>
      <c r="K24" s="502">
        <v>3047</v>
      </c>
      <c r="L24" s="503">
        <v>3047</v>
      </c>
      <c r="M24" s="496">
        <v>3047</v>
      </c>
      <c r="N24" s="496">
        <v>3047</v>
      </c>
      <c r="O24" s="496">
        <v>3047</v>
      </c>
      <c r="P24" s="497">
        <v>3047</v>
      </c>
      <c r="Q24" s="502">
        <v>3047</v>
      </c>
      <c r="R24" s="574">
        <f t="shared" si="0"/>
        <v>0</v>
      </c>
      <c r="S24" s="510">
        <f t="shared" si="1"/>
        <v>0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1877</v>
      </c>
      <c r="F25" s="518">
        <v>1877</v>
      </c>
      <c r="G25" s="518">
        <v>1877</v>
      </c>
      <c r="H25" s="518">
        <v>1877</v>
      </c>
      <c r="I25" s="518">
        <v>1877</v>
      </c>
      <c r="J25" s="519">
        <v>1877</v>
      </c>
      <c r="K25" s="514">
        <v>1877</v>
      </c>
      <c r="L25" s="511">
        <v>1877</v>
      </c>
      <c r="M25" s="518">
        <v>1877</v>
      </c>
      <c r="N25" s="518">
        <v>1877</v>
      </c>
      <c r="O25" s="518">
        <v>1877</v>
      </c>
      <c r="P25" s="519">
        <v>1887</v>
      </c>
      <c r="Q25" s="514">
        <v>1887</v>
      </c>
      <c r="R25" s="573" t="str">
        <f t="shared" si="0"/>
        <v xml:space="preserve">     -</v>
      </c>
      <c r="S25" s="256">
        <f t="shared" si="1"/>
        <v>0.1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0</v>
      </c>
      <c r="E26" s="518">
        <v>0</v>
      </c>
      <c r="F26" s="518">
        <v>0</v>
      </c>
      <c r="G26" s="518">
        <v>0</v>
      </c>
      <c r="H26" s="518">
        <v>0</v>
      </c>
      <c r="I26" s="518">
        <v>0</v>
      </c>
      <c r="J26" s="519">
        <v>0</v>
      </c>
      <c r="K26" s="514">
        <v>0</v>
      </c>
      <c r="L26" s="511">
        <v>0</v>
      </c>
      <c r="M26" s="518">
        <v>0</v>
      </c>
      <c r="N26" s="518">
        <v>0</v>
      </c>
      <c r="O26" s="518">
        <v>0</v>
      </c>
      <c r="P26" s="519">
        <v>0</v>
      </c>
      <c r="Q26" s="514">
        <v>0</v>
      </c>
      <c r="R26" s="574" t="str">
        <f t="shared" si="0"/>
        <v xml:space="preserve">     -</v>
      </c>
      <c r="S26" s="510" t="str">
        <f t="shared" si="1"/>
        <v xml:space="preserve">     -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759</v>
      </c>
      <c r="E27" s="521">
        <v>759</v>
      </c>
      <c r="F27" s="521">
        <v>759</v>
      </c>
      <c r="G27" s="521">
        <v>730</v>
      </c>
      <c r="H27" s="521">
        <v>730</v>
      </c>
      <c r="I27" s="521">
        <v>730</v>
      </c>
      <c r="J27" s="522">
        <v>765</v>
      </c>
      <c r="K27" s="523">
        <v>765</v>
      </c>
      <c r="L27" s="520">
        <v>765</v>
      </c>
      <c r="M27" s="521">
        <v>765</v>
      </c>
      <c r="N27" s="521">
        <v>765</v>
      </c>
      <c r="O27" s="521">
        <v>765</v>
      </c>
      <c r="P27" s="522">
        <v>765</v>
      </c>
      <c r="Q27" s="523">
        <v>765</v>
      </c>
      <c r="R27" s="574">
        <f t="shared" si="0"/>
        <v>0.1</v>
      </c>
      <c r="S27" s="510">
        <f t="shared" si="1"/>
        <v>0</v>
      </c>
      <c r="U27" s="43"/>
      <c r="V27" s="43"/>
      <c r="W27" s="43"/>
      <c r="X27" s="43"/>
      <c r="Y27" s="43"/>
      <c r="Z27" s="331"/>
      <c r="AA27" s="331"/>
      <c r="AB27" s="331"/>
      <c r="AC27" s="331"/>
      <c r="AD27" s="331"/>
      <c r="AE27" s="331"/>
      <c r="AF27" s="331"/>
      <c r="AG27" s="331"/>
    </row>
    <row r="28" spans="1:33" ht="15" customHeight="1">
      <c r="A28" s="16"/>
      <c r="B28" s="672" t="s">
        <v>316</v>
      </c>
      <c r="C28" s="673"/>
      <c r="D28" s="524">
        <v>4991</v>
      </c>
      <c r="E28" s="525">
        <v>4991</v>
      </c>
      <c r="F28" s="525">
        <v>4991</v>
      </c>
      <c r="G28" s="526">
        <v>4991</v>
      </c>
      <c r="H28" s="526">
        <v>4991</v>
      </c>
      <c r="I28" s="496">
        <v>4991</v>
      </c>
      <c r="J28" s="497">
        <v>4991</v>
      </c>
      <c r="K28" s="498">
        <v>4991</v>
      </c>
      <c r="L28" s="527">
        <v>4991</v>
      </c>
      <c r="M28" s="528">
        <v>4991</v>
      </c>
      <c r="N28" s="528">
        <v>4991</v>
      </c>
      <c r="O28" s="528">
        <v>4991</v>
      </c>
      <c r="P28" s="528">
        <v>4991</v>
      </c>
      <c r="Q28" s="498">
        <v>4991</v>
      </c>
      <c r="R28" s="573">
        <f t="shared" si="0"/>
        <v>0</v>
      </c>
      <c r="S28" s="256">
        <f t="shared" si="1"/>
        <v>0</v>
      </c>
      <c r="U28" s="326"/>
      <c r="V28" s="326"/>
      <c r="W28" s="326"/>
      <c r="X28" s="333"/>
      <c r="Y28" s="333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881</v>
      </c>
      <c r="E29" s="525">
        <v>881</v>
      </c>
      <c r="F29" s="530">
        <v>881</v>
      </c>
      <c r="G29" s="531">
        <v>881</v>
      </c>
      <c r="H29" s="526">
        <v>881</v>
      </c>
      <c r="I29" s="497">
        <v>881</v>
      </c>
      <c r="J29" s="497">
        <v>881</v>
      </c>
      <c r="K29" s="498">
        <v>881</v>
      </c>
      <c r="L29" s="499">
        <v>881</v>
      </c>
      <c r="M29" s="532">
        <v>881</v>
      </c>
      <c r="N29" s="532">
        <v>881</v>
      </c>
      <c r="O29" s="532">
        <v>881</v>
      </c>
      <c r="P29" s="532">
        <v>881</v>
      </c>
      <c r="Q29" s="498">
        <v>881</v>
      </c>
      <c r="R29" s="573">
        <f t="shared" si="0"/>
        <v>0</v>
      </c>
      <c r="S29" s="256">
        <f t="shared" si="1"/>
        <v>0</v>
      </c>
      <c r="U29" s="334"/>
      <c r="V29" s="326"/>
      <c r="W29" s="326"/>
      <c r="X29" s="333"/>
      <c r="Y29" s="333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5872</v>
      </c>
      <c r="E30" s="92">
        <f t="shared" ref="E30:Q30" si="3">SUM(E28:E29)</f>
        <v>5872</v>
      </c>
      <c r="F30" s="92">
        <f t="shared" si="3"/>
        <v>5872</v>
      </c>
      <c r="G30" s="93">
        <f t="shared" si="3"/>
        <v>5872</v>
      </c>
      <c r="H30" s="93">
        <f t="shared" si="3"/>
        <v>5872</v>
      </c>
      <c r="I30" s="94">
        <f t="shared" si="3"/>
        <v>5872</v>
      </c>
      <c r="J30" s="94">
        <f t="shared" si="3"/>
        <v>5872</v>
      </c>
      <c r="K30" s="96">
        <f t="shared" si="3"/>
        <v>5872</v>
      </c>
      <c r="L30" s="95">
        <f t="shared" si="3"/>
        <v>5872</v>
      </c>
      <c r="M30" s="93">
        <f t="shared" si="3"/>
        <v>5872</v>
      </c>
      <c r="N30" s="93">
        <f t="shared" si="3"/>
        <v>5872</v>
      </c>
      <c r="O30" s="93">
        <f t="shared" si="3"/>
        <v>5872</v>
      </c>
      <c r="P30" s="93">
        <f t="shared" si="3"/>
        <v>5872</v>
      </c>
      <c r="Q30" s="96">
        <f t="shared" si="3"/>
        <v>5872</v>
      </c>
      <c r="R30" s="574">
        <f t="shared" si="0"/>
        <v>0</v>
      </c>
      <c r="S30" s="510">
        <f t="shared" si="1"/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150</v>
      </c>
      <c r="E31" s="525">
        <v>150</v>
      </c>
      <c r="F31" s="530">
        <v>150</v>
      </c>
      <c r="G31" s="531">
        <v>150</v>
      </c>
      <c r="H31" s="526">
        <v>150</v>
      </c>
      <c r="I31" s="497">
        <v>150</v>
      </c>
      <c r="J31" s="497">
        <v>150</v>
      </c>
      <c r="K31" s="498">
        <v>0</v>
      </c>
      <c r="L31" s="533">
        <v>0</v>
      </c>
      <c r="M31" s="534">
        <v>0</v>
      </c>
      <c r="N31" s="534">
        <v>0</v>
      </c>
      <c r="O31" s="534">
        <v>0</v>
      </c>
      <c r="P31" s="534">
        <v>0</v>
      </c>
      <c r="Q31" s="535">
        <v>0</v>
      </c>
      <c r="R31" s="573" t="str">
        <f t="shared" si="0"/>
        <v xml:space="preserve">     -</v>
      </c>
      <c r="S31" s="256" t="str">
        <f t="shared" si="1"/>
        <v xml:space="preserve">     -</v>
      </c>
      <c r="U31" s="326"/>
      <c r="V31" s="326"/>
      <c r="W31" s="326"/>
      <c r="X31" s="333"/>
      <c r="Y31" s="333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493</v>
      </c>
      <c r="E32" s="525">
        <v>493</v>
      </c>
      <c r="F32" s="530">
        <v>493</v>
      </c>
      <c r="G32" s="531">
        <v>493</v>
      </c>
      <c r="H32" s="526">
        <v>493</v>
      </c>
      <c r="I32" s="497">
        <v>536</v>
      </c>
      <c r="J32" s="497">
        <v>536</v>
      </c>
      <c r="K32" s="502">
        <v>536</v>
      </c>
      <c r="L32" s="503">
        <v>536</v>
      </c>
      <c r="M32" s="496">
        <v>656</v>
      </c>
      <c r="N32" s="496">
        <v>696</v>
      </c>
      <c r="O32" s="496">
        <v>696</v>
      </c>
      <c r="P32" s="497">
        <v>696</v>
      </c>
      <c r="Q32" s="502">
        <v>696</v>
      </c>
      <c r="R32" s="573">
        <f t="shared" si="0"/>
        <v>1.2</v>
      </c>
      <c r="S32" s="256">
        <f t="shared" si="1"/>
        <v>5.4</v>
      </c>
      <c r="U32" s="326"/>
      <c r="V32" s="326"/>
      <c r="W32" s="326"/>
      <c r="X32" s="333"/>
      <c r="Y32" s="333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160</v>
      </c>
      <c r="E33" s="525">
        <v>160</v>
      </c>
      <c r="F33" s="530">
        <v>160</v>
      </c>
      <c r="G33" s="531">
        <v>160</v>
      </c>
      <c r="H33" s="526">
        <v>160</v>
      </c>
      <c r="I33" s="497">
        <v>160</v>
      </c>
      <c r="J33" s="497">
        <v>160</v>
      </c>
      <c r="K33" s="536">
        <v>160</v>
      </c>
      <c r="L33" s="537">
        <v>160</v>
      </c>
      <c r="M33" s="538">
        <v>160</v>
      </c>
      <c r="N33" s="538">
        <v>160</v>
      </c>
      <c r="O33" s="538">
        <v>160</v>
      </c>
      <c r="P33" s="515">
        <v>160</v>
      </c>
      <c r="Q33" s="502">
        <v>160</v>
      </c>
      <c r="R33" s="573">
        <f t="shared" si="0"/>
        <v>0</v>
      </c>
      <c r="S33" s="256">
        <f t="shared" si="1"/>
        <v>0</v>
      </c>
      <c r="U33" s="43"/>
      <c r="V33" s="43"/>
      <c r="W33" s="43"/>
      <c r="X33" s="335"/>
      <c r="Y33" s="335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803</v>
      </c>
      <c r="E34" s="539">
        <f t="shared" ref="E34:Q34" si="4">SUM(E31:E33)</f>
        <v>803</v>
      </c>
      <c r="F34" s="539">
        <f t="shared" si="4"/>
        <v>803</v>
      </c>
      <c r="G34" s="100">
        <f t="shared" si="4"/>
        <v>803</v>
      </c>
      <c r="H34" s="100">
        <f t="shared" si="4"/>
        <v>803</v>
      </c>
      <c r="I34" s="100">
        <f t="shared" si="4"/>
        <v>846</v>
      </c>
      <c r="J34" s="101">
        <f t="shared" si="4"/>
        <v>846</v>
      </c>
      <c r="K34" s="104">
        <f t="shared" si="4"/>
        <v>696</v>
      </c>
      <c r="L34" s="540">
        <f t="shared" si="4"/>
        <v>696</v>
      </c>
      <c r="M34" s="100">
        <f t="shared" si="4"/>
        <v>816</v>
      </c>
      <c r="N34" s="100">
        <f t="shared" si="4"/>
        <v>856</v>
      </c>
      <c r="O34" s="100">
        <f t="shared" si="4"/>
        <v>856</v>
      </c>
      <c r="P34" s="100">
        <f t="shared" si="4"/>
        <v>856</v>
      </c>
      <c r="Q34" s="103">
        <f t="shared" si="4"/>
        <v>856</v>
      </c>
      <c r="R34" s="576">
        <f t="shared" si="0"/>
        <v>-2</v>
      </c>
      <c r="S34" s="541">
        <f t="shared" si="1"/>
        <v>4.2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31937</v>
      </c>
      <c r="E35" s="543">
        <f t="shared" ref="E35:Q35" si="5">E19+E20+E22+E24+E26+E27+E30+E34</f>
        <v>32200</v>
      </c>
      <c r="F35" s="543">
        <f t="shared" si="5"/>
        <v>31801</v>
      </c>
      <c r="G35" s="544">
        <f t="shared" si="5"/>
        <v>32407</v>
      </c>
      <c r="H35" s="544">
        <f t="shared" si="5"/>
        <v>32862</v>
      </c>
      <c r="I35" s="544">
        <f t="shared" si="5"/>
        <v>32733</v>
      </c>
      <c r="J35" s="545">
        <f t="shared" si="5"/>
        <v>32982</v>
      </c>
      <c r="K35" s="546">
        <f t="shared" si="5"/>
        <v>33500</v>
      </c>
      <c r="L35" s="547">
        <f t="shared" si="5"/>
        <v>34247</v>
      </c>
      <c r="M35" s="544">
        <f t="shared" si="5"/>
        <v>34562</v>
      </c>
      <c r="N35" s="544">
        <f t="shared" si="5"/>
        <v>35659</v>
      </c>
      <c r="O35" s="544">
        <f t="shared" si="5"/>
        <v>39969</v>
      </c>
      <c r="P35" s="544">
        <f t="shared" si="5"/>
        <v>40944</v>
      </c>
      <c r="Q35" s="577">
        <f t="shared" si="5"/>
        <v>41194</v>
      </c>
      <c r="R35" s="578">
        <f t="shared" si="0"/>
        <v>0.7</v>
      </c>
      <c r="S35" s="549">
        <f t="shared" si="1"/>
        <v>3.8</v>
      </c>
    </row>
    <row r="36" spans="1:33" ht="15" customHeight="1">
      <c r="A36" s="613" t="s">
        <v>324</v>
      </c>
      <c r="B36" s="666" t="s">
        <v>433</v>
      </c>
      <c r="C36" s="667"/>
      <c r="D36" s="487">
        <v>2810</v>
      </c>
      <c r="E36" s="488">
        <v>2684</v>
      </c>
      <c r="F36" s="489">
        <v>2758</v>
      </c>
      <c r="G36" s="489">
        <v>2724</v>
      </c>
      <c r="H36" s="488">
        <v>3021</v>
      </c>
      <c r="I36" s="489">
        <v>2808</v>
      </c>
      <c r="J36" s="550">
        <v>3040</v>
      </c>
      <c r="K36" s="490">
        <v>3008</v>
      </c>
      <c r="L36" s="491">
        <v>3000</v>
      </c>
      <c r="M36" s="492">
        <v>3000</v>
      </c>
      <c r="N36" s="492">
        <v>3050</v>
      </c>
      <c r="O36" s="492">
        <v>3050</v>
      </c>
      <c r="P36" s="493">
        <v>3070</v>
      </c>
      <c r="Q36" s="498">
        <v>3070</v>
      </c>
      <c r="R36" s="573">
        <f t="shared" si="0"/>
        <v>1</v>
      </c>
      <c r="S36" s="256">
        <f t="shared" si="1"/>
        <v>0.5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1921</v>
      </c>
      <c r="E37" s="496">
        <v>1693</v>
      </c>
      <c r="F37" s="497">
        <v>1790</v>
      </c>
      <c r="G37" s="497">
        <v>2044</v>
      </c>
      <c r="H37" s="496">
        <v>1974</v>
      </c>
      <c r="I37" s="497">
        <v>2020</v>
      </c>
      <c r="J37" s="551">
        <v>2119</v>
      </c>
      <c r="K37" s="498">
        <v>1823</v>
      </c>
      <c r="L37" s="499">
        <v>2000</v>
      </c>
      <c r="M37" s="500">
        <v>2000</v>
      </c>
      <c r="N37" s="500">
        <v>2000</v>
      </c>
      <c r="O37" s="500">
        <v>2000</v>
      </c>
      <c r="P37" s="501">
        <v>2000</v>
      </c>
      <c r="Q37" s="498">
        <v>2000</v>
      </c>
      <c r="R37" s="573">
        <f t="shared" si="0"/>
        <v>-0.7</v>
      </c>
      <c r="S37" s="256">
        <f t="shared" si="1"/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884</v>
      </c>
      <c r="E38" s="496">
        <v>829</v>
      </c>
      <c r="F38" s="497">
        <v>930</v>
      </c>
      <c r="G38" s="497">
        <v>930.4</v>
      </c>
      <c r="H38" s="496">
        <v>804.32299999999998</v>
      </c>
      <c r="I38" s="497">
        <v>930.37</v>
      </c>
      <c r="J38" s="497">
        <v>745</v>
      </c>
      <c r="K38" s="502">
        <v>930</v>
      </c>
      <c r="L38" s="503">
        <v>884</v>
      </c>
      <c r="M38" s="496">
        <v>832</v>
      </c>
      <c r="N38" s="496">
        <v>884</v>
      </c>
      <c r="O38" s="496">
        <v>850</v>
      </c>
      <c r="P38" s="279">
        <v>884</v>
      </c>
      <c r="Q38" s="502">
        <v>884</v>
      </c>
      <c r="R38" s="573">
        <f t="shared" si="0"/>
        <v>0.7</v>
      </c>
      <c r="S38" s="256">
        <f t="shared" si="1"/>
        <v>0</v>
      </c>
      <c r="U38" s="329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4171</v>
      </c>
      <c r="E39" s="496">
        <v>4423</v>
      </c>
      <c r="F39" s="497">
        <v>4547</v>
      </c>
      <c r="G39" s="497">
        <v>5058</v>
      </c>
      <c r="H39" s="496">
        <v>5179</v>
      </c>
      <c r="I39" s="497">
        <v>5598</v>
      </c>
      <c r="J39" s="497">
        <v>5932</v>
      </c>
      <c r="K39" s="502">
        <v>6654</v>
      </c>
      <c r="L39" s="503">
        <v>7460</v>
      </c>
      <c r="M39" s="496">
        <v>8018</v>
      </c>
      <c r="N39" s="496">
        <v>8738</v>
      </c>
      <c r="O39" s="496">
        <v>9444</v>
      </c>
      <c r="P39" s="279">
        <v>10092</v>
      </c>
      <c r="Q39" s="502">
        <v>10550</v>
      </c>
      <c r="R39" s="573">
        <f t="shared" si="0"/>
        <v>6.9</v>
      </c>
      <c r="S39" s="256">
        <f t="shared" si="1"/>
        <v>7.2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486</v>
      </c>
      <c r="E40" s="496">
        <v>459</v>
      </c>
      <c r="F40" s="497">
        <v>459</v>
      </c>
      <c r="G40" s="497">
        <v>462.61599999999999</v>
      </c>
      <c r="H40" s="496">
        <v>473.29400000000004</v>
      </c>
      <c r="I40" s="497">
        <v>471.63499999999999</v>
      </c>
      <c r="J40" s="497">
        <v>443.41300000000001</v>
      </c>
      <c r="K40" s="502">
        <v>482.83899999999994</v>
      </c>
      <c r="L40" s="503">
        <v>482.83899999999994</v>
      </c>
      <c r="M40" s="496">
        <v>482.83899999999994</v>
      </c>
      <c r="N40" s="496">
        <v>482.83899999999994</v>
      </c>
      <c r="O40" s="496">
        <v>482.83899999999994</v>
      </c>
      <c r="P40" s="279">
        <v>482.83899999999994</v>
      </c>
      <c r="Q40" s="502">
        <v>482.83899999999994</v>
      </c>
      <c r="R40" s="573">
        <f t="shared" si="0"/>
        <v>-0.1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280</v>
      </c>
      <c r="E41" s="496">
        <v>280</v>
      </c>
      <c r="F41" s="497">
        <v>280</v>
      </c>
      <c r="G41" s="497">
        <v>280</v>
      </c>
      <c r="H41" s="496">
        <v>280</v>
      </c>
      <c r="I41" s="497">
        <v>280</v>
      </c>
      <c r="J41" s="497">
        <v>280</v>
      </c>
      <c r="K41" s="502">
        <v>340</v>
      </c>
      <c r="L41" s="503">
        <v>280</v>
      </c>
      <c r="M41" s="496">
        <v>280</v>
      </c>
      <c r="N41" s="496">
        <v>300</v>
      </c>
      <c r="O41" s="496">
        <v>300</v>
      </c>
      <c r="P41" s="279">
        <v>300</v>
      </c>
      <c r="Q41" s="502">
        <v>300</v>
      </c>
      <c r="R41" s="573">
        <f t="shared" si="0"/>
        <v>2.8</v>
      </c>
      <c r="S41" s="256">
        <f t="shared" si="1"/>
        <v>1.4</v>
      </c>
      <c r="T41" t="s">
        <v>56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0</v>
      </c>
      <c r="E42" s="49">
        <v>0</v>
      </c>
      <c r="F42" s="45">
        <v>0</v>
      </c>
      <c r="G42" s="49">
        <v>0</v>
      </c>
      <c r="H42" s="49">
        <v>0</v>
      </c>
      <c r="I42" s="45">
        <v>0</v>
      </c>
      <c r="J42" s="49">
        <v>0</v>
      </c>
      <c r="K42" s="50">
        <v>0</v>
      </c>
      <c r="L42" s="504">
        <v>0</v>
      </c>
      <c r="M42" s="45">
        <v>0</v>
      </c>
      <c r="N42" s="45">
        <v>0</v>
      </c>
      <c r="O42" s="45">
        <v>0</v>
      </c>
      <c r="P42" s="49">
        <v>0</v>
      </c>
      <c r="Q42" s="50">
        <v>0</v>
      </c>
      <c r="R42" s="573" t="str">
        <f t="shared" si="0"/>
        <v xml:space="preserve">     -</v>
      </c>
      <c r="S42" s="256" t="str">
        <f t="shared" si="1"/>
        <v xml:space="preserve">     -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240</v>
      </c>
      <c r="E45" s="496">
        <v>240</v>
      </c>
      <c r="F45" s="497">
        <v>240</v>
      </c>
      <c r="G45" s="497">
        <v>233.46099999999998</v>
      </c>
      <c r="H45" s="496">
        <v>231.797</v>
      </c>
      <c r="I45" s="497">
        <v>232.68166088999999</v>
      </c>
      <c r="J45" s="497">
        <v>215.15800000000002</v>
      </c>
      <c r="K45" s="502">
        <v>223.58500000000001</v>
      </c>
      <c r="L45" s="503">
        <v>223.58500000000001</v>
      </c>
      <c r="M45" s="496">
        <v>223.58500000000001</v>
      </c>
      <c r="N45" s="496">
        <v>223.58500000000001</v>
      </c>
      <c r="O45" s="496">
        <v>223.58500000000001</v>
      </c>
      <c r="P45" s="279">
        <v>223.58500000000001</v>
      </c>
      <c r="Q45" s="502">
        <v>223.58500000000001</v>
      </c>
      <c r="R45" s="573">
        <f t="shared" si="0"/>
        <v>-1</v>
      </c>
      <c r="S45" s="256">
        <f t="shared" si="1"/>
        <v>0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2938.6</v>
      </c>
      <c r="E47" s="496">
        <v>2739</v>
      </c>
      <c r="F47" s="497">
        <v>2392</v>
      </c>
      <c r="G47" s="497">
        <v>2592</v>
      </c>
      <c r="H47" s="496">
        <v>2458.4</v>
      </c>
      <c r="I47" s="497">
        <v>2414.8000000000002</v>
      </c>
      <c r="J47" s="497">
        <v>1947.8</v>
      </c>
      <c r="K47" s="502">
        <v>2084.6</v>
      </c>
      <c r="L47" s="503">
        <v>2007.5</v>
      </c>
      <c r="M47" s="496">
        <v>1870</v>
      </c>
      <c r="N47" s="496">
        <v>1890</v>
      </c>
      <c r="O47" s="496">
        <v>1915</v>
      </c>
      <c r="P47" s="497">
        <v>1830</v>
      </c>
      <c r="Q47" s="502">
        <v>1915</v>
      </c>
      <c r="R47" s="573">
        <f t="shared" si="0"/>
        <v>-4.8</v>
      </c>
      <c r="S47" s="256">
        <f t="shared" si="1"/>
        <v>-0.9</v>
      </c>
      <c r="U47" s="318"/>
      <c r="V47" s="318"/>
      <c r="W47" s="318"/>
      <c r="X47" s="318"/>
      <c r="Y47" s="330"/>
      <c r="Z47" s="330"/>
      <c r="AA47" s="330"/>
      <c r="AB47" s="330"/>
      <c r="AC47" s="330"/>
      <c r="AD47" s="330"/>
      <c r="AE47" s="330"/>
      <c r="AF47" s="330"/>
      <c r="AG47" s="330"/>
    </row>
    <row r="48" spans="1:33" ht="15.75" customHeight="1">
      <c r="A48" s="16"/>
      <c r="B48" s="674" t="s">
        <v>307</v>
      </c>
      <c r="C48" s="675"/>
      <c r="D48" s="95">
        <f>SUM(D36:D47)</f>
        <v>13730.6</v>
      </c>
      <c r="E48" s="93">
        <f t="shared" ref="E48:Q48" si="6">SUM(E36:E47)</f>
        <v>13347</v>
      </c>
      <c r="F48" s="93">
        <f t="shared" si="6"/>
        <v>13396</v>
      </c>
      <c r="G48" s="93">
        <f t="shared" si="6"/>
        <v>14324.476999999999</v>
      </c>
      <c r="H48" s="93">
        <f t="shared" si="6"/>
        <v>14421.814</v>
      </c>
      <c r="I48" s="93">
        <f t="shared" si="6"/>
        <v>14755.486660890001</v>
      </c>
      <c r="J48" s="93">
        <f t="shared" si="6"/>
        <v>14722.370999999999</v>
      </c>
      <c r="K48" s="96">
        <f t="shared" si="6"/>
        <v>15546.023999999999</v>
      </c>
      <c r="L48" s="95">
        <f t="shared" si="6"/>
        <v>16337.923999999999</v>
      </c>
      <c r="M48" s="93">
        <f t="shared" si="6"/>
        <v>16706.423999999999</v>
      </c>
      <c r="N48" s="93">
        <f t="shared" si="6"/>
        <v>17568.423999999999</v>
      </c>
      <c r="O48" s="93">
        <f t="shared" si="6"/>
        <v>18265.423999999999</v>
      </c>
      <c r="P48" s="93">
        <f t="shared" si="6"/>
        <v>18882.423999999999</v>
      </c>
      <c r="Q48" s="96">
        <f t="shared" si="6"/>
        <v>19425.423999999999</v>
      </c>
      <c r="R48" s="574">
        <f t="shared" si="0"/>
        <v>1.8</v>
      </c>
      <c r="S48" s="510">
        <f t="shared" si="1"/>
        <v>3.5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5241</v>
      </c>
      <c r="E51" s="512">
        <v>5038</v>
      </c>
      <c r="F51" s="512">
        <v>4774</v>
      </c>
      <c r="G51" s="512">
        <v>4703</v>
      </c>
      <c r="H51" s="512">
        <v>4438</v>
      </c>
      <c r="I51" s="512">
        <v>4373</v>
      </c>
      <c r="J51" s="513">
        <v>4593</v>
      </c>
      <c r="K51" s="514">
        <v>4673</v>
      </c>
      <c r="L51" s="511">
        <v>4490</v>
      </c>
      <c r="M51" s="512">
        <v>4396</v>
      </c>
      <c r="N51" s="512">
        <v>4343</v>
      </c>
      <c r="O51" s="512">
        <v>4329</v>
      </c>
      <c r="P51" s="513">
        <v>4310</v>
      </c>
      <c r="Q51" s="514">
        <v>4273</v>
      </c>
      <c r="R51" s="574">
        <f t="shared" si="0"/>
        <v>-1.6</v>
      </c>
      <c r="S51" s="510">
        <f t="shared" si="1"/>
        <v>-1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4977</v>
      </c>
      <c r="E52" s="512">
        <v>4794</v>
      </c>
      <c r="F52" s="512">
        <v>4570</v>
      </c>
      <c r="G52" s="512">
        <v>4462</v>
      </c>
      <c r="H52" s="512">
        <v>4188</v>
      </c>
      <c r="I52" s="512">
        <v>4164</v>
      </c>
      <c r="J52" s="513">
        <v>4406</v>
      </c>
      <c r="K52" s="514">
        <v>4448</v>
      </c>
      <c r="L52" s="511">
        <v>4258</v>
      </c>
      <c r="M52" s="512">
        <v>4162</v>
      </c>
      <c r="N52" s="512">
        <v>4112</v>
      </c>
      <c r="O52" s="512">
        <v>4094</v>
      </c>
      <c r="P52" s="513">
        <v>4076</v>
      </c>
      <c r="Q52" s="514">
        <v>4036</v>
      </c>
      <c r="R52" s="574">
        <f t="shared" si="0"/>
        <v>-1.6</v>
      </c>
      <c r="S52" s="510">
        <f t="shared" si="1"/>
        <v>-1.1000000000000001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2216</v>
      </c>
      <c r="E53" s="496">
        <v>2250</v>
      </c>
      <c r="F53" s="496">
        <v>2326.26262626263</v>
      </c>
      <c r="G53" s="496">
        <v>2351.78451178451</v>
      </c>
      <c r="H53" s="496">
        <v>2410.4377104377099</v>
      </c>
      <c r="I53" s="496">
        <v>2401</v>
      </c>
      <c r="J53" s="497">
        <v>2410</v>
      </c>
      <c r="K53" s="502">
        <v>2415</v>
      </c>
      <c r="L53" s="503">
        <v>2433</v>
      </c>
      <c r="M53" s="496">
        <v>2472</v>
      </c>
      <c r="N53" s="496">
        <v>2505</v>
      </c>
      <c r="O53" s="496">
        <v>2560</v>
      </c>
      <c r="P53" s="497">
        <v>2624</v>
      </c>
      <c r="Q53" s="502">
        <v>2705</v>
      </c>
      <c r="R53" s="573">
        <f t="shared" si="0"/>
        <v>1.2</v>
      </c>
      <c r="S53" s="256">
        <f t="shared" si="1"/>
        <v>2.1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1381</v>
      </c>
      <c r="E54" s="518">
        <v>1381</v>
      </c>
      <c r="F54" s="518">
        <v>1387.87878787879</v>
      </c>
      <c r="G54" s="518">
        <v>1380</v>
      </c>
      <c r="H54" s="518">
        <v>1364.3097643097601</v>
      </c>
      <c r="I54" s="518">
        <v>1476.9230769230769</v>
      </c>
      <c r="J54" s="519">
        <v>1430.7692307692307</v>
      </c>
      <c r="K54" s="514">
        <v>1474.3589743589744</v>
      </c>
      <c r="L54" s="511">
        <v>1482.051282051282</v>
      </c>
      <c r="M54" s="518">
        <v>1482.051282051282</v>
      </c>
      <c r="N54" s="518">
        <v>1497.4358974358975</v>
      </c>
      <c r="O54" s="518">
        <v>1505.1282051282051</v>
      </c>
      <c r="P54" s="519">
        <v>1520</v>
      </c>
      <c r="Q54" s="514">
        <v>1545</v>
      </c>
      <c r="R54" s="574">
        <f t="shared" si="0"/>
        <v>0.9</v>
      </c>
      <c r="S54" s="510">
        <f t="shared" si="1"/>
        <v>0.8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0</v>
      </c>
      <c r="E55" s="518">
        <v>0</v>
      </c>
      <c r="F55" s="518">
        <v>0</v>
      </c>
      <c r="G55" s="518">
        <v>0</v>
      </c>
      <c r="H55" s="518">
        <v>0</v>
      </c>
      <c r="I55" s="518">
        <v>0</v>
      </c>
      <c r="J55" s="519">
        <v>0</v>
      </c>
      <c r="K55" s="514">
        <v>0</v>
      </c>
      <c r="L55" s="511">
        <v>0</v>
      </c>
      <c r="M55" s="518">
        <v>0</v>
      </c>
      <c r="N55" s="518">
        <v>0</v>
      </c>
      <c r="O55" s="518">
        <v>0</v>
      </c>
      <c r="P55" s="519">
        <v>0</v>
      </c>
      <c r="Q55" s="514">
        <v>0</v>
      </c>
      <c r="R55" s="574" t="str">
        <f t="shared" si="0"/>
        <v xml:space="preserve">     -</v>
      </c>
      <c r="S55" s="510" t="str">
        <f t="shared" si="1"/>
        <v xml:space="preserve">     -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464</v>
      </c>
      <c r="E56" s="521">
        <v>486</v>
      </c>
      <c r="F56" s="521">
        <v>532.9</v>
      </c>
      <c r="G56" s="521">
        <v>609.5</v>
      </c>
      <c r="H56" s="521">
        <v>647</v>
      </c>
      <c r="I56" s="521">
        <v>671</v>
      </c>
      <c r="J56" s="522">
        <v>682.83</v>
      </c>
      <c r="K56" s="523">
        <v>691</v>
      </c>
      <c r="L56" s="520">
        <v>702.05600000000004</v>
      </c>
      <c r="M56" s="521">
        <v>711.182728</v>
      </c>
      <c r="N56" s="521">
        <v>721.85046891999991</v>
      </c>
      <c r="O56" s="521">
        <v>732.67822595379982</v>
      </c>
      <c r="P56" s="522">
        <v>743.66839934310678</v>
      </c>
      <c r="Q56" s="523">
        <v>754.82342533325334</v>
      </c>
      <c r="R56" s="574">
        <f t="shared" si="0"/>
        <v>5.9</v>
      </c>
      <c r="S56" s="510">
        <f t="shared" si="1"/>
        <v>1.5</v>
      </c>
      <c r="U56" s="43"/>
      <c r="V56" s="43"/>
      <c r="W56" s="43"/>
      <c r="X56" s="43"/>
      <c r="Y56" s="43"/>
      <c r="Z56" s="331"/>
      <c r="AA56" s="331"/>
      <c r="AB56" s="331"/>
      <c r="AC56" s="331"/>
      <c r="AD56" s="331"/>
      <c r="AE56" s="331"/>
      <c r="AF56" s="331"/>
      <c r="AG56" s="331"/>
    </row>
    <row r="57" spans="1:33" ht="15" customHeight="1">
      <c r="A57" s="16"/>
      <c r="B57" s="672" t="s">
        <v>316</v>
      </c>
      <c r="C57" s="673"/>
      <c r="D57" s="553">
        <v>4492</v>
      </c>
      <c r="E57" s="526">
        <v>4492</v>
      </c>
      <c r="F57" s="530">
        <v>4492</v>
      </c>
      <c r="G57" s="497">
        <v>4492</v>
      </c>
      <c r="H57" s="496">
        <v>4492</v>
      </c>
      <c r="I57" s="497">
        <v>4492</v>
      </c>
      <c r="J57" s="551">
        <v>4492</v>
      </c>
      <c r="K57" s="554">
        <v>4492</v>
      </c>
      <c r="L57" s="527">
        <v>4492</v>
      </c>
      <c r="M57" s="528">
        <v>4492</v>
      </c>
      <c r="N57" s="528">
        <v>4492</v>
      </c>
      <c r="O57" s="528">
        <v>4492</v>
      </c>
      <c r="P57" s="500">
        <v>4492</v>
      </c>
      <c r="Q57" s="498">
        <v>4492</v>
      </c>
      <c r="R57" s="573">
        <f t="shared" si="0"/>
        <v>0</v>
      </c>
      <c r="S57" s="256">
        <f t="shared" si="1"/>
        <v>0</v>
      </c>
      <c r="U57" s="326"/>
      <c r="V57" s="326"/>
      <c r="W57" s="326"/>
      <c r="X57" s="281"/>
      <c r="Y57" s="281"/>
      <c r="Z57" s="281"/>
      <c r="AA57" s="420"/>
      <c r="AB57" s="281"/>
      <c r="AC57" s="281"/>
      <c r="AD57" s="333"/>
      <c r="AE57" s="333"/>
      <c r="AF57" s="333"/>
      <c r="AG57" s="333"/>
    </row>
    <row r="58" spans="1:33" ht="15" customHeight="1">
      <c r="A58" s="16"/>
      <c r="B58" s="670" t="s">
        <v>317</v>
      </c>
      <c r="C58" s="671"/>
      <c r="D58" s="553">
        <v>595</v>
      </c>
      <c r="E58" s="526">
        <v>640</v>
      </c>
      <c r="F58" s="530">
        <v>654</v>
      </c>
      <c r="G58" s="497">
        <v>793</v>
      </c>
      <c r="H58" s="496">
        <v>793</v>
      </c>
      <c r="I58" s="497">
        <v>793</v>
      </c>
      <c r="J58" s="551">
        <v>793</v>
      </c>
      <c r="K58" s="498">
        <v>793</v>
      </c>
      <c r="L58" s="499">
        <v>793</v>
      </c>
      <c r="M58" s="532">
        <v>793</v>
      </c>
      <c r="N58" s="532">
        <v>793</v>
      </c>
      <c r="O58" s="532">
        <v>793</v>
      </c>
      <c r="P58" s="532">
        <v>793</v>
      </c>
      <c r="Q58" s="498">
        <v>793</v>
      </c>
      <c r="R58" s="573">
        <f t="shared" si="0"/>
        <v>4.2</v>
      </c>
      <c r="S58" s="256">
        <f t="shared" si="1"/>
        <v>0</v>
      </c>
      <c r="U58" s="326"/>
      <c r="V58" s="326"/>
      <c r="W58" s="326"/>
      <c r="X58" s="281"/>
      <c r="Y58" s="281"/>
      <c r="Z58" s="281"/>
      <c r="AA58" s="420"/>
      <c r="AB58" s="281"/>
      <c r="AC58" s="281"/>
      <c r="AD58" s="333"/>
      <c r="AE58" s="333"/>
      <c r="AF58" s="333"/>
      <c r="AG58" s="333"/>
    </row>
    <row r="59" spans="1:33" ht="15.75" customHeight="1">
      <c r="A59" s="16"/>
      <c r="B59" s="674" t="s">
        <v>318</v>
      </c>
      <c r="C59" s="675"/>
      <c r="D59" s="95">
        <f>SUM(D57:D58)</f>
        <v>5087</v>
      </c>
      <c r="E59" s="92">
        <f t="shared" ref="E59:Q59" si="7">SUM(E57:E58)</f>
        <v>5132</v>
      </c>
      <c r="F59" s="92">
        <f t="shared" si="7"/>
        <v>5146</v>
      </c>
      <c r="G59" s="93">
        <f t="shared" si="7"/>
        <v>5285</v>
      </c>
      <c r="H59" s="93">
        <f t="shared" si="7"/>
        <v>5285</v>
      </c>
      <c r="I59" s="94">
        <f t="shared" si="7"/>
        <v>5285</v>
      </c>
      <c r="J59" s="94">
        <f t="shared" si="7"/>
        <v>5285</v>
      </c>
      <c r="K59" s="96">
        <f t="shared" si="7"/>
        <v>5285</v>
      </c>
      <c r="L59" s="555">
        <f t="shared" si="7"/>
        <v>5285</v>
      </c>
      <c r="M59" s="556">
        <f t="shared" si="7"/>
        <v>5285</v>
      </c>
      <c r="N59" s="556">
        <f t="shared" si="7"/>
        <v>5285</v>
      </c>
      <c r="O59" s="556">
        <f t="shared" si="7"/>
        <v>5285</v>
      </c>
      <c r="P59" s="556">
        <f t="shared" si="7"/>
        <v>5285</v>
      </c>
      <c r="Q59" s="227">
        <f t="shared" si="7"/>
        <v>5285</v>
      </c>
      <c r="R59" s="574">
        <f t="shared" si="0"/>
        <v>0.5</v>
      </c>
      <c r="S59" s="510">
        <f t="shared" si="1"/>
        <v>0</v>
      </c>
      <c r="U59" s="43"/>
      <c r="V59" s="43"/>
      <c r="W59" s="43"/>
      <c r="X59" s="43"/>
      <c r="Y59" s="43"/>
      <c r="Z59" s="43"/>
      <c r="AA59" s="41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115</v>
      </c>
      <c r="E60" s="526">
        <v>125</v>
      </c>
      <c r="F60" s="530">
        <v>30</v>
      </c>
      <c r="G60" s="497">
        <v>135</v>
      </c>
      <c r="H60" s="496">
        <v>135</v>
      </c>
      <c r="I60" s="497">
        <v>135</v>
      </c>
      <c r="J60" s="551">
        <v>135</v>
      </c>
      <c r="K60" s="498">
        <v>0</v>
      </c>
      <c r="L60" s="533">
        <v>0</v>
      </c>
      <c r="M60" s="534">
        <v>0</v>
      </c>
      <c r="N60" s="534">
        <v>0</v>
      </c>
      <c r="O60" s="534">
        <v>0</v>
      </c>
      <c r="P60" s="534">
        <v>0</v>
      </c>
      <c r="Q60" s="535">
        <v>0</v>
      </c>
      <c r="R60" s="573" t="str">
        <f t="shared" si="0"/>
        <v xml:space="preserve">     -</v>
      </c>
      <c r="S60" s="256" t="str">
        <f t="shared" si="1"/>
        <v xml:space="preserve">     -</v>
      </c>
      <c r="U60" s="326"/>
      <c r="V60" s="326"/>
      <c r="W60" s="326"/>
      <c r="X60" s="281"/>
      <c r="Y60" s="281"/>
      <c r="Z60" s="281"/>
      <c r="AA60" s="420"/>
      <c r="AB60" s="281"/>
      <c r="AC60" s="281"/>
      <c r="AD60" s="333"/>
      <c r="AE60" s="333"/>
      <c r="AF60" s="333"/>
      <c r="AG60" s="333"/>
    </row>
    <row r="61" spans="1:33" ht="15" customHeight="1">
      <c r="A61" s="16"/>
      <c r="B61" s="668" t="s">
        <v>320</v>
      </c>
      <c r="C61" s="669"/>
      <c r="D61" s="553">
        <v>395</v>
      </c>
      <c r="E61" s="526">
        <v>430</v>
      </c>
      <c r="F61" s="530">
        <v>440</v>
      </c>
      <c r="G61" s="497">
        <v>456</v>
      </c>
      <c r="H61" s="496">
        <v>456</v>
      </c>
      <c r="I61" s="497">
        <v>456</v>
      </c>
      <c r="J61" s="497">
        <v>455.59999999999997</v>
      </c>
      <c r="K61" s="502">
        <v>456</v>
      </c>
      <c r="L61" s="503">
        <v>456</v>
      </c>
      <c r="M61" s="496">
        <v>558</v>
      </c>
      <c r="N61" s="496">
        <v>592</v>
      </c>
      <c r="O61" s="496">
        <v>592</v>
      </c>
      <c r="P61" s="497">
        <v>592</v>
      </c>
      <c r="Q61" s="502">
        <v>592</v>
      </c>
      <c r="R61" s="573">
        <f t="shared" si="0"/>
        <v>2.1</v>
      </c>
      <c r="S61" s="256">
        <f t="shared" si="1"/>
        <v>5.4</v>
      </c>
      <c r="U61" s="326"/>
      <c r="V61" s="326"/>
      <c r="W61" s="326"/>
      <c r="X61" s="281"/>
      <c r="Y61" s="281"/>
      <c r="Z61" s="281"/>
      <c r="AA61" s="420"/>
      <c r="AB61" s="281"/>
      <c r="AC61" s="281"/>
      <c r="AD61" s="333"/>
      <c r="AE61" s="333"/>
      <c r="AF61" s="333"/>
      <c r="AG61" s="333"/>
    </row>
    <row r="62" spans="1:33" ht="15" customHeight="1">
      <c r="A62" s="16"/>
      <c r="B62" s="670" t="s">
        <v>321</v>
      </c>
      <c r="C62" s="671"/>
      <c r="D62" s="553">
        <v>114</v>
      </c>
      <c r="E62" s="525">
        <v>118</v>
      </c>
      <c r="F62" s="530">
        <v>122</v>
      </c>
      <c r="G62" s="497">
        <v>136</v>
      </c>
      <c r="H62" s="496">
        <v>136</v>
      </c>
      <c r="I62" s="497">
        <v>136</v>
      </c>
      <c r="J62" s="497">
        <v>136</v>
      </c>
      <c r="K62" s="536">
        <v>136</v>
      </c>
      <c r="L62" s="537">
        <v>136</v>
      </c>
      <c r="M62" s="538">
        <v>136</v>
      </c>
      <c r="N62" s="538">
        <v>136</v>
      </c>
      <c r="O62" s="538">
        <v>136</v>
      </c>
      <c r="P62" s="515">
        <v>136</v>
      </c>
      <c r="Q62" s="536">
        <v>136</v>
      </c>
      <c r="R62" s="573">
        <f t="shared" si="0"/>
        <v>2.6</v>
      </c>
      <c r="S62" s="256">
        <f t="shared" si="1"/>
        <v>0</v>
      </c>
      <c r="U62" s="43"/>
      <c r="V62" s="43"/>
      <c r="W62" s="43"/>
      <c r="X62" s="335"/>
      <c r="Y62" s="335"/>
      <c r="Z62" s="335"/>
      <c r="AA62" s="335"/>
      <c r="AB62" s="335"/>
      <c r="AC62" s="335"/>
      <c r="AD62" s="335"/>
      <c r="AE62" s="335"/>
      <c r="AF62" s="335"/>
      <c r="AG62" s="335"/>
    </row>
    <row r="63" spans="1:33" ht="15.75" customHeight="1" thickBot="1">
      <c r="A63" s="16"/>
      <c r="B63" s="678" t="s">
        <v>322</v>
      </c>
      <c r="C63" s="679"/>
      <c r="D63" s="102">
        <f>SUM(D60:D62)</f>
        <v>624</v>
      </c>
      <c r="E63" s="539">
        <f t="shared" ref="E63:Q63" si="8">SUM(E60:E62)</f>
        <v>673</v>
      </c>
      <c r="F63" s="539">
        <f t="shared" si="8"/>
        <v>592</v>
      </c>
      <c r="G63" s="100">
        <f t="shared" si="8"/>
        <v>727</v>
      </c>
      <c r="H63" s="100">
        <f t="shared" si="8"/>
        <v>727</v>
      </c>
      <c r="I63" s="100">
        <f t="shared" si="8"/>
        <v>727</v>
      </c>
      <c r="J63" s="101">
        <f t="shared" si="8"/>
        <v>726.59999999999991</v>
      </c>
      <c r="K63" s="104">
        <f t="shared" si="8"/>
        <v>592</v>
      </c>
      <c r="L63" s="540">
        <f t="shared" si="8"/>
        <v>592</v>
      </c>
      <c r="M63" s="100">
        <f t="shared" si="8"/>
        <v>694</v>
      </c>
      <c r="N63" s="100">
        <f t="shared" si="8"/>
        <v>728</v>
      </c>
      <c r="O63" s="100">
        <f t="shared" si="8"/>
        <v>728</v>
      </c>
      <c r="P63" s="100">
        <f t="shared" si="8"/>
        <v>728</v>
      </c>
      <c r="Q63" s="103">
        <f t="shared" si="8"/>
        <v>728</v>
      </c>
      <c r="R63" s="576">
        <f t="shared" si="0"/>
        <v>-0.7</v>
      </c>
      <c r="S63" s="541">
        <f t="shared" si="1"/>
        <v>4.2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27362.6</v>
      </c>
      <c r="E64" s="543">
        <f t="shared" ref="E64:Q64" si="9">E48+E49+E51+E53+E55+E56+E59+E63</f>
        <v>26926</v>
      </c>
      <c r="F64" s="543">
        <f t="shared" si="9"/>
        <v>26767.162626262631</v>
      </c>
      <c r="G64" s="544">
        <f t="shared" si="9"/>
        <v>28000.761511784509</v>
      </c>
      <c r="H64" s="544">
        <f t="shared" si="9"/>
        <v>27929.251710437708</v>
      </c>
      <c r="I64" s="544">
        <f t="shared" si="9"/>
        <v>28212.486660890001</v>
      </c>
      <c r="J64" s="545">
        <f t="shared" si="9"/>
        <v>28419.800999999999</v>
      </c>
      <c r="K64" s="546">
        <f t="shared" si="9"/>
        <v>29202.023999999998</v>
      </c>
      <c r="L64" s="547">
        <f t="shared" si="9"/>
        <v>29839.98</v>
      </c>
      <c r="M64" s="544">
        <f t="shared" si="9"/>
        <v>30264.606727999999</v>
      </c>
      <c r="N64" s="544">
        <f t="shared" si="9"/>
        <v>31151.274468919997</v>
      </c>
      <c r="O64" s="544">
        <f t="shared" si="9"/>
        <v>31900.1022259538</v>
      </c>
      <c r="P64" s="544">
        <f t="shared" si="9"/>
        <v>32573.092399343106</v>
      </c>
      <c r="Q64" s="577">
        <f t="shared" si="9"/>
        <v>33171.247425333248</v>
      </c>
      <c r="R64" s="579">
        <f t="shared" si="0"/>
        <v>0.9</v>
      </c>
      <c r="S64" s="558">
        <f t="shared" si="1"/>
        <v>2.1</v>
      </c>
    </row>
    <row r="65" spans="1:33" ht="15" customHeight="1">
      <c r="A65" s="616" t="s">
        <v>327</v>
      </c>
      <c r="B65" s="666" t="s">
        <v>433</v>
      </c>
      <c r="C65" s="667"/>
      <c r="D65" s="495">
        <v>2307</v>
      </c>
      <c r="E65" s="496">
        <v>2229</v>
      </c>
      <c r="F65" s="497">
        <v>2300</v>
      </c>
      <c r="G65" s="497">
        <v>2406</v>
      </c>
      <c r="H65" s="496">
        <v>2393</v>
      </c>
      <c r="I65" s="497">
        <v>2435</v>
      </c>
      <c r="J65" s="497">
        <v>2553</v>
      </c>
      <c r="K65" s="502">
        <v>2540</v>
      </c>
      <c r="L65" s="503">
        <v>2600</v>
      </c>
      <c r="M65" s="496">
        <v>2600</v>
      </c>
      <c r="N65" s="496">
        <v>2600</v>
      </c>
      <c r="O65" s="496">
        <v>2650</v>
      </c>
      <c r="P65" s="279">
        <v>2650</v>
      </c>
      <c r="Q65" s="502">
        <v>2650</v>
      </c>
      <c r="R65" s="573">
        <f t="shared" si="0"/>
        <v>1.4</v>
      </c>
      <c r="S65" s="256">
        <f t="shared" si="1"/>
        <v>0.4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1994</v>
      </c>
      <c r="E66" s="496">
        <v>1791</v>
      </c>
      <c r="F66" s="497">
        <v>1822</v>
      </c>
      <c r="G66" s="497">
        <v>1924</v>
      </c>
      <c r="H66" s="496">
        <v>1794</v>
      </c>
      <c r="I66" s="497">
        <v>1864</v>
      </c>
      <c r="J66" s="497">
        <v>1886</v>
      </c>
      <c r="K66" s="502">
        <v>1913</v>
      </c>
      <c r="L66" s="503">
        <v>1950</v>
      </c>
      <c r="M66" s="496">
        <v>1950</v>
      </c>
      <c r="N66" s="496">
        <v>1950</v>
      </c>
      <c r="O66" s="496">
        <v>1950</v>
      </c>
      <c r="P66" s="279">
        <v>1950</v>
      </c>
      <c r="Q66" s="502">
        <v>1950</v>
      </c>
      <c r="R66" s="573">
        <f t="shared" si="0"/>
        <v>-0.6</v>
      </c>
      <c r="S66" s="256">
        <f t="shared" si="1"/>
        <v>0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257</v>
      </c>
      <c r="E67" s="496">
        <v>252</v>
      </c>
      <c r="F67" s="497">
        <v>228</v>
      </c>
      <c r="G67" s="497">
        <v>225</v>
      </c>
      <c r="H67" s="496">
        <v>256.5</v>
      </c>
      <c r="I67" s="497">
        <v>220.274</v>
      </c>
      <c r="J67" s="497">
        <v>257</v>
      </c>
      <c r="K67" s="502">
        <v>254</v>
      </c>
      <c r="L67" s="503">
        <v>257</v>
      </c>
      <c r="M67" s="496">
        <v>257</v>
      </c>
      <c r="N67" s="496">
        <v>257</v>
      </c>
      <c r="O67" s="496">
        <v>257</v>
      </c>
      <c r="P67" s="497">
        <v>257</v>
      </c>
      <c r="Q67" s="502">
        <v>257</v>
      </c>
      <c r="R67" s="573">
        <f t="shared" si="0"/>
        <v>-0.2</v>
      </c>
      <c r="S67" s="256">
        <f t="shared" si="1"/>
        <v>0</v>
      </c>
      <c r="U67" s="280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7345</v>
      </c>
      <c r="E68" s="496">
        <v>7831</v>
      </c>
      <c r="F68" s="497">
        <v>7928</v>
      </c>
      <c r="G68" s="497">
        <v>8645</v>
      </c>
      <c r="H68" s="496">
        <v>8951</v>
      </c>
      <c r="I68" s="497">
        <v>9245</v>
      </c>
      <c r="J68" s="497">
        <v>9425</v>
      </c>
      <c r="K68" s="502">
        <v>9841</v>
      </c>
      <c r="L68" s="503">
        <v>10117</v>
      </c>
      <c r="M68" s="496">
        <v>10471</v>
      </c>
      <c r="N68" s="496">
        <v>10844</v>
      </c>
      <c r="O68" s="496">
        <v>11229</v>
      </c>
      <c r="P68" s="279">
        <v>11531</v>
      </c>
      <c r="Q68" s="502">
        <v>11795</v>
      </c>
      <c r="R68" s="573">
        <f t="shared" si="0"/>
        <v>4.3</v>
      </c>
      <c r="S68" s="256">
        <f t="shared" si="1"/>
        <v>3.1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580</v>
      </c>
      <c r="E69" s="496">
        <v>504</v>
      </c>
      <c r="F69" s="497">
        <v>504</v>
      </c>
      <c r="G69" s="497">
        <v>500</v>
      </c>
      <c r="H69" s="496">
        <v>500</v>
      </c>
      <c r="I69" s="497">
        <v>500</v>
      </c>
      <c r="J69" s="497">
        <v>519</v>
      </c>
      <c r="K69" s="502">
        <v>538</v>
      </c>
      <c r="L69" s="503">
        <v>534</v>
      </c>
      <c r="M69" s="496">
        <v>534</v>
      </c>
      <c r="N69" s="496">
        <v>534</v>
      </c>
      <c r="O69" s="496">
        <v>534</v>
      </c>
      <c r="P69" s="279">
        <v>534</v>
      </c>
      <c r="Q69" s="502">
        <v>534</v>
      </c>
      <c r="R69" s="573">
        <f t="shared" si="0"/>
        <v>-1.1000000000000001</v>
      </c>
      <c r="S69" s="256">
        <f t="shared" si="1"/>
        <v>0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234.06649999999999</v>
      </c>
      <c r="E70" s="496">
        <v>187</v>
      </c>
      <c r="F70" s="497">
        <v>200</v>
      </c>
      <c r="G70" s="497">
        <v>206</v>
      </c>
      <c r="H70" s="496">
        <v>180</v>
      </c>
      <c r="I70" s="497">
        <v>180</v>
      </c>
      <c r="J70" s="497">
        <v>265</v>
      </c>
      <c r="K70" s="502">
        <v>160</v>
      </c>
      <c r="L70" s="503">
        <v>290</v>
      </c>
      <c r="M70" s="496">
        <v>305</v>
      </c>
      <c r="N70" s="496">
        <v>320</v>
      </c>
      <c r="O70" s="496">
        <v>340</v>
      </c>
      <c r="P70" s="279">
        <v>360</v>
      </c>
      <c r="Q70" s="502">
        <v>375</v>
      </c>
      <c r="R70" s="573">
        <f t="shared" si="0"/>
        <v>-5.3</v>
      </c>
      <c r="S70" s="256">
        <f t="shared" si="1"/>
        <v>5.3</v>
      </c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  <c r="AF70" s="280"/>
      <c r="AG70" s="280"/>
    </row>
    <row r="71" spans="1:33" ht="15" customHeight="1">
      <c r="A71" s="16"/>
      <c r="B71" s="668" t="s">
        <v>439</v>
      </c>
      <c r="C71" s="669"/>
      <c r="D71" s="140">
        <v>472</v>
      </c>
      <c r="E71" s="49">
        <v>525</v>
      </c>
      <c r="F71" s="45">
        <v>585</v>
      </c>
      <c r="G71" s="49">
        <v>551</v>
      </c>
      <c r="H71" s="49">
        <v>990</v>
      </c>
      <c r="I71" s="45">
        <v>1644</v>
      </c>
      <c r="J71" s="49">
        <v>610</v>
      </c>
      <c r="K71" s="50">
        <v>800</v>
      </c>
      <c r="L71" s="140">
        <v>900</v>
      </c>
      <c r="M71" s="45">
        <v>900</v>
      </c>
      <c r="N71" s="45">
        <v>900</v>
      </c>
      <c r="O71" s="45">
        <v>1000</v>
      </c>
      <c r="P71" s="45">
        <v>1000</v>
      </c>
      <c r="Q71" s="50">
        <v>1000</v>
      </c>
      <c r="R71" s="573">
        <f t="shared" si="0"/>
        <v>7.8</v>
      </c>
      <c r="S71" s="256">
        <f t="shared" si="1"/>
        <v>2.1</v>
      </c>
      <c r="U71" s="280"/>
      <c r="V71" s="280"/>
      <c r="W71" s="280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12</v>
      </c>
      <c r="E73" s="49">
        <v>13</v>
      </c>
      <c r="F73" s="45">
        <v>14</v>
      </c>
      <c r="G73" s="49">
        <v>15</v>
      </c>
      <c r="H73" s="49">
        <v>15</v>
      </c>
      <c r="I73" s="45">
        <v>15</v>
      </c>
      <c r="J73" s="49">
        <v>15</v>
      </c>
      <c r="K73" s="50">
        <v>16</v>
      </c>
      <c r="L73" s="140">
        <v>17</v>
      </c>
      <c r="M73" s="45">
        <v>18</v>
      </c>
      <c r="N73" s="45">
        <v>19</v>
      </c>
      <c r="O73" s="45">
        <v>20</v>
      </c>
      <c r="P73" s="45">
        <v>21</v>
      </c>
      <c r="Q73" s="50">
        <v>22</v>
      </c>
      <c r="R73" s="573">
        <f t="shared" si="10"/>
        <v>4.2</v>
      </c>
      <c r="S73" s="256">
        <f t="shared" si="11"/>
        <v>5.3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352.36363636363637</v>
      </c>
      <c r="E74" s="496">
        <v>353</v>
      </c>
      <c r="F74" s="497">
        <v>353</v>
      </c>
      <c r="G74" s="497">
        <v>300</v>
      </c>
      <c r="H74" s="496">
        <v>311.37900000000002</v>
      </c>
      <c r="I74" s="497">
        <v>316.02166089000002</v>
      </c>
      <c r="J74" s="497">
        <v>340</v>
      </c>
      <c r="K74" s="502">
        <v>365</v>
      </c>
      <c r="L74" s="503">
        <v>365</v>
      </c>
      <c r="M74" s="496">
        <v>365</v>
      </c>
      <c r="N74" s="496">
        <v>365</v>
      </c>
      <c r="O74" s="496">
        <v>365</v>
      </c>
      <c r="P74" s="279">
        <v>365</v>
      </c>
      <c r="Q74" s="502">
        <v>365</v>
      </c>
      <c r="R74" s="573">
        <f t="shared" si="10"/>
        <v>0.5</v>
      </c>
      <c r="S74" s="256">
        <f t="shared" si="11"/>
        <v>0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18</v>
      </c>
      <c r="E75" s="496">
        <v>19</v>
      </c>
      <c r="F75" s="497">
        <v>71</v>
      </c>
      <c r="G75" s="497">
        <v>72</v>
      </c>
      <c r="H75" s="496">
        <v>75</v>
      </c>
      <c r="I75" s="497">
        <v>79</v>
      </c>
      <c r="J75" s="497">
        <v>72</v>
      </c>
      <c r="K75" s="502">
        <v>147</v>
      </c>
      <c r="L75" s="503">
        <v>155</v>
      </c>
      <c r="M75" s="496">
        <v>164</v>
      </c>
      <c r="N75" s="496">
        <v>174</v>
      </c>
      <c r="O75" s="496">
        <v>184</v>
      </c>
      <c r="P75" s="279">
        <v>195</v>
      </c>
      <c r="Q75" s="502">
        <v>206</v>
      </c>
      <c r="R75" s="573">
        <f t="shared" si="10"/>
        <v>35</v>
      </c>
      <c r="S75" s="256">
        <f t="shared" si="11"/>
        <v>5.9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1540.15</v>
      </c>
      <c r="E76" s="40">
        <v>1463.6</v>
      </c>
      <c r="F76" s="40">
        <v>1388.8</v>
      </c>
      <c r="G76" s="40">
        <v>1426.7</v>
      </c>
      <c r="H76" s="505">
        <v>1397.6000000000001</v>
      </c>
      <c r="I76" s="505">
        <v>1414.7660000000001</v>
      </c>
      <c r="J76" s="506">
        <v>1405.4870000000001</v>
      </c>
      <c r="K76" s="507">
        <v>1467.6</v>
      </c>
      <c r="L76" s="508">
        <v>1458.7</v>
      </c>
      <c r="M76" s="505">
        <v>1484</v>
      </c>
      <c r="N76" s="505">
        <v>1480</v>
      </c>
      <c r="O76" s="505">
        <v>1476</v>
      </c>
      <c r="P76" s="505">
        <v>1472</v>
      </c>
      <c r="Q76" s="509">
        <v>1468</v>
      </c>
      <c r="R76" s="573">
        <f t="shared" si="10"/>
        <v>-0.7</v>
      </c>
      <c r="S76" s="256">
        <f t="shared" si="11"/>
        <v>0.1</v>
      </c>
      <c r="U76" s="43"/>
      <c r="V76" s="43"/>
      <c r="W76" s="43"/>
      <c r="X76" s="43"/>
      <c r="Y76" s="330"/>
      <c r="Z76" s="330"/>
      <c r="AA76" s="330"/>
      <c r="AB76" s="330"/>
      <c r="AC76" s="330"/>
      <c r="AD76" s="330"/>
      <c r="AE76" s="330"/>
      <c r="AF76" s="330"/>
      <c r="AG76" s="330"/>
    </row>
    <row r="77" spans="1:33" ht="15.75" customHeight="1">
      <c r="A77" s="16"/>
      <c r="B77" s="674" t="s">
        <v>307</v>
      </c>
      <c r="C77" s="675"/>
      <c r="D77" s="95">
        <f>SUM(D65:D76)</f>
        <v>15111.580136363636</v>
      </c>
      <c r="E77" s="93">
        <f t="shared" ref="E77:Q77" si="12">SUM(E65:E76)</f>
        <v>15167.6</v>
      </c>
      <c r="F77" s="93">
        <f t="shared" si="12"/>
        <v>15393.8</v>
      </c>
      <c r="G77" s="93">
        <f t="shared" si="12"/>
        <v>16270.7</v>
      </c>
      <c r="H77" s="93">
        <f t="shared" si="12"/>
        <v>16863.478999999999</v>
      </c>
      <c r="I77" s="93">
        <f t="shared" si="12"/>
        <v>17913.061660890002</v>
      </c>
      <c r="J77" s="93">
        <f t="shared" si="12"/>
        <v>17347.487000000001</v>
      </c>
      <c r="K77" s="96">
        <f t="shared" si="12"/>
        <v>18041.599999999999</v>
      </c>
      <c r="L77" s="95">
        <f t="shared" si="12"/>
        <v>18643.7</v>
      </c>
      <c r="M77" s="93">
        <f t="shared" si="12"/>
        <v>19048</v>
      </c>
      <c r="N77" s="93">
        <f t="shared" si="12"/>
        <v>19443</v>
      </c>
      <c r="O77" s="93">
        <f t="shared" si="12"/>
        <v>20005</v>
      </c>
      <c r="P77" s="93">
        <f t="shared" si="12"/>
        <v>20335</v>
      </c>
      <c r="Q77" s="96">
        <f t="shared" si="12"/>
        <v>20622</v>
      </c>
      <c r="R77" s="574">
        <f t="shared" si="10"/>
        <v>2.6</v>
      </c>
      <c r="S77" s="510">
        <f t="shared" si="11"/>
        <v>2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29</v>
      </c>
      <c r="E78" s="512">
        <v>27</v>
      </c>
      <c r="F78" s="512">
        <v>20</v>
      </c>
      <c r="G78" s="512">
        <v>20</v>
      </c>
      <c r="H78" s="512">
        <v>20</v>
      </c>
      <c r="I78" s="512">
        <v>20</v>
      </c>
      <c r="J78" s="513">
        <v>14.444000000000001</v>
      </c>
      <c r="K78" s="514">
        <v>20</v>
      </c>
      <c r="L78" s="511">
        <v>20</v>
      </c>
      <c r="M78" s="512">
        <v>20</v>
      </c>
      <c r="N78" s="512">
        <v>20</v>
      </c>
      <c r="O78" s="512">
        <v>20</v>
      </c>
      <c r="P78" s="513">
        <v>20</v>
      </c>
      <c r="Q78" s="514">
        <v>20</v>
      </c>
      <c r="R78" s="574">
        <f t="shared" si="10"/>
        <v>-5.2</v>
      </c>
      <c r="S78" s="510">
        <f t="shared" si="11"/>
        <v>0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27</v>
      </c>
      <c r="E79" s="512">
        <v>27</v>
      </c>
      <c r="F79" s="512">
        <v>20</v>
      </c>
      <c r="G79" s="512">
        <v>20</v>
      </c>
      <c r="H79" s="512">
        <v>20</v>
      </c>
      <c r="I79" s="512">
        <v>20</v>
      </c>
      <c r="J79" s="513">
        <v>14.444000000000001</v>
      </c>
      <c r="K79" s="514">
        <v>20</v>
      </c>
      <c r="L79" s="511">
        <v>20</v>
      </c>
      <c r="M79" s="512">
        <v>20</v>
      </c>
      <c r="N79" s="512">
        <v>20</v>
      </c>
      <c r="O79" s="512">
        <v>20</v>
      </c>
      <c r="P79" s="513">
        <v>20</v>
      </c>
      <c r="Q79" s="514">
        <v>20</v>
      </c>
      <c r="R79" s="574">
        <f t="shared" si="10"/>
        <v>-4.2</v>
      </c>
      <c r="S79" s="510">
        <f t="shared" si="11"/>
        <v>0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5784</v>
      </c>
      <c r="E80" s="538">
        <v>5510</v>
      </c>
      <c r="F80" s="538">
        <v>5261</v>
      </c>
      <c r="G80" s="538">
        <v>5165</v>
      </c>
      <c r="H80" s="538">
        <v>4880</v>
      </c>
      <c r="I80" s="538">
        <v>4910</v>
      </c>
      <c r="J80" s="515">
        <v>4855</v>
      </c>
      <c r="K80" s="536">
        <v>4847</v>
      </c>
      <c r="L80" s="537">
        <v>4869</v>
      </c>
      <c r="M80" s="538">
        <v>4842</v>
      </c>
      <c r="N80" s="538">
        <v>4848</v>
      </c>
      <c r="O80" s="538">
        <v>4844</v>
      </c>
      <c r="P80" s="515">
        <v>4844</v>
      </c>
      <c r="Q80" s="536">
        <v>4832</v>
      </c>
      <c r="R80" s="575">
        <f t="shared" si="10"/>
        <v>-2.5</v>
      </c>
      <c r="S80" s="517">
        <f t="shared" si="11"/>
        <v>-0.2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5179</v>
      </c>
      <c r="E81" s="512">
        <v>5025</v>
      </c>
      <c r="F81" s="512">
        <v>4790</v>
      </c>
      <c r="G81" s="512">
        <v>4707</v>
      </c>
      <c r="H81" s="512">
        <v>4414</v>
      </c>
      <c r="I81" s="512">
        <v>4424</v>
      </c>
      <c r="J81" s="513">
        <v>4370</v>
      </c>
      <c r="K81" s="514">
        <v>4350</v>
      </c>
      <c r="L81" s="511">
        <v>4372</v>
      </c>
      <c r="M81" s="512">
        <v>4341</v>
      </c>
      <c r="N81" s="512">
        <v>4342</v>
      </c>
      <c r="O81" s="512">
        <v>4333</v>
      </c>
      <c r="P81" s="513">
        <v>4325</v>
      </c>
      <c r="Q81" s="514">
        <v>4286</v>
      </c>
      <c r="R81" s="574">
        <f t="shared" si="10"/>
        <v>-2.5</v>
      </c>
      <c r="S81" s="510">
        <f t="shared" si="11"/>
        <v>-0.4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346</v>
      </c>
      <c r="E82" s="496">
        <v>489</v>
      </c>
      <c r="F82" s="496">
        <v>533.01</v>
      </c>
      <c r="G82" s="496">
        <v>580.98090000000002</v>
      </c>
      <c r="H82" s="496">
        <v>610.029945</v>
      </c>
      <c r="I82" s="496">
        <v>640.53144225000005</v>
      </c>
      <c r="J82" s="497">
        <v>672.5580143625001</v>
      </c>
      <c r="K82" s="502">
        <v>706.18591508062514</v>
      </c>
      <c r="L82" s="503">
        <v>741.4952108346564</v>
      </c>
      <c r="M82" s="496">
        <v>780</v>
      </c>
      <c r="N82" s="496">
        <v>785</v>
      </c>
      <c r="O82" s="496">
        <v>778.56997137638928</v>
      </c>
      <c r="P82" s="497">
        <v>812</v>
      </c>
      <c r="Q82" s="502">
        <v>840</v>
      </c>
      <c r="R82" s="573">
        <f t="shared" si="10"/>
        <v>10.7</v>
      </c>
      <c r="S82" s="256">
        <f t="shared" si="11"/>
        <v>2.5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179</v>
      </c>
      <c r="F83" s="518">
        <v>205.85</v>
      </c>
      <c r="G83" s="518">
        <v>215</v>
      </c>
      <c r="H83" s="518">
        <v>236.72749999999996</v>
      </c>
      <c r="I83" s="518">
        <v>255.66569999999999</v>
      </c>
      <c r="J83" s="519">
        <v>276.11895600000003</v>
      </c>
      <c r="K83" s="514">
        <v>298.20847248000007</v>
      </c>
      <c r="L83" s="511">
        <v>322.0651502784001</v>
      </c>
      <c r="M83" s="518">
        <v>340</v>
      </c>
      <c r="N83" s="518">
        <v>350</v>
      </c>
      <c r="O83" s="518">
        <v>360</v>
      </c>
      <c r="P83" s="519">
        <v>368</v>
      </c>
      <c r="Q83" s="514">
        <v>372</v>
      </c>
      <c r="R83" s="574" t="str">
        <f t="shared" si="10"/>
        <v xml:space="preserve">     -</v>
      </c>
      <c r="S83" s="510">
        <f t="shared" si="11"/>
        <v>2.9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38</v>
      </c>
      <c r="E84" s="518">
        <v>35</v>
      </c>
      <c r="F84" s="518">
        <v>40.25</v>
      </c>
      <c r="G84" s="518">
        <v>40.25</v>
      </c>
      <c r="H84" s="518">
        <v>46.287499999999994</v>
      </c>
      <c r="I84" s="518">
        <v>160</v>
      </c>
      <c r="J84" s="519">
        <v>180</v>
      </c>
      <c r="K84" s="514">
        <v>185</v>
      </c>
      <c r="L84" s="511">
        <v>190</v>
      </c>
      <c r="M84" s="518">
        <v>195</v>
      </c>
      <c r="N84" s="518">
        <v>197</v>
      </c>
      <c r="O84" s="518">
        <v>202</v>
      </c>
      <c r="P84" s="519">
        <v>204</v>
      </c>
      <c r="Q84" s="514">
        <v>206</v>
      </c>
      <c r="R84" s="574">
        <f t="shared" si="10"/>
        <v>25.4</v>
      </c>
      <c r="S84" s="510">
        <f t="shared" si="11"/>
        <v>1.6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311</v>
      </c>
      <c r="E85" s="521">
        <v>388</v>
      </c>
      <c r="F85" s="521">
        <v>420.3</v>
      </c>
      <c r="G85" s="521">
        <v>490.9</v>
      </c>
      <c r="H85" s="521">
        <v>563</v>
      </c>
      <c r="I85" s="521">
        <v>562</v>
      </c>
      <c r="J85" s="522">
        <v>442.83000000000004</v>
      </c>
      <c r="K85" s="523">
        <v>489</v>
      </c>
      <c r="L85" s="520">
        <v>496.82400000000001</v>
      </c>
      <c r="M85" s="521">
        <v>503.28271199999995</v>
      </c>
      <c r="N85" s="521">
        <v>510.83195267999992</v>
      </c>
      <c r="O85" s="521">
        <v>518.49443197019991</v>
      </c>
      <c r="P85" s="522">
        <v>526.27184844975284</v>
      </c>
      <c r="Q85" s="523">
        <v>534.16592617649906</v>
      </c>
      <c r="R85" s="574">
        <f t="shared" si="10"/>
        <v>6.7</v>
      </c>
      <c r="S85" s="510">
        <f t="shared" si="11"/>
        <v>1.5</v>
      </c>
      <c r="U85" s="280"/>
      <c r="V85" s="43"/>
      <c r="W85" s="43"/>
      <c r="X85" s="43"/>
      <c r="Y85" s="43"/>
      <c r="Z85" s="336"/>
      <c r="AA85" s="336"/>
      <c r="AB85" s="336"/>
      <c r="AC85" s="336"/>
      <c r="AD85" s="336"/>
      <c r="AE85" s="336"/>
      <c r="AF85" s="336"/>
      <c r="AG85" s="336"/>
    </row>
    <row r="86" spans="1:33" ht="15" customHeight="1">
      <c r="A86" s="16"/>
      <c r="B86" s="672" t="s">
        <v>316</v>
      </c>
      <c r="C86" s="673"/>
      <c r="D86" s="529">
        <v>2738</v>
      </c>
      <c r="E86" s="525">
        <v>2766</v>
      </c>
      <c r="F86" s="530">
        <v>2794</v>
      </c>
      <c r="G86" s="530">
        <v>2822</v>
      </c>
      <c r="H86" s="525">
        <v>2851</v>
      </c>
      <c r="I86" s="530">
        <v>2920</v>
      </c>
      <c r="J86" s="530">
        <v>2966</v>
      </c>
      <c r="K86" s="564">
        <v>3031</v>
      </c>
      <c r="L86" s="524">
        <v>3118</v>
      </c>
      <c r="M86" s="525">
        <v>3197</v>
      </c>
      <c r="N86" s="525">
        <v>3255</v>
      </c>
      <c r="O86" s="525">
        <v>3360</v>
      </c>
      <c r="P86" s="530">
        <v>3410</v>
      </c>
      <c r="Q86" s="564">
        <v>3457</v>
      </c>
      <c r="R86" s="573">
        <f t="shared" si="10"/>
        <v>1.5</v>
      </c>
      <c r="S86" s="256">
        <f t="shared" si="11"/>
        <v>2.1</v>
      </c>
      <c r="U86" s="326"/>
      <c r="V86" s="326"/>
      <c r="W86" s="326"/>
      <c r="X86" s="281"/>
      <c r="Y86" s="281"/>
      <c r="Z86" s="281"/>
      <c r="AA86" s="420"/>
      <c r="AB86" s="281"/>
      <c r="AC86" s="281"/>
      <c r="AD86" s="333"/>
      <c r="AE86" s="333"/>
      <c r="AF86" s="333"/>
      <c r="AG86" s="333"/>
    </row>
    <row r="87" spans="1:33" ht="15" customHeight="1">
      <c r="A87" s="16"/>
      <c r="B87" s="670" t="s">
        <v>317</v>
      </c>
      <c r="C87" s="671"/>
      <c r="D87" s="553">
        <v>261</v>
      </c>
      <c r="E87" s="525">
        <v>264</v>
      </c>
      <c r="F87" s="530">
        <v>267</v>
      </c>
      <c r="G87" s="530">
        <v>270</v>
      </c>
      <c r="H87" s="525">
        <v>277</v>
      </c>
      <c r="I87" s="530">
        <v>280</v>
      </c>
      <c r="J87" s="530">
        <v>284</v>
      </c>
      <c r="K87" s="564">
        <v>289</v>
      </c>
      <c r="L87" s="524">
        <v>295</v>
      </c>
      <c r="M87" s="525">
        <v>301</v>
      </c>
      <c r="N87" s="525">
        <v>306</v>
      </c>
      <c r="O87" s="525">
        <v>311</v>
      </c>
      <c r="P87" s="530">
        <v>316</v>
      </c>
      <c r="Q87" s="564">
        <v>321</v>
      </c>
      <c r="R87" s="573">
        <f t="shared" si="10"/>
        <v>1.5</v>
      </c>
      <c r="S87" s="256">
        <f t="shared" si="11"/>
        <v>1.7</v>
      </c>
      <c r="U87" s="326"/>
      <c r="V87" s="326"/>
      <c r="W87" s="326"/>
      <c r="X87" s="281"/>
      <c r="Y87" s="281"/>
      <c r="Z87" s="281"/>
      <c r="AA87" s="420"/>
      <c r="AB87" s="281"/>
      <c r="AC87" s="281"/>
      <c r="AD87" s="333"/>
      <c r="AE87" s="333"/>
      <c r="AF87" s="333"/>
      <c r="AG87" s="333"/>
    </row>
    <row r="88" spans="1:33" ht="15.75" customHeight="1">
      <c r="A88" s="16"/>
      <c r="B88" s="674" t="s">
        <v>318</v>
      </c>
      <c r="C88" s="675"/>
      <c r="D88" s="95">
        <f>SUM(D86:D87)</f>
        <v>2999</v>
      </c>
      <c r="E88" s="92">
        <f t="shared" ref="E88:Q88" si="13">SUM(E86:E87)</f>
        <v>3030</v>
      </c>
      <c r="F88" s="92">
        <f t="shared" si="13"/>
        <v>3061</v>
      </c>
      <c r="G88" s="93">
        <f t="shared" si="13"/>
        <v>3092</v>
      </c>
      <c r="H88" s="93">
        <f t="shared" si="13"/>
        <v>3128</v>
      </c>
      <c r="I88" s="94">
        <f t="shared" si="13"/>
        <v>3200</v>
      </c>
      <c r="J88" s="94">
        <f t="shared" si="13"/>
        <v>3250</v>
      </c>
      <c r="K88" s="96">
        <f t="shared" si="13"/>
        <v>3320</v>
      </c>
      <c r="L88" s="95">
        <f t="shared" si="13"/>
        <v>3413</v>
      </c>
      <c r="M88" s="93">
        <f t="shared" si="13"/>
        <v>3498</v>
      </c>
      <c r="N88" s="93">
        <f t="shared" si="13"/>
        <v>3561</v>
      </c>
      <c r="O88" s="93">
        <f t="shared" si="13"/>
        <v>3671</v>
      </c>
      <c r="P88" s="93">
        <f t="shared" si="13"/>
        <v>3726</v>
      </c>
      <c r="Q88" s="96">
        <f t="shared" si="13"/>
        <v>3778</v>
      </c>
      <c r="R88" s="574">
        <f t="shared" si="10"/>
        <v>1.5</v>
      </c>
      <c r="S88" s="510">
        <f t="shared" si="11"/>
        <v>2.1</v>
      </c>
      <c r="U88" s="43"/>
      <c r="V88" s="43"/>
      <c r="W88" s="43"/>
      <c r="X88" s="43"/>
      <c r="Y88" s="43"/>
      <c r="Z88" s="43"/>
      <c r="AA88" s="41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589</v>
      </c>
      <c r="E89" s="525">
        <v>595</v>
      </c>
      <c r="F89" s="530">
        <v>601</v>
      </c>
      <c r="G89" s="530">
        <v>668</v>
      </c>
      <c r="H89" s="525">
        <v>683</v>
      </c>
      <c r="I89" s="530">
        <v>700</v>
      </c>
      <c r="J89" s="530">
        <v>715</v>
      </c>
      <c r="K89" s="564">
        <v>732</v>
      </c>
      <c r="L89" s="565">
        <v>748</v>
      </c>
      <c r="M89" s="566">
        <v>767</v>
      </c>
      <c r="N89" s="566">
        <v>788</v>
      </c>
      <c r="O89" s="566">
        <v>811</v>
      </c>
      <c r="P89" s="566">
        <v>835</v>
      </c>
      <c r="Q89" s="567">
        <v>860</v>
      </c>
      <c r="R89" s="573">
        <f t="shared" si="10"/>
        <v>3.2</v>
      </c>
      <c r="S89" s="256">
        <f t="shared" si="11"/>
        <v>2.8</v>
      </c>
      <c r="U89" s="326"/>
      <c r="V89" s="326"/>
      <c r="W89" s="326"/>
      <c r="X89" s="281"/>
      <c r="Y89" s="281"/>
      <c r="Z89" s="281"/>
      <c r="AA89" s="420"/>
      <c r="AB89" s="281"/>
      <c r="AC89" s="281"/>
      <c r="AD89" s="333"/>
      <c r="AE89" s="333"/>
      <c r="AF89" s="333"/>
      <c r="AG89" s="333"/>
    </row>
    <row r="90" spans="1:33" ht="15" customHeight="1">
      <c r="A90" s="16"/>
      <c r="B90" s="668" t="s">
        <v>320</v>
      </c>
      <c r="C90" s="669"/>
      <c r="D90" s="553">
        <v>595</v>
      </c>
      <c r="E90" s="525">
        <v>601</v>
      </c>
      <c r="F90" s="530">
        <v>607</v>
      </c>
      <c r="G90" s="530">
        <v>613</v>
      </c>
      <c r="H90" s="525">
        <v>619</v>
      </c>
      <c r="I90" s="530">
        <v>620</v>
      </c>
      <c r="J90" s="530">
        <v>600</v>
      </c>
      <c r="K90" s="564">
        <v>603</v>
      </c>
      <c r="L90" s="524">
        <v>612</v>
      </c>
      <c r="M90" s="525">
        <v>627</v>
      </c>
      <c r="N90" s="525">
        <v>641</v>
      </c>
      <c r="O90" s="525">
        <v>655</v>
      </c>
      <c r="P90" s="530">
        <v>670</v>
      </c>
      <c r="Q90" s="564">
        <v>685</v>
      </c>
      <c r="R90" s="573">
        <f t="shared" si="10"/>
        <v>0.2</v>
      </c>
      <c r="S90" s="256">
        <f t="shared" si="11"/>
        <v>2.2999999999999998</v>
      </c>
      <c r="U90" s="326"/>
      <c r="V90" s="326"/>
      <c r="W90" s="326"/>
      <c r="X90" s="281"/>
      <c r="Y90" s="281"/>
      <c r="Z90" s="281"/>
      <c r="AA90" s="420"/>
      <c r="AB90" s="281"/>
      <c r="AC90" s="281"/>
      <c r="AD90" s="333"/>
      <c r="AE90" s="333"/>
      <c r="AF90" s="333"/>
      <c r="AG90" s="333"/>
    </row>
    <row r="91" spans="1:33" ht="15" customHeight="1">
      <c r="A91" s="16"/>
      <c r="B91" s="670" t="s">
        <v>321</v>
      </c>
      <c r="C91" s="671"/>
      <c r="D91" s="553">
        <v>259</v>
      </c>
      <c r="E91" s="525">
        <v>254</v>
      </c>
      <c r="F91" s="530">
        <v>264</v>
      </c>
      <c r="G91" s="530">
        <v>272</v>
      </c>
      <c r="H91" s="525">
        <v>276</v>
      </c>
      <c r="I91" s="530">
        <v>269</v>
      </c>
      <c r="J91" s="530">
        <v>297</v>
      </c>
      <c r="K91" s="568">
        <v>304</v>
      </c>
      <c r="L91" s="569">
        <v>308</v>
      </c>
      <c r="M91" s="570">
        <v>315</v>
      </c>
      <c r="N91" s="570">
        <v>323</v>
      </c>
      <c r="O91" s="570">
        <v>332</v>
      </c>
      <c r="P91" s="571">
        <v>341</v>
      </c>
      <c r="Q91" s="568">
        <v>351</v>
      </c>
      <c r="R91" s="573">
        <f t="shared" si="10"/>
        <v>2.2999999999999998</v>
      </c>
      <c r="S91" s="256">
        <f t="shared" si="11"/>
        <v>2.6</v>
      </c>
      <c r="U91" s="43"/>
      <c r="V91" s="43"/>
      <c r="W91" s="43"/>
      <c r="X91" s="335"/>
      <c r="Y91" s="335"/>
      <c r="Z91" s="335"/>
      <c r="AA91" s="335"/>
      <c r="AB91" s="335"/>
      <c r="AC91" s="335"/>
      <c r="AD91" s="335"/>
      <c r="AE91" s="335"/>
      <c r="AF91" s="335"/>
      <c r="AG91" s="335"/>
    </row>
    <row r="92" spans="1:33" ht="15.75" customHeight="1" thickBot="1">
      <c r="A92" s="16"/>
      <c r="B92" s="678" t="s">
        <v>322</v>
      </c>
      <c r="C92" s="679"/>
      <c r="D92" s="102">
        <f>SUM(D89:D91)</f>
        <v>1443</v>
      </c>
      <c r="E92" s="539">
        <f t="shared" ref="E92:Q92" si="14">SUM(E89:E91)</f>
        <v>1450</v>
      </c>
      <c r="F92" s="539">
        <f t="shared" si="14"/>
        <v>1472</v>
      </c>
      <c r="G92" s="100">
        <f t="shared" si="14"/>
        <v>1553</v>
      </c>
      <c r="H92" s="100">
        <f t="shared" si="14"/>
        <v>1578</v>
      </c>
      <c r="I92" s="100">
        <f t="shared" si="14"/>
        <v>1589</v>
      </c>
      <c r="J92" s="101">
        <f t="shared" si="14"/>
        <v>1612</v>
      </c>
      <c r="K92" s="104">
        <f t="shared" si="14"/>
        <v>1639</v>
      </c>
      <c r="L92" s="540">
        <f t="shared" si="14"/>
        <v>1668</v>
      </c>
      <c r="M92" s="100">
        <f t="shared" si="14"/>
        <v>1709</v>
      </c>
      <c r="N92" s="100">
        <f t="shared" si="14"/>
        <v>1752</v>
      </c>
      <c r="O92" s="100">
        <f t="shared" si="14"/>
        <v>1798</v>
      </c>
      <c r="P92" s="100">
        <f t="shared" si="14"/>
        <v>1846</v>
      </c>
      <c r="Q92" s="103">
        <f t="shared" si="14"/>
        <v>1896</v>
      </c>
      <c r="R92" s="576">
        <f t="shared" si="10"/>
        <v>1.8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26061.580136363635</v>
      </c>
      <c r="E93" s="543">
        <f t="shared" ref="E93:Q93" si="15">E77+E78+E80+E82+E84+E85+E88+E92</f>
        <v>26096.6</v>
      </c>
      <c r="F93" s="543">
        <f t="shared" si="15"/>
        <v>26201.359999999997</v>
      </c>
      <c r="G93" s="544">
        <f t="shared" si="15"/>
        <v>27212.830900000001</v>
      </c>
      <c r="H93" s="544">
        <f t="shared" si="15"/>
        <v>27688.796444999996</v>
      </c>
      <c r="I93" s="544">
        <f t="shared" si="15"/>
        <v>28994.593103140003</v>
      </c>
      <c r="J93" s="545">
        <f t="shared" si="15"/>
        <v>28374.319014362503</v>
      </c>
      <c r="K93" s="546">
        <f t="shared" si="15"/>
        <v>29247.785915080625</v>
      </c>
      <c r="L93" s="547">
        <f t="shared" si="15"/>
        <v>30042.019210834656</v>
      </c>
      <c r="M93" s="544">
        <f t="shared" si="15"/>
        <v>30595.282712</v>
      </c>
      <c r="N93" s="544">
        <f t="shared" si="15"/>
        <v>31116.831952680001</v>
      </c>
      <c r="O93" s="544">
        <f t="shared" si="15"/>
        <v>31837.064403346591</v>
      </c>
      <c r="P93" s="544">
        <f t="shared" si="15"/>
        <v>32313.271848449753</v>
      </c>
      <c r="Q93" s="577">
        <f t="shared" si="15"/>
        <v>32728.165926176498</v>
      </c>
      <c r="R93" s="578">
        <f t="shared" si="10"/>
        <v>1.7</v>
      </c>
      <c r="S93" s="549">
        <f t="shared" si="11"/>
        <v>1.7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9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9" ht="13.5" customHeight="1">
      <c r="C98" s="617" t="s">
        <v>333</v>
      </c>
      <c r="E98" s="27"/>
      <c r="F98" s="27"/>
      <c r="G98" s="27"/>
      <c r="H98" s="27"/>
      <c r="I98" s="27"/>
      <c r="J98" s="27"/>
      <c r="K98" s="13"/>
      <c r="L98" s="13"/>
      <c r="M98" s="13"/>
      <c r="N98" s="13"/>
      <c r="O98" s="13"/>
      <c r="P98" s="13"/>
      <c r="Q98" s="13"/>
    </row>
    <row r="99" spans="3:19" ht="13.5" customHeight="1">
      <c r="E99" s="27"/>
      <c r="F99" s="27"/>
      <c r="G99" s="27"/>
      <c r="H99" s="24"/>
      <c r="I99" s="24"/>
      <c r="J99" s="26"/>
      <c r="K99" s="26"/>
      <c r="R99"/>
      <c r="S99"/>
    </row>
    <row r="100" spans="3:19" ht="13.5" customHeight="1">
      <c r="E100" s="27"/>
      <c r="F100" s="27"/>
      <c r="G100" s="27"/>
      <c r="H100" s="27"/>
      <c r="I100" s="27"/>
      <c r="J100" s="26"/>
      <c r="K100" s="26"/>
      <c r="R100"/>
      <c r="S100"/>
    </row>
    <row r="101" spans="3:19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9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9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9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9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9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9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9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9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9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9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9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13"/>
      <c r="L127" s="13"/>
      <c r="M127" s="13"/>
      <c r="N127" s="13"/>
      <c r="O127" s="13"/>
      <c r="P127" s="13"/>
      <c r="Q127" s="13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2"/>
      <c r="M146" s="22"/>
      <c r="N146" s="22"/>
      <c r="O146" s="22"/>
      <c r="P146" s="22"/>
      <c r="Q146" s="22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317" priority="5">
      <formula>CELL("protect",C97)=0</formula>
    </cfRule>
    <cfRule type="expression" dxfId="316" priority="6">
      <formula>CELL("protect",C97)=0</formula>
    </cfRule>
  </conditionalFormatting>
  <conditionalFormatting sqref="C95">
    <cfRule type="expression" dxfId="315" priority="3">
      <formula>CELL("protect",C95)=0</formula>
    </cfRule>
    <cfRule type="expression" dxfId="314" priority="4">
      <formula>CELL("protect",C95)=0</formula>
    </cfRule>
  </conditionalFormatting>
  <conditionalFormatting sqref="C97">
    <cfRule type="expression" dxfId="313" priority="1">
      <formula>CELL("protect",C97)=0</formula>
    </cfRule>
    <cfRule type="expression" dxfId="31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  <pageSetUpPr fitToPage="1"/>
  </sheetPr>
  <dimension ref="A1:AG182"/>
  <sheetViews>
    <sheetView showGridLines="0" view="pageBreakPreview" zoomScale="80" zoomScaleNormal="4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5" sqref="T5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16.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K1" t="s">
        <v>44</v>
      </c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6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1430</v>
      </c>
      <c r="E7" s="488">
        <v>1430</v>
      </c>
      <c r="F7" s="489">
        <v>1430</v>
      </c>
      <c r="G7" s="489">
        <v>1430</v>
      </c>
      <c r="H7" s="488">
        <v>1512</v>
      </c>
      <c r="I7" s="489">
        <v>1567</v>
      </c>
      <c r="J7" s="489">
        <v>1567</v>
      </c>
      <c r="K7" s="490">
        <v>1567</v>
      </c>
      <c r="L7" s="491">
        <v>1567</v>
      </c>
      <c r="M7" s="492">
        <v>1567</v>
      </c>
      <c r="N7" s="492">
        <v>1567</v>
      </c>
      <c r="O7" s="492">
        <v>1567</v>
      </c>
      <c r="P7" s="493">
        <v>1567</v>
      </c>
      <c r="Q7" s="490">
        <v>1567</v>
      </c>
      <c r="R7" s="572">
        <f>IF(D7=0,"     -",IF(K7=0,"     -",ROUND(((K7/D7)^(1/7)-1)*100,1)))</f>
        <v>1.3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1700</v>
      </c>
      <c r="E8" s="496">
        <v>1700</v>
      </c>
      <c r="F8" s="497">
        <v>1870</v>
      </c>
      <c r="G8" s="497">
        <v>1870</v>
      </c>
      <c r="H8" s="496">
        <v>1830</v>
      </c>
      <c r="I8" s="497">
        <v>1830</v>
      </c>
      <c r="J8" s="497">
        <v>1830</v>
      </c>
      <c r="K8" s="498">
        <v>1830</v>
      </c>
      <c r="L8" s="499">
        <v>1830</v>
      </c>
      <c r="M8" s="500">
        <v>1830</v>
      </c>
      <c r="N8" s="500">
        <v>1830</v>
      </c>
      <c r="O8" s="500">
        <v>1830</v>
      </c>
      <c r="P8" s="501">
        <v>1830</v>
      </c>
      <c r="Q8" s="498">
        <v>1830</v>
      </c>
      <c r="R8" s="573">
        <f t="shared" ref="R8:R71" si="0">IF(D8=0,"     -",IF(K8=0,"     -",ROUND(((K8/D8)^(1/7)-1)*100,1)))</f>
        <v>1.1000000000000001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0</v>
      </c>
      <c r="E9" s="496">
        <v>0</v>
      </c>
      <c r="F9" s="497">
        <v>0</v>
      </c>
      <c r="G9" s="497">
        <v>0</v>
      </c>
      <c r="H9" s="496">
        <v>0</v>
      </c>
      <c r="I9" s="497">
        <v>0</v>
      </c>
      <c r="J9" s="497">
        <v>0</v>
      </c>
      <c r="K9" s="502">
        <v>0</v>
      </c>
      <c r="L9" s="503">
        <v>0</v>
      </c>
      <c r="M9" s="496">
        <v>0</v>
      </c>
      <c r="N9" s="496">
        <v>0</v>
      </c>
      <c r="O9" s="496">
        <v>0</v>
      </c>
      <c r="P9" s="279">
        <v>0</v>
      </c>
      <c r="Q9" s="502">
        <v>0</v>
      </c>
      <c r="R9" s="573" t="str">
        <f t="shared" si="0"/>
        <v xml:space="preserve">     -</v>
      </c>
      <c r="S9" s="256" t="str">
        <f t="shared" si="1"/>
        <v xml:space="preserve">     -</v>
      </c>
      <c r="U9" s="280"/>
      <c r="V9" s="280"/>
      <c r="W9" s="280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17127</v>
      </c>
      <c r="E10" s="496">
        <v>19942</v>
      </c>
      <c r="F10" s="497">
        <v>21792</v>
      </c>
      <c r="G10" s="497">
        <v>24951</v>
      </c>
      <c r="H10" s="496">
        <v>24838</v>
      </c>
      <c r="I10" s="497">
        <v>24042</v>
      </c>
      <c r="J10" s="497">
        <v>23830</v>
      </c>
      <c r="K10" s="502">
        <v>22060</v>
      </c>
      <c r="L10" s="503">
        <v>23417</v>
      </c>
      <c r="M10" s="496">
        <v>23997</v>
      </c>
      <c r="N10" s="496">
        <v>24777</v>
      </c>
      <c r="O10" s="496">
        <v>25807</v>
      </c>
      <c r="P10" s="279">
        <v>26637</v>
      </c>
      <c r="Q10" s="502">
        <v>27567</v>
      </c>
      <c r="R10" s="573">
        <f t="shared" si="0"/>
        <v>3.7</v>
      </c>
      <c r="S10" s="256">
        <f t="shared" si="1"/>
        <v>3.3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895</v>
      </c>
      <c r="E11" s="496">
        <v>846</v>
      </c>
      <c r="F11" s="497">
        <v>846</v>
      </c>
      <c r="G11" s="497">
        <v>846</v>
      </c>
      <c r="H11" s="496">
        <v>846</v>
      </c>
      <c r="I11" s="497">
        <v>846</v>
      </c>
      <c r="J11" s="497">
        <v>846</v>
      </c>
      <c r="K11" s="502">
        <v>846</v>
      </c>
      <c r="L11" s="503">
        <v>846</v>
      </c>
      <c r="M11" s="496">
        <v>846</v>
      </c>
      <c r="N11" s="496">
        <v>846</v>
      </c>
      <c r="O11" s="496">
        <v>846</v>
      </c>
      <c r="P11" s="279">
        <v>846</v>
      </c>
      <c r="Q11" s="502">
        <v>846</v>
      </c>
      <c r="R11" s="573">
        <f t="shared" si="0"/>
        <v>-0.8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610</v>
      </c>
      <c r="E12" s="496">
        <v>610</v>
      </c>
      <c r="F12" s="497">
        <v>610</v>
      </c>
      <c r="G12" s="497">
        <v>610</v>
      </c>
      <c r="H12" s="496">
        <v>610</v>
      </c>
      <c r="I12" s="497">
        <v>860</v>
      </c>
      <c r="J12" s="497">
        <v>990</v>
      </c>
      <c r="K12" s="502">
        <v>990</v>
      </c>
      <c r="L12" s="503">
        <v>990</v>
      </c>
      <c r="M12" s="496">
        <v>990</v>
      </c>
      <c r="N12" s="496">
        <v>990</v>
      </c>
      <c r="O12" s="496">
        <v>990</v>
      </c>
      <c r="P12" s="279">
        <v>990</v>
      </c>
      <c r="Q12" s="502">
        <v>990</v>
      </c>
      <c r="R12" s="573">
        <f t="shared" si="0"/>
        <v>7.2</v>
      </c>
      <c r="S12" s="256">
        <f t="shared" si="1"/>
        <v>0</v>
      </c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1340</v>
      </c>
      <c r="E13" s="49">
        <v>1340</v>
      </c>
      <c r="F13" s="45">
        <v>1340</v>
      </c>
      <c r="G13" s="49">
        <v>1489</v>
      </c>
      <c r="H13" s="49">
        <v>1460</v>
      </c>
      <c r="I13" s="45">
        <v>1460</v>
      </c>
      <c r="J13" s="49">
        <v>1460</v>
      </c>
      <c r="K13" s="50">
        <v>1460</v>
      </c>
      <c r="L13" s="140">
        <v>1460</v>
      </c>
      <c r="M13" s="45">
        <v>1460</v>
      </c>
      <c r="N13" s="45">
        <v>1460</v>
      </c>
      <c r="O13" s="45">
        <v>1460</v>
      </c>
      <c r="P13" s="45">
        <v>1460</v>
      </c>
      <c r="Q13" s="50">
        <v>1460</v>
      </c>
      <c r="R13" s="573">
        <f t="shared" si="0"/>
        <v>1.2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120</v>
      </c>
      <c r="E15" s="49">
        <v>120</v>
      </c>
      <c r="F15" s="45">
        <v>120</v>
      </c>
      <c r="G15" s="49">
        <v>120</v>
      </c>
      <c r="H15" s="49">
        <v>120</v>
      </c>
      <c r="I15" s="45">
        <v>120</v>
      </c>
      <c r="J15" s="49">
        <v>120</v>
      </c>
      <c r="K15" s="50">
        <v>120</v>
      </c>
      <c r="L15" s="140">
        <v>120</v>
      </c>
      <c r="M15" s="45">
        <v>230</v>
      </c>
      <c r="N15" s="45">
        <v>230</v>
      </c>
      <c r="O15" s="45">
        <v>230</v>
      </c>
      <c r="P15" s="45">
        <v>230</v>
      </c>
      <c r="Q15" s="50">
        <v>230</v>
      </c>
      <c r="R15" s="573">
        <f t="shared" si="0"/>
        <v>0</v>
      </c>
      <c r="S15" s="256">
        <f t="shared" si="1"/>
        <v>13.9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280</v>
      </c>
      <c r="E16" s="496">
        <v>280</v>
      </c>
      <c r="F16" s="497">
        <v>280</v>
      </c>
      <c r="G16" s="497">
        <v>130</v>
      </c>
      <c r="H16" s="496">
        <v>130</v>
      </c>
      <c r="I16" s="497">
        <v>130</v>
      </c>
      <c r="J16" s="497">
        <v>130</v>
      </c>
      <c r="K16" s="502">
        <v>130</v>
      </c>
      <c r="L16" s="503">
        <v>130</v>
      </c>
      <c r="M16" s="496">
        <v>130</v>
      </c>
      <c r="N16" s="496">
        <v>130</v>
      </c>
      <c r="O16" s="496">
        <v>130</v>
      </c>
      <c r="P16" s="279">
        <v>130</v>
      </c>
      <c r="Q16" s="502">
        <v>130</v>
      </c>
      <c r="R16" s="573">
        <f t="shared" si="0"/>
        <v>-10.4</v>
      </c>
      <c r="S16" s="256">
        <f t="shared" si="1"/>
        <v>0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290</v>
      </c>
      <c r="E17" s="496">
        <v>300</v>
      </c>
      <c r="F17" s="497">
        <v>300</v>
      </c>
      <c r="G17" s="497">
        <v>300</v>
      </c>
      <c r="H17" s="496">
        <v>300</v>
      </c>
      <c r="I17" s="497">
        <v>300</v>
      </c>
      <c r="J17" s="497">
        <v>350</v>
      </c>
      <c r="K17" s="502">
        <v>350</v>
      </c>
      <c r="L17" s="503">
        <v>350</v>
      </c>
      <c r="M17" s="496">
        <v>350</v>
      </c>
      <c r="N17" s="496">
        <v>350</v>
      </c>
      <c r="O17" s="496">
        <v>350</v>
      </c>
      <c r="P17" s="279">
        <v>350</v>
      </c>
      <c r="Q17" s="502">
        <v>350</v>
      </c>
      <c r="R17" s="573">
        <f t="shared" si="0"/>
        <v>2.7</v>
      </c>
      <c r="S17" s="256">
        <f t="shared" si="1"/>
        <v>0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2115</v>
      </c>
      <c r="E18" s="40">
        <v>2005</v>
      </c>
      <c r="F18" s="40">
        <v>2005</v>
      </c>
      <c r="G18" s="40">
        <v>1997</v>
      </c>
      <c r="H18" s="40">
        <v>2009</v>
      </c>
      <c r="I18" s="505">
        <v>1929</v>
      </c>
      <c r="J18" s="506">
        <v>1929</v>
      </c>
      <c r="K18" s="507">
        <v>1929</v>
      </c>
      <c r="L18" s="508">
        <v>1929</v>
      </c>
      <c r="M18" s="505">
        <v>1929</v>
      </c>
      <c r="N18" s="505">
        <v>1849</v>
      </c>
      <c r="O18" s="505">
        <v>1769</v>
      </c>
      <c r="P18" s="505">
        <v>1769</v>
      </c>
      <c r="Q18" s="509">
        <v>1769</v>
      </c>
      <c r="R18" s="573">
        <f t="shared" si="0"/>
        <v>-1.3</v>
      </c>
      <c r="S18" s="256">
        <f t="shared" si="1"/>
        <v>-1.7</v>
      </c>
      <c r="U18" s="43"/>
      <c r="V18" s="43"/>
      <c r="W18" s="43"/>
      <c r="X18" s="43"/>
      <c r="Y18" s="330"/>
      <c r="Z18" s="330"/>
      <c r="AA18" s="330"/>
      <c r="AB18" s="330"/>
      <c r="AC18" s="330"/>
      <c r="AD18" s="330"/>
      <c r="AE18" s="330"/>
      <c r="AF18" s="330"/>
      <c r="AG18" s="330"/>
    </row>
    <row r="19" spans="1:33" ht="15.75" customHeight="1">
      <c r="A19" s="16"/>
      <c r="B19" s="674" t="s">
        <v>307</v>
      </c>
      <c r="C19" s="675"/>
      <c r="D19" s="95">
        <f>SUM(D7:D18)</f>
        <v>25907</v>
      </c>
      <c r="E19" s="93">
        <f t="shared" ref="E19:Q19" si="2">SUM(E7:E18)</f>
        <v>28573</v>
      </c>
      <c r="F19" s="93">
        <f t="shared" si="2"/>
        <v>30593</v>
      </c>
      <c r="G19" s="93">
        <f t="shared" si="2"/>
        <v>33743</v>
      </c>
      <c r="H19" s="93">
        <f t="shared" si="2"/>
        <v>33655</v>
      </c>
      <c r="I19" s="93">
        <f t="shared" si="2"/>
        <v>33084</v>
      </c>
      <c r="J19" s="93">
        <f t="shared" si="2"/>
        <v>33052</v>
      </c>
      <c r="K19" s="96">
        <f t="shared" si="2"/>
        <v>31282</v>
      </c>
      <c r="L19" s="95">
        <f t="shared" si="2"/>
        <v>32639</v>
      </c>
      <c r="M19" s="93">
        <f t="shared" si="2"/>
        <v>33329</v>
      </c>
      <c r="N19" s="93">
        <f t="shared" si="2"/>
        <v>34029</v>
      </c>
      <c r="O19" s="93">
        <f t="shared" si="2"/>
        <v>34979</v>
      </c>
      <c r="P19" s="93">
        <f t="shared" si="2"/>
        <v>35809</v>
      </c>
      <c r="Q19" s="96">
        <f t="shared" si="2"/>
        <v>36739</v>
      </c>
      <c r="R19" s="574">
        <f t="shared" si="0"/>
        <v>2.7</v>
      </c>
      <c r="S19" s="510">
        <f t="shared" si="1"/>
        <v>2.4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180</v>
      </c>
      <c r="E20" s="512">
        <v>180</v>
      </c>
      <c r="F20" s="512">
        <v>150</v>
      </c>
      <c r="G20" s="512">
        <v>150</v>
      </c>
      <c r="H20" s="512">
        <v>150</v>
      </c>
      <c r="I20" s="512">
        <v>150</v>
      </c>
      <c r="J20" s="513">
        <v>12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180</v>
      </c>
      <c r="E21" s="512">
        <v>180</v>
      </c>
      <c r="F21" s="512">
        <v>150</v>
      </c>
      <c r="G21" s="512">
        <v>150</v>
      </c>
      <c r="H21" s="512">
        <v>150</v>
      </c>
      <c r="I21" s="512">
        <v>150</v>
      </c>
      <c r="J21" s="513">
        <v>12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7642</v>
      </c>
      <c r="E22" s="496">
        <v>7772</v>
      </c>
      <c r="F22" s="496">
        <v>7783</v>
      </c>
      <c r="G22" s="496">
        <v>7510</v>
      </c>
      <c r="H22" s="496">
        <v>6933</v>
      </c>
      <c r="I22" s="496">
        <v>6943</v>
      </c>
      <c r="J22" s="515">
        <v>6943</v>
      </c>
      <c r="K22" s="502">
        <v>6923</v>
      </c>
      <c r="L22" s="503">
        <v>6923</v>
      </c>
      <c r="M22" s="496">
        <v>6923</v>
      </c>
      <c r="N22" s="496">
        <v>6923</v>
      </c>
      <c r="O22" s="512">
        <v>6923</v>
      </c>
      <c r="P22" s="512">
        <v>6923</v>
      </c>
      <c r="Q22" s="514">
        <v>6923</v>
      </c>
      <c r="R22" s="575">
        <f t="shared" si="0"/>
        <v>-1.4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6334</v>
      </c>
      <c r="E23" s="512">
        <v>6433</v>
      </c>
      <c r="F23" s="512">
        <v>6525</v>
      </c>
      <c r="G23" s="512">
        <v>6252</v>
      </c>
      <c r="H23" s="512">
        <v>5675</v>
      </c>
      <c r="I23" s="512">
        <v>5955</v>
      </c>
      <c r="J23" s="513">
        <v>5955</v>
      </c>
      <c r="K23" s="514">
        <v>5965</v>
      </c>
      <c r="L23" s="511">
        <v>5965</v>
      </c>
      <c r="M23" s="512">
        <v>5965</v>
      </c>
      <c r="N23" s="512">
        <v>5965</v>
      </c>
      <c r="O23" s="512">
        <v>5965</v>
      </c>
      <c r="P23" s="512">
        <v>5965</v>
      </c>
      <c r="Q23" s="514">
        <v>5965</v>
      </c>
      <c r="R23" s="574">
        <f t="shared" si="0"/>
        <v>-0.9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920</v>
      </c>
      <c r="E24" s="496">
        <v>1245</v>
      </c>
      <c r="F24" s="496">
        <v>1245</v>
      </c>
      <c r="G24" s="496">
        <v>1290</v>
      </c>
      <c r="H24" s="496">
        <v>1290</v>
      </c>
      <c r="I24" s="496">
        <v>1460</v>
      </c>
      <c r="J24" s="497">
        <v>1460</v>
      </c>
      <c r="K24" s="502">
        <v>1560</v>
      </c>
      <c r="L24" s="503">
        <v>1560</v>
      </c>
      <c r="M24" s="496">
        <v>1560</v>
      </c>
      <c r="N24" s="496">
        <v>1560</v>
      </c>
      <c r="O24" s="496">
        <v>1560</v>
      </c>
      <c r="P24" s="497">
        <v>1560</v>
      </c>
      <c r="Q24" s="502">
        <v>1560</v>
      </c>
      <c r="R24" s="574">
        <f t="shared" si="0"/>
        <v>7.8</v>
      </c>
      <c r="S24" s="510">
        <f t="shared" si="1"/>
        <v>0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400</v>
      </c>
      <c r="F25" s="518">
        <v>400</v>
      </c>
      <c r="G25" s="518">
        <v>400</v>
      </c>
      <c r="H25" s="518">
        <v>400</v>
      </c>
      <c r="I25" s="518">
        <v>415</v>
      </c>
      <c r="J25" s="519">
        <v>415</v>
      </c>
      <c r="K25" s="514">
        <v>415</v>
      </c>
      <c r="L25" s="511">
        <v>415</v>
      </c>
      <c r="M25" s="518">
        <v>415</v>
      </c>
      <c r="N25" s="518">
        <v>415</v>
      </c>
      <c r="O25" s="518">
        <v>415</v>
      </c>
      <c r="P25" s="519">
        <v>415</v>
      </c>
      <c r="Q25" s="514">
        <v>415</v>
      </c>
      <c r="R25" s="573" t="str">
        <f t="shared" si="0"/>
        <v xml:space="preserve">     -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413</v>
      </c>
      <c r="E26" s="518">
        <v>425</v>
      </c>
      <c r="F26" s="518">
        <v>590</v>
      </c>
      <c r="G26" s="518">
        <v>590</v>
      </c>
      <c r="H26" s="518">
        <v>590</v>
      </c>
      <c r="I26" s="518">
        <v>590</v>
      </c>
      <c r="J26" s="519">
        <v>790</v>
      </c>
      <c r="K26" s="514">
        <v>790</v>
      </c>
      <c r="L26" s="511">
        <v>790</v>
      </c>
      <c r="M26" s="518">
        <v>790</v>
      </c>
      <c r="N26" s="518">
        <v>790</v>
      </c>
      <c r="O26" s="518">
        <v>790</v>
      </c>
      <c r="P26" s="519">
        <v>790</v>
      </c>
      <c r="Q26" s="514">
        <v>790</v>
      </c>
      <c r="R26" s="574">
        <f t="shared" si="0"/>
        <v>9.6999999999999993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622</v>
      </c>
      <c r="E27" s="521">
        <v>934</v>
      </c>
      <c r="F27" s="521">
        <v>934</v>
      </c>
      <c r="G27" s="521">
        <v>900</v>
      </c>
      <c r="H27" s="521">
        <v>1260</v>
      </c>
      <c r="I27" s="521">
        <v>1260</v>
      </c>
      <c r="J27" s="522">
        <v>1020</v>
      </c>
      <c r="K27" s="523">
        <v>1320</v>
      </c>
      <c r="L27" s="520">
        <v>1320</v>
      </c>
      <c r="M27" s="521">
        <v>1420</v>
      </c>
      <c r="N27" s="521">
        <v>1420</v>
      </c>
      <c r="O27" s="521">
        <v>1420</v>
      </c>
      <c r="P27" s="522">
        <v>1420</v>
      </c>
      <c r="Q27" s="523">
        <v>1420</v>
      </c>
      <c r="R27" s="574">
        <f t="shared" si="0"/>
        <v>11.3</v>
      </c>
      <c r="S27" s="510">
        <f t="shared" si="1"/>
        <v>1.5</v>
      </c>
      <c r="U27" s="43"/>
      <c r="V27" s="43"/>
      <c r="W27" s="43"/>
      <c r="X27" s="43"/>
      <c r="Y27" s="43"/>
      <c r="Z27" s="337"/>
      <c r="AA27" s="337"/>
      <c r="AB27" s="337"/>
      <c r="AC27" s="337"/>
      <c r="AD27" s="337"/>
      <c r="AE27" s="337"/>
      <c r="AF27" s="337"/>
      <c r="AG27" s="337"/>
    </row>
    <row r="28" spans="1:33" ht="15" customHeight="1">
      <c r="A28" s="16"/>
      <c r="B28" s="672" t="s">
        <v>316</v>
      </c>
      <c r="C28" s="673"/>
      <c r="D28" s="524">
        <v>7591</v>
      </c>
      <c r="E28" s="525">
        <v>7591</v>
      </c>
      <c r="F28" s="525">
        <v>7591</v>
      </c>
      <c r="G28" s="526">
        <v>7591</v>
      </c>
      <c r="H28" s="526">
        <v>7591</v>
      </c>
      <c r="I28" s="496">
        <v>7903</v>
      </c>
      <c r="J28" s="497">
        <v>8016</v>
      </c>
      <c r="K28" s="498">
        <v>8969</v>
      </c>
      <c r="L28" s="527">
        <v>8969</v>
      </c>
      <c r="M28" s="528">
        <v>8969</v>
      </c>
      <c r="N28" s="528">
        <v>9259</v>
      </c>
      <c r="O28" s="528">
        <v>9259</v>
      </c>
      <c r="P28" s="528">
        <v>9259</v>
      </c>
      <c r="Q28" s="498">
        <v>9259</v>
      </c>
      <c r="R28" s="573">
        <f t="shared" si="0"/>
        <v>2.4</v>
      </c>
      <c r="S28" s="256">
        <f t="shared" si="1"/>
        <v>0.6</v>
      </c>
      <c r="U28" s="326"/>
      <c r="V28" s="326"/>
      <c r="W28" s="326"/>
      <c r="X28" s="338"/>
      <c r="Y28" s="338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273</v>
      </c>
      <c r="E29" s="525">
        <v>273</v>
      </c>
      <c r="F29" s="530">
        <v>273</v>
      </c>
      <c r="G29" s="531">
        <v>273</v>
      </c>
      <c r="H29" s="526">
        <v>273</v>
      </c>
      <c r="I29" s="497">
        <v>273</v>
      </c>
      <c r="J29" s="497">
        <v>273</v>
      </c>
      <c r="K29" s="498">
        <v>273</v>
      </c>
      <c r="L29" s="499">
        <v>273</v>
      </c>
      <c r="M29" s="532">
        <v>273</v>
      </c>
      <c r="N29" s="532">
        <v>273</v>
      </c>
      <c r="O29" s="532">
        <v>273</v>
      </c>
      <c r="P29" s="532">
        <v>273</v>
      </c>
      <c r="Q29" s="498">
        <v>273</v>
      </c>
      <c r="R29" s="573">
        <f t="shared" si="0"/>
        <v>0</v>
      </c>
      <c r="S29" s="256">
        <f t="shared" si="1"/>
        <v>0</v>
      </c>
      <c r="U29" s="326"/>
      <c r="V29" s="326"/>
      <c r="W29" s="326"/>
      <c r="X29" s="338"/>
      <c r="Y29" s="338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7864</v>
      </c>
      <c r="E30" s="92">
        <f t="shared" ref="E30:Q30" si="3">SUM(E28:E29)</f>
        <v>7864</v>
      </c>
      <c r="F30" s="92">
        <f t="shared" si="3"/>
        <v>7864</v>
      </c>
      <c r="G30" s="93">
        <f t="shared" si="3"/>
        <v>7864</v>
      </c>
      <c r="H30" s="93">
        <f t="shared" si="3"/>
        <v>7864</v>
      </c>
      <c r="I30" s="94">
        <f t="shared" si="3"/>
        <v>8176</v>
      </c>
      <c r="J30" s="94">
        <f t="shared" si="3"/>
        <v>8289</v>
      </c>
      <c r="K30" s="96">
        <f t="shared" si="3"/>
        <v>9242</v>
      </c>
      <c r="L30" s="95">
        <f t="shared" si="3"/>
        <v>9242</v>
      </c>
      <c r="M30" s="93">
        <f t="shared" si="3"/>
        <v>9242</v>
      </c>
      <c r="N30" s="93">
        <f t="shared" si="3"/>
        <v>9532</v>
      </c>
      <c r="O30" s="93">
        <f t="shared" si="3"/>
        <v>9532</v>
      </c>
      <c r="P30" s="93">
        <f t="shared" si="3"/>
        <v>9532</v>
      </c>
      <c r="Q30" s="96">
        <f t="shared" si="3"/>
        <v>9532</v>
      </c>
      <c r="R30" s="574">
        <f t="shared" si="0"/>
        <v>2.2999999999999998</v>
      </c>
      <c r="S30" s="510">
        <f t="shared" si="1"/>
        <v>0.6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820</v>
      </c>
      <c r="E31" s="525">
        <v>820</v>
      </c>
      <c r="F31" s="530">
        <v>820</v>
      </c>
      <c r="G31" s="531">
        <v>820</v>
      </c>
      <c r="H31" s="526">
        <v>820</v>
      </c>
      <c r="I31" s="497">
        <v>820</v>
      </c>
      <c r="J31" s="497">
        <v>820</v>
      </c>
      <c r="K31" s="498">
        <v>820</v>
      </c>
      <c r="L31" s="533">
        <v>820</v>
      </c>
      <c r="M31" s="534">
        <v>820</v>
      </c>
      <c r="N31" s="534">
        <v>820</v>
      </c>
      <c r="O31" s="534">
        <v>820</v>
      </c>
      <c r="P31" s="534">
        <v>820</v>
      </c>
      <c r="Q31" s="535">
        <v>820</v>
      </c>
      <c r="R31" s="573">
        <f t="shared" si="0"/>
        <v>0</v>
      </c>
      <c r="S31" s="256">
        <f t="shared" si="1"/>
        <v>0</v>
      </c>
      <c r="U31" s="326"/>
      <c r="V31" s="326"/>
      <c r="W31" s="326"/>
      <c r="X31" s="338"/>
      <c r="Y31" s="33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827</v>
      </c>
      <c r="E32" s="525">
        <v>795</v>
      </c>
      <c r="F32" s="530">
        <v>819</v>
      </c>
      <c r="G32" s="531">
        <v>819</v>
      </c>
      <c r="H32" s="526">
        <v>819</v>
      </c>
      <c r="I32" s="497">
        <v>1010</v>
      </c>
      <c r="J32" s="497">
        <v>1010</v>
      </c>
      <c r="K32" s="502">
        <v>1010</v>
      </c>
      <c r="L32" s="503">
        <v>1010</v>
      </c>
      <c r="M32" s="496">
        <v>1010</v>
      </c>
      <c r="N32" s="496">
        <v>1010</v>
      </c>
      <c r="O32" s="496">
        <v>1010</v>
      </c>
      <c r="P32" s="497">
        <v>1010</v>
      </c>
      <c r="Q32" s="502">
        <v>1010</v>
      </c>
      <c r="R32" s="573">
        <f t="shared" si="0"/>
        <v>2.9</v>
      </c>
      <c r="S32" s="256">
        <f t="shared" si="1"/>
        <v>0</v>
      </c>
      <c r="U32" s="326"/>
      <c r="V32" s="326"/>
      <c r="W32" s="326"/>
      <c r="X32" s="338"/>
      <c r="Y32" s="338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857</v>
      </c>
      <c r="E33" s="525">
        <v>857</v>
      </c>
      <c r="F33" s="530">
        <v>857</v>
      </c>
      <c r="G33" s="531">
        <v>857</v>
      </c>
      <c r="H33" s="526">
        <v>857</v>
      </c>
      <c r="I33" s="497">
        <v>857</v>
      </c>
      <c r="J33" s="497">
        <v>857</v>
      </c>
      <c r="K33" s="536">
        <v>857</v>
      </c>
      <c r="L33" s="537">
        <v>857</v>
      </c>
      <c r="M33" s="538">
        <v>857</v>
      </c>
      <c r="N33" s="538">
        <v>857</v>
      </c>
      <c r="O33" s="538">
        <v>857</v>
      </c>
      <c r="P33" s="515">
        <v>857</v>
      </c>
      <c r="Q33" s="502">
        <v>857</v>
      </c>
      <c r="R33" s="573">
        <f t="shared" si="0"/>
        <v>0</v>
      </c>
      <c r="S33" s="256">
        <f t="shared" si="1"/>
        <v>0</v>
      </c>
      <c r="U33" s="283"/>
      <c r="V33" s="283"/>
      <c r="W33" s="283"/>
      <c r="X33" s="283"/>
      <c r="Y33" s="28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2504</v>
      </c>
      <c r="E34" s="539">
        <f t="shared" ref="E34:Q34" si="4">SUM(E31:E33)</f>
        <v>2472</v>
      </c>
      <c r="F34" s="539">
        <f t="shared" si="4"/>
        <v>2496</v>
      </c>
      <c r="G34" s="100">
        <f t="shared" si="4"/>
        <v>2496</v>
      </c>
      <c r="H34" s="100">
        <f t="shared" si="4"/>
        <v>2496</v>
      </c>
      <c r="I34" s="100">
        <f t="shared" si="4"/>
        <v>2687</v>
      </c>
      <c r="J34" s="101">
        <f t="shared" si="4"/>
        <v>2687</v>
      </c>
      <c r="K34" s="104">
        <f t="shared" si="4"/>
        <v>2687</v>
      </c>
      <c r="L34" s="540">
        <f t="shared" si="4"/>
        <v>2687</v>
      </c>
      <c r="M34" s="100">
        <f t="shared" si="4"/>
        <v>2687</v>
      </c>
      <c r="N34" s="100">
        <f t="shared" si="4"/>
        <v>2687</v>
      </c>
      <c r="O34" s="100">
        <f t="shared" si="4"/>
        <v>2687</v>
      </c>
      <c r="P34" s="100">
        <f t="shared" si="4"/>
        <v>2687</v>
      </c>
      <c r="Q34" s="103">
        <f t="shared" si="4"/>
        <v>2687</v>
      </c>
      <c r="R34" s="576">
        <f t="shared" si="0"/>
        <v>1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46052</v>
      </c>
      <c r="E35" s="543">
        <f t="shared" ref="E35:Q35" si="5">E19+E20+E22+E24+E26+E27+E30+E34</f>
        <v>49465</v>
      </c>
      <c r="F35" s="543">
        <f t="shared" si="5"/>
        <v>51655</v>
      </c>
      <c r="G35" s="544">
        <f t="shared" si="5"/>
        <v>54543</v>
      </c>
      <c r="H35" s="544">
        <f t="shared" si="5"/>
        <v>54238</v>
      </c>
      <c r="I35" s="544">
        <f t="shared" si="5"/>
        <v>54350</v>
      </c>
      <c r="J35" s="545">
        <f t="shared" si="5"/>
        <v>54253</v>
      </c>
      <c r="K35" s="546">
        <f t="shared" si="5"/>
        <v>53804</v>
      </c>
      <c r="L35" s="547">
        <f t="shared" si="5"/>
        <v>55161</v>
      </c>
      <c r="M35" s="544">
        <f t="shared" si="5"/>
        <v>55951</v>
      </c>
      <c r="N35" s="544">
        <f t="shared" si="5"/>
        <v>56941</v>
      </c>
      <c r="O35" s="544">
        <f t="shared" si="5"/>
        <v>57891</v>
      </c>
      <c r="P35" s="544">
        <f t="shared" si="5"/>
        <v>58721</v>
      </c>
      <c r="Q35" s="577">
        <f t="shared" si="5"/>
        <v>59651</v>
      </c>
      <c r="R35" s="578">
        <f t="shared" si="0"/>
        <v>2.2000000000000002</v>
      </c>
      <c r="S35" s="549">
        <f t="shared" si="1"/>
        <v>1.6</v>
      </c>
    </row>
    <row r="36" spans="1:33" ht="15" customHeight="1">
      <c r="A36" s="613" t="s">
        <v>324</v>
      </c>
      <c r="B36" s="666" t="s">
        <v>433</v>
      </c>
      <c r="C36" s="667"/>
      <c r="D36" s="487">
        <v>1404</v>
      </c>
      <c r="E36" s="488">
        <v>1430</v>
      </c>
      <c r="F36" s="489">
        <v>1489</v>
      </c>
      <c r="G36" s="489">
        <v>1410</v>
      </c>
      <c r="H36" s="488">
        <v>1363</v>
      </c>
      <c r="I36" s="489">
        <v>1472</v>
      </c>
      <c r="J36" s="550">
        <v>1549</v>
      </c>
      <c r="K36" s="490">
        <v>1601</v>
      </c>
      <c r="L36" s="491">
        <v>1550</v>
      </c>
      <c r="M36" s="492">
        <v>1550</v>
      </c>
      <c r="N36" s="492">
        <v>1550</v>
      </c>
      <c r="O36" s="492">
        <v>1600</v>
      </c>
      <c r="P36" s="493">
        <v>1600</v>
      </c>
      <c r="Q36" s="498">
        <v>1600</v>
      </c>
      <c r="R36" s="573">
        <f t="shared" si="0"/>
        <v>1.9</v>
      </c>
      <c r="S36" s="256">
        <f t="shared" si="1"/>
        <v>0.6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1432</v>
      </c>
      <c r="E37" s="496">
        <v>1411</v>
      </c>
      <c r="F37" s="497">
        <v>1520</v>
      </c>
      <c r="G37" s="497">
        <v>1621</v>
      </c>
      <c r="H37" s="496">
        <v>1515</v>
      </c>
      <c r="I37" s="497">
        <v>1608</v>
      </c>
      <c r="J37" s="551">
        <v>1641</v>
      </c>
      <c r="K37" s="498">
        <v>1683</v>
      </c>
      <c r="L37" s="499">
        <v>1650</v>
      </c>
      <c r="M37" s="500">
        <v>1650</v>
      </c>
      <c r="N37" s="500">
        <v>1650</v>
      </c>
      <c r="O37" s="500">
        <v>1700</v>
      </c>
      <c r="P37" s="501">
        <v>1700</v>
      </c>
      <c r="Q37" s="498">
        <v>1700</v>
      </c>
      <c r="R37" s="573">
        <f t="shared" si="0"/>
        <v>2.2999999999999998</v>
      </c>
      <c r="S37" s="256">
        <f t="shared" si="1"/>
        <v>0.6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0</v>
      </c>
      <c r="E38" s="496">
        <v>0</v>
      </c>
      <c r="F38" s="497">
        <v>0</v>
      </c>
      <c r="G38" s="497">
        <v>0</v>
      </c>
      <c r="H38" s="496">
        <v>0</v>
      </c>
      <c r="I38" s="497">
        <v>0</v>
      </c>
      <c r="J38" s="497">
        <v>0</v>
      </c>
      <c r="K38" s="502">
        <v>0</v>
      </c>
      <c r="L38" s="503">
        <v>0</v>
      </c>
      <c r="M38" s="496">
        <v>0</v>
      </c>
      <c r="N38" s="496">
        <v>0</v>
      </c>
      <c r="O38" s="496">
        <v>0</v>
      </c>
      <c r="P38" s="279">
        <v>0</v>
      </c>
      <c r="Q38" s="502">
        <v>0</v>
      </c>
      <c r="R38" s="573" t="str">
        <f t="shared" si="0"/>
        <v xml:space="preserve">     -</v>
      </c>
      <c r="S38" s="256" t="str">
        <f t="shared" si="1"/>
        <v xml:space="preserve">     -</v>
      </c>
      <c r="U38" s="280"/>
      <c r="V38" s="280"/>
      <c r="W38" s="280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11088</v>
      </c>
      <c r="E39" s="496">
        <v>13036</v>
      </c>
      <c r="F39" s="497">
        <v>14816</v>
      </c>
      <c r="G39" s="497">
        <v>15182</v>
      </c>
      <c r="H39" s="496">
        <v>16242</v>
      </c>
      <c r="I39" s="497">
        <v>16323</v>
      </c>
      <c r="J39" s="497">
        <v>17030</v>
      </c>
      <c r="K39" s="502">
        <v>17313</v>
      </c>
      <c r="L39" s="503">
        <v>18533</v>
      </c>
      <c r="M39" s="496">
        <v>19940</v>
      </c>
      <c r="N39" s="496">
        <v>21524</v>
      </c>
      <c r="O39" s="496">
        <v>22608</v>
      </c>
      <c r="P39" s="279">
        <v>23878</v>
      </c>
      <c r="Q39" s="502">
        <v>25187</v>
      </c>
      <c r="R39" s="573">
        <f t="shared" si="0"/>
        <v>6.6</v>
      </c>
      <c r="S39" s="256">
        <f t="shared" si="1"/>
        <v>6.3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830</v>
      </c>
      <c r="E40" s="496">
        <v>756</v>
      </c>
      <c r="F40" s="497">
        <v>756</v>
      </c>
      <c r="G40" s="497">
        <v>756</v>
      </c>
      <c r="H40" s="496">
        <v>688</v>
      </c>
      <c r="I40" s="497">
        <v>751</v>
      </c>
      <c r="J40" s="497">
        <v>757</v>
      </c>
      <c r="K40" s="502">
        <v>785</v>
      </c>
      <c r="L40" s="503">
        <v>810</v>
      </c>
      <c r="M40" s="496">
        <v>810</v>
      </c>
      <c r="N40" s="496">
        <v>810</v>
      </c>
      <c r="O40" s="496">
        <v>810</v>
      </c>
      <c r="P40" s="279">
        <v>810</v>
      </c>
      <c r="Q40" s="502">
        <v>810</v>
      </c>
      <c r="R40" s="573">
        <f t="shared" si="0"/>
        <v>-0.8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524.90409999999997</v>
      </c>
      <c r="E41" s="496">
        <v>464</v>
      </c>
      <c r="F41" s="497">
        <v>518</v>
      </c>
      <c r="G41" s="497">
        <v>518</v>
      </c>
      <c r="H41" s="496">
        <v>518</v>
      </c>
      <c r="I41" s="497">
        <v>600</v>
      </c>
      <c r="J41" s="497">
        <v>841.5</v>
      </c>
      <c r="K41" s="502">
        <v>841.5</v>
      </c>
      <c r="L41" s="503">
        <v>841.5</v>
      </c>
      <c r="M41" s="496">
        <v>841.5</v>
      </c>
      <c r="N41" s="496">
        <v>841.5</v>
      </c>
      <c r="O41" s="496">
        <v>841.5</v>
      </c>
      <c r="P41" s="279">
        <v>842</v>
      </c>
      <c r="Q41" s="502">
        <v>842</v>
      </c>
      <c r="R41" s="573">
        <f t="shared" si="0"/>
        <v>7</v>
      </c>
      <c r="S41" s="256">
        <f t="shared" si="1"/>
        <v>0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1216</v>
      </c>
      <c r="E42" s="49">
        <v>1250</v>
      </c>
      <c r="F42" s="45">
        <v>1135</v>
      </c>
      <c r="G42" s="49">
        <v>1406</v>
      </c>
      <c r="H42" s="49">
        <v>1400</v>
      </c>
      <c r="I42" s="45">
        <v>1400</v>
      </c>
      <c r="J42" s="49">
        <v>1400</v>
      </c>
      <c r="K42" s="50">
        <v>1400</v>
      </c>
      <c r="L42" s="504">
        <v>1400</v>
      </c>
      <c r="M42" s="45">
        <v>1400</v>
      </c>
      <c r="N42" s="45">
        <v>1400</v>
      </c>
      <c r="O42" s="45">
        <v>1400</v>
      </c>
      <c r="P42" s="49">
        <v>1400</v>
      </c>
      <c r="Q42" s="50">
        <v>1400</v>
      </c>
      <c r="R42" s="573">
        <f t="shared" si="0"/>
        <v>2</v>
      </c>
      <c r="S42" s="256">
        <f t="shared" si="1"/>
        <v>0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92</v>
      </c>
      <c r="E44" s="49">
        <v>66</v>
      </c>
      <c r="F44" s="45">
        <v>75</v>
      </c>
      <c r="G44" s="49">
        <v>96</v>
      </c>
      <c r="H44" s="49">
        <v>59</v>
      </c>
      <c r="I44" s="45">
        <v>100</v>
      </c>
      <c r="J44" s="49">
        <v>100</v>
      </c>
      <c r="K44" s="50">
        <v>100</v>
      </c>
      <c r="L44" s="504">
        <v>100</v>
      </c>
      <c r="M44" s="45">
        <v>155</v>
      </c>
      <c r="N44" s="45">
        <v>166</v>
      </c>
      <c r="O44" s="45">
        <v>177</v>
      </c>
      <c r="P44" s="45">
        <v>188</v>
      </c>
      <c r="Q44" s="51">
        <v>200</v>
      </c>
      <c r="R44" s="573">
        <f t="shared" si="0"/>
        <v>1.2</v>
      </c>
      <c r="S44" s="256">
        <f t="shared" si="1"/>
        <v>14.9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250</v>
      </c>
      <c r="E45" s="496">
        <v>253</v>
      </c>
      <c r="F45" s="497">
        <v>149</v>
      </c>
      <c r="G45" s="497">
        <v>103.53400000000002</v>
      </c>
      <c r="H45" s="496">
        <v>59.354000000000013</v>
      </c>
      <c r="I45" s="497">
        <v>65.178999999999974</v>
      </c>
      <c r="J45" s="497">
        <v>51</v>
      </c>
      <c r="K45" s="502">
        <v>74.683999999999997</v>
      </c>
      <c r="L45" s="503">
        <v>74.683999999999997</v>
      </c>
      <c r="M45" s="496">
        <v>74.683999999999997</v>
      </c>
      <c r="N45" s="496">
        <v>74.683999999999997</v>
      </c>
      <c r="O45" s="496">
        <v>74.683999999999997</v>
      </c>
      <c r="P45" s="279">
        <v>74.683999999999997</v>
      </c>
      <c r="Q45" s="502">
        <v>74.683999999999997</v>
      </c>
      <c r="R45" s="573">
        <f t="shared" si="0"/>
        <v>-15.9</v>
      </c>
      <c r="S45" s="256">
        <f t="shared" si="1"/>
        <v>0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290</v>
      </c>
      <c r="E46" s="496">
        <v>290</v>
      </c>
      <c r="F46" s="497">
        <v>290</v>
      </c>
      <c r="G46" s="497">
        <v>290</v>
      </c>
      <c r="H46" s="496">
        <v>290</v>
      </c>
      <c r="I46" s="497">
        <v>290</v>
      </c>
      <c r="J46" s="497">
        <v>350</v>
      </c>
      <c r="K46" s="502">
        <v>340</v>
      </c>
      <c r="L46" s="503">
        <v>350</v>
      </c>
      <c r="M46" s="496">
        <v>350</v>
      </c>
      <c r="N46" s="496">
        <v>350</v>
      </c>
      <c r="O46" s="496">
        <v>350</v>
      </c>
      <c r="P46" s="279">
        <v>350</v>
      </c>
      <c r="Q46" s="502">
        <v>350</v>
      </c>
      <c r="R46" s="573">
        <f t="shared" si="0"/>
        <v>2.2999999999999998</v>
      </c>
      <c r="S46" s="256">
        <f t="shared" si="1"/>
        <v>0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1749</v>
      </c>
      <c r="E47" s="496">
        <v>1528.5</v>
      </c>
      <c r="F47" s="497">
        <v>1331.9</v>
      </c>
      <c r="G47" s="497">
        <v>1486.6</v>
      </c>
      <c r="H47" s="496">
        <v>1476.7</v>
      </c>
      <c r="I47" s="497">
        <v>1646.1</v>
      </c>
      <c r="J47" s="497">
        <v>1650.9</v>
      </c>
      <c r="K47" s="502">
        <v>1705.9</v>
      </c>
      <c r="L47" s="503">
        <v>1690.3</v>
      </c>
      <c r="M47" s="496">
        <v>1650</v>
      </c>
      <c r="N47" s="496">
        <v>1610</v>
      </c>
      <c r="O47" s="496">
        <v>1600</v>
      </c>
      <c r="P47" s="497">
        <v>1600</v>
      </c>
      <c r="Q47" s="502">
        <v>1600</v>
      </c>
      <c r="R47" s="573">
        <f t="shared" si="0"/>
        <v>-0.4</v>
      </c>
      <c r="S47" s="256">
        <f t="shared" si="1"/>
        <v>-1.1000000000000001</v>
      </c>
      <c r="U47" s="43"/>
      <c r="V47" s="43"/>
      <c r="W47" s="43"/>
      <c r="X47" s="43"/>
      <c r="Y47" s="330"/>
      <c r="Z47" s="330"/>
      <c r="AA47" s="330"/>
      <c r="AB47" s="330"/>
      <c r="AC47" s="330"/>
      <c r="AD47" s="330"/>
      <c r="AE47" s="330"/>
      <c r="AF47" s="330"/>
      <c r="AG47" s="330"/>
    </row>
    <row r="48" spans="1:33" ht="15.75" customHeight="1">
      <c r="A48" s="16"/>
      <c r="B48" s="674" t="s">
        <v>307</v>
      </c>
      <c r="C48" s="675"/>
      <c r="D48" s="95">
        <f>SUM(D36:D47)</f>
        <v>18875.9041</v>
      </c>
      <c r="E48" s="93">
        <f t="shared" ref="E48:Q48" si="6">SUM(E36:E47)</f>
        <v>20484.5</v>
      </c>
      <c r="F48" s="93">
        <f t="shared" si="6"/>
        <v>22079.9</v>
      </c>
      <c r="G48" s="93">
        <f t="shared" si="6"/>
        <v>22869.133999999998</v>
      </c>
      <c r="H48" s="93">
        <f t="shared" si="6"/>
        <v>23611.054</v>
      </c>
      <c r="I48" s="93">
        <f t="shared" si="6"/>
        <v>24255.278999999999</v>
      </c>
      <c r="J48" s="93">
        <f t="shared" si="6"/>
        <v>25370.400000000001</v>
      </c>
      <c r="K48" s="96">
        <f t="shared" si="6"/>
        <v>25844.084000000003</v>
      </c>
      <c r="L48" s="95">
        <f t="shared" si="6"/>
        <v>26999.484</v>
      </c>
      <c r="M48" s="93">
        <f t="shared" si="6"/>
        <v>28421.184000000001</v>
      </c>
      <c r="N48" s="93">
        <f t="shared" si="6"/>
        <v>29976.184000000001</v>
      </c>
      <c r="O48" s="93">
        <f t="shared" si="6"/>
        <v>31161.184000000001</v>
      </c>
      <c r="P48" s="93">
        <f t="shared" si="6"/>
        <v>32442.684000000001</v>
      </c>
      <c r="Q48" s="96">
        <f t="shared" si="6"/>
        <v>33763.684000000001</v>
      </c>
      <c r="R48" s="574">
        <f t="shared" si="0"/>
        <v>4.5999999999999996</v>
      </c>
      <c r="S48" s="510">
        <f t="shared" si="1"/>
        <v>4.5999999999999996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150</v>
      </c>
      <c r="E49" s="512">
        <v>150</v>
      </c>
      <c r="F49" s="512">
        <v>140</v>
      </c>
      <c r="G49" s="512">
        <v>140</v>
      </c>
      <c r="H49" s="512">
        <v>140</v>
      </c>
      <c r="I49" s="512">
        <v>140</v>
      </c>
      <c r="J49" s="513">
        <v>12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150</v>
      </c>
      <c r="E50" s="512">
        <v>150</v>
      </c>
      <c r="F50" s="512">
        <v>140</v>
      </c>
      <c r="G50" s="512">
        <v>140</v>
      </c>
      <c r="H50" s="512">
        <v>140</v>
      </c>
      <c r="I50" s="512">
        <v>140</v>
      </c>
      <c r="J50" s="513">
        <v>12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6011</v>
      </c>
      <c r="E51" s="512">
        <v>6011</v>
      </c>
      <c r="F51" s="512">
        <v>5789</v>
      </c>
      <c r="G51" s="512">
        <v>5679</v>
      </c>
      <c r="H51" s="512">
        <v>5702</v>
      </c>
      <c r="I51" s="512">
        <v>5609</v>
      </c>
      <c r="J51" s="513">
        <v>5517</v>
      </c>
      <c r="K51" s="514">
        <v>5737</v>
      </c>
      <c r="L51" s="511">
        <v>5902</v>
      </c>
      <c r="M51" s="512">
        <v>5950</v>
      </c>
      <c r="N51" s="512">
        <v>6012</v>
      </c>
      <c r="O51" s="512">
        <v>6001</v>
      </c>
      <c r="P51" s="513">
        <v>6036</v>
      </c>
      <c r="Q51" s="514">
        <v>6024</v>
      </c>
      <c r="R51" s="574">
        <f t="shared" si="0"/>
        <v>-0.7</v>
      </c>
      <c r="S51" s="510">
        <f t="shared" si="1"/>
        <v>0.4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5394</v>
      </c>
      <c r="E52" s="512">
        <v>5433</v>
      </c>
      <c r="F52" s="512">
        <v>5085</v>
      </c>
      <c r="G52" s="512">
        <v>4960</v>
      </c>
      <c r="H52" s="512">
        <v>4994</v>
      </c>
      <c r="I52" s="512">
        <v>4862</v>
      </c>
      <c r="J52" s="513">
        <v>4877</v>
      </c>
      <c r="K52" s="514">
        <v>5029</v>
      </c>
      <c r="L52" s="511">
        <v>5142</v>
      </c>
      <c r="M52" s="512">
        <v>5187</v>
      </c>
      <c r="N52" s="512">
        <v>5241</v>
      </c>
      <c r="O52" s="512">
        <v>5221</v>
      </c>
      <c r="P52" s="513">
        <v>5237</v>
      </c>
      <c r="Q52" s="514">
        <v>5237</v>
      </c>
      <c r="R52" s="574">
        <f t="shared" si="0"/>
        <v>-1</v>
      </c>
      <c r="S52" s="510">
        <f t="shared" si="1"/>
        <v>0.4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644</v>
      </c>
      <c r="E53" s="496">
        <v>784</v>
      </c>
      <c r="F53" s="496">
        <v>807</v>
      </c>
      <c r="G53" s="496">
        <v>906</v>
      </c>
      <c r="H53" s="496">
        <v>918</v>
      </c>
      <c r="I53" s="496">
        <v>1230</v>
      </c>
      <c r="J53" s="497">
        <v>1215</v>
      </c>
      <c r="K53" s="502">
        <v>1240</v>
      </c>
      <c r="L53" s="503">
        <v>1270</v>
      </c>
      <c r="M53" s="496">
        <v>1300</v>
      </c>
      <c r="N53" s="496">
        <v>1310</v>
      </c>
      <c r="O53" s="496">
        <v>1395</v>
      </c>
      <c r="P53" s="497">
        <v>1415</v>
      </c>
      <c r="Q53" s="502">
        <v>1425</v>
      </c>
      <c r="R53" s="573">
        <f t="shared" si="0"/>
        <v>9.8000000000000007</v>
      </c>
      <c r="S53" s="256">
        <f t="shared" si="1"/>
        <v>2.2999999999999998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400</v>
      </c>
      <c r="F54" s="518">
        <v>400</v>
      </c>
      <c r="G54" s="518">
        <v>400</v>
      </c>
      <c r="H54" s="518">
        <v>400</v>
      </c>
      <c r="I54" s="518">
        <v>390</v>
      </c>
      <c r="J54" s="519">
        <v>410</v>
      </c>
      <c r="K54" s="514">
        <v>410</v>
      </c>
      <c r="L54" s="511">
        <v>410</v>
      </c>
      <c r="M54" s="518">
        <v>410</v>
      </c>
      <c r="N54" s="518">
        <v>410</v>
      </c>
      <c r="O54" s="518">
        <v>410</v>
      </c>
      <c r="P54" s="519">
        <v>410</v>
      </c>
      <c r="Q54" s="514">
        <v>410</v>
      </c>
      <c r="R54" s="574" t="str">
        <f t="shared" si="0"/>
        <v xml:space="preserve">     -</v>
      </c>
      <c r="S54" s="510">
        <f t="shared" si="1"/>
        <v>0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310</v>
      </c>
      <c r="E55" s="518">
        <v>310</v>
      </c>
      <c r="F55" s="518">
        <v>310</v>
      </c>
      <c r="G55" s="518">
        <v>310</v>
      </c>
      <c r="H55" s="518">
        <v>310</v>
      </c>
      <c r="I55" s="518">
        <v>390</v>
      </c>
      <c r="J55" s="519">
        <v>415</v>
      </c>
      <c r="K55" s="514">
        <v>468</v>
      </c>
      <c r="L55" s="511">
        <v>516</v>
      </c>
      <c r="M55" s="518">
        <v>564</v>
      </c>
      <c r="N55" s="518">
        <v>607</v>
      </c>
      <c r="O55" s="518">
        <v>650</v>
      </c>
      <c r="P55" s="519">
        <v>690</v>
      </c>
      <c r="Q55" s="514">
        <v>735</v>
      </c>
      <c r="R55" s="574">
        <f t="shared" si="0"/>
        <v>6.1</v>
      </c>
      <c r="S55" s="510">
        <f t="shared" si="1"/>
        <v>7.3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595</v>
      </c>
      <c r="E56" s="521">
        <v>660</v>
      </c>
      <c r="F56" s="521">
        <v>736.7</v>
      </c>
      <c r="G56" s="521">
        <v>616</v>
      </c>
      <c r="H56" s="521">
        <v>642</v>
      </c>
      <c r="I56" s="521">
        <v>785</v>
      </c>
      <c r="J56" s="522">
        <v>788.3</v>
      </c>
      <c r="K56" s="523">
        <v>965</v>
      </c>
      <c r="L56" s="520">
        <v>980.44</v>
      </c>
      <c r="M56" s="521">
        <v>993.18571999999995</v>
      </c>
      <c r="N56" s="521">
        <v>1008.0835057999999</v>
      </c>
      <c r="O56" s="521">
        <v>1023.2047583869997</v>
      </c>
      <c r="P56" s="522">
        <v>1038.5528297628045</v>
      </c>
      <c r="Q56" s="523">
        <v>1054.1311222092465</v>
      </c>
      <c r="R56" s="574">
        <f t="shared" si="0"/>
        <v>7.2</v>
      </c>
      <c r="S56" s="510">
        <f t="shared" si="1"/>
        <v>1.5</v>
      </c>
      <c r="U56" s="43"/>
      <c r="V56" s="43"/>
      <c r="W56" s="43"/>
      <c r="X56" s="43"/>
      <c r="Y56" s="43"/>
      <c r="Z56" s="339"/>
      <c r="AA56" s="339"/>
      <c r="AB56" s="339"/>
      <c r="AC56" s="339"/>
      <c r="AD56" s="339"/>
      <c r="AE56" s="339"/>
      <c r="AF56" s="339"/>
      <c r="AG56" s="339"/>
    </row>
    <row r="57" spans="1:33" ht="15" customHeight="1">
      <c r="A57" s="16"/>
      <c r="B57" s="672" t="s">
        <v>316</v>
      </c>
      <c r="C57" s="673"/>
      <c r="D57" s="553">
        <v>6181</v>
      </c>
      <c r="E57" s="526">
        <v>6831.9</v>
      </c>
      <c r="F57" s="530">
        <v>6831.9</v>
      </c>
      <c r="G57" s="497">
        <v>6831.9</v>
      </c>
      <c r="H57" s="496">
        <v>6831.9</v>
      </c>
      <c r="I57" s="497">
        <v>7147</v>
      </c>
      <c r="J57" s="551">
        <v>7214</v>
      </c>
      <c r="K57" s="554">
        <v>8072</v>
      </c>
      <c r="L57" s="527">
        <v>8072</v>
      </c>
      <c r="M57" s="528">
        <v>8072</v>
      </c>
      <c r="N57" s="528">
        <v>8333</v>
      </c>
      <c r="O57" s="528">
        <v>8333</v>
      </c>
      <c r="P57" s="500">
        <v>8333</v>
      </c>
      <c r="Q57" s="554">
        <v>8333</v>
      </c>
      <c r="R57" s="573">
        <f t="shared" si="0"/>
        <v>3.9</v>
      </c>
      <c r="S57" s="256">
        <f t="shared" si="1"/>
        <v>0.6</v>
      </c>
      <c r="U57" s="326"/>
      <c r="V57" s="326"/>
      <c r="W57" s="326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</row>
    <row r="58" spans="1:33" ht="15" customHeight="1">
      <c r="A58" s="16"/>
      <c r="B58" s="670" t="s">
        <v>317</v>
      </c>
      <c r="C58" s="671"/>
      <c r="D58" s="553">
        <v>177</v>
      </c>
      <c r="E58" s="526">
        <v>218</v>
      </c>
      <c r="F58" s="530">
        <v>250</v>
      </c>
      <c r="G58" s="497">
        <v>229</v>
      </c>
      <c r="H58" s="496">
        <v>235</v>
      </c>
      <c r="I58" s="497">
        <v>244</v>
      </c>
      <c r="J58" s="551">
        <v>252</v>
      </c>
      <c r="K58" s="498">
        <v>252</v>
      </c>
      <c r="L58" s="499">
        <v>252</v>
      </c>
      <c r="M58" s="532">
        <v>252</v>
      </c>
      <c r="N58" s="532">
        <v>252</v>
      </c>
      <c r="O58" s="532">
        <v>252</v>
      </c>
      <c r="P58" s="532">
        <v>252</v>
      </c>
      <c r="Q58" s="498">
        <v>252</v>
      </c>
      <c r="R58" s="573">
        <f t="shared" si="0"/>
        <v>5.2</v>
      </c>
      <c r="S58" s="256">
        <f t="shared" si="1"/>
        <v>0</v>
      </c>
      <c r="U58" s="326"/>
      <c r="V58" s="326"/>
      <c r="W58" s="326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</row>
    <row r="59" spans="1:33" ht="15.75" customHeight="1">
      <c r="A59" s="16"/>
      <c r="B59" s="674" t="s">
        <v>318</v>
      </c>
      <c r="C59" s="675"/>
      <c r="D59" s="95">
        <f>SUM(D57:D58)</f>
        <v>6358</v>
      </c>
      <c r="E59" s="92">
        <f t="shared" ref="E59:Q59" si="7">SUM(E57:E58)</f>
        <v>7049.9</v>
      </c>
      <c r="F59" s="92">
        <f t="shared" si="7"/>
        <v>7081.9</v>
      </c>
      <c r="G59" s="93">
        <f t="shared" si="7"/>
        <v>7060.9</v>
      </c>
      <c r="H59" s="93">
        <f t="shared" si="7"/>
        <v>7066.9</v>
      </c>
      <c r="I59" s="94">
        <f t="shared" si="7"/>
        <v>7391</v>
      </c>
      <c r="J59" s="94">
        <f t="shared" si="7"/>
        <v>7466</v>
      </c>
      <c r="K59" s="96">
        <f t="shared" si="7"/>
        <v>8324</v>
      </c>
      <c r="L59" s="555">
        <f t="shared" si="7"/>
        <v>8324</v>
      </c>
      <c r="M59" s="556">
        <f t="shared" si="7"/>
        <v>8324</v>
      </c>
      <c r="N59" s="556">
        <f t="shared" si="7"/>
        <v>8585</v>
      </c>
      <c r="O59" s="556">
        <f t="shared" si="7"/>
        <v>8585</v>
      </c>
      <c r="P59" s="556">
        <f t="shared" si="7"/>
        <v>8585</v>
      </c>
      <c r="Q59" s="227">
        <f t="shared" si="7"/>
        <v>8585</v>
      </c>
      <c r="R59" s="574">
        <f t="shared" si="0"/>
        <v>3.9</v>
      </c>
      <c r="S59" s="510">
        <f t="shared" si="1"/>
        <v>0.6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508.95000000000005</v>
      </c>
      <c r="E60" s="526">
        <v>508.95000000000005</v>
      </c>
      <c r="F60" s="530">
        <v>508.95000000000005</v>
      </c>
      <c r="G60" s="497">
        <v>508.95000000000005</v>
      </c>
      <c r="H60" s="496">
        <v>508.95000000000005</v>
      </c>
      <c r="I60" s="497">
        <v>705</v>
      </c>
      <c r="J60" s="551">
        <v>704.7</v>
      </c>
      <c r="K60" s="498">
        <v>704.7</v>
      </c>
      <c r="L60" s="533">
        <v>704.7</v>
      </c>
      <c r="M60" s="534">
        <v>704.7</v>
      </c>
      <c r="N60" s="534">
        <v>704.7</v>
      </c>
      <c r="O60" s="534">
        <v>704.7</v>
      </c>
      <c r="P60" s="534">
        <v>705</v>
      </c>
      <c r="Q60" s="535">
        <v>705</v>
      </c>
      <c r="R60" s="573">
        <f t="shared" si="0"/>
        <v>4.8</v>
      </c>
      <c r="S60" s="256">
        <f t="shared" si="1"/>
        <v>0</v>
      </c>
      <c r="U60" s="326"/>
      <c r="V60" s="326"/>
      <c r="W60" s="326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</row>
    <row r="61" spans="1:33" ht="15" customHeight="1">
      <c r="A61" s="16"/>
      <c r="B61" s="668" t="s">
        <v>320</v>
      </c>
      <c r="C61" s="669"/>
      <c r="D61" s="553">
        <v>691</v>
      </c>
      <c r="E61" s="526">
        <v>650</v>
      </c>
      <c r="F61" s="530">
        <v>670</v>
      </c>
      <c r="G61" s="497">
        <v>690</v>
      </c>
      <c r="H61" s="496">
        <v>697</v>
      </c>
      <c r="I61" s="497">
        <v>697</v>
      </c>
      <c r="J61" s="497">
        <v>714</v>
      </c>
      <c r="K61" s="502">
        <v>714</v>
      </c>
      <c r="L61" s="503">
        <v>714</v>
      </c>
      <c r="M61" s="496">
        <v>714</v>
      </c>
      <c r="N61" s="496">
        <v>714</v>
      </c>
      <c r="O61" s="496">
        <v>714</v>
      </c>
      <c r="P61" s="497">
        <v>714</v>
      </c>
      <c r="Q61" s="502">
        <v>714</v>
      </c>
      <c r="R61" s="573">
        <f t="shared" si="0"/>
        <v>0.5</v>
      </c>
      <c r="S61" s="256">
        <f t="shared" si="1"/>
        <v>0</v>
      </c>
      <c r="U61" s="326"/>
      <c r="V61" s="326"/>
      <c r="W61" s="326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</row>
    <row r="62" spans="1:33" ht="15" customHeight="1">
      <c r="A62" s="16"/>
      <c r="B62" s="670" t="s">
        <v>321</v>
      </c>
      <c r="C62" s="671"/>
      <c r="D62" s="553">
        <v>500</v>
      </c>
      <c r="E62" s="525">
        <v>634</v>
      </c>
      <c r="F62" s="530">
        <v>676</v>
      </c>
      <c r="G62" s="497">
        <v>700</v>
      </c>
      <c r="H62" s="496">
        <v>718</v>
      </c>
      <c r="I62" s="497">
        <v>589</v>
      </c>
      <c r="J62" s="497">
        <v>589</v>
      </c>
      <c r="K62" s="536">
        <v>589</v>
      </c>
      <c r="L62" s="537">
        <v>589</v>
      </c>
      <c r="M62" s="538">
        <v>589</v>
      </c>
      <c r="N62" s="538">
        <v>589</v>
      </c>
      <c r="O62" s="538">
        <v>589</v>
      </c>
      <c r="P62" s="515">
        <v>589</v>
      </c>
      <c r="Q62" s="536">
        <v>589</v>
      </c>
      <c r="R62" s="573">
        <f t="shared" si="0"/>
        <v>2.4</v>
      </c>
      <c r="S62" s="256">
        <f t="shared" si="1"/>
        <v>0</v>
      </c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1699.95</v>
      </c>
      <c r="E63" s="539">
        <f t="shared" ref="E63:Q63" si="8">SUM(E60:E62)</f>
        <v>1792.95</v>
      </c>
      <c r="F63" s="539">
        <f t="shared" si="8"/>
        <v>1854.95</v>
      </c>
      <c r="G63" s="100">
        <f t="shared" si="8"/>
        <v>1898.95</v>
      </c>
      <c r="H63" s="100">
        <f t="shared" si="8"/>
        <v>1923.95</v>
      </c>
      <c r="I63" s="100">
        <f t="shared" si="8"/>
        <v>1991</v>
      </c>
      <c r="J63" s="101">
        <f t="shared" si="8"/>
        <v>2007.7</v>
      </c>
      <c r="K63" s="104">
        <f t="shared" si="8"/>
        <v>2007.7</v>
      </c>
      <c r="L63" s="540">
        <f t="shared" si="8"/>
        <v>2007.7</v>
      </c>
      <c r="M63" s="100">
        <f t="shared" si="8"/>
        <v>2007.7</v>
      </c>
      <c r="N63" s="100">
        <f t="shared" si="8"/>
        <v>2007.7</v>
      </c>
      <c r="O63" s="100">
        <f t="shared" si="8"/>
        <v>2007.7</v>
      </c>
      <c r="P63" s="100">
        <f t="shared" si="8"/>
        <v>2008</v>
      </c>
      <c r="Q63" s="103">
        <f t="shared" si="8"/>
        <v>2008</v>
      </c>
      <c r="R63" s="576">
        <f t="shared" si="0"/>
        <v>2.4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34643.854099999997</v>
      </c>
      <c r="E64" s="543">
        <f t="shared" ref="E64:Q64" si="9">E48+E49+E51+E53+E55+E56+E59+E63</f>
        <v>37242.35</v>
      </c>
      <c r="F64" s="543">
        <f t="shared" si="9"/>
        <v>38799.449999999997</v>
      </c>
      <c r="G64" s="544">
        <f t="shared" si="9"/>
        <v>39479.983999999997</v>
      </c>
      <c r="H64" s="544">
        <f t="shared" si="9"/>
        <v>40313.903999999995</v>
      </c>
      <c r="I64" s="544">
        <f t="shared" si="9"/>
        <v>41791.278999999995</v>
      </c>
      <c r="J64" s="545">
        <f t="shared" si="9"/>
        <v>42791.4</v>
      </c>
      <c r="K64" s="546">
        <f t="shared" si="9"/>
        <v>44585.784</v>
      </c>
      <c r="L64" s="547">
        <f t="shared" si="9"/>
        <v>45999.623999999996</v>
      </c>
      <c r="M64" s="544">
        <f t="shared" si="9"/>
        <v>47560.06972</v>
      </c>
      <c r="N64" s="544">
        <f t="shared" si="9"/>
        <v>49505.967505799999</v>
      </c>
      <c r="O64" s="544">
        <f t="shared" si="9"/>
        <v>50823.088758386999</v>
      </c>
      <c r="P64" s="544">
        <f t="shared" si="9"/>
        <v>52215.236829762805</v>
      </c>
      <c r="Q64" s="577">
        <f t="shared" si="9"/>
        <v>53594.815122209249</v>
      </c>
      <c r="R64" s="579">
        <f t="shared" si="0"/>
        <v>3.7</v>
      </c>
      <c r="S64" s="558">
        <f t="shared" si="1"/>
        <v>3.1</v>
      </c>
    </row>
    <row r="65" spans="1:33" ht="15" customHeight="1">
      <c r="A65" s="616" t="s">
        <v>327</v>
      </c>
      <c r="B65" s="666" t="s">
        <v>433</v>
      </c>
      <c r="C65" s="667"/>
      <c r="D65" s="487">
        <v>850</v>
      </c>
      <c r="E65" s="488">
        <v>867</v>
      </c>
      <c r="F65" s="489">
        <v>823</v>
      </c>
      <c r="G65" s="559">
        <v>825</v>
      </c>
      <c r="H65" s="560">
        <v>887</v>
      </c>
      <c r="I65" s="559">
        <v>982</v>
      </c>
      <c r="J65" s="559">
        <v>1120</v>
      </c>
      <c r="K65" s="561">
        <v>1193</v>
      </c>
      <c r="L65" s="562">
        <v>1170</v>
      </c>
      <c r="M65" s="560">
        <v>1170</v>
      </c>
      <c r="N65" s="560">
        <v>1170</v>
      </c>
      <c r="O65" s="560">
        <v>1180</v>
      </c>
      <c r="P65" s="563">
        <v>1180</v>
      </c>
      <c r="Q65" s="561">
        <v>1200</v>
      </c>
      <c r="R65" s="573">
        <f t="shared" si="0"/>
        <v>5</v>
      </c>
      <c r="S65" s="256">
        <f t="shared" si="1"/>
        <v>0.5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629</v>
      </c>
      <c r="E66" s="525">
        <v>581</v>
      </c>
      <c r="F66" s="530">
        <v>542</v>
      </c>
      <c r="G66" s="497">
        <v>575</v>
      </c>
      <c r="H66" s="496">
        <v>567</v>
      </c>
      <c r="I66" s="497">
        <v>520</v>
      </c>
      <c r="J66" s="551">
        <v>518</v>
      </c>
      <c r="K66" s="498">
        <v>475</v>
      </c>
      <c r="L66" s="499">
        <v>520</v>
      </c>
      <c r="M66" s="500">
        <v>525</v>
      </c>
      <c r="N66" s="500">
        <v>525</v>
      </c>
      <c r="O66" s="500">
        <v>525</v>
      </c>
      <c r="P66" s="501">
        <v>530</v>
      </c>
      <c r="Q66" s="498">
        <v>530</v>
      </c>
      <c r="R66" s="573">
        <f t="shared" si="0"/>
        <v>-3.9</v>
      </c>
      <c r="S66" s="256">
        <f t="shared" si="1"/>
        <v>0.4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42</v>
      </c>
      <c r="E67" s="496">
        <v>37.057000000000002</v>
      </c>
      <c r="F67" s="497">
        <v>39.349000000000004</v>
      </c>
      <c r="G67" s="497">
        <v>36.509</v>
      </c>
      <c r="H67" s="496">
        <v>37.567760999999997</v>
      </c>
      <c r="I67" s="497">
        <v>33.888999999999996</v>
      </c>
      <c r="J67" s="497">
        <v>35</v>
      </c>
      <c r="K67" s="502">
        <v>43</v>
      </c>
      <c r="L67" s="503">
        <v>44</v>
      </c>
      <c r="M67" s="496">
        <v>46</v>
      </c>
      <c r="N67" s="496">
        <v>47</v>
      </c>
      <c r="O67" s="496">
        <v>48</v>
      </c>
      <c r="P67" s="497">
        <v>49</v>
      </c>
      <c r="Q67" s="502">
        <v>50</v>
      </c>
      <c r="R67" s="573">
        <f t="shared" si="0"/>
        <v>0.3</v>
      </c>
      <c r="S67" s="256">
        <f t="shared" si="1"/>
        <v>2.6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12280</v>
      </c>
      <c r="E68" s="496">
        <v>13850</v>
      </c>
      <c r="F68" s="497">
        <v>15500</v>
      </c>
      <c r="G68" s="497">
        <v>15540</v>
      </c>
      <c r="H68" s="496">
        <v>15850</v>
      </c>
      <c r="I68" s="497">
        <v>16400</v>
      </c>
      <c r="J68" s="497">
        <v>16750</v>
      </c>
      <c r="K68" s="502">
        <v>17250</v>
      </c>
      <c r="L68" s="503">
        <v>18300</v>
      </c>
      <c r="M68" s="496">
        <v>19370</v>
      </c>
      <c r="N68" s="496">
        <v>20565</v>
      </c>
      <c r="O68" s="496">
        <v>21575</v>
      </c>
      <c r="P68" s="279">
        <v>22709</v>
      </c>
      <c r="Q68" s="502">
        <v>23846</v>
      </c>
      <c r="R68" s="573">
        <f t="shared" si="0"/>
        <v>5</v>
      </c>
      <c r="S68" s="256">
        <f t="shared" si="1"/>
        <v>5.4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441</v>
      </c>
      <c r="E69" s="496">
        <v>470</v>
      </c>
      <c r="F69" s="497">
        <v>504</v>
      </c>
      <c r="G69" s="497">
        <v>441.084</v>
      </c>
      <c r="H69" s="496">
        <v>481.52799999999996</v>
      </c>
      <c r="I69" s="497">
        <v>524.846</v>
      </c>
      <c r="J69" s="497">
        <v>601</v>
      </c>
      <c r="K69" s="502">
        <v>433.887</v>
      </c>
      <c r="L69" s="503">
        <v>443.86640099999994</v>
      </c>
      <c r="M69" s="496">
        <v>452.4330225393</v>
      </c>
      <c r="N69" s="496">
        <v>460.7804118051501</v>
      </c>
      <c r="O69" s="496">
        <v>468.95926411469145</v>
      </c>
      <c r="P69" s="279">
        <v>477.16605123669859</v>
      </c>
      <c r="Q69" s="502">
        <v>485.65960694871183</v>
      </c>
      <c r="R69" s="573">
        <f t="shared" si="0"/>
        <v>-0.2</v>
      </c>
      <c r="S69" s="256">
        <f t="shared" si="1"/>
        <v>1.8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364</v>
      </c>
      <c r="E70" s="496">
        <v>386</v>
      </c>
      <c r="F70" s="497">
        <v>520</v>
      </c>
      <c r="G70" s="497">
        <v>520</v>
      </c>
      <c r="H70" s="496">
        <v>546</v>
      </c>
      <c r="I70" s="497">
        <v>573</v>
      </c>
      <c r="J70" s="497">
        <v>602</v>
      </c>
      <c r="K70" s="502">
        <v>670</v>
      </c>
      <c r="L70" s="503">
        <v>663</v>
      </c>
      <c r="M70" s="496">
        <v>697</v>
      </c>
      <c r="N70" s="496">
        <v>730</v>
      </c>
      <c r="O70" s="496">
        <v>770</v>
      </c>
      <c r="P70" s="279">
        <v>805</v>
      </c>
      <c r="Q70" s="502">
        <v>845</v>
      </c>
      <c r="R70" s="573">
        <f t="shared" si="0"/>
        <v>9.1</v>
      </c>
      <c r="S70" s="256">
        <f t="shared" si="1"/>
        <v>5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1875</v>
      </c>
      <c r="E71" s="49">
        <v>1972</v>
      </c>
      <c r="F71" s="45">
        <v>2124</v>
      </c>
      <c r="G71" s="49">
        <v>2501</v>
      </c>
      <c r="H71" s="49">
        <v>2550</v>
      </c>
      <c r="I71" s="45">
        <v>2500</v>
      </c>
      <c r="J71" s="49">
        <v>2936</v>
      </c>
      <c r="K71" s="50">
        <v>2900</v>
      </c>
      <c r="L71" s="140">
        <v>3000</v>
      </c>
      <c r="M71" s="45">
        <v>3200</v>
      </c>
      <c r="N71" s="45">
        <v>3400</v>
      </c>
      <c r="O71" s="45">
        <v>3600</v>
      </c>
      <c r="P71" s="45">
        <v>3800</v>
      </c>
      <c r="Q71" s="50">
        <v>3800</v>
      </c>
      <c r="R71" s="573">
        <f t="shared" si="0"/>
        <v>6.4</v>
      </c>
      <c r="S71" s="256">
        <f t="shared" si="1"/>
        <v>4.8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110</v>
      </c>
      <c r="E73" s="49">
        <v>89</v>
      </c>
      <c r="F73" s="45">
        <v>107.48</v>
      </c>
      <c r="G73" s="49">
        <v>126</v>
      </c>
      <c r="H73" s="49">
        <v>107</v>
      </c>
      <c r="I73" s="45">
        <v>113.42</v>
      </c>
      <c r="J73" s="49">
        <v>124</v>
      </c>
      <c r="K73" s="50">
        <v>137</v>
      </c>
      <c r="L73" s="140">
        <v>150</v>
      </c>
      <c r="M73" s="45">
        <v>165</v>
      </c>
      <c r="N73" s="45">
        <v>182</v>
      </c>
      <c r="O73" s="45">
        <v>200</v>
      </c>
      <c r="P73" s="45">
        <v>220</v>
      </c>
      <c r="Q73" s="50">
        <v>242</v>
      </c>
      <c r="R73" s="573">
        <f t="shared" si="10"/>
        <v>3.2</v>
      </c>
      <c r="S73" s="256">
        <f t="shared" si="11"/>
        <v>10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160</v>
      </c>
      <c r="E74" s="496">
        <v>160</v>
      </c>
      <c r="F74" s="497">
        <v>188</v>
      </c>
      <c r="G74" s="497">
        <v>230</v>
      </c>
      <c r="H74" s="496">
        <v>230</v>
      </c>
      <c r="I74" s="497">
        <v>230</v>
      </c>
      <c r="J74" s="497">
        <v>250</v>
      </c>
      <c r="K74" s="502">
        <v>254</v>
      </c>
      <c r="L74" s="503">
        <v>265.93799999999999</v>
      </c>
      <c r="M74" s="496">
        <v>278.17114800000002</v>
      </c>
      <c r="N74" s="496">
        <v>291.52336310400005</v>
      </c>
      <c r="O74" s="496">
        <v>305.63309387823364</v>
      </c>
      <c r="P74" s="279">
        <v>320.42573562194013</v>
      </c>
      <c r="Q74" s="502">
        <v>335.93434122604202</v>
      </c>
      <c r="R74" s="573">
        <f t="shared" si="10"/>
        <v>6.8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250</v>
      </c>
      <c r="E75" s="496">
        <v>267</v>
      </c>
      <c r="F75" s="497">
        <v>285</v>
      </c>
      <c r="G75" s="497">
        <v>305</v>
      </c>
      <c r="H75" s="496">
        <v>325</v>
      </c>
      <c r="I75" s="497">
        <v>347</v>
      </c>
      <c r="J75" s="497">
        <v>369</v>
      </c>
      <c r="K75" s="502">
        <v>538</v>
      </c>
      <c r="L75" s="503">
        <v>578</v>
      </c>
      <c r="M75" s="496">
        <v>612</v>
      </c>
      <c r="N75" s="496">
        <v>648</v>
      </c>
      <c r="O75" s="496">
        <v>687</v>
      </c>
      <c r="P75" s="279">
        <v>728</v>
      </c>
      <c r="Q75" s="502">
        <v>771</v>
      </c>
      <c r="R75" s="573">
        <f t="shared" si="10"/>
        <v>11.6</v>
      </c>
      <c r="S75" s="256">
        <f t="shared" si="11"/>
        <v>5.9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1036.5999999999999</v>
      </c>
      <c r="E76" s="40">
        <v>1070.0999999999999</v>
      </c>
      <c r="F76" s="40">
        <v>1047.2</v>
      </c>
      <c r="G76" s="40">
        <v>1078.2</v>
      </c>
      <c r="H76" s="505">
        <v>1062.4000000000001</v>
      </c>
      <c r="I76" s="505">
        <v>1081.3</v>
      </c>
      <c r="J76" s="506">
        <v>1015.2</v>
      </c>
      <c r="K76" s="507">
        <v>1049.0999999999999</v>
      </c>
      <c r="L76" s="508">
        <v>1057.8</v>
      </c>
      <c r="M76" s="505">
        <v>1050</v>
      </c>
      <c r="N76" s="505">
        <v>1020</v>
      </c>
      <c r="O76" s="505">
        <v>1010</v>
      </c>
      <c r="P76" s="505">
        <v>1010</v>
      </c>
      <c r="Q76" s="509">
        <v>1010</v>
      </c>
      <c r="R76" s="573">
        <f t="shared" si="10"/>
        <v>0.2</v>
      </c>
      <c r="S76" s="256">
        <f t="shared" si="11"/>
        <v>-0.9</v>
      </c>
      <c r="U76" s="43"/>
      <c r="V76" s="43"/>
      <c r="W76" s="43"/>
      <c r="X76" s="43"/>
      <c r="Y76" s="330"/>
      <c r="Z76" s="330"/>
      <c r="AA76" s="330"/>
      <c r="AB76" s="330"/>
      <c r="AC76" s="330"/>
      <c r="AD76" s="330"/>
      <c r="AE76" s="330"/>
      <c r="AF76" s="330"/>
      <c r="AG76" s="330"/>
    </row>
    <row r="77" spans="1:33" ht="15.75" customHeight="1">
      <c r="A77" s="16"/>
      <c r="B77" s="674" t="s">
        <v>307</v>
      </c>
      <c r="C77" s="675"/>
      <c r="D77" s="95">
        <f>SUM(D65:D76)</f>
        <v>18037.599999999999</v>
      </c>
      <c r="E77" s="93">
        <f t="shared" ref="E77:Q77" si="12">SUM(E65:E76)</f>
        <v>19749.156999999999</v>
      </c>
      <c r="F77" s="93">
        <f t="shared" si="12"/>
        <v>21680.028999999999</v>
      </c>
      <c r="G77" s="93">
        <f t="shared" si="12"/>
        <v>22177.792999999998</v>
      </c>
      <c r="H77" s="93">
        <f t="shared" si="12"/>
        <v>22643.495760999998</v>
      </c>
      <c r="I77" s="93">
        <f t="shared" si="12"/>
        <v>23305.454999999998</v>
      </c>
      <c r="J77" s="93">
        <f t="shared" si="12"/>
        <v>24320.2</v>
      </c>
      <c r="K77" s="96">
        <f t="shared" si="12"/>
        <v>24942.986999999997</v>
      </c>
      <c r="L77" s="95">
        <f t="shared" si="12"/>
        <v>26192.604400999997</v>
      </c>
      <c r="M77" s="93">
        <f t="shared" si="12"/>
        <v>27565.6041705393</v>
      </c>
      <c r="N77" s="93">
        <f t="shared" si="12"/>
        <v>29039.303774909149</v>
      </c>
      <c r="O77" s="93">
        <f t="shared" si="12"/>
        <v>30369.592357992926</v>
      </c>
      <c r="P77" s="93">
        <f t="shared" si="12"/>
        <v>31828.591786858637</v>
      </c>
      <c r="Q77" s="96">
        <f t="shared" si="12"/>
        <v>33115.593948174755</v>
      </c>
      <c r="R77" s="574">
        <f t="shared" si="10"/>
        <v>4.7</v>
      </c>
      <c r="S77" s="510">
        <f t="shared" si="11"/>
        <v>4.8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335</v>
      </c>
      <c r="E78" s="512">
        <v>304</v>
      </c>
      <c r="F78" s="512">
        <v>175</v>
      </c>
      <c r="G78" s="512">
        <v>175</v>
      </c>
      <c r="H78" s="512">
        <v>185</v>
      </c>
      <c r="I78" s="512">
        <v>215</v>
      </c>
      <c r="J78" s="513">
        <v>200</v>
      </c>
      <c r="K78" s="514">
        <v>218</v>
      </c>
      <c r="L78" s="511">
        <v>230</v>
      </c>
      <c r="M78" s="512">
        <v>230</v>
      </c>
      <c r="N78" s="512">
        <v>232</v>
      </c>
      <c r="O78" s="512">
        <v>234</v>
      </c>
      <c r="P78" s="513">
        <v>236</v>
      </c>
      <c r="Q78" s="514">
        <v>238</v>
      </c>
      <c r="R78" s="574">
        <f t="shared" si="10"/>
        <v>-6</v>
      </c>
      <c r="S78" s="510">
        <f t="shared" si="11"/>
        <v>0.7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300</v>
      </c>
      <c r="E79" s="512">
        <v>304</v>
      </c>
      <c r="F79" s="512">
        <v>175</v>
      </c>
      <c r="G79" s="512">
        <v>175</v>
      </c>
      <c r="H79" s="512">
        <v>185</v>
      </c>
      <c r="I79" s="512">
        <v>215</v>
      </c>
      <c r="J79" s="513">
        <v>200</v>
      </c>
      <c r="K79" s="514">
        <v>218</v>
      </c>
      <c r="L79" s="511">
        <v>230</v>
      </c>
      <c r="M79" s="512">
        <v>230</v>
      </c>
      <c r="N79" s="512">
        <v>232</v>
      </c>
      <c r="O79" s="512">
        <v>234</v>
      </c>
      <c r="P79" s="513">
        <v>236</v>
      </c>
      <c r="Q79" s="514">
        <v>238</v>
      </c>
      <c r="R79" s="574">
        <f t="shared" si="10"/>
        <v>-4.5</v>
      </c>
      <c r="S79" s="510">
        <f t="shared" si="11"/>
        <v>0.7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6063</v>
      </c>
      <c r="E80" s="538">
        <v>5210</v>
      </c>
      <c r="F80" s="538">
        <v>4830</v>
      </c>
      <c r="G80" s="538">
        <v>4801</v>
      </c>
      <c r="H80" s="538">
        <v>4803.0663679999998</v>
      </c>
      <c r="I80" s="538">
        <v>4755.08</v>
      </c>
      <c r="J80" s="515">
        <v>4824.9341889999996</v>
      </c>
      <c r="K80" s="536">
        <v>4913</v>
      </c>
      <c r="L80" s="537">
        <v>5002.6366899999994</v>
      </c>
      <c r="M80" s="538">
        <v>5087.9970139999996</v>
      </c>
      <c r="N80" s="538">
        <v>5164.166048</v>
      </c>
      <c r="O80" s="538">
        <v>5240.508656</v>
      </c>
      <c r="P80" s="515">
        <v>5318.5273230000003</v>
      </c>
      <c r="Q80" s="536">
        <v>5398.9556940000002</v>
      </c>
      <c r="R80" s="575">
        <f t="shared" si="10"/>
        <v>-3</v>
      </c>
      <c r="S80" s="517">
        <f t="shared" si="11"/>
        <v>1.5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5345</v>
      </c>
      <c r="E81" s="512">
        <v>4342</v>
      </c>
      <c r="F81" s="512">
        <v>4081</v>
      </c>
      <c r="G81" s="512">
        <v>4020</v>
      </c>
      <c r="H81" s="512">
        <v>4061</v>
      </c>
      <c r="I81" s="512">
        <v>4050</v>
      </c>
      <c r="J81" s="513">
        <v>4091</v>
      </c>
      <c r="K81" s="514">
        <v>4159</v>
      </c>
      <c r="L81" s="511">
        <v>4218.3685299999997</v>
      </c>
      <c r="M81" s="512">
        <v>4266.1215679999996</v>
      </c>
      <c r="N81" s="512">
        <v>4314.160406</v>
      </c>
      <c r="O81" s="512">
        <v>4363.7558730000001</v>
      </c>
      <c r="P81" s="513">
        <v>4415.1994500000001</v>
      </c>
      <c r="Q81" s="514">
        <v>4469.7595719999999</v>
      </c>
      <c r="R81" s="574">
        <f t="shared" si="10"/>
        <v>-3.5</v>
      </c>
      <c r="S81" s="510">
        <f t="shared" si="11"/>
        <v>1.2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1310</v>
      </c>
      <c r="E82" s="496">
        <v>1330</v>
      </c>
      <c r="F82" s="496">
        <v>1360</v>
      </c>
      <c r="G82" s="496">
        <v>1430</v>
      </c>
      <c r="H82" s="496">
        <v>1530</v>
      </c>
      <c r="I82" s="496">
        <v>1613</v>
      </c>
      <c r="J82" s="497">
        <v>1656</v>
      </c>
      <c r="K82" s="502">
        <v>1714</v>
      </c>
      <c r="L82" s="503">
        <v>1780</v>
      </c>
      <c r="M82" s="496">
        <v>1851</v>
      </c>
      <c r="N82" s="496">
        <v>1929</v>
      </c>
      <c r="O82" s="496">
        <v>2007</v>
      </c>
      <c r="P82" s="497">
        <v>2088</v>
      </c>
      <c r="Q82" s="502">
        <v>2158</v>
      </c>
      <c r="R82" s="573">
        <f t="shared" si="10"/>
        <v>3.9</v>
      </c>
      <c r="S82" s="256">
        <f t="shared" si="11"/>
        <v>3.9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400</v>
      </c>
      <c r="E83" s="518">
        <v>400</v>
      </c>
      <c r="F83" s="518">
        <v>400</v>
      </c>
      <c r="G83" s="518">
        <v>400</v>
      </c>
      <c r="H83" s="518">
        <v>440</v>
      </c>
      <c r="I83" s="518">
        <v>490</v>
      </c>
      <c r="J83" s="519">
        <v>485</v>
      </c>
      <c r="K83" s="514">
        <v>490</v>
      </c>
      <c r="L83" s="511">
        <v>500</v>
      </c>
      <c r="M83" s="518">
        <v>515</v>
      </c>
      <c r="N83" s="518">
        <v>535</v>
      </c>
      <c r="O83" s="518">
        <v>555</v>
      </c>
      <c r="P83" s="519">
        <v>576</v>
      </c>
      <c r="Q83" s="514">
        <v>598</v>
      </c>
      <c r="R83" s="574">
        <f t="shared" si="10"/>
        <v>2.9</v>
      </c>
      <c r="S83" s="510">
        <f t="shared" si="11"/>
        <v>3.6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927</v>
      </c>
      <c r="E84" s="518">
        <v>923</v>
      </c>
      <c r="F84" s="518">
        <v>965</v>
      </c>
      <c r="G84" s="518">
        <v>1071</v>
      </c>
      <c r="H84" s="518">
        <v>1123.0994559999999</v>
      </c>
      <c r="I84" s="518">
        <v>1208</v>
      </c>
      <c r="J84" s="519">
        <v>1234</v>
      </c>
      <c r="K84" s="514">
        <v>1245</v>
      </c>
      <c r="L84" s="511">
        <v>1368</v>
      </c>
      <c r="M84" s="518">
        <v>1453</v>
      </c>
      <c r="N84" s="518">
        <v>1544</v>
      </c>
      <c r="O84" s="518">
        <v>1642</v>
      </c>
      <c r="P84" s="519">
        <v>1742</v>
      </c>
      <c r="Q84" s="514">
        <v>1850</v>
      </c>
      <c r="R84" s="574">
        <f t="shared" si="10"/>
        <v>4.3</v>
      </c>
      <c r="S84" s="510">
        <f t="shared" si="11"/>
        <v>6.2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1202</v>
      </c>
      <c r="E85" s="521">
        <v>1357</v>
      </c>
      <c r="F85" s="521">
        <v>1353.1</v>
      </c>
      <c r="G85" s="521">
        <v>1303.5999999999999</v>
      </c>
      <c r="H85" s="521">
        <v>1299</v>
      </c>
      <c r="I85" s="521">
        <v>1133</v>
      </c>
      <c r="J85" s="522">
        <v>1148.3</v>
      </c>
      <c r="K85" s="523">
        <v>1078</v>
      </c>
      <c r="L85" s="520">
        <v>1095.248</v>
      </c>
      <c r="M85" s="521">
        <v>1109.486224</v>
      </c>
      <c r="N85" s="521">
        <v>1126.1285173599999</v>
      </c>
      <c r="O85" s="521">
        <v>1143.0204451203999</v>
      </c>
      <c r="P85" s="522">
        <v>1160.1657517972058</v>
      </c>
      <c r="Q85" s="523">
        <v>1161</v>
      </c>
      <c r="R85" s="574">
        <f t="shared" si="10"/>
        <v>-1.5</v>
      </c>
      <c r="S85" s="510">
        <f t="shared" si="11"/>
        <v>1.2</v>
      </c>
      <c r="U85" s="280"/>
      <c r="V85" s="280"/>
      <c r="W85" s="43"/>
      <c r="X85" s="43"/>
      <c r="Y85" s="43"/>
      <c r="Z85" s="339"/>
      <c r="AA85" s="339"/>
      <c r="AB85" s="339"/>
      <c r="AC85" s="339"/>
      <c r="AD85" s="339"/>
      <c r="AE85" s="339"/>
      <c r="AF85" s="339"/>
      <c r="AG85" s="339"/>
    </row>
    <row r="86" spans="1:33" ht="15" customHeight="1">
      <c r="A86" s="16"/>
      <c r="B86" s="672" t="s">
        <v>316</v>
      </c>
      <c r="C86" s="673"/>
      <c r="D86" s="529">
        <v>4472</v>
      </c>
      <c r="E86" s="525">
        <v>4518</v>
      </c>
      <c r="F86" s="530">
        <v>4564</v>
      </c>
      <c r="G86" s="530">
        <v>4610</v>
      </c>
      <c r="H86" s="525">
        <v>4657</v>
      </c>
      <c r="I86" s="530">
        <v>4770</v>
      </c>
      <c r="J86" s="530">
        <v>4845</v>
      </c>
      <c r="K86" s="564">
        <v>4956</v>
      </c>
      <c r="L86" s="524">
        <v>5099</v>
      </c>
      <c r="M86" s="525">
        <v>5228</v>
      </c>
      <c r="N86" s="525">
        <v>5323</v>
      </c>
      <c r="O86" s="525">
        <v>5415</v>
      </c>
      <c r="P86" s="530">
        <v>5495</v>
      </c>
      <c r="Q86" s="564">
        <v>5571</v>
      </c>
      <c r="R86" s="573">
        <f t="shared" si="10"/>
        <v>1.5</v>
      </c>
      <c r="S86" s="256">
        <f t="shared" si="11"/>
        <v>1.8</v>
      </c>
      <c r="U86" s="280"/>
      <c r="V86" s="280"/>
      <c r="W86" s="280"/>
      <c r="X86" s="338"/>
      <c r="Y86" s="338"/>
      <c r="Z86" s="338"/>
      <c r="AA86" s="338"/>
      <c r="AB86" s="338"/>
      <c r="AC86" s="338"/>
      <c r="AD86" s="338"/>
      <c r="AE86" s="338"/>
      <c r="AF86" s="338"/>
      <c r="AG86" s="338"/>
    </row>
    <row r="87" spans="1:33" ht="15" customHeight="1">
      <c r="A87" s="16"/>
      <c r="B87" s="670" t="s">
        <v>317</v>
      </c>
      <c r="C87" s="671"/>
      <c r="D87" s="553">
        <v>464</v>
      </c>
      <c r="E87" s="525">
        <v>473</v>
      </c>
      <c r="F87" s="530">
        <v>483</v>
      </c>
      <c r="G87" s="530">
        <v>493</v>
      </c>
      <c r="H87" s="525">
        <v>505</v>
      </c>
      <c r="I87" s="530">
        <v>510</v>
      </c>
      <c r="J87" s="530">
        <v>516</v>
      </c>
      <c r="K87" s="564">
        <v>531</v>
      </c>
      <c r="L87" s="524">
        <v>542</v>
      </c>
      <c r="M87" s="525">
        <v>553</v>
      </c>
      <c r="N87" s="525">
        <v>563</v>
      </c>
      <c r="O87" s="525">
        <v>573</v>
      </c>
      <c r="P87" s="530">
        <v>582</v>
      </c>
      <c r="Q87" s="564">
        <v>591</v>
      </c>
      <c r="R87" s="573">
        <f t="shared" si="10"/>
        <v>1.9</v>
      </c>
      <c r="S87" s="256">
        <f t="shared" si="11"/>
        <v>1.7</v>
      </c>
      <c r="U87" s="280"/>
      <c r="V87" s="280"/>
      <c r="W87" s="280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</row>
    <row r="88" spans="1:33" ht="15.75" customHeight="1">
      <c r="A88" s="16"/>
      <c r="B88" s="674" t="s">
        <v>318</v>
      </c>
      <c r="C88" s="675"/>
      <c r="D88" s="95">
        <f>SUM(D86:D87)</f>
        <v>4936</v>
      </c>
      <c r="E88" s="92">
        <f t="shared" ref="E88:Q88" si="13">SUM(E86:E87)</f>
        <v>4991</v>
      </c>
      <c r="F88" s="92">
        <f t="shared" si="13"/>
        <v>5047</v>
      </c>
      <c r="G88" s="93">
        <f t="shared" si="13"/>
        <v>5103</v>
      </c>
      <c r="H88" s="93">
        <f t="shared" si="13"/>
        <v>5162</v>
      </c>
      <c r="I88" s="94">
        <f t="shared" si="13"/>
        <v>5280</v>
      </c>
      <c r="J88" s="94">
        <f t="shared" si="13"/>
        <v>5361</v>
      </c>
      <c r="K88" s="96">
        <f t="shared" si="13"/>
        <v>5487</v>
      </c>
      <c r="L88" s="95">
        <f t="shared" si="13"/>
        <v>5641</v>
      </c>
      <c r="M88" s="93">
        <f t="shared" si="13"/>
        <v>5781</v>
      </c>
      <c r="N88" s="93">
        <f t="shared" si="13"/>
        <v>5886</v>
      </c>
      <c r="O88" s="93">
        <f t="shared" si="13"/>
        <v>5988</v>
      </c>
      <c r="P88" s="93">
        <f t="shared" si="13"/>
        <v>6077</v>
      </c>
      <c r="Q88" s="96">
        <f t="shared" si="13"/>
        <v>6162</v>
      </c>
      <c r="R88" s="574">
        <f t="shared" si="10"/>
        <v>1.5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695</v>
      </c>
      <c r="E89" s="525">
        <v>709</v>
      </c>
      <c r="F89" s="530">
        <v>723</v>
      </c>
      <c r="G89" s="530">
        <v>738</v>
      </c>
      <c r="H89" s="525">
        <v>753</v>
      </c>
      <c r="I89" s="530">
        <v>690</v>
      </c>
      <c r="J89" s="530">
        <v>704</v>
      </c>
      <c r="K89" s="564">
        <v>718</v>
      </c>
      <c r="L89" s="565">
        <v>734</v>
      </c>
      <c r="M89" s="566">
        <v>753</v>
      </c>
      <c r="N89" s="566">
        <v>774</v>
      </c>
      <c r="O89" s="566">
        <v>796</v>
      </c>
      <c r="P89" s="566">
        <v>820</v>
      </c>
      <c r="Q89" s="567">
        <v>844</v>
      </c>
      <c r="R89" s="573">
        <f t="shared" si="10"/>
        <v>0.5</v>
      </c>
      <c r="S89" s="256">
        <f t="shared" si="11"/>
        <v>2.8</v>
      </c>
      <c r="U89" s="280"/>
      <c r="V89" s="280"/>
      <c r="W89" s="280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</row>
    <row r="90" spans="1:33" ht="15" customHeight="1">
      <c r="A90" s="16"/>
      <c r="B90" s="668" t="s">
        <v>320</v>
      </c>
      <c r="C90" s="669"/>
      <c r="D90" s="553">
        <v>932</v>
      </c>
      <c r="E90" s="525">
        <v>932</v>
      </c>
      <c r="F90" s="530">
        <v>932</v>
      </c>
      <c r="G90" s="530">
        <v>1020</v>
      </c>
      <c r="H90" s="525">
        <v>1020</v>
      </c>
      <c r="I90" s="530">
        <v>1020</v>
      </c>
      <c r="J90" s="530">
        <v>987</v>
      </c>
      <c r="K90" s="564">
        <v>998</v>
      </c>
      <c r="L90" s="524">
        <v>1012</v>
      </c>
      <c r="M90" s="525">
        <v>1036</v>
      </c>
      <c r="N90" s="525">
        <v>1060</v>
      </c>
      <c r="O90" s="525">
        <v>1084</v>
      </c>
      <c r="P90" s="530">
        <v>1108</v>
      </c>
      <c r="Q90" s="564">
        <v>1133</v>
      </c>
      <c r="R90" s="573">
        <f t="shared" si="10"/>
        <v>1</v>
      </c>
      <c r="S90" s="256">
        <f t="shared" si="11"/>
        <v>2.2999999999999998</v>
      </c>
      <c r="U90" s="280"/>
      <c r="V90" s="280"/>
      <c r="W90" s="280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</row>
    <row r="91" spans="1:33" ht="15" customHeight="1">
      <c r="A91" s="16"/>
      <c r="B91" s="670" t="s">
        <v>321</v>
      </c>
      <c r="C91" s="671"/>
      <c r="D91" s="553">
        <v>841</v>
      </c>
      <c r="E91" s="525">
        <v>841</v>
      </c>
      <c r="F91" s="530">
        <v>841</v>
      </c>
      <c r="G91" s="530">
        <v>841</v>
      </c>
      <c r="H91" s="525">
        <v>841</v>
      </c>
      <c r="I91" s="530">
        <v>841</v>
      </c>
      <c r="J91" s="530">
        <v>836</v>
      </c>
      <c r="K91" s="568">
        <v>846</v>
      </c>
      <c r="L91" s="569">
        <v>856</v>
      </c>
      <c r="M91" s="570">
        <v>875</v>
      </c>
      <c r="N91" s="570">
        <v>898</v>
      </c>
      <c r="O91" s="570">
        <v>922</v>
      </c>
      <c r="P91" s="571">
        <v>948</v>
      </c>
      <c r="Q91" s="568">
        <v>975</v>
      </c>
      <c r="R91" s="573">
        <f t="shared" si="10"/>
        <v>0.1</v>
      </c>
      <c r="S91" s="256">
        <f t="shared" si="11"/>
        <v>2.6</v>
      </c>
      <c r="U91" s="43"/>
      <c r="V91" s="43"/>
      <c r="W91" s="43"/>
      <c r="X91" s="340"/>
      <c r="Y91" s="340"/>
      <c r="Z91" s="340"/>
      <c r="AA91" s="340"/>
      <c r="AB91" s="340"/>
      <c r="AC91" s="340"/>
      <c r="AD91" s="340"/>
      <c r="AE91" s="340"/>
      <c r="AF91" s="340"/>
      <c r="AG91" s="340"/>
    </row>
    <row r="92" spans="1:33" ht="15.75" customHeight="1" thickBot="1">
      <c r="A92" s="16"/>
      <c r="B92" s="678" t="s">
        <v>322</v>
      </c>
      <c r="C92" s="679"/>
      <c r="D92" s="102">
        <f>SUM(D89:D91)</f>
        <v>2468</v>
      </c>
      <c r="E92" s="539">
        <f t="shared" ref="E92:Q92" si="14">SUM(E89:E91)</f>
        <v>2482</v>
      </c>
      <c r="F92" s="539">
        <f t="shared" si="14"/>
        <v>2496</v>
      </c>
      <c r="G92" s="100">
        <f t="shared" si="14"/>
        <v>2599</v>
      </c>
      <c r="H92" s="100">
        <f t="shared" si="14"/>
        <v>2614</v>
      </c>
      <c r="I92" s="100">
        <f t="shared" si="14"/>
        <v>2551</v>
      </c>
      <c r="J92" s="101">
        <f t="shared" si="14"/>
        <v>2527</v>
      </c>
      <c r="K92" s="104">
        <f t="shared" si="14"/>
        <v>2562</v>
      </c>
      <c r="L92" s="540">
        <f t="shared" si="14"/>
        <v>2602</v>
      </c>
      <c r="M92" s="100">
        <f t="shared" si="14"/>
        <v>2664</v>
      </c>
      <c r="N92" s="100">
        <f t="shared" si="14"/>
        <v>2732</v>
      </c>
      <c r="O92" s="100">
        <f t="shared" si="14"/>
        <v>2802</v>
      </c>
      <c r="P92" s="100">
        <f t="shared" si="14"/>
        <v>2876</v>
      </c>
      <c r="Q92" s="103">
        <f t="shared" si="14"/>
        <v>2952</v>
      </c>
      <c r="R92" s="576">
        <f t="shared" si="10"/>
        <v>0.5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35278.6</v>
      </c>
      <c r="E93" s="543">
        <f t="shared" ref="E93:Q93" si="15">E77+E78+E80+E82+E84+E85+E88+E92</f>
        <v>36346.156999999999</v>
      </c>
      <c r="F93" s="543">
        <f t="shared" si="15"/>
        <v>37906.129000000001</v>
      </c>
      <c r="G93" s="544">
        <f t="shared" si="15"/>
        <v>38660.392999999996</v>
      </c>
      <c r="H93" s="544">
        <f t="shared" si="15"/>
        <v>39359.661584999994</v>
      </c>
      <c r="I93" s="544">
        <f t="shared" si="15"/>
        <v>40060.534999999996</v>
      </c>
      <c r="J93" s="545">
        <f t="shared" si="15"/>
        <v>41271.434189</v>
      </c>
      <c r="K93" s="546">
        <f t="shared" si="15"/>
        <v>42159.986999999994</v>
      </c>
      <c r="L93" s="547">
        <f t="shared" si="15"/>
        <v>43911.489090999996</v>
      </c>
      <c r="M93" s="544">
        <f t="shared" si="15"/>
        <v>45742.087408539301</v>
      </c>
      <c r="N93" s="544">
        <f t="shared" si="15"/>
        <v>47652.598340269149</v>
      </c>
      <c r="O93" s="544">
        <f t="shared" si="15"/>
        <v>49426.121459113325</v>
      </c>
      <c r="P93" s="544">
        <f t="shared" si="15"/>
        <v>51326.28486165584</v>
      </c>
      <c r="Q93" s="577">
        <f t="shared" si="15"/>
        <v>53035.549642174752</v>
      </c>
      <c r="R93" s="578">
        <f t="shared" si="10"/>
        <v>2.6</v>
      </c>
      <c r="S93" s="549">
        <f t="shared" si="11"/>
        <v>3.8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7"/>
      <c r="L118" s="27"/>
      <c r="M118" s="27"/>
      <c r="N118" s="27"/>
      <c r="O118" s="27"/>
      <c r="P118" s="27"/>
      <c r="Q118" s="27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7"/>
      <c r="L121" s="27"/>
      <c r="M121" s="27"/>
      <c r="N121" s="27"/>
      <c r="O121" s="27"/>
      <c r="P121" s="27"/>
      <c r="Q121" s="27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311" priority="5">
      <formula>CELL("protect",C97)=0</formula>
    </cfRule>
    <cfRule type="expression" dxfId="310" priority="6">
      <formula>CELL("protect",C97)=0</formula>
    </cfRule>
  </conditionalFormatting>
  <conditionalFormatting sqref="C95">
    <cfRule type="expression" dxfId="309" priority="3">
      <formula>CELL("protect",C95)=0</formula>
    </cfRule>
    <cfRule type="expression" dxfId="308" priority="4">
      <formula>CELL("protect",C95)=0</formula>
    </cfRule>
  </conditionalFormatting>
  <conditionalFormatting sqref="C97">
    <cfRule type="expression" dxfId="307" priority="1">
      <formula>CELL("protect",C97)=0</formula>
    </cfRule>
    <cfRule type="expression" dxfId="30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 xml:space="preserve">&amp;C147
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  <pageSetUpPr fitToPage="1"/>
  </sheetPr>
  <dimension ref="A1:AG182"/>
  <sheetViews>
    <sheetView showGridLines="0" view="pageBreakPreview" zoomScale="80" zoomScaleNormal="4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7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1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1507</v>
      </c>
      <c r="E7" s="488">
        <v>1540</v>
      </c>
      <c r="F7" s="489">
        <v>1540</v>
      </c>
      <c r="G7" s="489">
        <v>1540</v>
      </c>
      <c r="H7" s="488">
        <v>1570</v>
      </c>
      <c r="I7" s="489">
        <v>1570</v>
      </c>
      <c r="J7" s="489">
        <v>1570</v>
      </c>
      <c r="K7" s="490">
        <v>1600</v>
      </c>
      <c r="L7" s="491">
        <v>1600</v>
      </c>
      <c r="M7" s="492">
        <v>1600</v>
      </c>
      <c r="N7" s="492">
        <v>1600</v>
      </c>
      <c r="O7" s="492">
        <v>1600</v>
      </c>
      <c r="P7" s="493">
        <v>1600</v>
      </c>
      <c r="Q7" s="490">
        <v>1600</v>
      </c>
      <c r="R7" s="572">
        <f>IF(D7=0,"     -",IF(K7=0,"     -",ROUND(((K7/D7)^(1/7)-1)*100,1)))</f>
        <v>0.9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2000</v>
      </c>
      <c r="E8" s="496">
        <v>2000</v>
      </c>
      <c r="F8" s="497">
        <v>2000</v>
      </c>
      <c r="G8" s="497">
        <v>2000</v>
      </c>
      <c r="H8" s="496">
        <v>2000</v>
      </c>
      <c r="I8" s="497">
        <v>2070</v>
      </c>
      <c r="J8" s="497">
        <v>2070</v>
      </c>
      <c r="K8" s="498">
        <v>2070</v>
      </c>
      <c r="L8" s="499">
        <v>2070</v>
      </c>
      <c r="M8" s="500">
        <v>2070</v>
      </c>
      <c r="N8" s="500">
        <v>2070</v>
      </c>
      <c r="O8" s="500">
        <v>2070</v>
      </c>
      <c r="P8" s="501">
        <v>2070</v>
      </c>
      <c r="Q8" s="498">
        <v>2070</v>
      </c>
      <c r="R8" s="573">
        <f t="shared" ref="R8:R71" si="0">IF(D8=0,"     -",IF(K8=0,"     -",ROUND(((K8/D8)^(1/7)-1)*100,1)))</f>
        <v>0.5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0</v>
      </c>
      <c r="E9" s="496">
        <v>0</v>
      </c>
      <c r="F9" s="497">
        <v>0</v>
      </c>
      <c r="G9" s="497">
        <v>0</v>
      </c>
      <c r="H9" s="496">
        <v>0</v>
      </c>
      <c r="I9" s="497">
        <v>0</v>
      </c>
      <c r="J9" s="497">
        <v>0</v>
      </c>
      <c r="K9" s="502">
        <v>0</v>
      </c>
      <c r="L9" s="503">
        <v>0</v>
      </c>
      <c r="M9" s="496">
        <v>0</v>
      </c>
      <c r="N9" s="496">
        <v>0</v>
      </c>
      <c r="O9" s="496">
        <v>0</v>
      </c>
      <c r="P9" s="279">
        <v>0</v>
      </c>
      <c r="Q9" s="502">
        <v>0</v>
      </c>
      <c r="R9" s="573" t="str">
        <f t="shared" si="0"/>
        <v xml:space="preserve">     -</v>
      </c>
      <c r="S9" s="256" t="str">
        <f t="shared" si="1"/>
        <v xml:space="preserve">     -</v>
      </c>
      <c r="U9" s="280"/>
      <c r="V9" s="280"/>
      <c r="W9" s="280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19293</v>
      </c>
      <c r="E10" s="496">
        <v>20814</v>
      </c>
      <c r="F10" s="497">
        <v>21979</v>
      </c>
      <c r="G10" s="497">
        <v>22459</v>
      </c>
      <c r="H10" s="496">
        <v>22419</v>
      </c>
      <c r="I10" s="497">
        <v>23147</v>
      </c>
      <c r="J10" s="497">
        <v>22933</v>
      </c>
      <c r="K10" s="502">
        <v>23256</v>
      </c>
      <c r="L10" s="503">
        <v>23621</v>
      </c>
      <c r="M10" s="496">
        <v>23621</v>
      </c>
      <c r="N10" s="496">
        <v>23821</v>
      </c>
      <c r="O10" s="496">
        <v>24471</v>
      </c>
      <c r="P10" s="279">
        <v>24921</v>
      </c>
      <c r="Q10" s="502">
        <v>25771</v>
      </c>
      <c r="R10" s="573">
        <f t="shared" si="0"/>
        <v>2.7</v>
      </c>
      <c r="S10" s="256">
        <f t="shared" si="1"/>
        <v>1.8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900</v>
      </c>
      <c r="E11" s="496">
        <v>900</v>
      </c>
      <c r="F11" s="497">
        <v>900</v>
      </c>
      <c r="G11" s="497">
        <v>900</v>
      </c>
      <c r="H11" s="496">
        <v>900</v>
      </c>
      <c r="I11" s="497">
        <v>900</v>
      </c>
      <c r="J11" s="497">
        <v>990</v>
      </c>
      <c r="K11" s="502">
        <v>990</v>
      </c>
      <c r="L11" s="503">
        <v>990</v>
      </c>
      <c r="M11" s="496">
        <v>990</v>
      </c>
      <c r="N11" s="496">
        <v>990</v>
      </c>
      <c r="O11" s="496">
        <v>990</v>
      </c>
      <c r="P11" s="279">
        <v>990</v>
      </c>
      <c r="Q11" s="502">
        <v>990</v>
      </c>
      <c r="R11" s="573">
        <f t="shared" si="0"/>
        <v>1.4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500</v>
      </c>
      <c r="E12" s="496">
        <v>500</v>
      </c>
      <c r="F12" s="497">
        <v>500</v>
      </c>
      <c r="G12" s="497">
        <v>500</v>
      </c>
      <c r="H12" s="496">
        <v>500</v>
      </c>
      <c r="I12" s="497">
        <v>900</v>
      </c>
      <c r="J12" s="497">
        <v>900</v>
      </c>
      <c r="K12" s="502">
        <v>900</v>
      </c>
      <c r="L12" s="503">
        <v>900</v>
      </c>
      <c r="M12" s="496">
        <v>900</v>
      </c>
      <c r="N12" s="496">
        <v>900</v>
      </c>
      <c r="O12" s="496">
        <v>900</v>
      </c>
      <c r="P12" s="279">
        <v>900</v>
      </c>
      <c r="Q12" s="502">
        <v>900</v>
      </c>
      <c r="R12" s="573">
        <f t="shared" si="0"/>
        <v>8.8000000000000007</v>
      </c>
      <c r="S12" s="256">
        <f t="shared" si="1"/>
        <v>0</v>
      </c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880</v>
      </c>
      <c r="E13" s="49">
        <v>869</v>
      </c>
      <c r="F13" s="45">
        <v>869</v>
      </c>
      <c r="G13" s="49">
        <v>993</v>
      </c>
      <c r="H13" s="49">
        <v>982</v>
      </c>
      <c r="I13" s="45">
        <v>982</v>
      </c>
      <c r="J13" s="49">
        <v>982</v>
      </c>
      <c r="K13" s="50">
        <v>982</v>
      </c>
      <c r="L13" s="140">
        <v>982</v>
      </c>
      <c r="M13" s="45">
        <v>982</v>
      </c>
      <c r="N13" s="45">
        <v>982</v>
      </c>
      <c r="O13" s="45">
        <v>982</v>
      </c>
      <c r="P13" s="45">
        <v>982</v>
      </c>
      <c r="Q13" s="50">
        <v>982</v>
      </c>
      <c r="R13" s="573">
        <f t="shared" si="0"/>
        <v>1.6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400</v>
      </c>
      <c r="E16" s="496">
        <v>400</v>
      </c>
      <c r="F16" s="497">
        <v>400</v>
      </c>
      <c r="G16" s="497">
        <v>400</v>
      </c>
      <c r="H16" s="496">
        <v>0</v>
      </c>
      <c r="I16" s="497">
        <v>0</v>
      </c>
      <c r="J16" s="497">
        <v>0</v>
      </c>
      <c r="K16" s="502">
        <v>0</v>
      </c>
      <c r="L16" s="503">
        <v>0</v>
      </c>
      <c r="M16" s="496">
        <v>0</v>
      </c>
      <c r="N16" s="496">
        <v>0</v>
      </c>
      <c r="O16" s="496">
        <v>0</v>
      </c>
      <c r="P16" s="279">
        <v>0</v>
      </c>
      <c r="Q16" s="502">
        <v>0</v>
      </c>
      <c r="R16" s="573" t="str">
        <f t="shared" si="0"/>
        <v xml:space="preserve">     -</v>
      </c>
      <c r="S16" s="256" t="str">
        <f t="shared" si="1"/>
        <v xml:space="preserve">     -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3515</v>
      </c>
      <c r="E18" s="40">
        <v>2574</v>
      </c>
      <c r="F18" s="40">
        <v>2574</v>
      </c>
      <c r="G18" s="40">
        <v>2574</v>
      </c>
      <c r="H18" s="40">
        <v>2574</v>
      </c>
      <c r="I18" s="505">
        <v>2774</v>
      </c>
      <c r="J18" s="506">
        <v>2774</v>
      </c>
      <c r="K18" s="507">
        <v>2774</v>
      </c>
      <c r="L18" s="508">
        <v>2774</v>
      </c>
      <c r="M18" s="505">
        <v>2774</v>
      </c>
      <c r="N18" s="505">
        <v>2774</v>
      </c>
      <c r="O18" s="505">
        <v>2774</v>
      </c>
      <c r="P18" s="505">
        <v>2774</v>
      </c>
      <c r="Q18" s="509">
        <v>2774</v>
      </c>
      <c r="R18" s="573">
        <f t="shared" si="0"/>
        <v>-3.3</v>
      </c>
      <c r="S18" s="256">
        <f t="shared" si="1"/>
        <v>0</v>
      </c>
      <c r="U18" s="43"/>
      <c r="V18" s="43"/>
      <c r="W18" s="43"/>
      <c r="X18" s="43"/>
      <c r="Y18" s="330"/>
      <c r="Z18" s="330"/>
      <c r="AA18" s="330"/>
      <c r="AB18" s="330"/>
      <c r="AC18" s="330"/>
      <c r="AD18" s="330"/>
      <c r="AE18" s="330"/>
      <c r="AF18" s="330"/>
      <c r="AG18" s="330"/>
    </row>
    <row r="19" spans="1:33" ht="15.75" customHeight="1">
      <c r="A19" s="16"/>
      <c r="B19" s="674" t="s">
        <v>307</v>
      </c>
      <c r="C19" s="675"/>
      <c r="D19" s="95">
        <f>SUM(D7:D18)</f>
        <v>28995</v>
      </c>
      <c r="E19" s="93">
        <f t="shared" ref="E19:Q19" si="2">SUM(E7:E18)</f>
        <v>29597</v>
      </c>
      <c r="F19" s="93">
        <f t="shared" si="2"/>
        <v>30762</v>
      </c>
      <c r="G19" s="93">
        <f t="shared" si="2"/>
        <v>31366</v>
      </c>
      <c r="H19" s="93">
        <f t="shared" si="2"/>
        <v>30945</v>
      </c>
      <c r="I19" s="93">
        <f t="shared" si="2"/>
        <v>32343</v>
      </c>
      <c r="J19" s="93">
        <f t="shared" si="2"/>
        <v>32219</v>
      </c>
      <c r="K19" s="96">
        <f t="shared" si="2"/>
        <v>32572</v>
      </c>
      <c r="L19" s="95">
        <f t="shared" si="2"/>
        <v>32937</v>
      </c>
      <c r="M19" s="93">
        <f t="shared" si="2"/>
        <v>32937</v>
      </c>
      <c r="N19" s="93">
        <f t="shared" si="2"/>
        <v>33137</v>
      </c>
      <c r="O19" s="93">
        <f t="shared" si="2"/>
        <v>33787</v>
      </c>
      <c r="P19" s="93">
        <f t="shared" si="2"/>
        <v>34237</v>
      </c>
      <c r="Q19" s="96">
        <f t="shared" si="2"/>
        <v>35087</v>
      </c>
      <c r="R19" s="574">
        <f t="shared" si="0"/>
        <v>1.7</v>
      </c>
      <c r="S19" s="510">
        <f t="shared" si="1"/>
        <v>1.3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7871</v>
      </c>
      <c r="E22" s="496">
        <v>7535</v>
      </c>
      <c r="F22" s="496">
        <v>7534</v>
      </c>
      <c r="G22" s="496">
        <v>7181</v>
      </c>
      <c r="H22" s="496">
        <v>7181</v>
      </c>
      <c r="I22" s="496">
        <v>7241</v>
      </c>
      <c r="J22" s="515">
        <v>7071</v>
      </c>
      <c r="K22" s="502">
        <v>7071</v>
      </c>
      <c r="L22" s="503">
        <v>7071</v>
      </c>
      <c r="M22" s="496">
        <v>7071</v>
      </c>
      <c r="N22" s="496">
        <v>7171</v>
      </c>
      <c r="O22" s="512">
        <v>7271</v>
      </c>
      <c r="P22" s="512">
        <v>7271</v>
      </c>
      <c r="Q22" s="514">
        <v>7271</v>
      </c>
      <c r="R22" s="575">
        <f t="shared" si="0"/>
        <v>-1.5</v>
      </c>
      <c r="S22" s="517">
        <f t="shared" si="1"/>
        <v>0.6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6432</v>
      </c>
      <c r="E23" s="512">
        <v>6425</v>
      </c>
      <c r="F23" s="512">
        <v>6425</v>
      </c>
      <c r="G23" s="512">
        <v>6072</v>
      </c>
      <c r="H23" s="512">
        <v>6072</v>
      </c>
      <c r="I23" s="512">
        <v>6132</v>
      </c>
      <c r="J23" s="513">
        <v>6132</v>
      </c>
      <c r="K23" s="514">
        <v>6132</v>
      </c>
      <c r="L23" s="511">
        <v>6132</v>
      </c>
      <c r="M23" s="512">
        <v>6132</v>
      </c>
      <c r="N23" s="512">
        <v>6232</v>
      </c>
      <c r="O23" s="512">
        <v>6332</v>
      </c>
      <c r="P23" s="512">
        <v>6332</v>
      </c>
      <c r="Q23" s="514">
        <v>6332</v>
      </c>
      <c r="R23" s="574">
        <f t="shared" si="0"/>
        <v>-0.7</v>
      </c>
      <c r="S23" s="510">
        <f t="shared" si="1"/>
        <v>0.6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983</v>
      </c>
      <c r="E24" s="496">
        <v>1710</v>
      </c>
      <c r="F24" s="496">
        <v>1710</v>
      </c>
      <c r="G24" s="496">
        <v>1710</v>
      </c>
      <c r="H24" s="496">
        <v>1710</v>
      </c>
      <c r="I24" s="496">
        <v>1710</v>
      </c>
      <c r="J24" s="497">
        <v>1710</v>
      </c>
      <c r="K24" s="502">
        <v>1710</v>
      </c>
      <c r="L24" s="503">
        <v>1710</v>
      </c>
      <c r="M24" s="496">
        <v>1710</v>
      </c>
      <c r="N24" s="496">
        <v>2030</v>
      </c>
      <c r="O24" s="496">
        <v>2030</v>
      </c>
      <c r="P24" s="497">
        <v>2030</v>
      </c>
      <c r="Q24" s="502">
        <v>2030</v>
      </c>
      <c r="R24" s="574">
        <f t="shared" si="0"/>
        <v>8.1999999999999993</v>
      </c>
      <c r="S24" s="510">
        <f t="shared" si="1"/>
        <v>3.5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500</v>
      </c>
      <c r="F25" s="518">
        <v>500</v>
      </c>
      <c r="G25" s="518">
        <v>500</v>
      </c>
      <c r="H25" s="518">
        <v>500</v>
      </c>
      <c r="I25" s="518">
        <v>500</v>
      </c>
      <c r="J25" s="519">
        <v>500</v>
      </c>
      <c r="K25" s="514">
        <v>500</v>
      </c>
      <c r="L25" s="511">
        <v>500</v>
      </c>
      <c r="M25" s="518">
        <v>500</v>
      </c>
      <c r="N25" s="518">
        <v>500</v>
      </c>
      <c r="O25" s="518">
        <v>500</v>
      </c>
      <c r="P25" s="519">
        <v>500</v>
      </c>
      <c r="Q25" s="514">
        <v>500</v>
      </c>
      <c r="R25" s="573" t="str">
        <f t="shared" si="0"/>
        <v xml:space="preserve">     -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445</v>
      </c>
      <c r="E26" s="518">
        <v>845</v>
      </c>
      <c r="F26" s="518">
        <v>845</v>
      </c>
      <c r="G26" s="518">
        <v>845</v>
      </c>
      <c r="H26" s="518">
        <v>845</v>
      </c>
      <c r="I26" s="518">
        <v>845</v>
      </c>
      <c r="J26" s="519">
        <v>845</v>
      </c>
      <c r="K26" s="514">
        <v>845</v>
      </c>
      <c r="L26" s="511">
        <v>845</v>
      </c>
      <c r="M26" s="518">
        <v>845</v>
      </c>
      <c r="N26" s="518">
        <v>845</v>
      </c>
      <c r="O26" s="518">
        <v>845</v>
      </c>
      <c r="P26" s="519">
        <v>845</v>
      </c>
      <c r="Q26" s="514">
        <v>845</v>
      </c>
      <c r="R26" s="574">
        <f t="shared" si="0"/>
        <v>9.6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654.5</v>
      </c>
      <c r="E27" s="521">
        <v>726.00000000000011</v>
      </c>
      <c r="F27" s="521">
        <v>810.37000000000012</v>
      </c>
      <c r="G27" s="521">
        <v>677.6</v>
      </c>
      <c r="H27" s="521">
        <v>1002</v>
      </c>
      <c r="I27" s="521">
        <v>1002</v>
      </c>
      <c r="J27" s="522">
        <v>870</v>
      </c>
      <c r="K27" s="523">
        <v>1240</v>
      </c>
      <c r="L27" s="520">
        <v>1240</v>
      </c>
      <c r="M27" s="521">
        <v>1240</v>
      </c>
      <c r="N27" s="521">
        <v>1240</v>
      </c>
      <c r="O27" s="521">
        <v>1240</v>
      </c>
      <c r="P27" s="522">
        <v>1240</v>
      </c>
      <c r="Q27" s="523">
        <v>1240</v>
      </c>
      <c r="R27" s="574">
        <f t="shared" si="0"/>
        <v>9.6</v>
      </c>
      <c r="S27" s="510">
        <f t="shared" si="1"/>
        <v>0</v>
      </c>
      <c r="U27" s="280"/>
      <c r="V27" s="280"/>
      <c r="W27" s="43"/>
      <c r="X27" s="43"/>
      <c r="Y27" s="43"/>
      <c r="Z27" s="14"/>
      <c r="AA27" s="14"/>
      <c r="AB27" s="14"/>
      <c r="AC27" s="14"/>
      <c r="AD27" s="14"/>
      <c r="AE27" s="14"/>
      <c r="AF27" s="14"/>
      <c r="AG27" s="14"/>
    </row>
    <row r="28" spans="1:33" ht="15" customHeight="1">
      <c r="A28" s="16"/>
      <c r="B28" s="672" t="s">
        <v>316</v>
      </c>
      <c r="C28" s="673"/>
      <c r="D28" s="524">
        <v>8627</v>
      </c>
      <c r="E28" s="525">
        <v>8654</v>
      </c>
      <c r="F28" s="525">
        <v>8654</v>
      </c>
      <c r="G28" s="526">
        <v>8654</v>
      </c>
      <c r="H28" s="526">
        <v>8654</v>
      </c>
      <c r="I28" s="496">
        <v>9147</v>
      </c>
      <c r="J28" s="497">
        <v>9260</v>
      </c>
      <c r="K28" s="498">
        <v>8965</v>
      </c>
      <c r="L28" s="527">
        <v>8965</v>
      </c>
      <c r="M28" s="528">
        <v>8965</v>
      </c>
      <c r="N28" s="528">
        <v>8965</v>
      </c>
      <c r="O28" s="528">
        <v>9825</v>
      </c>
      <c r="P28" s="528">
        <v>9825</v>
      </c>
      <c r="Q28" s="498">
        <v>9825</v>
      </c>
      <c r="R28" s="573">
        <f t="shared" si="0"/>
        <v>0.6</v>
      </c>
      <c r="S28" s="256">
        <f t="shared" si="1"/>
        <v>1.8</v>
      </c>
      <c r="U28" s="326"/>
      <c r="V28" s="326"/>
      <c r="W28" s="326"/>
      <c r="X28" s="338"/>
      <c r="Y28" s="338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0</v>
      </c>
      <c r="E29" s="525">
        <v>0</v>
      </c>
      <c r="F29" s="530">
        <v>0</v>
      </c>
      <c r="G29" s="531">
        <v>0</v>
      </c>
      <c r="H29" s="526">
        <v>0</v>
      </c>
      <c r="I29" s="497">
        <v>0</v>
      </c>
      <c r="J29" s="497">
        <v>0</v>
      </c>
      <c r="K29" s="498">
        <v>0</v>
      </c>
      <c r="L29" s="499">
        <v>0</v>
      </c>
      <c r="M29" s="532">
        <v>0</v>
      </c>
      <c r="N29" s="532">
        <v>0</v>
      </c>
      <c r="O29" s="532">
        <v>0</v>
      </c>
      <c r="P29" s="532">
        <v>0</v>
      </c>
      <c r="Q29" s="498">
        <v>0</v>
      </c>
      <c r="R29" s="573" t="str">
        <f t="shared" si="0"/>
        <v xml:space="preserve">     -</v>
      </c>
      <c r="S29" s="256" t="str">
        <f t="shared" si="1"/>
        <v xml:space="preserve">     -</v>
      </c>
      <c r="U29" s="326"/>
      <c r="V29" s="326"/>
      <c r="W29" s="326"/>
      <c r="X29" s="338"/>
      <c r="Y29" s="338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8627</v>
      </c>
      <c r="E30" s="92">
        <f t="shared" ref="E30:Q30" si="3">SUM(E28:E29)</f>
        <v>8654</v>
      </c>
      <c r="F30" s="92">
        <f t="shared" si="3"/>
        <v>8654</v>
      </c>
      <c r="G30" s="93">
        <f t="shared" si="3"/>
        <v>8654</v>
      </c>
      <c r="H30" s="93">
        <f t="shared" si="3"/>
        <v>8654</v>
      </c>
      <c r="I30" s="94">
        <f t="shared" si="3"/>
        <v>9147</v>
      </c>
      <c r="J30" s="94">
        <f t="shared" si="3"/>
        <v>9260</v>
      </c>
      <c r="K30" s="96">
        <f t="shared" si="3"/>
        <v>8965</v>
      </c>
      <c r="L30" s="95">
        <f t="shared" si="3"/>
        <v>8965</v>
      </c>
      <c r="M30" s="93">
        <f t="shared" si="3"/>
        <v>8965</v>
      </c>
      <c r="N30" s="93">
        <f t="shared" si="3"/>
        <v>8965</v>
      </c>
      <c r="O30" s="93">
        <f t="shared" si="3"/>
        <v>9825</v>
      </c>
      <c r="P30" s="93">
        <f t="shared" si="3"/>
        <v>9825</v>
      </c>
      <c r="Q30" s="96">
        <f t="shared" si="3"/>
        <v>9825</v>
      </c>
      <c r="R30" s="574">
        <f t="shared" si="0"/>
        <v>0.6</v>
      </c>
      <c r="S30" s="510">
        <f t="shared" si="1"/>
        <v>1.8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348</v>
      </c>
      <c r="E31" s="525">
        <v>348</v>
      </c>
      <c r="F31" s="530">
        <v>348</v>
      </c>
      <c r="G31" s="531">
        <v>348</v>
      </c>
      <c r="H31" s="526">
        <v>348</v>
      </c>
      <c r="I31" s="497">
        <v>348</v>
      </c>
      <c r="J31" s="497">
        <v>348</v>
      </c>
      <c r="K31" s="498">
        <v>348</v>
      </c>
      <c r="L31" s="533">
        <v>348</v>
      </c>
      <c r="M31" s="534">
        <v>348</v>
      </c>
      <c r="N31" s="534">
        <v>348</v>
      </c>
      <c r="O31" s="534">
        <v>348</v>
      </c>
      <c r="P31" s="534">
        <v>348</v>
      </c>
      <c r="Q31" s="535">
        <v>348</v>
      </c>
      <c r="R31" s="573">
        <f t="shared" si="0"/>
        <v>0</v>
      </c>
      <c r="S31" s="256">
        <f t="shared" si="1"/>
        <v>0</v>
      </c>
      <c r="U31" s="326"/>
      <c r="V31" s="326"/>
      <c r="W31" s="326"/>
      <c r="X31" s="338"/>
      <c r="Y31" s="33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750</v>
      </c>
      <c r="E32" s="525">
        <v>750</v>
      </c>
      <c r="F32" s="530">
        <v>750</v>
      </c>
      <c r="G32" s="531">
        <v>810</v>
      </c>
      <c r="H32" s="526">
        <v>1030</v>
      </c>
      <c r="I32" s="497">
        <v>1030</v>
      </c>
      <c r="J32" s="497">
        <v>1030</v>
      </c>
      <c r="K32" s="502">
        <v>1130</v>
      </c>
      <c r="L32" s="503">
        <v>1130</v>
      </c>
      <c r="M32" s="496">
        <v>1130</v>
      </c>
      <c r="N32" s="496">
        <v>1130</v>
      </c>
      <c r="O32" s="496">
        <v>1130</v>
      </c>
      <c r="P32" s="497">
        <v>1130</v>
      </c>
      <c r="Q32" s="502">
        <v>1130</v>
      </c>
      <c r="R32" s="573">
        <f t="shared" si="0"/>
        <v>6</v>
      </c>
      <c r="S32" s="256">
        <f t="shared" si="1"/>
        <v>0</v>
      </c>
      <c r="U32" s="326"/>
      <c r="V32" s="326"/>
      <c r="W32" s="326"/>
      <c r="X32" s="338"/>
      <c r="Y32" s="338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360</v>
      </c>
      <c r="E33" s="525">
        <v>360</v>
      </c>
      <c r="F33" s="530">
        <v>360</v>
      </c>
      <c r="G33" s="531">
        <v>360</v>
      </c>
      <c r="H33" s="526">
        <v>360</v>
      </c>
      <c r="I33" s="497">
        <v>360</v>
      </c>
      <c r="J33" s="497">
        <v>360</v>
      </c>
      <c r="K33" s="536">
        <v>430</v>
      </c>
      <c r="L33" s="537">
        <v>430</v>
      </c>
      <c r="M33" s="538">
        <v>430</v>
      </c>
      <c r="N33" s="538">
        <v>430</v>
      </c>
      <c r="O33" s="538">
        <v>430</v>
      </c>
      <c r="P33" s="515">
        <v>430</v>
      </c>
      <c r="Q33" s="502">
        <v>430</v>
      </c>
      <c r="R33" s="573">
        <f t="shared" si="0"/>
        <v>2.6</v>
      </c>
      <c r="S33" s="256">
        <f t="shared" si="1"/>
        <v>0</v>
      </c>
      <c r="U33" s="43"/>
      <c r="V33" s="43"/>
      <c r="W33" s="43"/>
      <c r="X33" s="340"/>
      <c r="Y33" s="340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1458</v>
      </c>
      <c r="E34" s="539">
        <f t="shared" ref="E34:Q34" si="4">SUM(E31:E33)</f>
        <v>1458</v>
      </c>
      <c r="F34" s="539">
        <f t="shared" si="4"/>
        <v>1458</v>
      </c>
      <c r="G34" s="100">
        <f t="shared" si="4"/>
        <v>1518</v>
      </c>
      <c r="H34" s="100">
        <f t="shared" si="4"/>
        <v>1738</v>
      </c>
      <c r="I34" s="100">
        <f t="shared" si="4"/>
        <v>1738</v>
      </c>
      <c r="J34" s="101">
        <f t="shared" si="4"/>
        <v>1738</v>
      </c>
      <c r="K34" s="104">
        <f t="shared" si="4"/>
        <v>1908</v>
      </c>
      <c r="L34" s="540">
        <f t="shared" si="4"/>
        <v>1908</v>
      </c>
      <c r="M34" s="100">
        <f t="shared" si="4"/>
        <v>1908</v>
      </c>
      <c r="N34" s="100">
        <f t="shared" si="4"/>
        <v>1908</v>
      </c>
      <c r="O34" s="100">
        <f t="shared" si="4"/>
        <v>1908</v>
      </c>
      <c r="P34" s="100">
        <f t="shared" si="4"/>
        <v>1908</v>
      </c>
      <c r="Q34" s="103">
        <f t="shared" si="4"/>
        <v>1908</v>
      </c>
      <c r="R34" s="576">
        <f t="shared" si="0"/>
        <v>3.9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49033.5</v>
      </c>
      <c r="E35" s="543">
        <f t="shared" ref="E35:Q35" si="5">E19+E20+E22+E24+E26+E27+E30+E34</f>
        <v>50525</v>
      </c>
      <c r="F35" s="543">
        <f t="shared" si="5"/>
        <v>51773.37</v>
      </c>
      <c r="G35" s="544">
        <f t="shared" si="5"/>
        <v>51951.6</v>
      </c>
      <c r="H35" s="544">
        <f t="shared" si="5"/>
        <v>52075</v>
      </c>
      <c r="I35" s="544">
        <f t="shared" si="5"/>
        <v>54026</v>
      </c>
      <c r="J35" s="545">
        <f t="shared" si="5"/>
        <v>53713</v>
      </c>
      <c r="K35" s="546">
        <f t="shared" si="5"/>
        <v>54311</v>
      </c>
      <c r="L35" s="547">
        <f t="shared" si="5"/>
        <v>54676</v>
      </c>
      <c r="M35" s="544">
        <f t="shared" si="5"/>
        <v>54676</v>
      </c>
      <c r="N35" s="544">
        <f t="shared" si="5"/>
        <v>55296</v>
      </c>
      <c r="O35" s="544">
        <f t="shared" si="5"/>
        <v>56906</v>
      </c>
      <c r="P35" s="544">
        <f t="shared" si="5"/>
        <v>57356</v>
      </c>
      <c r="Q35" s="577">
        <f t="shared" si="5"/>
        <v>58206</v>
      </c>
      <c r="R35" s="578">
        <f t="shared" si="0"/>
        <v>1.5</v>
      </c>
      <c r="S35" s="549">
        <f t="shared" si="1"/>
        <v>1.3</v>
      </c>
    </row>
    <row r="36" spans="1:33" ht="15" customHeight="1">
      <c r="A36" s="613" t="s">
        <v>324</v>
      </c>
      <c r="B36" s="666" t="s">
        <v>433</v>
      </c>
      <c r="C36" s="667"/>
      <c r="D36" s="487">
        <v>1567</v>
      </c>
      <c r="E36" s="488">
        <v>1540</v>
      </c>
      <c r="F36" s="489">
        <v>1488</v>
      </c>
      <c r="G36" s="489">
        <v>1480</v>
      </c>
      <c r="H36" s="488">
        <v>1553</v>
      </c>
      <c r="I36" s="489">
        <v>1536</v>
      </c>
      <c r="J36" s="550">
        <v>1605</v>
      </c>
      <c r="K36" s="490">
        <v>1640</v>
      </c>
      <c r="L36" s="491">
        <v>1600</v>
      </c>
      <c r="M36" s="492">
        <v>1600</v>
      </c>
      <c r="N36" s="492">
        <v>1600</v>
      </c>
      <c r="O36" s="492">
        <v>1650</v>
      </c>
      <c r="P36" s="493">
        <v>1650</v>
      </c>
      <c r="Q36" s="498">
        <v>1650</v>
      </c>
      <c r="R36" s="573">
        <f t="shared" si="0"/>
        <v>0.7</v>
      </c>
      <c r="S36" s="256">
        <f t="shared" si="1"/>
        <v>0.6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1758</v>
      </c>
      <c r="E37" s="496">
        <v>1685</v>
      </c>
      <c r="F37" s="497">
        <v>1817</v>
      </c>
      <c r="G37" s="497">
        <v>1900</v>
      </c>
      <c r="H37" s="496">
        <v>1822</v>
      </c>
      <c r="I37" s="497">
        <v>1949</v>
      </c>
      <c r="J37" s="551">
        <v>1931</v>
      </c>
      <c r="K37" s="498">
        <v>1946</v>
      </c>
      <c r="L37" s="499">
        <v>1950</v>
      </c>
      <c r="M37" s="500">
        <v>1950</v>
      </c>
      <c r="N37" s="500">
        <v>1950</v>
      </c>
      <c r="O37" s="500">
        <v>2000</v>
      </c>
      <c r="P37" s="501">
        <v>2000</v>
      </c>
      <c r="Q37" s="498">
        <v>2000</v>
      </c>
      <c r="R37" s="573">
        <f t="shared" si="0"/>
        <v>1.5</v>
      </c>
      <c r="S37" s="256">
        <f t="shared" si="1"/>
        <v>0.5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0</v>
      </c>
      <c r="E38" s="496">
        <v>0</v>
      </c>
      <c r="F38" s="497">
        <v>0</v>
      </c>
      <c r="G38" s="497">
        <v>0</v>
      </c>
      <c r="H38" s="496">
        <v>0</v>
      </c>
      <c r="I38" s="497">
        <v>0</v>
      </c>
      <c r="J38" s="497">
        <v>0</v>
      </c>
      <c r="K38" s="502">
        <v>0</v>
      </c>
      <c r="L38" s="503">
        <v>0</v>
      </c>
      <c r="M38" s="496">
        <v>0</v>
      </c>
      <c r="N38" s="496">
        <v>0</v>
      </c>
      <c r="O38" s="496">
        <v>0</v>
      </c>
      <c r="P38" s="279">
        <v>0</v>
      </c>
      <c r="Q38" s="502">
        <v>0</v>
      </c>
      <c r="R38" s="573" t="str">
        <f t="shared" si="0"/>
        <v xml:space="preserve">     -</v>
      </c>
      <c r="S38" s="256" t="str">
        <f t="shared" si="1"/>
        <v xml:space="preserve">     -</v>
      </c>
      <c r="U38" s="280"/>
      <c r="V38" s="280"/>
      <c r="W38" s="280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10000</v>
      </c>
      <c r="E39" s="496">
        <v>12200</v>
      </c>
      <c r="F39" s="497">
        <v>14100</v>
      </c>
      <c r="G39" s="497">
        <v>14450</v>
      </c>
      <c r="H39" s="496">
        <v>15800</v>
      </c>
      <c r="I39" s="497">
        <v>15535</v>
      </c>
      <c r="J39" s="497">
        <v>16145</v>
      </c>
      <c r="K39" s="502">
        <v>17570</v>
      </c>
      <c r="L39" s="503">
        <v>18745</v>
      </c>
      <c r="M39" s="496">
        <v>20045</v>
      </c>
      <c r="N39" s="496">
        <v>21495</v>
      </c>
      <c r="O39" s="496">
        <v>22445</v>
      </c>
      <c r="P39" s="279">
        <v>23545</v>
      </c>
      <c r="Q39" s="502">
        <v>24645</v>
      </c>
      <c r="R39" s="573">
        <f t="shared" si="0"/>
        <v>8.4</v>
      </c>
      <c r="S39" s="256">
        <f t="shared" si="1"/>
        <v>5.6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810</v>
      </c>
      <c r="E40" s="496">
        <v>850</v>
      </c>
      <c r="F40" s="497">
        <v>865</v>
      </c>
      <c r="G40" s="497">
        <v>898.24599999999998</v>
      </c>
      <c r="H40" s="496">
        <v>789.34864021164026</v>
      </c>
      <c r="I40" s="497">
        <v>868.27697354497354</v>
      </c>
      <c r="J40" s="497">
        <v>884.04100529100538</v>
      </c>
      <c r="K40" s="502">
        <v>929.63615343915353</v>
      </c>
      <c r="L40" s="503">
        <v>870.63615343915353</v>
      </c>
      <c r="M40" s="496">
        <v>870.63615343915353</v>
      </c>
      <c r="N40" s="496">
        <v>870.63615343915353</v>
      </c>
      <c r="O40" s="496">
        <v>870.63615343915353</v>
      </c>
      <c r="P40" s="279">
        <v>870.63615343915353</v>
      </c>
      <c r="Q40" s="502">
        <v>870.63615343915353</v>
      </c>
      <c r="R40" s="573">
        <f t="shared" si="0"/>
        <v>2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491.2</v>
      </c>
      <c r="E41" s="496">
        <v>394</v>
      </c>
      <c r="F41" s="497">
        <v>490</v>
      </c>
      <c r="G41" s="497">
        <v>490</v>
      </c>
      <c r="H41" s="496">
        <v>490</v>
      </c>
      <c r="I41" s="497">
        <v>882</v>
      </c>
      <c r="J41" s="497">
        <v>882</v>
      </c>
      <c r="K41" s="502">
        <v>882</v>
      </c>
      <c r="L41" s="503">
        <v>960</v>
      </c>
      <c r="M41" s="496">
        <v>960</v>
      </c>
      <c r="N41" s="496">
        <v>960</v>
      </c>
      <c r="O41" s="496">
        <v>960</v>
      </c>
      <c r="P41" s="279">
        <v>960</v>
      </c>
      <c r="Q41" s="502">
        <v>960</v>
      </c>
      <c r="R41" s="573">
        <f t="shared" si="0"/>
        <v>8.6999999999999993</v>
      </c>
      <c r="S41" s="256">
        <f t="shared" si="1"/>
        <v>0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880</v>
      </c>
      <c r="E42" s="49">
        <v>870</v>
      </c>
      <c r="F42" s="45">
        <v>870</v>
      </c>
      <c r="G42" s="49">
        <v>906</v>
      </c>
      <c r="H42" s="49">
        <v>950</v>
      </c>
      <c r="I42" s="45">
        <v>950</v>
      </c>
      <c r="J42" s="49">
        <v>791</v>
      </c>
      <c r="K42" s="50">
        <v>850</v>
      </c>
      <c r="L42" s="504">
        <v>900</v>
      </c>
      <c r="M42" s="45">
        <v>950</v>
      </c>
      <c r="N42" s="45">
        <v>950</v>
      </c>
      <c r="O42" s="45">
        <v>950</v>
      </c>
      <c r="P42" s="49">
        <v>950</v>
      </c>
      <c r="Q42" s="50">
        <v>950</v>
      </c>
      <c r="R42" s="573">
        <f t="shared" si="0"/>
        <v>-0.5</v>
      </c>
      <c r="S42" s="256">
        <f t="shared" si="1"/>
        <v>1.1000000000000001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252.5</v>
      </c>
      <c r="E45" s="496">
        <v>252.5</v>
      </c>
      <c r="F45" s="497">
        <v>252.5</v>
      </c>
      <c r="G45" s="497">
        <v>47.125</v>
      </c>
      <c r="H45" s="496">
        <v>0</v>
      </c>
      <c r="I45" s="497">
        <v>0</v>
      </c>
      <c r="J45" s="497">
        <v>0</v>
      </c>
      <c r="K45" s="502">
        <v>0</v>
      </c>
      <c r="L45" s="503">
        <v>0</v>
      </c>
      <c r="M45" s="496">
        <v>0</v>
      </c>
      <c r="N45" s="496">
        <v>0</v>
      </c>
      <c r="O45" s="496">
        <v>0</v>
      </c>
      <c r="P45" s="279">
        <v>0</v>
      </c>
      <c r="Q45" s="502">
        <v>0</v>
      </c>
      <c r="R45" s="573" t="str">
        <f t="shared" si="0"/>
        <v xml:space="preserve">     -</v>
      </c>
      <c r="S45" s="256" t="str">
        <f t="shared" si="1"/>
        <v xml:space="preserve">     -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2934.6</v>
      </c>
      <c r="E47" s="496">
        <v>2504.1999999999998</v>
      </c>
      <c r="F47" s="497">
        <v>1879.1</v>
      </c>
      <c r="G47" s="497">
        <v>2294.1999999999998</v>
      </c>
      <c r="H47" s="496">
        <v>2271.5</v>
      </c>
      <c r="I47" s="497">
        <v>2551.6</v>
      </c>
      <c r="J47" s="497">
        <v>2588.3000000000002</v>
      </c>
      <c r="K47" s="502">
        <v>2723.3</v>
      </c>
      <c r="L47" s="503">
        <v>2670.1</v>
      </c>
      <c r="M47" s="496">
        <v>2691</v>
      </c>
      <c r="N47" s="496">
        <v>2691</v>
      </c>
      <c r="O47" s="496">
        <v>2691</v>
      </c>
      <c r="P47" s="497">
        <v>2691</v>
      </c>
      <c r="Q47" s="502">
        <v>2691</v>
      </c>
      <c r="R47" s="573">
        <f t="shared" si="0"/>
        <v>-1.1000000000000001</v>
      </c>
      <c r="S47" s="256">
        <f t="shared" si="1"/>
        <v>0.2</v>
      </c>
      <c r="U47" s="43"/>
      <c r="V47" s="43"/>
      <c r="W47" s="43"/>
      <c r="X47" s="43"/>
      <c r="Y47" s="330"/>
      <c r="Z47" s="330"/>
      <c r="AA47" s="330"/>
      <c r="AB47" s="330"/>
      <c r="AC47" s="330"/>
      <c r="AD47" s="330"/>
      <c r="AE47" s="330"/>
      <c r="AF47" s="330"/>
      <c r="AG47" s="330"/>
    </row>
    <row r="48" spans="1:33" ht="15.75" customHeight="1">
      <c r="A48" s="16"/>
      <c r="B48" s="674" t="s">
        <v>307</v>
      </c>
      <c r="C48" s="675"/>
      <c r="D48" s="95">
        <f>SUM(D36:D47)</f>
        <v>18693.3</v>
      </c>
      <c r="E48" s="93">
        <f t="shared" ref="E48:Q48" si="6">SUM(E36:E47)</f>
        <v>20295.7</v>
      </c>
      <c r="F48" s="93">
        <f t="shared" si="6"/>
        <v>21761.599999999999</v>
      </c>
      <c r="G48" s="93">
        <f t="shared" si="6"/>
        <v>22465.571</v>
      </c>
      <c r="H48" s="93">
        <f t="shared" si="6"/>
        <v>23675.84864021164</v>
      </c>
      <c r="I48" s="93">
        <f t="shared" si="6"/>
        <v>24271.876973544971</v>
      </c>
      <c r="J48" s="93">
        <f t="shared" si="6"/>
        <v>24826.341005291004</v>
      </c>
      <c r="K48" s="96">
        <f t="shared" si="6"/>
        <v>26540.936153439154</v>
      </c>
      <c r="L48" s="95">
        <f t="shared" si="6"/>
        <v>27695.736153439153</v>
      </c>
      <c r="M48" s="93">
        <f t="shared" si="6"/>
        <v>29066.636153439154</v>
      </c>
      <c r="N48" s="93">
        <f t="shared" si="6"/>
        <v>30516.636153439154</v>
      </c>
      <c r="O48" s="93">
        <f t="shared" si="6"/>
        <v>31566.636153439154</v>
      </c>
      <c r="P48" s="93">
        <f t="shared" si="6"/>
        <v>32666.636153439154</v>
      </c>
      <c r="Q48" s="96">
        <f t="shared" si="6"/>
        <v>33766.636153439154</v>
      </c>
      <c r="R48" s="574">
        <f t="shared" si="0"/>
        <v>5.0999999999999996</v>
      </c>
      <c r="S48" s="510">
        <f t="shared" si="1"/>
        <v>4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6090.5</v>
      </c>
      <c r="E51" s="512">
        <v>6040</v>
      </c>
      <c r="F51" s="512">
        <v>5937</v>
      </c>
      <c r="G51" s="512">
        <v>5852</v>
      </c>
      <c r="H51" s="512">
        <v>5868</v>
      </c>
      <c r="I51" s="512">
        <v>5685</v>
      </c>
      <c r="J51" s="513">
        <v>5712</v>
      </c>
      <c r="K51" s="514">
        <v>5915</v>
      </c>
      <c r="L51" s="511">
        <v>6069</v>
      </c>
      <c r="M51" s="512">
        <v>6117</v>
      </c>
      <c r="N51" s="512">
        <v>6179</v>
      </c>
      <c r="O51" s="512">
        <v>6168</v>
      </c>
      <c r="P51" s="513">
        <v>6193</v>
      </c>
      <c r="Q51" s="514">
        <v>6181</v>
      </c>
      <c r="R51" s="574">
        <f t="shared" si="0"/>
        <v>-0.4</v>
      </c>
      <c r="S51" s="510">
        <f t="shared" si="1"/>
        <v>0.4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5550</v>
      </c>
      <c r="E52" s="512">
        <v>5379</v>
      </c>
      <c r="F52" s="512">
        <v>5233</v>
      </c>
      <c r="G52" s="512">
        <v>5133</v>
      </c>
      <c r="H52" s="512">
        <v>5185</v>
      </c>
      <c r="I52" s="512">
        <v>4952</v>
      </c>
      <c r="J52" s="513">
        <v>5081</v>
      </c>
      <c r="K52" s="514">
        <v>5209</v>
      </c>
      <c r="L52" s="511">
        <v>5339</v>
      </c>
      <c r="M52" s="512">
        <v>5384</v>
      </c>
      <c r="N52" s="512">
        <v>5438</v>
      </c>
      <c r="O52" s="512">
        <v>5418</v>
      </c>
      <c r="P52" s="513">
        <v>5424</v>
      </c>
      <c r="Q52" s="514">
        <v>5424</v>
      </c>
      <c r="R52" s="574">
        <f t="shared" si="0"/>
        <v>-0.9</v>
      </c>
      <c r="S52" s="510">
        <f t="shared" si="1"/>
        <v>0.3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929</v>
      </c>
      <c r="E53" s="496">
        <v>1077</v>
      </c>
      <c r="F53" s="496">
        <v>1100</v>
      </c>
      <c r="G53" s="496">
        <v>1292</v>
      </c>
      <c r="H53" s="496">
        <v>1517</v>
      </c>
      <c r="I53" s="496">
        <v>1630</v>
      </c>
      <c r="J53" s="497">
        <v>1495</v>
      </c>
      <c r="K53" s="502">
        <v>1610</v>
      </c>
      <c r="L53" s="503">
        <v>1660</v>
      </c>
      <c r="M53" s="496">
        <v>1700</v>
      </c>
      <c r="N53" s="496">
        <v>1710</v>
      </c>
      <c r="O53" s="496">
        <v>1795</v>
      </c>
      <c r="P53" s="497">
        <v>1845</v>
      </c>
      <c r="Q53" s="502">
        <v>1860</v>
      </c>
      <c r="R53" s="573">
        <f t="shared" si="0"/>
        <v>8.1999999999999993</v>
      </c>
      <c r="S53" s="256">
        <f t="shared" si="1"/>
        <v>2.2999999999999998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430</v>
      </c>
      <c r="F54" s="518">
        <v>387</v>
      </c>
      <c r="G54" s="518">
        <v>407</v>
      </c>
      <c r="H54" s="518">
        <v>408</v>
      </c>
      <c r="I54" s="518">
        <v>460</v>
      </c>
      <c r="J54" s="519">
        <v>430</v>
      </c>
      <c r="K54" s="514">
        <v>450</v>
      </c>
      <c r="L54" s="511">
        <v>460</v>
      </c>
      <c r="M54" s="518">
        <v>470</v>
      </c>
      <c r="N54" s="518">
        <v>470</v>
      </c>
      <c r="O54" s="518">
        <v>470</v>
      </c>
      <c r="P54" s="519">
        <v>470</v>
      </c>
      <c r="Q54" s="514">
        <v>470</v>
      </c>
      <c r="R54" s="574" t="str">
        <f t="shared" si="0"/>
        <v xml:space="preserve">     -</v>
      </c>
      <c r="S54" s="510">
        <f t="shared" si="1"/>
        <v>0.4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391</v>
      </c>
      <c r="E55" s="518">
        <v>357</v>
      </c>
      <c r="F55" s="518">
        <v>365</v>
      </c>
      <c r="G55" s="518">
        <v>420</v>
      </c>
      <c r="H55" s="518">
        <v>391</v>
      </c>
      <c r="I55" s="518">
        <v>395</v>
      </c>
      <c r="J55" s="519">
        <v>420</v>
      </c>
      <c r="K55" s="514">
        <v>480</v>
      </c>
      <c r="L55" s="511">
        <v>525</v>
      </c>
      <c r="M55" s="518">
        <v>570</v>
      </c>
      <c r="N55" s="518">
        <v>615</v>
      </c>
      <c r="O55" s="518">
        <v>655</v>
      </c>
      <c r="P55" s="519">
        <v>700</v>
      </c>
      <c r="Q55" s="514">
        <v>740</v>
      </c>
      <c r="R55" s="574">
        <f t="shared" si="0"/>
        <v>3</v>
      </c>
      <c r="S55" s="510">
        <f t="shared" si="1"/>
        <v>7.1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654.5</v>
      </c>
      <c r="E56" s="521">
        <v>726.00000000000011</v>
      </c>
      <c r="F56" s="521">
        <v>810.37000000000012</v>
      </c>
      <c r="G56" s="521">
        <v>677.6</v>
      </c>
      <c r="H56" s="521">
        <v>620</v>
      </c>
      <c r="I56" s="521">
        <v>564</v>
      </c>
      <c r="J56" s="522">
        <v>486.27</v>
      </c>
      <c r="K56" s="523">
        <v>735.60500000000002</v>
      </c>
      <c r="L56" s="520">
        <v>747.37468000000001</v>
      </c>
      <c r="M56" s="521">
        <v>757.09055083999999</v>
      </c>
      <c r="N56" s="521">
        <v>768.44690910259988</v>
      </c>
      <c r="O56" s="521">
        <v>779.97361273913884</v>
      </c>
      <c r="P56" s="522">
        <v>791.67321693022586</v>
      </c>
      <c r="Q56" s="523">
        <v>803.54831518417916</v>
      </c>
      <c r="R56" s="574">
        <f t="shared" si="0"/>
        <v>1.7</v>
      </c>
      <c r="S56" s="510">
        <f t="shared" si="1"/>
        <v>1.5</v>
      </c>
      <c r="U56" s="280"/>
      <c r="V56" s="280"/>
      <c r="W56" s="43"/>
      <c r="X56" s="43"/>
      <c r="Y56" s="43"/>
      <c r="Z56" s="43"/>
      <c r="AA56" s="43"/>
      <c r="AB56" s="43"/>
      <c r="AC56" s="280"/>
      <c r="AD56" s="280"/>
      <c r="AE56" s="280"/>
      <c r="AF56" s="280"/>
      <c r="AG56" s="280"/>
    </row>
    <row r="57" spans="1:33" ht="15" customHeight="1">
      <c r="A57" s="16"/>
      <c r="B57" s="672" t="s">
        <v>316</v>
      </c>
      <c r="C57" s="673"/>
      <c r="D57" s="553">
        <v>7184</v>
      </c>
      <c r="E57" s="526">
        <v>6485</v>
      </c>
      <c r="F57" s="530">
        <v>7022</v>
      </c>
      <c r="G57" s="497">
        <v>7117</v>
      </c>
      <c r="H57" s="496">
        <v>7265</v>
      </c>
      <c r="I57" s="497">
        <v>7789</v>
      </c>
      <c r="J57" s="551">
        <v>8358</v>
      </c>
      <c r="K57" s="554">
        <v>8069</v>
      </c>
      <c r="L57" s="527">
        <v>8069</v>
      </c>
      <c r="M57" s="528">
        <v>8068.5</v>
      </c>
      <c r="N57" s="528">
        <v>8068.5</v>
      </c>
      <c r="O57" s="528">
        <v>8842.5</v>
      </c>
      <c r="P57" s="528">
        <v>8842.5</v>
      </c>
      <c r="Q57" s="528">
        <v>8842.5</v>
      </c>
      <c r="R57" s="573">
        <f t="shared" si="0"/>
        <v>1.7</v>
      </c>
      <c r="S57" s="256">
        <f t="shared" si="1"/>
        <v>1.8</v>
      </c>
      <c r="U57" s="326"/>
      <c r="V57" s="326"/>
      <c r="W57" s="326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</row>
    <row r="58" spans="1:33" ht="15" customHeight="1">
      <c r="A58" s="16"/>
      <c r="B58" s="670" t="s">
        <v>317</v>
      </c>
      <c r="C58" s="671"/>
      <c r="D58" s="553">
        <v>0</v>
      </c>
      <c r="E58" s="526">
        <v>0</v>
      </c>
      <c r="F58" s="530">
        <v>0</v>
      </c>
      <c r="G58" s="497">
        <v>0</v>
      </c>
      <c r="H58" s="496">
        <v>0</v>
      </c>
      <c r="I58" s="497">
        <v>0</v>
      </c>
      <c r="J58" s="551">
        <v>0</v>
      </c>
      <c r="K58" s="498">
        <v>0</v>
      </c>
      <c r="L58" s="499">
        <v>0</v>
      </c>
      <c r="M58" s="532">
        <v>0</v>
      </c>
      <c r="N58" s="532">
        <v>0</v>
      </c>
      <c r="O58" s="532">
        <v>0</v>
      </c>
      <c r="P58" s="532">
        <v>0</v>
      </c>
      <c r="Q58" s="498">
        <v>0</v>
      </c>
      <c r="R58" s="573" t="str">
        <f t="shared" si="0"/>
        <v xml:space="preserve">     -</v>
      </c>
      <c r="S58" s="256" t="str">
        <f t="shared" si="1"/>
        <v xml:space="preserve">     -</v>
      </c>
      <c r="U58" s="326"/>
      <c r="V58" s="326"/>
      <c r="W58" s="326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</row>
    <row r="59" spans="1:33" ht="15.75" customHeight="1">
      <c r="A59" s="16"/>
      <c r="B59" s="674" t="s">
        <v>318</v>
      </c>
      <c r="C59" s="675"/>
      <c r="D59" s="95">
        <f>SUM(D57:D58)</f>
        <v>7184</v>
      </c>
      <c r="E59" s="92">
        <f t="shared" ref="E59:Q59" si="7">SUM(E57:E58)</f>
        <v>6485</v>
      </c>
      <c r="F59" s="92">
        <f t="shared" si="7"/>
        <v>7022</v>
      </c>
      <c r="G59" s="93">
        <f t="shared" si="7"/>
        <v>7117</v>
      </c>
      <c r="H59" s="93">
        <f t="shared" si="7"/>
        <v>7265</v>
      </c>
      <c r="I59" s="94">
        <f t="shared" si="7"/>
        <v>7789</v>
      </c>
      <c r="J59" s="94">
        <f t="shared" si="7"/>
        <v>8358</v>
      </c>
      <c r="K59" s="96">
        <f t="shared" si="7"/>
        <v>8069</v>
      </c>
      <c r="L59" s="555">
        <f t="shared" si="7"/>
        <v>8069</v>
      </c>
      <c r="M59" s="556">
        <f t="shared" si="7"/>
        <v>8068.5</v>
      </c>
      <c r="N59" s="556">
        <f t="shared" si="7"/>
        <v>8068.5</v>
      </c>
      <c r="O59" s="556">
        <f t="shared" si="7"/>
        <v>8842.5</v>
      </c>
      <c r="P59" s="556">
        <f t="shared" si="7"/>
        <v>8842.5</v>
      </c>
      <c r="Q59" s="227">
        <f t="shared" si="7"/>
        <v>8842.5</v>
      </c>
      <c r="R59" s="574">
        <f t="shared" si="0"/>
        <v>1.7</v>
      </c>
      <c r="S59" s="510">
        <f t="shared" si="1"/>
        <v>1.8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235</v>
      </c>
      <c r="E60" s="526">
        <v>340</v>
      </c>
      <c r="F60" s="530">
        <v>340</v>
      </c>
      <c r="G60" s="497">
        <v>340</v>
      </c>
      <c r="H60" s="496">
        <v>340</v>
      </c>
      <c r="I60" s="497">
        <v>340</v>
      </c>
      <c r="J60" s="551">
        <v>340</v>
      </c>
      <c r="K60" s="498">
        <v>296</v>
      </c>
      <c r="L60" s="533">
        <v>295.8</v>
      </c>
      <c r="M60" s="534">
        <v>295.8</v>
      </c>
      <c r="N60" s="534">
        <v>295.8</v>
      </c>
      <c r="O60" s="534">
        <v>295.8</v>
      </c>
      <c r="P60" s="534">
        <v>295.8</v>
      </c>
      <c r="Q60" s="534">
        <v>295.8</v>
      </c>
      <c r="R60" s="573">
        <f t="shared" si="0"/>
        <v>3.4</v>
      </c>
      <c r="S60" s="256">
        <f t="shared" si="1"/>
        <v>0</v>
      </c>
      <c r="U60" s="326"/>
      <c r="V60" s="326"/>
      <c r="W60" s="326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</row>
    <row r="61" spans="1:33" ht="15" customHeight="1">
      <c r="A61" s="16"/>
      <c r="B61" s="668" t="s">
        <v>320</v>
      </c>
      <c r="C61" s="669"/>
      <c r="D61" s="553">
        <v>698</v>
      </c>
      <c r="E61" s="526">
        <v>661</v>
      </c>
      <c r="F61" s="530">
        <v>682</v>
      </c>
      <c r="G61" s="497">
        <v>719</v>
      </c>
      <c r="H61" s="496">
        <v>844</v>
      </c>
      <c r="I61" s="497">
        <v>876</v>
      </c>
      <c r="J61" s="497">
        <v>876</v>
      </c>
      <c r="K61" s="502">
        <v>876</v>
      </c>
      <c r="L61" s="495">
        <v>961</v>
      </c>
      <c r="M61" s="497">
        <v>960.5</v>
      </c>
      <c r="N61" s="496">
        <v>960.5</v>
      </c>
      <c r="O61" s="496">
        <v>960.5</v>
      </c>
      <c r="P61" s="496">
        <v>960.5</v>
      </c>
      <c r="Q61" s="593">
        <v>960.5</v>
      </c>
      <c r="R61" s="573">
        <f t="shared" si="0"/>
        <v>3.3</v>
      </c>
      <c r="S61" s="256">
        <f t="shared" si="1"/>
        <v>0</v>
      </c>
      <c r="U61" s="326"/>
      <c r="V61" s="326"/>
      <c r="W61" s="326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</row>
    <row r="62" spans="1:33" ht="15" customHeight="1">
      <c r="A62" s="16"/>
      <c r="B62" s="670" t="s">
        <v>321</v>
      </c>
      <c r="C62" s="671"/>
      <c r="D62" s="553">
        <v>306</v>
      </c>
      <c r="E62" s="525">
        <v>306</v>
      </c>
      <c r="F62" s="530">
        <v>306</v>
      </c>
      <c r="G62" s="497">
        <v>306</v>
      </c>
      <c r="H62" s="496">
        <v>306</v>
      </c>
      <c r="I62" s="497">
        <v>306</v>
      </c>
      <c r="J62" s="497">
        <v>306</v>
      </c>
      <c r="K62" s="536">
        <v>306</v>
      </c>
      <c r="L62" s="537">
        <v>306</v>
      </c>
      <c r="M62" s="538">
        <v>306</v>
      </c>
      <c r="N62" s="538">
        <v>306</v>
      </c>
      <c r="O62" s="538">
        <v>306</v>
      </c>
      <c r="P62" s="515">
        <v>306</v>
      </c>
      <c r="Q62" s="536">
        <v>306</v>
      </c>
      <c r="R62" s="573">
        <f t="shared" si="0"/>
        <v>0</v>
      </c>
      <c r="S62" s="256">
        <f t="shared" si="1"/>
        <v>0</v>
      </c>
      <c r="U62" s="280"/>
      <c r="V62" s="280"/>
      <c r="W62" s="280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1239</v>
      </c>
      <c r="E63" s="539">
        <f t="shared" ref="E63:Q63" si="8">SUM(E60:E62)</f>
        <v>1307</v>
      </c>
      <c r="F63" s="539">
        <f t="shared" si="8"/>
        <v>1328</v>
      </c>
      <c r="G63" s="100">
        <f t="shared" si="8"/>
        <v>1365</v>
      </c>
      <c r="H63" s="100">
        <f t="shared" si="8"/>
        <v>1490</v>
      </c>
      <c r="I63" s="100">
        <f t="shared" si="8"/>
        <v>1522</v>
      </c>
      <c r="J63" s="101">
        <f t="shared" si="8"/>
        <v>1522</v>
      </c>
      <c r="K63" s="104">
        <f t="shared" si="8"/>
        <v>1478</v>
      </c>
      <c r="L63" s="540">
        <f t="shared" si="8"/>
        <v>1562.8</v>
      </c>
      <c r="M63" s="100">
        <f t="shared" si="8"/>
        <v>1562.3</v>
      </c>
      <c r="N63" s="100">
        <f t="shared" si="8"/>
        <v>1562.3</v>
      </c>
      <c r="O63" s="100">
        <f t="shared" si="8"/>
        <v>1562.3</v>
      </c>
      <c r="P63" s="100">
        <f t="shared" si="8"/>
        <v>1562.3</v>
      </c>
      <c r="Q63" s="103">
        <f t="shared" si="8"/>
        <v>1562.3</v>
      </c>
      <c r="R63" s="576">
        <f t="shared" si="0"/>
        <v>2.6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35181.300000000003</v>
      </c>
      <c r="E64" s="543">
        <f t="shared" ref="E64:Q64" si="9">E48+E49+E51+E53+E55+E56+E59+E63</f>
        <v>36287.699999999997</v>
      </c>
      <c r="F64" s="543">
        <f t="shared" si="9"/>
        <v>38323.97</v>
      </c>
      <c r="G64" s="544">
        <f t="shared" si="9"/>
        <v>39189.171000000002</v>
      </c>
      <c r="H64" s="544">
        <f t="shared" si="9"/>
        <v>40826.84864021164</v>
      </c>
      <c r="I64" s="544">
        <f t="shared" si="9"/>
        <v>41856.876973544975</v>
      </c>
      <c r="J64" s="545">
        <f t="shared" si="9"/>
        <v>42819.611005291001</v>
      </c>
      <c r="K64" s="546">
        <f t="shared" si="9"/>
        <v>44828.541153439153</v>
      </c>
      <c r="L64" s="547">
        <f t="shared" si="9"/>
        <v>46328.910833439157</v>
      </c>
      <c r="M64" s="544">
        <f t="shared" si="9"/>
        <v>47841.52670427916</v>
      </c>
      <c r="N64" s="544">
        <f t="shared" si="9"/>
        <v>49419.883062541754</v>
      </c>
      <c r="O64" s="544">
        <f t="shared" si="9"/>
        <v>51369.409766178294</v>
      </c>
      <c r="P64" s="544">
        <f t="shared" si="9"/>
        <v>52601.109370369384</v>
      </c>
      <c r="Q64" s="577">
        <f t="shared" si="9"/>
        <v>53755.984468623334</v>
      </c>
      <c r="R64" s="579">
        <f t="shared" si="0"/>
        <v>3.5</v>
      </c>
      <c r="S64" s="558">
        <f t="shared" si="1"/>
        <v>3</v>
      </c>
    </row>
    <row r="65" spans="1:33" ht="15" customHeight="1">
      <c r="A65" s="616" t="s">
        <v>327</v>
      </c>
      <c r="B65" s="666" t="s">
        <v>433</v>
      </c>
      <c r="C65" s="667"/>
      <c r="D65" s="487">
        <v>1413</v>
      </c>
      <c r="E65" s="488">
        <v>1450</v>
      </c>
      <c r="F65" s="489">
        <v>1481</v>
      </c>
      <c r="G65" s="559">
        <v>1494</v>
      </c>
      <c r="H65" s="560">
        <v>1452</v>
      </c>
      <c r="I65" s="559">
        <v>1430</v>
      </c>
      <c r="J65" s="559">
        <v>1502</v>
      </c>
      <c r="K65" s="561">
        <v>1624</v>
      </c>
      <c r="L65" s="562">
        <v>1600</v>
      </c>
      <c r="M65" s="560">
        <v>1600</v>
      </c>
      <c r="N65" s="560">
        <v>1600</v>
      </c>
      <c r="O65" s="560">
        <v>1600</v>
      </c>
      <c r="P65" s="563">
        <v>1600</v>
      </c>
      <c r="Q65" s="561">
        <v>1600</v>
      </c>
      <c r="R65" s="573">
        <f t="shared" si="0"/>
        <v>2</v>
      </c>
      <c r="S65" s="256">
        <f t="shared" si="1"/>
        <v>0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1414</v>
      </c>
      <c r="E66" s="525">
        <v>1410</v>
      </c>
      <c r="F66" s="530">
        <v>1512</v>
      </c>
      <c r="G66" s="497">
        <v>1634</v>
      </c>
      <c r="H66" s="496">
        <v>1529</v>
      </c>
      <c r="I66" s="497">
        <v>1591</v>
      </c>
      <c r="J66" s="551">
        <v>1654</v>
      </c>
      <c r="K66" s="498">
        <v>1699</v>
      </c>
      <c r="L66" s="499">
        <v>1650</v>
      </c>
      <c r="M66" s="500">
        <v>1650</v>
      </c>
      <c r="N66" s="500">
        <v>1650</v>
      </c>
      <c r="O66" s="500">
        <v>1650</v>
      </c>
      <c r="P66" s="501">
        <v>1650</v>
      </c>
      <c r="Q66" s="498">
        <v>1650</v>
      </c>
      <c r="R66" s="573">
        <f t="shared" si="0"/>
        <v>2.7</v>
      </c>
      <c r="S66" s="256">
        <f t="shared" si="1"/>
        <v>0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10661</v>
      </c>
      <c r="E68" s="496">
        <v>12751</v>
      </c>
      <c r="F68" s="497">
        <v>14662</v>
      </c>
      <c r="G68" s="497">
        <v>15110</v>
      </c>
      <c r="H68" s="496">
        <v>16192</v>
      </c>
      <c r="I68" s="497">
        <v>16293</v>
      </c>
      <c r="J68" s="497">
        <v>16951</v>
      </c>
      <c r="K68" s="502">
        <v>18373</v>
      </c>
      <c r="L68" s="503">
        <v>19511</v>
      </c>
      <c r="M68" s="496">
        <v>20776</v>
      </c>
      <c r="N68" s="496">
        <v>22168</v>
      </c>
      <c r="O68" s="496">
        <v>23053</v>
      </c>
      <c r="P68" s="279">
        <v>24126</v>
      </c>
      <c r="Q68" s="502">
        <v>25239</v>
      </c>
      <c r="R68" s="573">
        <f t="shared" si="0"/>
        <v>8.1</v>
      </c>
      <c r="S68" s="256">
        <f t="shared" si="1"/>
        <v>5.3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840</v>
      </c>
      <c r="E69" s="496">
        <v>787</v>
      </c>
      <c r="F69" s="497">
        <v>787</v>
      </c>
      <c r="G69" s="497">
        <v>787</v>
      </c>
      <c r="H69" s="496">
        <v>716.2116402116402</v>
      </c>
      <c r="I69" s="497">
        <v>781.79497354497357</v>
      </c>
      <c r="J69" s="497">
        <v>788.04100529100538</v>
      </c>
      <c r="K69" s="502">
        <v>817.18915343915353</v>
      </c>
      <c r="L69" s="503">
        <v>843.21428571428578</v>
      </c>
      <c r="M69" s="496">
        <v>843.21428571428578</v>
      </c>
      <c r="N69" s="496">
        <v>843.21428571428578</v>
      </c>
      <c r="O69" s="496">
        <v>843.21428571428578</v>
      </c>
      <c r="P69" s="279">
        <v>843.21428571428578</v>
      </c>
      <c r="Q69" s="502">
        <v>843.21428571428578</v>
      </c>
      <c r="R69" s="573">
        <f t="shared" si="0"/>
        <v>-0.4</v>
      </c>
      <c r="S69" s="256">
        <f t="shared" si="1"/>
        <v>0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535.40218199999993</v>
      </c>
      <c r="E70" s="496">
        <v>473</v>
      </c>
      <c r="F70" s="497">
        <v>528</v>
      </c>
      <c r="G70" s="497">
        <v>528</v>
      </c>
      <c r="H70" s="496">
        <v>528</v>
      </c>
      <c r="I70" s="497">
        <v>550</v>
      </c>
      <c r="J70" s="497">
        <v>550</v>
      </c>
      <c r="K70" s="502">
        <v>580</v>
      </c>
      <c r="L70" s="503">
        <v>610</v>
      </c>
      <c r="M70" s="496">
        <v>640</v>
      </c>
      <c r="N70" s="496">
        <v>670</v>
      </c>
      <c r="O70" s="496">
        <v>705</v>
      </c>
      <c r="P70" s="279">
        <v>740</v>
      </c>
      <c r="Q70" s="502">
        <v>775</v>
      </c>
      <c r="R70" s="573">
        <f t="shared" si="0"/>
        <v>1.1000000000000001</v>
      </c>
      <c r="S70" s="256">
        <f t="shared" si="1"/>
        <v>4.9000000000000004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1090</v>
      </c>
      <c r="E71" s="49">
        <v>1237</v>
      </c>
      <c r="F71" s="45">
        <v>1265</v>
      </c>
      <c r="G71" s="49">
        <v>1416</v>
      </c>
      <c r="H71" s="49">
        <v>1460</v>
      </c>
      <c r="I71" s="45">
        <v>1460</v>
      </c>
      <c r="J71" s="49">
        <v>1140</v>
      </c>
      <c r="K71" s="50">
        <v>1230</v>
      </c>
      <c r="L71" s="140">
        <v>1300</v>
      </c>
      <c r="M71" s="45">
        <v>1300</v>
      </c>
      <c r="N71" s="45">
        <v>1400</v>
      </c>
      <c r="O71" s="45">
        <v>1450</v>
      </c>
      <c r="P71" s="45">
        <v>1400</v>
      </c>
      <c r="Q71" s="50">
        <v>1500</v>
      </c>
      <c r="R71" s="573">
        <f t="shared" si="0"/>
        <v>1.7</v>
      </c>
      <c r="S71" s="256">
        <f t="shared" si="1"/>
        <v>2.9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92</v>
      </c>
      <c r="E73" s="49">
        <v>66</v>
      </c>
      <c r="F73" s="45">
        <v>75</v>
      </c>
      <c r="G73" s="49">
        <v>96</v>
      </c>
      <c r="H73" s="49">
        <v>59</v>
      </c>
      <c r="I73" s="45">
        <v>100</v>
      </c>
      <c r="J73" s="49">
        <v>100</v>
      </c>
      <c r="K73" s="50">
        <v>100</v>
      </c>
      <c r="L73" s="140">
        <v>100</v>
      </c>
      <c r="M73" s="45">
        <v>155</v>
      </c>
      <c r="N73" s="45">
        <v>166</v>
      </c>
      <c r="O73" s="45">
        <v>177</v>
      </c>
      <c r="P73" s="45">
        <v>188</v>
      </c>
      <c r="Q73" s="50">
        <v>200</v>
      </c>
      <c r="R73" s="573">
        <f t="shared" si="10"/>
        <v>1.2</v>
      </c>
      <c r="S73" s="256">
        <f t="shared" si="11"/>
        <v>14.9</v>
      </c>
      <c r="U73" s="43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252.5</v>
      </c>
      <c r="E74" s="496">
        <v>252.5</v>
      </c>
      <c r="F74" s="497">
        <v>149</v>
      </c>
      <c r="G74" s="497">
        <v>105</v>
      </c>
      <c r="H74" s="496">
        <v>55.63</v>
      </c>
      <c r="I74" s="497">
        <v>64.680000000000007</v>
      </c>
      <c r="J74" s="497">
        <v>49.28</v>
      </c>
      <c r="K74" s="502">
        <v>75.430840000000003</v>
      </c>
      <c r="L74" s="503">
        <v>75.430840000000003</v>
      </c>
      <c r="M74" s="496">
        <v>75.430840000000003</v>
      </c>
      <c r="N74" s="496">
        <v>75.430840000000003</v>
      </c>
      <c r="O74" s="496">
        <v>75.430840000000003</v>
      </c>
      <c r="P74" s="279">
        <v>75.430840000000003</v>
      </c>
      <c r="Q74" s="502">
        <v>75.430840000000003</v>
      </c>
      <c r="R74" s="573">
        <f t="shared" si="10"/>
        <v>-15.9</v>
      </c>
      <c r="S74" s="256">
        <f t="shared" si="11"/>
        <v>0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250</v>
      </c>
      <c r="E75" s="496">
        <v>267</v>
      </c>
      <c r="F75" s="497">
        <v>267</v>
      </c>
      <c r="G75" s="497">
        <v>267</v>
      </c>
      <c r="H75" s="496">
        <v>267</v>
      </c>
      <c r="I75" s="497">
        <v>289</v>
      </c>
      <c r="J75" s="497">
        <v>289</v>
      </c>
      <c r="K75" s="502">
        <v>289</v>
      </c>
      <c r="L75" s="503">
        <v>289</v>
      </c>
      <c r="M75" s="496">
        <v>289</v>
      </c>
      <c r="N75" s="496">
        <v>289</v>
      </c>
      <c r="O75" s="496">
        <v>289</v>
      </c>
      <c r="P75" s="279">
        <v>289</v>
      </c>
      <c r="Q75" s="502">
        <v>289</v>
      </c>
      <c r="R75" s="573">
        <f t="shared" si="10"/>
        <v>2.1</v>
      </c>
      <c r="S75" s="256">
        <f t="shared" si="11"/>
        <v>0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1824</v>
      </c>
      <c r="E76" s="40">
        <v>1578.4</v>
      </c>
      <c r="F76" s="40">
        <v>1408.1</v>
      </c>
      <c r="G76" s="40">
        <v>1521.1</v>
      </c>
      <c r="H76" s="505">
        <v>1555.5</v>
      </c>
      <c r="I76" s="505">
        <v>1721.8</v>
      </c>
      <c r="J76" s="506">
        <v>1720.6</v>
      </c>
      <c r="K76" s="507">
        <v>1782</v>
      </c>
      <c r="L76" s="508">
        <v>1766.2</v>
      </c>
      <c r="M76" s="505">
        <v>1760</v>
      </c>
      <c r="N76" s="505">
        <v>1720</v>
      </c>
      <c r="O76" s="505">
        <v>1720</v>
      </c>
      <c r="P76" s="505">
        <v>1720</v>
      </c>
      <c r="Q76" s="509">
        <v>1720</v>
      </c>
      <c r="R76" s="573">
        <f t="shared" si="10"/>
        <v>-0.3</v>
      </c>
      <c r="S76" s="256">
        <f t="shared" si="11"/>
        <v>-0.5</v>
      </c>
      <c r="U76" s="43"/>
      <c r="V76" s="43"/>
      <c r="W76" s="43"/>
      <c r="X76" s="43"/>
      <c r="Y76" s="330"/>
      <c r="Z76" s="330"/>
      <c r="AA76" s="330"/>
      <c r="AB76" s="330"/>
      <c r="AC76" s="330"/>
      <c r="AD76" s="330"/>
      <c r="AE76" s="330"/>
      <c r="AF76" s="330"/>
      <c r="AG76" s="330"/>
    </row>
    <row r="77" spans="1:33" ht="15.75" customHeight="1">
      <c r="A77" s="16"/>
      <c r="B77" s="674" t="s">
        <v>307</v>
      </c>
      <c r="C77" s="675"/>
      <c r="D77" s="95">
        <f>SUM(D65:D76)</f>
        <v>18371.902181999998</v>
      </c>
      <c r="E77" s="93">
        <f t="shared" ref="E77:Q77" si="12">SUM(E65:E76)</f>
        <v>20271.900000000001</v>
      </c>
      <c r="F77" s="93">
        <f t="shared" si="12"/>
        <v>22134.1</v>
      </c>
      <c r="G77" s="93">
        <f t="shared" si="12"/>
        <v>22958.1</v>
      </c>
      <c r="H77" s="93">
        <f t="shared" si="12"/>
        <v>23814.341640211642</v>
      </c>
      <c r="I77" s="93">
        <f t="shared" si="12"/>
        <v>24281.274973544972</v>
      </c>
      <c r="J77" s="93">
        <f t="shared" si="12"/>
        <v>24743.921005291002</v>
      </c>
      <c r="K77" s="96">
        <f t="shared" si="12"/>
        <v>26569.619993439155</v>
      </c>
      <c r="L77" s="95">
        <f t="shared" si="12"/>
        <v>27744.845125714288</v>
      </c>
      <c r="M77" s="93">
        <f t="shared" si="12"/>
        <v>29088.645125714287</v>
      </c>
      <c r="N77" s="93">
        <f t="shared" si="12"/>
        <v>30581.645125714287</v>
      </c>
      <c r="O77" s="93">
        <f t="shared" si="12"/>
        <v>31562.645125714287</v>
      </c>
      <c r="P77" s="93">
        <f t="shared" si="12"/>
        <v>32631.645125714287</v>
      </c>
      <c r="Q77" s="96">
        <f t="shared" si="12"/>
        <v>33891.645125714291</v>
      </c>
      <c r="R77" s="574">
        <f t="shared" si="10"/>
        <v>5.4</v>
      </c>
      <c r="S77" s="510">
        <f t="shared" si="11"/>
        <v>4.0999999999999996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120</v>
      </c>
      <c r="E78" s="512">
        <v>135</v>
      </c>
      <c r="F78" s="512">
        <v>130</v>
      </c>
      <c r="G78" s="512">
        <v>140</v>
      </c>
      <c r="H78" s="512">
        <v>140</v>
      </c>
      <c r="I78" s="512">
        <v>140</v>
      </c>
      <c r="J78" s="513">
        <v>0</v>
      </c>
      <c r="K78" s="514">
        <v>0</v>
      </c>
      <c r="L78" s="511">
        <v>0</v>
      </c>
      <c r="M78" s="512">
        <v>0</v>
      </c>
      <c r="N78" s="512">
        <v>0</v>
      </c>
      <c r="O78" s="512">
        <v>0</v>
      </c>
      <c r="P78" s="513">
        <v>0</v>
      </c>
      <c r="Q78" s="514">
        <v>0</v>
      </c>
      <c r="R78" s="574" t="str">
        <f t="shared" si="10"/>
        <v xml:space="preserve">     -</v>
      </c>
      <c r="S78" s="510" t="str">
        <f t="shared" si="11"/>
        <v xml:space="preserve">     -</v>
      </c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120</v>
      </c>
      <c r="E79" s="512">
        <v>135</v>
      </c>
      <c r="F79" s="512">
        <v>130</v>
      </c>
      <c r="G79" s="512">
        <v>140</v>
      </c>
      <c r="H79" s="512">
        <v>140</v>
      </c>
      <c r="I79" s="512">
        <v>140</v>
      </c>
      <c r="J79" s="513">
        <v>0</v>
      </c>
      <c r="K79" s="514">
        <v>0</v>
      </c>
      <c r="L79" s="511">
        <v>0</v>
      </c>
      <c r="M79" s="512">
        <v>0</v>
      </c>
      <c r="N79" s="512">
        <v>0</v>
      </c>
      <c r="O79" s="512">
        <v>0</v>
      </c>
      <c r="P79" s="513">
        <v>0</v>
      </c>
      <c r="Q79" s="514">
        <v>0</v>
      </c>
      <c r="R79" s="574" t="str">
        <f t="shared" si="10"/>
        <v xml:space="preserve">     -</v>
      </c>
      <c r="S79" s="510" t="str">
        <f t="shared" si="11"/>
        <v xml:space="preserve">     -</v>
      </c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6112.5</v>
      </c>
      <c r="E80" s="538">
        <v>6033</v>
      </c>
      <c r="F80" s="538">
        <v>5946</v>
      </c>
      <c r="G80" s="538">
        <v>5836</v>
      </c>
      <c r="H80" s="538">
        <v>5859</v>
      </c>
      <c r="I80" s="538">
        <v>5766</v>
      </c>
      <c r="J80" s="515">
        <v>5674</v>
      </c>
      <c r="K80" s="536">
        <v>5894</v>
      </c>
      <c r="L80" s="537">
        <v>6059</v>
      </c>
      <c r="M80" s="538">
        <v>6107</v>
      </c>
      <c r="N80" s="538">
        <v>6169</v>
      </c>
      <c r="O80" s="538">
        <v>6158</v>
      </c>
      <c r="P80" s="515">
        <v>6193</v>
      </c>
      <c r="Q80" s="536">
        <v>6181</v>
      </c>
      <c r="R80" s="575">
        <f t="shared" si="10"/>
        <v>-0.5</v>
      </c>
      <c r="S80" s="517">
        <f t="shared" si="11"/>
        <v>0.4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5551</v>
      </c>
      <c r="E81" s="512">
        <v>5366</v>
      </c>
      <c r="F81" s="512">
        <v>5242</v>
      </c>
      <c r="G81" s="512">
        <v>5117</v>
      </c>
      <c r="H81" s="512">
        <v>5151</v>
      </c>
      <c r="I81" s="512">
        <v>5019</v>
      </c>
      <c r="J81" s="513">
        <v>5034</v>
      </c>
      <c r="K81" s="514">
        <v>5186</v>
      </c>
      <c r="L81" s="511">
        <v>5299</v>
      </c>
      <c r="M81" s="512">
        <v>5344</v>
      </c>
      <c r="N81" s="512">
        <v>5398</v>
      </c>
      <c r="O81" s="512">
        <v>5378</v>
      </c>
      <c r="P81" s="513">
        <v>5394</v>
      </c>
      <c r="Q81" s="514">
        <v>5394</v>
      </c>
      <c r="R81" s="574">
        <f t="shared" si="10"/>
        <v>-1</v>
      </c>
      <c r="S81" s="510">
        <f t="shared" si="11"/>
        <v>0.4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644</v>
      </c>
      <c r="E82" s="496">
        <v>747</v>
      </c>
      <c r="F82" s="496">
        <v>807</v>
      </c>
      <c r="G82" s="496">
        <v>906</v>
      </c>
      <c r="H82" s="496">
        <v>918</v>
      </c>
      <c r="I82" s="496">
        <v>1247</v>
      </c>
      <c r="J82" s="497">
        <v>1232</v>
      </c>
      <c r="K82" s="502">
        <v>1257</v>
      </c>
      <c r="L82" s="503">
        <v>1288</v>
      </c>
      <c r="M82" s="496">
        <v>1318</v>
      </c>
      <c r="N82" s="496">
        <v>1338</v>
      </c>
      <c r="O82" s="496">
        <v>1374</v>
      </c>
      <c r="P82" s="497">
        <v>1415</v>
      </c>
      <c r="Q82" s="502">
        <v>1465</v>
      </c>
      <c r="R82" s="573">
        <f t="shared" si="10"/>
        <v>10</v>
      </c>
      <c r="S82" s="256">
        <f t="shared" si="11"/>
        <v>2.6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430</v>
      </c>
      <c r="F83" s="518">
        <v>379</v>
      </c>
      <c r="G83" s="518">
        <v>399</v>
      </c>
      <c r="H83" s="518">
        <v>400</v>
      </c>
      <c r="I83" s="518">
        <v>399</v>
      </c>
      <c r="J83" s="519">
        <v>419</v>
      </c>
      <c r="K83" s="514">
        <v>419</v>
      </c>
      <c r="L83" s="511">
        <v>419</v>
      </c>
      <c r="M83" s="518">
        <v>419</v>
      </c>
      <c r="N83" s="518">
        <v>419</v>
      </c>
      <c r="O83" s="518">
        <v>419</v>
      </c>
      <c r="P83" s="519">
        <v>419</v>
      </c>
      <c r="Q83" s="514">
        <v>419</v>
      </c>
      <c r="R83" s="574" t="str">
        <f t="shared" si="10"/>
        <v xml:space="preserve">     -</v>
      </c>
      <c r="S83" s="510">
        <f t="shared" si="11"/>
        <v>0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391</v>
      </c>
      <c r="E84" s="518">
        <v>357</v>
      </c>
      <c r="F84" s="518">
        <v>365</v>
      </c>
      <c r="G84" s="518">
        <v>420</v>
      </c>
      <c r="H84" s="518">
        <v>391</v>
      </c>
      <c r="I84" s="518">
        <v>396</v>
      </c>
      <c r="J84" s="519">
        <v>422</v>
      </c>
      <c r="K84" s="514">
        <v>475</v>
      </c>
      <c r="L84" s="511">
        <v>524</v>
      </c>
      <c r="M84" s="518">
        <v>572</v>
      </c>
      <c r="N84" s="518">
        <v>616</v>
      </c>
      <c r="O84" s="518">
        <v>659</v>
      </c>
      <c r="P84" s="519">
        <v>699</v>
      </c>
      <c r="Q84" s="514">
        <v>732</v>
      </c>
      <c r="R84" s="574">
        <f t="shared" si="10"/>
        <v>2.8</v>
      </c>
      <c r="S84" s="510">
        <f t="shared" si="11"/>
        <v>6.9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654.5</v>
      </c>
      <c r="E85" s="521">
        <v>726.00000000000011</v>
      </c>
      <c r="F85" s="521">
        <v>810.37000000000012</v>
      </c>
      <c r="G85" s="521">
        <v>677.6</v>
      </c>
      <c r="H85" s="521">
        <v>620</v>
      </c>
      <c r="I85" s="521">
        <v>564</v>
      </c>
      <c r="J85" s="522">
        <v>486.2</v>
      </c>
      <c r="K85" s="523">
        <v>495.92399999999998</v>
      </c>
      <c r="L85" s="520">
        <v>503.85878399999996</v>
      </c>
      <c r="M85" s="521">
        <v>510.40894819199991</v>
      </c>
      <c r="N85" s="521">
        <v>518.06508241487984</v>
      </c>
      <c r="O85" s="521">
        <v>525.83605865110303</v>
      </c>
      <c r="P85" s="522">
        <v>533.72359953086948</v>
      </c>
      <c r="Q85" s="523">
        <v>541.72945352383249</v>
      </c>
      <c r="R85" s="574">
        <f t="shared" si="10"/>
        <v>-3.9</v>
      </c>
      <c r="S85" s="510">
        <f t="shared" si="11"/>
        <v>1.5</v>
      </c>
      <c r="U85" s="280"/>
      <c r="V85" s="280"/>
      <c r="W85" s="43"/>
      <c r="X85" s="43"/>
      <c r="Y85" s="43"/>
      <c r="Z85" s="43"/>
      <c r="AA85" s="43"/>
      <c r="AB85" s="43"/>
      <c r="AC85" s="280"/>
      <c r="AD85" s="280"/>
      <c r="AE85" s="280"/>
      <c r="AF85" s="280"/>
      <c r="AG85" s="280"/>
    </row>
    <row r="86" spans="1:33" ht="15" customHeight="1">
      <c r="A86" s="16"/>
      <c r="B86" s="672" t="s">
        <v>316</v>
      </c>
      <c r="C86" s="673"/>
      <c r="D86" s="529">
        <v>6348</v>
      </c>
      <c r="E86" s="525">
        <v>5909</v>
      </c>
      <c r="F86" s="530">
        <v>5968</v>
      </c>
      <c r="G86" s="530">
        <v>5968.6027999999997</v>
      </c>
      <c r="H86" s="525">
        <v>6171</v>
      </c>
      <c r="I86" s="530">
        <v>6331</v>
      </c>
      <c r="J86" s="530">
        <v>6431</v>
      </c>
      <c r="K86" s="564">
        <v>6579</v>
      </c>
      <c r="L86" s="524">
        <v>6769</v>
      </c>
      <c r="M86" s="525">
        <v>6941</v>
      </c>
      <c r="N86" s="525">
        <v>7067</v>
      </c>
      <c r="O86" s="525">
        <v>7189</v>
      </c>
      <c r="P86" s="530">
        <v>7296</v>
      </c>
      <c r="Q86" s="564">
        <v>7396</v>
      </c>
      <c r="R86" s="573">
        <f t="shared" si="10"/>
        <v>0.5</v>
      </c>
      <c r="S86" s="256">
        <f t="shared" si="11"/>
        <v>1.8</v>
      </c>
      <c r="U86" s="280"/>
      <c r="V86" s="326"/>
      <c r="W86" s="326"/>
      <c r="X86" s="338"/>
      <c r="Y86" s="338"/>
      <c r="Z86" s="338"/>
      <c r="AA86" s="338"/>
      <c r="AB86" s="338"/>
      <c r="AC86" s="338"/>
      <c r="AD86" s="338"/>
      <c r="AE86" s="338"/>
      <c r="AF86" s="338"/>
      <c r="AG86" s="338"/>
    </row>
    <row r="87" spans="1:33" ht="15" customHeight="1">
      <c r="A87" s="16"/>
      <c r="B87" s="670" t="s">
        <v>317</v>
      </c>
      <c r="C87" s="671"/>
      <c r="D87" s="553">
        <v>0</v>
      </c>
      <c r="E87" s="525">
        <v>0</v>
      </c>
      <c r="F87" s="530">
        <v>0</v>
      </c>
      <c r="G87" s="530">
        <v>0</v>
      </c>
      <c r="H87" s="525">
        <v>0</v>
      </c>
      <c r="I87" s="530">
        <v>0</v>
      </c>
      <c r="J87" s="530">
        <v>0</v>
      </c>
      <c r="K87" s="564">
        <v>0</v>
      </c>
      <c r="L87" s="524">
        <v>0</v>
      </c>
      <c r="M87" s="525">
        <v>0</v>
      </c>
      <c r="N87" s="525">
        <v>0</v>
      </c>
      <c r="O87" s="525">
        <v>0</v>
      </c>
      <c r="P87" s="530">
        <v>0</v>
      </c>
      <c r="Q87" s="564">
        <v>0</v>
      </c>
      <c r="R87" s="573" t="str">
        <f t="shared" si="10"/>
        <v xml:space="preserve">     -</v>
      </c>
      <c r="S87" s="256" t="str">
        <f t="shared" si="11"/>
        <v xml:space="preserve">     -</v>
      </c>
      <c r="U87" s="280"/>
      <c r="V87" s="280"/>
      <c r="W87" s="280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</row>
    <row r="88" spans="1:33" ht="15.75" customHeight="1">
      <c r="A88" s="16"/>
      <c r="B88" s="674" t="s">
        <v>318</v>
      </c>
      <c r="C88" s="675"/>
      <c r="D88" s="95">
        <f>SUM(D86:D87)</f>
        <v>6348</v>
      </c>
      <c r="E88" s="92">
        <f t="shared" ref="E88:Q88" si="13">SUM(E86:E87)</f>
        <v>5909</v>
      </c>
      <c r="F88" s="92">
        <f t="shared" si="13"/>
        <v>5968</v>
      </c>
      <c r="G88" s="93">
        <f t="shared" si="13"/>
        <v>5968.6027999999997</v>
      </c>
      <c r="H88" s="93">
        <f t="shared" si="13"/>
        <v>6171</v>
      </c>
      <c r="I88" s="94">
        <f t="shared" si="13"/>
        <v>6331</v>
      </c>
      <c r="J88" s="94">
        <f t="shared" si="13"/>
        <v>6431</v>
      </c>
      <c r="K88" s="96">
        <f t="shared" si="13"/>
        <v>6579</v>
      </c>
      <c r="L88" s="95">
        <f t="shared" si="13"/>
        <v>6769</v>
      </c>
      <c r="M88" s="93">
        <f t="shared" si="13"/>
        <v>6941</v>
      </c>
      <c r="N88" s="93">
        <f t="shared" si="13"/>
        <v>7067</v>
      </c>
      <c r="O88" s="93">
        <f t="shared" si="13"/>
        <v>7189</v>
      </c>
      <c r="P88" s="93">
        <f t="shared" si="13"/>
        <v>7296</v>
      </c>
      <c r="Q88" s="96">
        <f t="shared" si="13"/>
        <v>7396</v>
      </c>
      <c r="R88" s="574">
        <f t="shared" si="10"/>
        <v>0.5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0</v>
      </c>
      <c r="E89" s="525">
        <v>0</v>
      </c>
      <c r="F89" s="530">
        <v>0</v>
      </c>
      <c r="G89" s="530">
        <v>100</v>
      </c>
      <c r="H89" s="525">
        <v>340</v>
      </c>
      <c r="I89" s="530">
        <v>340</v>
      </c>
      <c r="J89" s="530">
        <v>340</v>
      </c>
      <c r="K89" s="564">
        <v>296</v>
      </c>
      <c r="L89" s="565">
        <v>296</v>
      </c>
      <c r="M89" s="566">
        <v>296</v>
      </c>
      <c r="N89" s="566">
        <v>296</v>
      </c>
      <c r="O89" s="566">
        <v>296</v>
      </c>
      <c r="P89" s="566">
        <v>296</v>
      </c>
      <c r="Q89" s="567">
        <v>296</v>
      </c>
      <c r="R89" s="573" t="str">
        <f t="shared" si="10"/>
        <v xml:space="preserve">     -</v>
      </c>
      <c r="S89" s="256">
        <f t="shared" si="11"/>
        <v>0</v>
      </c>
      <c r="U89" s="280"/>
      <c r="V89" s="280"/>
      <c r="W89" s="338"/>
      <c r="X89" s="338"/>
      <c r="Y89" s="338"/>
      <c r="Z89" s="338"/>
      <c r="AA89" s="338"/>
      <c r="AB89" s="338"/>
      <c r="AC89" s="338"/>
      <c r="AD89" s="338"/>
      <c r="AE89" s="338"/>
      <c r="AF89" s="338"/>
      <c r="AG89" s="338"/>
    </row>
    <row r="90" spans="1:33" ht="15" customHeight="1">
      <c r="A90" s="16"/>
      <c r="B90" s="668" t="s">
        <v>320</v>
      </c>
      <c r="C90" s="669"/>
      <c r="D90" s="553">
        <v>698</v>
      </c>
      <c r="E90" s="525">
        <v>661</v>
      </c>
      <c r="F90" s="530">
        <v>674</v>
      </c>
      <c r="G90" s="530">
        <v>694</v>
      </c>
      <c r="H90" s="525">
        <v>701</v>
      </c>
      <c r="I90" s="530">
        <v>674</v>
      </c>
      <c r="J90" s="530">
        <v>652</v>
      </c>
      <c r="K90" s="564">
        <v>717</v>
      </c>
      <c r="L90" s="524">
        <v>727</v>
      </c>
      <c r="M90" s="525">
        <v>744</v>
      </c>
      <c r="N90" s="525">
        <v>761</v>
      </c>
      <c r="O90" s="525">
        <v>778</v>
      </c>
      <c r="P90" s="530">
        <v>795</v>
      </c>
      <c r="Q90" s="564">
        <v>813</v>
      </c>
      <c r="R90" s="573">
        <f t="shared" si="10"/>
        <v>0.4</v>
      </c>
      <c r="S90" s="256">
        <f t="shared" si="11"/>
        <v>2.2999999999999998</v>
      </c>
      <c r="U90" s="280"/>
      <c r="V90" s="280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</row>
    <row r="91" spans="1:33" ht="15" customHeight="1">
      <c r="A91" s="16"/>
      <c r="B91" s="670" t="s">
        <v>321</v>
      </c>
      <c r="C91" s="671"/>
      <c r="D91" s="553">
        <v>306</v>
      </c>
      <c r="E91" s="525">
        <v>306</v>
      </c>
      <c r="F91" s="530">
        <v>306</v>
      </c>
      <c r="G91" s="530">
        <v>306</v>
      </c>
      <c r="H91" s="525">
        <v>306</v>
      </c>
      <c r="I91" s="530">
        <v>306</v>
      </c>
      <c r="J91" s="530">
        <v>306</v>
      </c>
      <c r="K91" s="568">
        <v>306</v>
      </c>
      <c r="L91" s="569">
        <v>306</v>
      </c>
      <c r="M91" s="570">
        <v>305</v>
      </c>
      <c r="N91" s="570">
        <v>306</v>
      </c>
      <c r="O91" s="570">
        <v>306</v>
      </c>
      <c r="P91" s="571">
        <v>306</v>
      </c>
      <c r="Q91" s="568">
        <v>306</v>
      </c>
      <c r="R91" s="573">
        <f t="shared" si="10"/>
        <v>0</v>
      </c>
      <c r="S91" s="256">
        <f t="shared" si="11"/>
        <v>0</v>
      </c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1004</v>
      </c>
      <c r="E92" s="539">
        <f t="shared" ref="E92:Q92" si="14">SUM(E89:E91)</f>
        <v>967</v>
      </c>
      <c r="F92" s="539">
        <f t="shared" si="14"/>
        <v>980</v>
      </c>
      <c r="G92" s="100">
        <f t="shared" si="14"/>
        <v>1100</v>
      </c>
      <c r="H92" s="100">
        <f t="shared" si="14"/>
        <v>1347</v>
      </c>
      <c r="I92" s="100">
        <f t="shared" si="14"/>
        <v>1320</v>
      </c>
      <c r="J92" s="101">
        <f t="shared" si="14"/>
        <v>1298</v>
      </c>
      <c r="K92" s="104">
        <f t="shared" si="14"/>
        <v>1319</v>
      </c>
      <c r="L92" s="540">
        <f t="shared" si="14"/>
        <v>1329</v>
      </c>
      <c r="M92" s="100">
        <f t="shared" si="14"/>
        <v>1345</v>
      </c>
      <c r="N92" s="100">
        <f t="shared" si="14"/>
        <v>1363</v>
      </c>
      <c r="O92" s="100">
        <f t="shared" si="14"/>
        <v>1380</v>
      </c>
      <c r="P92" s="100">
        <f t="shared" si="14"/>
        <v>1397</v>
      </c>
      <c r="Q92" s="103">
        <f t="shared" si="14"/>
        <v>1415</v>
      </c>
      <c r="R92" s="576">
        <f t="shared" si="10"/>
        <v>4</v>
      </c>
      <c r="S92" s="541">
        <f t="shared" si="11"/>
        <v>1.3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33645.902181999998</v>
      </c>
      <c r="E93" s="543">
        <f t="shared" ref="E93:Q93" si="15">E77+E78+E80+E82+E84+E85+E88+E92</f>
        <v>35145.9</v>
      </c>
      <c r="F93" s="543">
        <f t="shared" si="15"/>
        <v>37140.47</v>
      </c>
      <c r="G93" s="544">
        <f t="shared" si="15"/>
        <v>38006.302799999998</v>
      </c>
      <c r="H93" s="544">
        <f t="shared" si="15"/>
        <v>39260.341640211642</v>
      </c>
      <c r="I93" s="544">
        <f t="shared" si="15"/>
        <v>40045.274973544976</v>
      </c>
      <c r="J93" s="545">
        <f t="shared" si="15"/>
        <v>40287.121005291003</v>
      </c>
      <c r="K93" s="546">
        <f t="shared" si="15"/>
        <v>42589.543993439154</v>
      </c>
      <c r="L93" s="547">
        <f t="shared" si="15"/>
        <v>44217.703909714284</v>
      </c>
      <c r="M93" s="544">
        <f t="shared" si="15"/>
        <v>45882.054073906293</v>
      </c>
      <c r="N93" s="544">
        <f t="shared" si="15"/>
        <v>47652.710208129174</v>
      </c>
      <c r="O93" s="544">
        <f t="shared" si="15"/>
        <v>48848.481184365395</v>
      </c>
      <c r="P93" s="544">
        <f t="shared" si="15"/>
        <v>50165.368725245164</v>
      </c>
      <c r="Q93" s="577">
        <f t="shared" si="15"/>
        <v>51622.374579238123</v>
      </c>
      <c r="R93" s="578">
        <f t="shared" si="10"/>
        <v>3.4</v>
      </c>
      <c r="S93" s="549">
        <f t="shared" si="11"/>
        <v>3.1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7"/>
      <c r="L121" s="27"/>
      <c r="M121" s="27"/>
      <c r="N121" s="27"/>
      <c r="O121" s="27"/>
      <c r="P121" s="27"/>
      <c r="Q121" s="27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7"/>
      <c r="L151" s="27"/>
      <c r="M151" s="27"/>
      <c r="N151" s="27"/>
      <c r="O151" s="27"/>
      <c r="P151" s="27"/>
      <c r="Q151" s="27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7"/>
      <c r="L161" s="27"/>
      <c r="M161" s="27"/>
      <c r="N161" s="27"/>
      <c r="O161" s="27"/>
      <c r="P161" s="27"/>
      <c r="Q161" s="27"/>
    </row>
    <row r="162" spans="5:17">
      <c r="E162" s="27"/>
      <c r="F162" s="27"/>
      <c r="G162" s="27"/>
      <c r="H162" s="27"/>
      <c r="I162" s="27"/>
      <c r="J162" s="24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4"/>
      <c r="K163" s="24"/>
      <c r="L163" s="24"/>
      <c r="M163" s="24"/>
      <c r="N163" s="24"/>
      <c r="O163" s="24"/>
      <c r="P163" s="24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4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4"/>
      <c r="K168" s="27"/>
      <c r="L168" s="24"/>
      <c r="M168" s="24"/>
      <c r="N168" s="24"/>
      <c r="O168" s="24"/>
      <c r="P168" s="24"/>
      <c r="Q168" s="24"/>
    </row>
    <row r="169" spans="5:17">
      <c r="E169" s="27"/>
      <c r="F169" s="27"/>
      <c r="G169" s="27"/>
      <c r="H169" s="27"/>
      <c r="I169" s="27"/>
      <c r="J169" s="24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305" priority="5">
      <formula>CELL("protect",C97)=0</formula>
    </cfRule>
    <cfRule type="expression" dxfId="304" priority="6">
      <formula>CELL("protect",C97)=0</formula>
    </cfRule>
  </conditionalFormatting>
  <conditionalFormatting sqref="C95">
    <cfRule type="expression" dxfId="303" priority="3">
      <formula>CELL("protect",C95)=0</formula>
    </cfRule>
    <cfRule type="expression" dxfId="302" priority="4">
      <formula>CELL("protect",C95)=0</formula>
    </cfRule>
  </conditionalFormatting>
  <conditionalFormatting sqref="C97">
    <cfRule type="expression" dxfId="301" priority="1">
      <formula>CELL("protect",C97)=0</formula>
    </cfRule>
    <cfRule type="expression" dxfId="30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&amp;C148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B0F0"/>
    <pageSetUpPr fitToPage="1"/>
  </sheetPr>
  <dimension ref="A1:AG182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8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1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911</v>
      </c>
      <c r="E7" s="488">
        <v>911</v>
      </c>
      <c r="F7" s="489">
        <v>911</v>
      </c>
      <c r="G7" s="489">
        <v>1231</v>
      </c>
      <c r="H7" s="488">
        <v>1231</v>
      </c>
      <c r="I7" s="489">
        <v>1231</v>
      </c>
      <c r="J7" s="489">
        <v>1231</v>
      </c>
      <c r="K7" s="490">
        <v>1231</v>
      </c>
      <c r="L7" s="491">
        <v>1231</v>
      </c>
      <c r="M7" s="492">
        <v>1231</v>
      </c>
      <c r="N7" s="492">
        <v>1231</v>
      </c>
      <c r="O7" s="492">
        <v>1231</v>
      </c>
      <c r="P7" s="493">
        <v>1231</v>
      </c>
      <c r="Q7" s="490">
        <v>1231</v>
      </c>
      <c r="R7" s="572">
        <f>IF(D7=0,"     -",IF(K7=0,"     -",ROUND(((K7/D7)^(1/7)-1)*100,1)))</f>
        <v>4.4000000000000004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1771</v>
      </c>
      <c r="E8" s="496">
        <v>1771</v>
      </c>
      <c r="F8" s="497">
        <v>1771</v>
      </c>
      <c r="G8" s="497">
        <v>1771</v>
      </c>
      <c r="H8" s="496">
        <v>1771</v>
      </c>
      <c r="I8" s="497">
        <v>1771</v>
      </c>
      <c r="J8" s="497">
        <v>1771</v>
      </c>
      <c r="K8" s="498">
        <v>1771</v>
      </c>
      <c r="L8" s="499">
        <v>1771</v>
      </c>
      <c r="M8" s="500">
        <v>1771</v>
      </c>
      <c r="N8" s="500">
        <v>1771</v>
      </c>
      <c r="O8" s="500">
        <v>1771</v>
      </c>
      <c r="P8" s="501">
        <v>1771</v>
      </c>
      <c r="Q8" s="498">
        <v>1771</v>
      </c>
      <c r="R8" s="573">
        <f t="shared" ref="R8:R71" si="0">IF(D8=0,"     -",IF(K8=0,"     -",ROUND(((K8/D8)^(1/7)-1)*100,1)))</f>
        <v>0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0</v>
      </c>
      <c r="E9" s="496">
        <v>0</v>
      </c>
      <c r="F9" s="497">
        <v>0</v>
      </c>
      <c r="G9" s="497">
        <v>0</v>
      </c>
      <c r="H9" s="496">
        <v>0</v>
      </c>
      <c r="I9" s="497">
        <v>0</v>
      </c>
      <c r="J9" s="497">
        <v>0</v>
      </c>
      <c r="K9" s="502">
        <v>0</v>
      </c>
      <c r="L9" s="503">
        <v>0</v>
      </c>
      <c r="M9" s="496">
        <v>0</v>
      </c>
      <c r="N9" s="496">
        <v>0</v>
      </c>
      <c r="O9" s="496">
        <v>0</v>
      </c>
      <c r="P9" s="279">
        <v>0</v>
      </c>
      <c r="Q9" s="502">
        <v>0</v>
      </c>
      <c r="R9" s="573" t="str">
        <f t="shared" si="0"/>
        <v xml:space="preserve">     -</v>
      </c>
      <c r="S9" s="256" t="str">
        <f t="shared" si="1"/>
        <v xml:space="preserve">     -</v>
      </c>
      <c r="U9" s="280"/>
      <c r="V9" s="280"/>
      <c r="W9" s="280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5169</v>
      </c>
      <c r="E10" s="496">
        <v>5169</v>
      </c>
      <c r="F10" s="497">
        <v>5229</v>
      </c>
      <c r="G10" s="497">
        <v>5289</v>
      </c>
      <c r="H10" s="496">
        <v>5289</v>
      </c>
      <c r="I10" s="497">
        <v>5484</v>
      </c>
      <c r="J10" s="497">
        <v>5509</v>
      </c>
      <c r="K10" s="502">
        <v>5509</v>
      </c>
      <c r="L10" s="503">
        <v>5829</v>
      </c>
      <c r="M10" s="496">
        <v>5829</v>
      </c>
      <c r="N10" s="496">
        <v>6149</v>
      </c>
      <c r="O10" s="496">
        <v>7069</v>
      </c>
      <c r="P10" s="279">
        <v>7369</v>
      </c>
      <c r="Q10" s="502">
        <v>7669</v>
      </c>
      <c r="R10" s="573">
        <f t="shared" si="0"/>
        <v>0.9</v>
      </c>
      <c r="S10" s="256">
        <f t="shared" si="1"/>
        <v>5.6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510</v>
      </c>
      <c r="E11" s="496">
        <v>510</v>
      </c>
      <c r="F11" s="497">
        <v>510</v>
      </c>
      <c r="G11" s="497">
        <v>510</v>
      </c>
      <c r="H11" s="496">
        <v>510</v>
      </c>
      <c r="I11" s="497">
        <v>510</v>
      </c>
      <c r="J11" s="497">
        <v>510</v>
      </c>
      <c r="K11" s="502">
        <v>510</v>
      </c>
      <c r="L11" s="503">
        <v>510</v>
      </c>
      <c r="M11" s="496">
        <v>510</v>
      </c>
      <c r="N11" s="496">
        <v>510</v>
      </c>
      <c r="O11" s="496">
        <v>510</v>
      </c>
      <c r="P11" s="279">
        <v>510</v>
      </c>
      <c r="Q11" s="502">
        <v>510</v>
      </c>
      <c r="R11" s="573">
        <f t="shared" si="0"/>
        <v>0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835</v>
      </c>
      <c r="E12" s="496">
        <v>835</v>
      </c>
      <c r="F12" s="497">
        <v>835</v>
      </c>
      <c r="G12" s="497">
        <v>835</v>
      </c>
      <c r="H12" s="496">
        <v>835</v>
      </c>
      <c r="I12" s="497">
        <v>1195</v>
      </c>
      <c r="J12" s="497">
        <v>1195</v>
      </c>
      <c r="K12" s="502">
        <v>1195</v>
      </c>
      <c r="L12" s="503">
        <v>1195</v>
      </c>
      <c r="M12" s="496">
        <v>1195</v>
      </c>
      <c r="N12" s="496">
        <v>1195</v>
      </c>
      <c r="O12" s="496">
        <v>1195</v>
      </c>
      <c r="P12" s="279">
        <v>1195</v>
      </c>
      <c r="Q12" s="502">
        <v>1195</v>
      </c>
      <c r="R12" s="573">
        <f t="shared" si="0"/>
        <v>5.3</v>
      </c>
      <c r="S12" s="256">
        <f t="shared" si="1"/>
        <v>0</v>
      </c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590</v>
      </c>
      <c r="E13" s="49">
        <v>590</v>
      </c>
      <c r="F13" s="45">
        <v>590</v>
      </c>
      <c r="G13" s="49">
        <v>590</v>
      </c>
      <c r="H13" s="49">
        <v>1149</v>
      </c>
      <c r="I13" s="45">
        <v>1149</v>
      </c>
      <c r="J13" s="49">
        <v>1149</v>
      </c>
      <c r="K13" s="50">
        <v>1149</v>
      </c>
      <c r="L13" s="140">
        <v>1149</v>
      </c>
      <c r="M13" s="45">
        <v>1149</v>
      </c>
      <c r="N13" s="45">
        <v>1149</v>
      </c>
      <c r="O13" s="45">
        <v>1149</v>
      </c>
      <c r="P13" s="45">
        <v>1149</v>
      </c>
      <c r="Q13" s="50">
        <v>1149</v>
      </c>
      <c r="R13" s="573">
        <f t="shared" si="0"/>
        <v>10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0</v>
      </c>
      <c r="E16" s="496">
        <v>0</v>
      </c>
      <c r="F16" s="497">
        <v>0</v>
      </c>
      <c r="G16" s="497">
        <v>0</v>
      </c>
      <c r="H16" s="496">
        <v>0</v>
      </c>
      <c r="I16" s="497">
        <v>0</v>
      </c>
      <c r="J16" s="497">
        <v>0</v>
      </c>
      <c r="K16" s="502">
        <v>0</v>
      </c>
      <c r="L16" s="503">
        <v>0</v>
      </c>
      <c r="M16" s="496">
        <v>0</v>
      </c>
      <c r="N16" s="496">
        <v>0</v>
      </c>
      <c r="O16" s="496">
        <v>0</v>
      </c>
      <c r="P16" s="279">
        <v>0</v>
      </c>
      <c r="Q16" s="502">
        <v>0</v>
      </c>
      <c r="R16" s="573" t="str">
        <f t="shared" si="0"/>
        <v xml:space="preserve">     -</v>
      </c>
      <c r="S16" s="256" t="str">
        <f t="shared" si="1"/>
        <v xml:space="preserve">     -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4330</v>
      </c>
      <c r="E18" s="40">
        <v>4330</v>
      </c>
      <c r="F18" s="40">
        <v>4330</v>
      </c>
      <c r="G18" s="40">
        <v>4330</v>
      </c>
      <c r="H18" s="40">
        <v>4330</v>
      </c>
      <c r="I18" s="505">
        <v>3997.6</v>
      </c>
      <c r="J18" s="506">
        <v>3997.6</v>
      </c>
      <c r="K18" s="507">
        <v>3997.6</v>
      </c>
      <c r="L18" s="508">
        <v>3997.6</v>
      </c>
      <c r="M18" s="505">
        <v>3997.6</v>
      </c>
      <c r="N18" s="505">
        <v>3997.6</v>
      </c>
      <c r="O18" s="505">
        <v>3997.6</v>
      </c>
      <c r="P18" s="505">
        <v>3997.6</v>
      </c>
      <c r="Q18" s="509">
        <v>3997.6</v>
      </c>
      <c r="R18" s="573">
        <f t="shared" si="0"/>
        <v>-1.1000000000000001</v>
      </c>
      <c r="S18" s="256">
        <f t="shared" si="1"/>
        <v>0</v>
      </c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SUM(D7:D18)</f>
        <v>14116</v>
      </c>
      <c r="E19" s="93">
        <f t="shared" ref="E19:Q19" si="2">SUM(E7:E18)</f>
        <v>14116</v>
      </c>
      <c r="F19" s="93">
        <f t="shared" si="2"/>
        <v>14176</v>
      </c>
      <c r="G19" s="93">
        <f t="shared" si="2"/>
        <v>14556</v>
      </c>
      <c r="H19" s="93">
        <f t="shared" si="2"/>
        <v>15115</v>
      </c>
      <c r="I19" s="93">
        <f t="shared" si="2"/>
        <v>15337.6</v>
      </c>
      <c r="J19" s="93">
        <f t="shared" si="2"/>
        <v>15362.6</v>
      </c>
      <c r="K19" s="96">
        <f t="shared" si="2"/>
        <v>15362.6</v>
      </c>
      <c r="L19" s="95">
        <f t="shared" si="2"/>
        <v>15682.6</v>
      </c>
      <c r="M19" s="93">
        <f t="shared" si="2"/>
        <v>15682.6</v>
      </c>
      <c r="N19" s="93">
        <f t="shared" si="2"/>
        <v>16002.6</v>
      </c>
      <c r="O19" s="93">
        <f t="shared" si="2"/>
        <v>16922.599999999999</v>
      </c>
      <c r="P19" s="93">
        <f t="shared" si="2"/>
        <v>17222.599999999999</v>
      </c>
      <c r="Q19" s="96">
        <f t="shared" si="2"/>
        <v>17522.599999999999</v>
      </c>
      <c r="R19" s="574">
        <f t="shared" si="0"/>
        <v>1.2</v>
      </c>
      <c r="S19" s="510">
        <f t="shared" si="1"/>
        <v>2.2000000000000002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13633.438599999999</v>
      </c>
      <c r="E22" s="496">
        <v>13466</v>
      </c>
      <c r="F22" s="496">
        <v>13573</v>
      </c>
      <c r="G22" s="496">
        <v>12938</v>
      </c>
      <c r="H22" s="496">
        <v>12938</v>
      </c>
      <c r="I22" s="496">
        <v>12688</v>
      </c>
      <c r="J22" s="515">
        <v>12243</v>
      </c>
      <c r="K22" s="502">
        <v>12313</v>
      </c>
      <c r="L22" s="503">
        <v>12040</v>
      </c>
      <c r="M22" s="496">
        <v>12040</v>
      </c>
      <c r="N22" s="496">
        <v>12040</v>
      </c>
      <c r="O22" s="512">
        <v>12040</v>
      </c>
      <c r="P22" s="512">
        <v>12040</v>
      </c>
      <c r="Q22" s="514">
        <v>12040</v>
      </c>
      <c r="R22" s="575">
        <f t="shared" si="0"/>
        <v>-1.4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11560</v>
      </c>
      <c r="E23" s="512">
        <v>11606</v>
      </c>
      <c r="F23" s="512">
        <v>11606</v>
      </c>
      <c r="G23" s="512">
        <v>10971</v>
      </c>
      <c r="H23" s="512">
        <v>10971</v>
      </c>
      <c r="I23" s="512">
        <v>10721</v>
      </c>
      <c r="J23" s="513">
        <v>10721</v>
      </c>
      <c r="K23" s="514">
        <v>10791</v>
      </c>
      <c r="L23" s="511">
        <v>10633</v>
      </c>
      <c r="M23" s="512">
        <v>10633</v>
      </c>
      <c r="N23" s="512">
        <v>10633</v>
      </c>
      <c r="O23" s="512">
        <v>10633</v>
      </c>
      <c r="P23" s="512">
        <v>10633</v>
      </c>
      <c r="Q23" s="514">
        <v>10633</v>
      </c>
      <c r="R23" s="574">
        <f t="shared" si="0"/>
        <v>-1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3276</v>
      </c>
      <c r="E24" s="496">
        <v>3828</v>
      </c>
      <c r="F24" s="496">
        <v>3858</v>
      </c>
      <c r="G24" s="496">
        <v>4158</v>
      </c>
      <c r="H24" s="496">
        <v>4158</v>
      </c>
      <c r="I24" s="496">
        <v>4158</v>
      </c>
      <c r="J24" s="497">
        <v>4158</v>
      </c>
      <c r="K24" s="502">
        <v>4158</v>
      </c>
      <c r="L24" s="503">
        <v>4158</v>
      </c>
      <c r="M24" s="496">
        <v>4158</v>
      </c>
      <c r="N24" s="496">
        <v>4583</v>
      </c>
      <c r="O24" s="496">
        <v>4583</v>
      </c>
      <c r="P24" s="497">
        <v>4583</v>
      </c>
      <c r="Q24" s="502">
        <v>4583</v>
      </c>
      <c r="R24" s="574">
        <f t="shared" si="0"/>
        <v>3.5</v>
      </c>
      <c r="S24" s="510">
        <f t="shared" si="1"/>
        <v>2</v>
      </c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  <c r="AF24" s="280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1240</v>
      </c>
      <c r="F25" s="518">
        <v>1240</v>
      </c>
      <c r="G25" s="518">
        <v>1540</v>
      </c>
      <c r="H25" s="518">
        <v>1540</v>
      </c>
      <c r="I25" s="518">
        <v>1540</v>
      </c>
      <c r="J25" s="519">
        <v>1540</v>
      </c>
      <c r="K25" s="514">
        <v>1540</v>
      </c>
      <c r="L25" s="511">
        <v>1540</v>
      </c>
      <c r="M25" s="518">
        <v>1540</v>
      </c>
      <c r="N25" s="518">
        <v>1540</v>
      </c>
      <c r="O25" s="518">
        <v>1540</v>
      </c>
      <c r="P25" s="519">
        <v>1540</v>
      </c>
      <c r="Q25" s="514">
        <v>1540</v>
      </c>
      <c r="R25" s="573" t="str">
        <f t="shared" si="0"/>
        <v xml:space="preserve">     -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810</v>
      </c>
      <c r="E26" s="518">
        <v>820</v>
      </c>
      <c r="F26" s="518">
        <v>1140</v>
      </c>
      <c r="G26" s="518">
        <v>1140</v>
      </c>
      <c r="H26" s="518">
        <v>1140</v>
      </c>
      <c r="I26" s="518">
        <v>1140</v>
      </c>
      <c r="J26" s="519">
        <v>1140</v>
      </c>
      <c r="K26" s="514">
        <v>1140</v>
      </c>
      <c r="L26" s="511">
        <v>1140</v>
      </c>
      <c r="M26" s="518">
        <v>1140</v>
      </c>
      <c r="N26" s="518">
        <v>1140</v>
      </c>
      <c r="O26" s="518">
        <v>1140</v>
      </c>
      <c r="P26" s="519">
        <v>1140</v>
      </c>
      <c r="Q26" s="514">
        <v>1140</v>
      </c>
      <c r="R26" s="574">
        <f t="shared" si="0"/>
        <v>5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1140.5614</v>
      </c>
      <c r="E27" s="521">
        <v>1712.6758000000002</v>
      </c>
      <c r="F27" s="521">
        <v>1730</v>
      </c>
      <c r="G27" s="521">
        <v>1671</v>
      </c>
      <c r="H27" s="521">
        <v>1671</v>
      </c>
      <c r="I27" s="521">
        <v>1671</v>
      </c>
      <c r="J27" s="522">
        <v>1829</v>
      </c>
      <c r="K27" s="523">
        <v>2487</v>
      </c>
      <c r="L27" s="520">
        <v>2487</v>
      </c>
      <c r="M27" s="521">
        <v>2487</v>
      </c>
      <c r="N27" s="521">
        <v>2487</v>
      </c>
      <c r="O27" s="521">
        <v>2487</v>
      </c>
      <c r="P27" s="522">
        <v>2487</v>
      </c>
      <c r="Q27" s="523">
        <v>2487</v>
      </c>
      <c r="R27" s="574">
        <f t="shared" si="0"/>
        <v>11.8</v>
      </c>
      <c r="S27" s="510">
        <f t="shared" si="1"/>
        <v>0</v>
      </c>
      <c r="U27" s="280"/>
      <c r="V27" s="280"/>
      <c r="W27" s="280"/>
      <c r="X27" s="280"/>
      <c r="Y27" s="280"/>
      <c r="Z27" s="280"/>
      <c r="AA27" s="43"/>
      <c r="AB27" s="43"/>
      <c r="AC27" s="280"/>
      <c r="AD27" s="280"/>
      <c r="AE27" s="280"/>
      <c r="AF27" s="280"/>
      <c r="AG27" s="280"/>
    </row>
    <row r="28" spans="1:33" ht="15" customHeight="1">
      <c r="A28" s="16"/>
      <c r="B28" s="672" t="s">
        <v>316</v>
      </c>
      <c r="C28" s="673"/>
      <c r="D28" s="524">
        <v>17074</v>
      </c>
      <c r="E28" s="525">
        <v>17946</v>
      </c>
      <c r="F28" s="525">
        <v>17986</v>
      </c>
      <c r="G28" s="526">
        <v>17986</v>
      </c>
      <c r="H28" s="526">
        <v>18206</v>
      </c>
      <c r="I28" s="496">
        <v>18246</v>
      </c>
      <c r="J28" s="497">
        <v>18422</v>
      </c>
      <c r="K28" s="498">
        <v>18680</v>
      </c>
      <c r="L28" s="527">
        <v>18716</v>
      </c>
      <c r="M28" s="528">
        <v>18716</v>
      </c>
      <c r="N28" s="528">
        <v>18716</v>
      </c>
      <c r="O28" s="528">
        <v>19287</v>
      </c>
      <c r="P28" s="528">
        <v>19287</v>
      </c>
      <c r="Q28" s="498">
        <v>19287</v>
      </c>
      <c r="R28" s="573">
        <f t="shared" si="0"/>
        <v>1.3</v>
      </c>
      <c r="S28" s="256">
        <f t="shared" si="1"/>
        <v>0.6</v>
      </c>
      <c r="U28" s="280"/>
      <c r="V28" s="280"/>
      <c r="W28" s="280"/>
      <c r="X28" s="338"/>
      <c r="Y28" s="338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0</v>
      </c>
      <c r="E29" s="525">
        <v>0</v>
      </c>
      <c r="F29" s="530">
        <v>0</v>
      </c>
      <c r="G29" s="531">
        <v>0</v>
      </c>
      <c r="H29" s="526">
        <v>0</v>
      </c>
      <c r="I29" s="497">
        <v>0</v>
      </c>
      <c r="J29" s="497">
        <v>0</v>
      </c>
      <c r="K29" s="498">
        <v>0</v>
      </c>
      <c r="L29" s="499">
        <v>0</v>
      </c>
      <c r="M29" s="532">
        <v>0</v>
      </c>
      <c r="N29" s="532">
        <v>0</v>
      </c>
      <c r="O29" s="532">
        <v>0</v>
      </c>
      <c r="P29" s="532">
        <v>0</v>
      </c>
      <c r="Q29" s="498">
        <v>0</v>
      </c>
      <c r="R29" s="573" t="str">
        <f t="shared" si="0"/>
        <v xml:space="preserve">     -</v>
      </c>
      <c r="S29" s="256" t="str">
        <f t="shared" si="1"/>
        <v xml:space="preserve">     -</v>
      </c>
      <c r="U29" s="280"/>
      <c r="V29" s="280"/>
      <c r="W29" s="280"/>
      <c r="X29" s="338"/>
      <c r="Y29" s="338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17074</v>
      </c>
      <c r="E30" s="92">
        <f t="shared" ref="E30:Q30" si="3">SUM(E28:E29)</f>
        <v>17946</v>
      </c>
      <c r="F30" s="92">
        <f t="shared" si="3"/>
        <v>17986</v>
      </c>
      <c r="G30" s="93">
        <f t="shared" si="3"/>
        <v>17986</v>
      </c>
      <c r="H30" s="93">
        <f t="shared" si="3"/>
        <v>18206</v>
      </c>
      <c r="I30" s="94">
        <f t="shared" si="3"/>
        <v>18246</v>
      </c>
      <c r="J30" s="94">
        <f t="shared" si="3"/>
        <v>18422</v>
      </c>
      <c r="K30" s="96">
        <f t="shared" si="3"/>
        <v>18680</v>
      </c>
      <c r="L30" s="95">
        <f t="shared" si="3"/>
        <v>18716</v>
      </c>
      <c r="M30" s="93">
        <f t="shared" si="3"/>
        <v>18716</v>
      </c>
      <c r="N30" s="93">
        <f t="shared" si="3"/>
        <v>18716</v>
      </c>
      <c r="O30" s="93">
        <f t="shared" si="3"/>
        <v>19287</v>
      </c>
      <c r="P30" s="93">
        <f t="shared" si="3"/>
        <v>19287</v>
      </c>
      <c r="Q30" s="96">
        <f t="shared" si="3"/>
        <v>19287</v>
      </c>
      <c r="R30" s="574">
        <f t="shared" si="0"/>
        <v>1.3</v>
      </c>
      <c r="S30" s="510">
        <f t="shared" si="1"/>
        <v>0.6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188</v>
      </c>
      <c r="E31" s="525">
        <v>188</v>
      </c>
      <c r="F31" s="530">
        <v>188</v>
      </c>
      <c r="G31" s="531">
        <v>188</v>
      </c>
      <c r="H31" s="526">
        <v>188</v>
      </c>
      <c r="I31" s="497">
        <v>188</v>
      </c>
      <c r="J31" s="497">
        <v>188</v>
      </c>
      <c r="K31" s="498">
        <v>0</v>
      </c>
      <c r="L31" s="533">
        <v>0</v>
      </c>
      <c r="M31" s="534">
        <v>0</v>
      </c>
      <c r="N31" s="534">
        <v>0</v>
      </c>
      <c r="O31" s="534">
        <v>0</v>
      </c>
      <c r="P31" s="534">
        <v>0</v>
      </c>
      <c r="Q31" s="535">
        <v>0</v>
      </c>
      <c r="R31" s="573" t="str">
        <f t="shared" si="0"/>
        <v xml:space="preserve">     -</v>
      </c>
      <c r="S31" s="256" t="str">
        <f t="shared" si="1"/>
        <v xml:space="preserve">     -</v>
      </c>
      <c r="U31" s="280"/>
      <c r="V31" s="280"/>
      <c r="W31" s="280"/>
      <c r="X31" s="338"/>
      <c r="Y31" s="33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1615</v>
      </c>
      <c r="E32" s="525">
        <v>1615</v>
      </c>
      <c r="F32" s="530">
        <v>1615</v>
      </c>
      <c r="G32" s="531">
        <v>1615</v>
      </c>
      <c r="H32" s="526">
        <v>1615</v>
      </c>
      <c r="I32" s="497">
        <v>1615</v>
      </c>
      <c r="J32" s="497">
        <v>1615</v>
      </c>
      <c r="K32" s="502">
        <v>1615</v>
      </c>
      <c r="L32" s="503">
        <v>1615</v>
      </c>
      <c r="M32" s="496">
        <v>1615</v>
      </c>
      <c r="N32" s="496">
        <v>1615</v>
      </c>
      <c r="O32" s="496">
        <v>1615</v>
      </c>
      <c r="P32" s="497">
        <v>1615</v>
      </c>
      <c r="Q32" s="502">
        <v>1615</v>
      </c>
      <c r="R32" s="573">
        <f t="shared" si="0"/>
        <v>0</v>
      </c>
      <c r="S32" s="256">
        <f t="shared" si="1"/>
        <v>0</v>
      </c>
      <c r="U32" s="280"/>
      <c r="V32" s="280"/>
      <c r="W32" s="280"/>
      <c r="X32" s="338"/>
      <c r="Y32" s="338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396</v>
      </c>
      <c r="E33" s="525">
        <v>396</v>
      </c>
      <c r="F33" s="530">
        <v>386</v>
      </c>
      <c r="G33" s="531">
        <v>396</v>
      </c>
      <c r="H33" s="526">
        <v>634</v>
      </c>
      <c r="I33" s="497">
        <v>634</v>
      </c>
      <c r="J33" s="497">
        <v>634</v>
      </c>
      <c r="K33" s="536">
        <v>634</v>
      </c>
      <c r="L33" s="537">
        <v>634</v>
      </c>
      <c r="M33" s="538">
        <v>634</v>
      </c>
      <c r="N33" s="538">
        <v>634</v>
      </c>
      <c r="O33" s="538">
        <v>634</v>
      </c>
      <c r="P33" s="515">
        <v>634</v>
      </c>
      <c r="Q33" s="502">
        <v>634</v>
      </c>
      <c r="R33" s="573">
        <f t="shared" si="0"/>
        <v>7</v>
      </c>
      <c r="S33" s="256">
        <f t="shared" si="1"/>
        <v>0</v>
      </c>
      <c r="U33" s="43"/>
      <c r="V33" s="43"/>
      <c r="W33" s="43"/>
      <c r="X33" s="340"/>
      <c r="Y33" s="340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2199</v>
      </c>
      <c r="E34" s="539">
        <f t="shared" ref="E34:Q34" si="4">SUM(E31:E33)</f>
        <v>2199</v>
      </c>
      <c r="F34" s="539">
        <f t="shared" si="4"/>
        <v>2189</v>
      </c>
      <c r="G34" s="100">
        <f t="shared" si="4"/>
        <v>2199</v>
      </c>
      <c r="H34" s="100">
        <f t="shared" si="4"/>
        <v>2437</v>
      </c>
      <c r="I34" s="100">
        <f t="shared" si="4"/>
        <v>2437</v>
      </c>
      <c r="J34" s="101">
        <f t="shared" si="4"/>
        <v>2437</v>
      </c>
      <c r="K34" s="104">
        <f t="shared" si="4"/>
        <v>2249</v>
      </c>
      <c r="L34" s="540">
        <f t="shared" si="4"/>
        <v>2249</v>
      </c>
      <c r="M34" s="100">
        <f t="shared" si="4"/>
        <v>2249</v>
      </c>
      <c r="N34" s="100">
        <f t="shared" si="4"/>
        <v>2249</v>
      </c>
      <c r="O34" s="100">
        <f t="shared" si="4"/>
        <v>2249</v>
      </c>
      <c r="P34" s="100">
        <f t="shared" si="4"/>
        <v>2249</v>
      </c>
      <c r="Q34" s="103">
        <f t="shared" si="4"/>
        <v>2249</v>
      </c>
      <c r="R34" s="576">
        <f t="shared" si="0"/>
        <v>0.3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52249</v>
      </c>
      <c r="E35" s="543">
        <f t="shared" ref="E35:Q35" si="5">E19+E20+E22+E24+E26+E27+E30+E34</f>
        <v>54087.675799999997</v>
      </c>
      <c r="F35" s="543">
        <f t="shared" si="5"/>
        <v>54652</v>
      </c>
      <c r="G35" s="544">
        <f t="shared" si="5"/>
        <v>54648</v>
      </c>
      <c r="H35" s="544">
        <f t="shared" si="5"/>
        <v>55665</v>
      </c>
      <c r="I35" s="544">
        <f t="shared" si="5"/>
        <v>55677.599999999999</v>
      </c>
      <c r="J35" s="545">
        <f t="shared" si="5"/>
        <v>55591.6</v>
      </c>
      <c r="K35" s="546">
        <f t="shared" si="5"/>
        <v>56389.599999999999</v>
      </c>
      <c r="L35" s="547">
        <f t="shared" si="5"/>
        <v>56472.6</v>
      </c>
      <c r="M35" s="544">
        <f t="shared" si="5"/>
        <v>56472.6</v>
      </c>
      <c r="N35" s="544">
        <f t="shared" si="5"/>
        <v>57217.599999999999</v>
      </c>
      <c r="O35" s="544">
        <f t="shared" si="5"/>
        <v>58708.6</v>
      </c>
      <c r="P35" s="544">
        <f t="shared" si="5"/>
        <v>59008.6</v>
      </c>
      <c r="Q35" s="577">
        <f t="shared" si="5"/>
        <v>59308.6</v>
      </c>
      <c r="R35" s="578">
        <f t="shared" si="0"/>
        <v>1.1000000000000001</v>
      </c>
      <c r="S35" s="549">
        <f t="shared" si="1"/>
        <v>1</v>
      </c>
    </row>
    <row r="36" spans="1:33" ht="15" customHeight="1">
      <c r="A36" s="613" t="s">
        <v>324</v>
      </c>
      <c r="B36" s="666" t="s">
        <v>433</v>
      </c>
      <c r="C36" s="667"/>
      <c r="D36" s="487">
        <v>744</v>
      </c>
      <c r="E36" s="488">
        <v>750</v>
      </c>
      <c r="F36" s="489">
        <v>794</v>
      </c>
      <c r="G36" s="489">
        <v>1043</v>
      </c>
      <c r="H36" s="488">
        <v>1114</v>
      </c>
      <c r="I36" s="489">
        <v>1044</v>
      </c>
      <c r="J36" s="550">
        <v>996</v>
      </c>
      <c r="K36" s="490">
        <v>911</v>
      </c>
      <c r="L36" s="491">
        <v>1000</v>
      </c>
      <c r="M36" s="492">
        <v>1000</v>
      </c>
      <c r="N36" s="492">
        <v>1000</v>
      </c>
      <c r="O36" s="492">
        <v>1050</v>
      </c>
      <c r="P36" s="493">
        <v>1050</v>
      </c>
      <c r="Q36" s="498">
        <v>1050</v>
      </c>
      <c r="R36" s="573">
        <f t="shared" si="0"/>
        <v>2.9</v>
      </c>
      <c r="S36" s="256">
        <f t="shared" si="1"/>
        <v>1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1451</v>
      </c>
      <c r="E37" s="496">
        <v>1380</v>
      </c>
      <c r="F37" s="497">
        <v>1422</v>
      </c>
      <c r="G37" s="497">
        <v>1420</v>
      </c>
      <c r="H37" s="496">
        <v>1366</v>
      </c>
      <c r="I37" s="497">
        <v>1371</v>
      </c>
      <c r="J37" s="551">
        <v>1350</v>
      </c>
      <c r="K37" s="498">
        <v>1510</v>
      </c>
      <c r="L37" s="499">
        <v>1450</v>
      </c>
      <c r="M37" s="500">
        <v>1450</v>
      </c>
      <c r="N37" s="500">
        <v>1450</v>
      </c>
      <c r="O37" s="500">
        <v>1450</v>
      </c>
      <c r="P37" s="501">
        <v>1450</v>
      </c>
      <c r="Q37" s="498">
        <v>1450</v>
      </c>
      <c r="R37" s="573">
        <f t="shared" si="0"/>
        <v>0.6</v>
      </c>
      <c r="S37" s="256">
        <f t="shared" si="1"/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0</v>
      </c>
      <c r="E38" s="496">
        <v>0</v>
      </c>
      <c r="F38" s="497">
        <v>0</v>
      </c>
      <c r="G38" s="497">
        <v>0</v>
      </c>
      <c r="H38" s="496">
        <v>0</v>
      </c>
      <c r="I38" s="497">
        <v>0</v>
      </c>
      <c r="J38" s="497">
        <v>0</v>
      </c>
      <c r="K38" s="502">
        <v>0</v>
      </c>
      <c r="L38" s="503">
        <v>0</v>
      </c>
      <c r="M38" s="496">
        <v>0</v>
      </c>
      <c r="N38" s="496">
        <v>0</v>
      </c>
      <c r="O38" s="496">
        <v>0</v>
      </c>
      <c r="P38" s="279">
        <v>0</v>
      </c>
      <c r="Q38" s="502">
        <v>0</v>
      </c>
      <c r="R38" s="573" t="str">
        <f t="shared" si="0"/>
        <v xml:space="preserve">     -</v>
      </c>
      <c r="S38" s="256" t="str">
        <f t="shared" si="1"/>
        <v xml:space="preserve">     -</v>
      </c>
      <c r="U38" s="280"/>
      <c r="V38" s="280"/>
      <c r="W38" s="280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4400</v>
      </c>
      <c r="E39" s="496">
        <v>4440</v>
      </c>
      <c r="F39" s="497">
        <v>4600</v>
      </c>
      <c r="G39" s="497">
        <v>4840</v>
      </c>
      <c r="H39" s="496">
        <v>4775</v>
      </c>
      <c r="I39" s="497">
        <v>4780</v>
      </c>
      <c r="J39" s="497">
        <v>4705</v>
      </c>
      <c r="K39" s="502">
        <v>5030</v>
      </c>
      <c r="L39" s="503">
        <v>5155</v>
      </c>
      <c r="M39" s="496">
        <v>5405</v>
      </c>
      <c r="N39" s="496">
        <v>5755</v>
      </c>
      <c r="O39" s="496">
        <v>6055</v>
      </c>
      <c r="P39" s="279">
        <v>6305</v>
      </c>
      <c r="Q39" s="502">
        <v>6555</v>
      </c>
      <c r="R39" s="573">
        <f t="shared" si="0"/>
        <v>1.9</v>
      </c>
      <c r="S39" s="256">
        <f t="shared" si="1"/>
        <v>4.9000000000000004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484.5</v>
      </c>
      <c r="E40" s="496">
        <v>484.5</v>
      </c>
      <c r="F40" s="497">
        <v>484.5</v>
      </c>
      <c r="G40" s="497">
        <v>484.5</v>
      </c>
      <c r="H40" s="496">
        <v>459.17853516312624</v>
      </c>
      <c r="I40" s="497">
        <v>459.77748021826704</v>
      </c>
      <c r="J40" s="497">
        <v>459.77748021826704</v>
      </c>
      <c r="K40" s="502">
        <v>459.77748021826704</v>
      </c>
      <c r="L40" s="503">
        <v>459.77748021826704</v>
      </c>
      <c r="M40" s="496">
        <v>459.77748021826704</v>
      </c>
      <c r="N40" s="496">
        <v>459.77748021826704</v>
      </c>
      <c r="O40" s="496">
        <v>459.77748021826704</v>
      </c>
      <c r="P40" s="279">
        <v>459.77748021826704</v>
      </c>
      <c r="Q40" s="502">
        <v>459.77748021826704</v>
      </c>
      <c r="R40" s="573">
        <f t="shared" si="0"/>
        <v>-0.7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842.42599999999993</v>
      </c>
      <c r="E41" s="496">
        <v>671</v>
      </c>
      <c r="F41" s="497">
        <v>835</v>
      </c>
      <c r="G41" s="497">
        <v>835</v>
      </c>
      <c r="H41" s="496">
        <v>835</v>
      </c>
      <c r="I41" s="497">
        <v>1000</v>
      </c>
      <c r="J41" s="497">
        <v>1050</v>
      </c>
      <c r="K41" s="502">
        <v>1050</v>
      </c>
      <c r="L41" s="503">
        <v>1050</v>
      </c>
      <c r="M41" s="496">
        <v>1050</v>
      </c>
      <c r="N41" s="496">
        <v>1050</v>
      </c>
      <c r="O41" s="496">
        <v>1050</v>
      </c>
      <c r="P41" s="279">
        <v>1060</v>
      </c>
      <c r="Q41" s="502">
        <v>1060</v>
      </c>
      <c r="R41" s="573">
        <f t="shared" si="0"/>
        <v>3.2</v>
      </c>
      <c r="S41" s="256">
        <f t="shared" si="1"/>
        <v>0.2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365</v>
      </c>
      <c r="E42" s="49">
        <v>365</v>
      </c>
      <c r="F42" s="45">
        <v>560.5</v>
      </c>
      <c r="G42" s="49">
        <v>560.5</v>
      </c>
      <c r="H42" s="49">
        <v>919</v>
      </c>
      <c r="I42" s="45">
        <v>919</v>
      </c>
      <c r="J42" s="49">
        <v>862</v>
      </c>
      <c r="K42" s="50">
        <v>900</v>
      </c>
      <c r="L42" s="504">
        <v>920</v>
      </c>
      <c r="M42" s="45">
        <v>1000</v>
      </c>
      <c r="N42" s="45">
        <v>1100</v>
      </c>
      <c r="O42" s="45">
        <v>1100</v>
      </c>
      <c r="P42" s="49">
        <v>1100</v>
      </c>
      <c r="Q42" s="50">
        <v>1100</v>
      </c>
      <c r="R42" s="573">
        <f t="shared" si="0"/>
        <v>13.8</v>
      </c>
      <c r="S42" s="256">
        <f t="shared" si="1"/>
        <v>3.6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0</v>
      </c>
      <c r="E45" s="496">
        <v>0</v>
      </c>
      <c r="F45" s="497">
        <v>0</v>
      </c>
      <c r="G45" s="497">
        <v>0</v>
      </c>
      <c r="H45" s="496">
        <v>0</v>
      </c>
      <c r="I45" s="497">
        <v>0</v>
      </c>
      <c r="J45" s="497">
        <v>0</v>
      </c>
      <c r="K45" s="502">
        <v>0</v>
      </c>
      <c r="L45" s="503">
        <v>0</v>
      </c>
      <c r="M45" s="496">
        <v>0</v>
      </c>
      <c r="N45" s="496">
        <v>0</v>
      </c>
      <c r="O45" s="496">
        <v>0</v>
      </c>
      <c r="P45" s="279">
        <v>0</v>
      </c>
      <c r="Q45" s="502">
        <v>0</v>
      </c>
      <c r="R45" s="573" t="str">
        <f t="shared" si="0"/>
        <v xml:space="preserve">     -</v>
      </c>
      <c r="S45" s="256" t="str">
        <f t="shared" si="1"/>
        <v xml:space="preserve">     -</v>
      </c>
      <c r="U45" s="280"/>
      <c r="V45" s="280"/>
      <c r="W45" s="280"/>
      <c r="X45" s="280"/>
      <c r="Y45" s="280"/>
      <c r="Z45" s="280"/>
      <c r="AA45" s="280"/>
      <c r="AB45" s="280"/>
      <c r="AC45" s="280"/>
      <c r="AD45" s="280"/>
      <c r="AE45" s="280"/>
      <c r="AF45" s="280"/>
      <c r="AG45" s="280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3221.9</v>
      </c>
      <c r="E47" s="496">
        <v>2921.9</v>
      </c>
      <c r="F47" s="497">
        <v>2574.1</v>
      </c>
      <c r="G47" s="497">
        <v>2723.8</v>
      </c>
      <c r="H47" s="496">
        <v>2695.9</v>
      </c>
      <c r="I47" s="497">
        <v>2928.3</v>
      </c>
      <c r="J47" s="497">
        <v>3009</v>
      </c>
      <c r="K47" s="502">
        <v>3129.4</v>
      </c>
      <c r="L47" s="503">
        <v>3110</v>
      </c>
      <c r="M47" s="496">
        <v>3150</v>
      </c>
      <c r="N47" s="496">
        <v>3150</v>
      </c>
      <c r="O47" s="496">
        <v>3150</v>
      </c>
      <c r="P47" s="497">
        <v>3150</v>
      </c>
      <c r="Q47" s="502">
        <v>3150</v>
      </c>
      <c r="R47" s="573">
        <f t="shared" si="0"/>
        <v>-0.4</v>
      </c>
      <c r="S47" s="256">
        <f t="shared" si="1"/>
        <v>0.3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11508.825999999999</v>
      </c>
      <c r="E48" s="93">
        <f t="shared" ref="E48:Q48" si="6">SUM(E36:E47)</f>
        <v>11012.4</v>
      </c>
      <c r="F48" s="93">
        <f t="shared" si="6"/>
        <v>11270.1</v>
      </c>
      <c r="G48" s="93">
        <f t="shared" si="6"/>
        <v>11906.8</v>
      </c>
      <c r="H48" s="93">
        <f t="shared" si="6"/>
        <v>12164.078535163126</v>
      </c>
      <c r="I48" s="93">
        <f t="shared" si="6"/>
        <v>12502.077480218268</v>
      </c>
      <c r="J48" s="93">
        <f t="shared" si="6"/>
        <v>12431.777480218267</v>
      </c>
      <c r="K48" s="96">
        <f t="shared" si="6"/>
        <v>12990.177480218266</v>
      </c>
      <c r="L48" s="95">
        <f t="shared" si="6"/>
        <v>13144.777480218267</v>
      </c>
      <c r="M48" s="93">
        <f t="shared" si="6"/>
        <v>13514.777480218267</v>
      </c>
      <c r="N48" s="93">
        <f t="shared" si="6"/>
        <v>13964.777480218267</v>
      </c>
      <c r="O48" s="93">
        <f t="shared" si="6"/>
        <v>14314.777480218267</v>
      </c>
      <c r="P48" s="93">
        <f t="shared" si="6"/>
        <v>14574.777480218267</v>
      </c>
      <c r="Q48" s="96">
        <f t="shared" si="6"/>
        <v>14824.777480218267</v>
      </c>
      <c r="R48" s="574">
        <f t="shared" si="0"/>
        <v>1.7</v>
      </c>
      <c r="S48" s="510">
        <f t="shared" si="1"/>
        <v>2.4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11369</v>
      </c>
      <c r="E51" s="512">
        <v>11420</v>
      </c>
      <c r="F51" s="512">
        <v>10286</v>
      </c>
      <c r="G51" s="512">
        <v>10104</v>
      </c>
      <c r="H51" s="512">
        <v>10093</v>
      </c>
      <c r="I51" s="512">
        <v>9907</v>
      </c>
      <c r="J51" s="513">
        <v>9994</v>
      </c>
      <c r="K51" s="514">
        <v>10314</v>
      </c>
      <c r="L51" s="511">
        <v>10230</v>
      </c>
      <c r="M51" s="512">
        <v>10278</v>
      </c>
      <c r="N51" s="512">
        <v>10355</v>
      </c>
      <c r="O51" s="512">
        <v>10322</v>
      </c>
      <c r="P51" s="513">
        <v>10332</v>
      </c>
      <c r="Q51" s="514">
        <v>10306</v>
      </c>
      <c r="R51" s="574">
        <f t="shared" si="0"/>
        <v>-1.4</v>
      </c>
      <c r="S51" s="510">
        <f t="shared" si="1"/>
        <v>0.1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9753</v>
      </c>
      <c r="E52" s="512">
        <v>9446</v>
      </c>
      <c r="F52" s="512">
        <v>9196</v>
      </c>
      <c r="G52" s="512">
        <v>8974</v>
      </c>
      <c r="H52" s="512">
        <v>9004</v>
      </c>
      <c r="I52" s="512">
        <v>8729</v>
      </c>
      <c r="J52" s="513">
        <v>8997</v>
      </c>
      <c r="K52" s="514">
        <v>9192</v>
      </c>
      <c r="L52" s="511">
        <v>9153</v>
      </c>
      <c r="M52" s="512">
        <v>9201</v>
      </c>
      <c r="N52" s="512">
        <v>9264</v>
      </c>
      <c r="O52" s="512">
        <v>9222</v>
      </c>
      <c r="P52" s="513">
        <v>9206</v>
      </c>
      <c r="Q52" s="514">
        <v>9206</v>
      </c>
      <c r="R52" s="574">
        <f t="shared" si="0"/>
        <v>-0.8</v>
      </c>
      <c r="S52" s="510">
        <f t="shared" si="1"/>
        <v>0.1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2054</v>
      </c>
      <c r="E53" s="496">
        <v>2361</v>
      </c>
      <c r="F53" s="496">
        <v>2347</v>
      </c>
      <c r="G53" s="496">
        <v>2847</v>
      </c>
      <c r="H53" s="496">
        <v>2928</v>
      </c>
      <c r="I53" s="496">
        <v>2978</v>
      </c>
      <c r="J53" s="497">
        <v>3050</v>
      </c>
      <c r="K53" s="502">
        <v>3305</v>
      </c>
      <c r="L53" s="503">
        <v>3595</v>
      </c>
      <c r="M53" s="496">
        <v>3695</v>
      </c>
      <c r="N53" s="496">
        <v>3745</v>
      </c>
      <c r="O53" s="496">
        <v>3890</v>
      </c>
      <c r="P53" s="497">
        <v>4030</v>
      </c>
      <c r="Q53" s="502">
        <v>4090</v>
      </c>
      <c r="R53" s="573">
        <f t="shared" si="0"/>
        <v>7</v>
      </c>
      <c r="S53" s="256">
        <f t="shared" si="1"/>
        <v>2.6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992</v>
      </c>
      <c r="F54" s="518">
        <v>983</v>
      </c>
      <c r="G54" s="518">
        <v>1011</v>
      </c>
      <c r="H54" s="518">
        <v>1082</v>
      </c>
      <c r="I54" s="518">
        <v>1165</v>
      </c>
      <c r="J54" s="519">
        <v>1145</v>
      </c>
      <c r="K54" s="514">
        <v>1245</v>
      </c>
      <c r="L54" s="511">
        <v>1420</v>
      </c>
      <c r="M54" s="518">
        <v>1470</v>
      </c>
      <c r="N54" s="518">
        <v>1470</v>
      </c>
      <c r="O54" s="518">
        <v>1475</v>
      </c>
      <c r="P54" s="519">
        <v>1475</v>
      </c>
      <c r="Q54" s="514">
        <v>1475</v>
      </c>
      <c r="R54" s="574" t="str">
        <f t="shared" si="0"/>
        <v xml:space="preserve">     -</v>
      </c>
      <c r="S54" s="510">
        <f t="shared" si="1"/>
        <v>0.8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624</v>
      </c>
      <c r="E55" s="518">
        <v>569</v>
      </c>
      <c r="F55" s="518">
        <v>538</v>
      </c>
      <c r="G55" s="518">
        <v>526</v>
      </c>
      <c r="H55" s="518">
        <v>527</v>
      </c>
      <c r="I55" s="518">
        <v>482</v>
      </c>
      <c r="J55" s="519">
        <v>495</v>
      </c>
      <c r="K55" s="514">
        <v>546</v>
      </c>
      <c r="L55" s="511">
        <v>562</v>
      </c>
      <c r="M55" s="518">
        <v>572</v>
      </c>
      <c r="N55" s="518">
        <v>577</v>
      </c>
      <c r="O55" s="518">
        <v>577</v>
      </c>
      <c r="P55" s="519">
        <v>577</v>
      </c>
      <c r="Q55" s="514">
        <v>577</v>
      </c>
      <c r="R55" s="574">
        <f t="shared" si="0"/>
        <v>-1.9</v>
      </c>
      <c r="S55" s="510">
        <f t="shared" si="1"/>
        <v>0.5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1091.0515</v>
      </c>
      <c r="E56" s="521">
        <v>1210.2420000000002</v>
      </c>
      <c r="F56" s="521">
        <v>1350.8867900000002</v>
      </c>
      <c r="G56" s="521">
        <v>1129.5592000000001</v>
      </c>
      <c r="H56" s="521">
        <v>1137.4661143999999</v>
      </c>
      <c r="I56" s="521">
        <v>1095</v>
      </c>
      <c r="J56" s="522">
        <v>1086</v>
      </c>
      <c r="K56" s="523">
        <v>1071</v>
      </c>
      <c r="L56" s="520">
        <v>1088.136</v>
      </c>
      <c r="M56" s="521">
        <v>1102.2817679999998</v>
      </c>
      <c r="N56" s="521">
        <v>1118.8159945199998</v>
      </c>
      <c r="O56" s="521">
        <v>1135.5982344377996</v>
      </c>
      <c r="P56" s="522">
        <v>1152.6322079543665</v>
      </c>
      <c r="Q56" s="523">
        <v>1169.921691073682</v>
      </c>
      <c r="R56" s="574">
        <f t="shared" si="0"/>
        <v>-0.3</v>
      </c>
      <c r="S56" s="510">
        <f t="shared" si="1"/>
        <v>1.5</v>
      </c>
      <c r="U56" s="280"/>
      <c r="V56" s="280"/>
      <c r="W56" s="280"/>
      <c r="X56" s="280"/>
      <c r="Y56" s="280"/>
      <c r="Z56" s="280"/>
      <c r="AA56" s="43"/>
      <c r="AB56" s="43"/>
      <c r="AC56" s="280"/>
      <c r="AD56" s="280"/>
      <c r="AE56" s="280"/>
      <c r="AF56" s="280"/>
      <c r="AG56" s="280"/>
    </row>
    <row r="57" spans="1:33" ht="15" customHeight="1">
      <c r="A57" s="16"/>
      <c r="B57" s="672" t="s">
        <v>316</v>
      </c>
      <c r="C57" s="673"/>
      <c r="D57" s="553">
        <v>15367</v>
      </c>
      <c r="E57" s="526">
        <v>16151</v>
      </c>
      <c r="F57" s="530">
        <v>16187</v>
      </c>
      <c r="G57" s="497">
        <v>16187</v>
      </c>
      <c r="H57" s="496">
        <v>16187</v>
      </c>
      <c r="I57" s="497">
        <v>16187</v>
      </c>
      <c r="J57" s="551">
        <v>15696</v>
      </c>
      <c r="K57" s="554">
        <v>16812</v>
      </c>
      <c r="L57" s="527">
        <v>16812</v>
      </c>
      <c r="M57" s="528">
        <v>16812</v>
      </c>
      <c r="N57" s="528">
        <v>16812</v>
      </c>
      <c r="O57" s="528">
        <v>17350</v>
      </c>
      <c r="P57" s="528">
        <v>17350</v>
      </c>
      <c r="Q57" s="592">
        <v>17350</v>
      </c>
      <c r="R57" s="573">
        <f t="shared" si="0"/>
        <v>1.3</v>
      </c>
      <c r="S57" s="256">
        <f t="shared" si="1"/>
        <v>0.6</v>
      </c>
      <c r="U57" s="280"/>
      <c r="V57" s="280"/>
      <c r="W57" s="280"/>
      <c r="X57" s="338"/>
      <c r="Y57" s="338"/>
      <c r="Z57" s="338"/>
      <c r="AA57" s="338"/>
      <c r="AB57" s="338"/>
      <c r="AC57" s="338"/>
      <c r="AD57" s="338"/>
      <c r="AE57" s="338"/>
      <c r="AF57" s="338"/>
      <c r="AG57" s="338"/>
    </row>
    <row r="58" spans="1:33" ht="15" customHeight="1">
      <c r="A58" s="16"/>
      <c r="B58" s="670" t="s">
        <v>317</v>
      </c>
      <c r="C58" s="671"/>
      <c r="D58" s="553">
        <v>0</v>
      </c>
      <c r="E58" s="526">
        <v>0</v>
      </c>
      <c r="F58" s="530">
        <v>0</v>
      </c>
      <c r="G58" s="497">
        <v>0</v>
      </c>
      <c r="H58" s="496">
        <v>0</v>
      </c>
      <c r="I58" s="497">
        <v>0</v>
      </c>
      <c r="J58" s="551">
        <v>0</v>
      </c>
      <c r="K58" s="498">
        <v>0</v>
      </c>
      <c r="L58" s="499">
        <v>0</v>
      </c>
      <c r="M58" s="532">
        <v>0</v>
      </c>
      <c r="N58" s="532">
        <v>0</v>
      </c>
      <c r="O58" s="532">
        <v>0</v>
      </c>
      <c r="P58" s="532">
        <v>0</v>
      </c>
      <c r="Q58" s="498">
        <v>0</v>
      </c>
      <c r="R58" s="573" t="str">
        <f t="shared" si="0"/>
        <v xml:space="preserve">     -</v>
      </c>
      <c r="S58" s="256" t="str">
        <f t="shared" si="1"/>
        <v xml:space="preserve">     -</v>
      </c>
      <c r="U58" s="280"/>
      <c r="V58" s="280"/>
      <c r="W58" s="280"/>
      <c r="X58" s="338"/>
      <c r="Y58" s="338"/>
      <c r="Z58" s="338"/>
      <c r="AA58" s="338"/>
      <c r="AB58" s="338"/>
      <c r="AC58" s="338"/>
      <c r="AD58" s="338"/>
      <c r="AE58" s="338"/>
      <c r="AF58" s="338"/>
      <c r="AG58" s="338"/>
    </row>
    <row r="59" spans="1:33" ht="15.75" customHeight="1">
      <c r="A59" s="16"/>
      <c r="B59" s="674" t="s">
        <v>318</v>
      </c>
      <c r="C59" s="675"/>
      <c r="D59" s="95">
        <f>SUM(D57:D58)</f>
        <v>15367</v>
      </c>
      <c r="E59" s="92">
        <f t="shared" ref="E59:Q59" si="7">SUM(E57:E58)</f>
        <v>16151</v>
      </c>
      <c r="F59" s="92">
        <f t="shared" si="7"/>
        <v>16187</v>
      </c>
      <c r="G59" s="93">
        <f t="shared" si="7"/>
        <v>16187</v>
      </c>
      <c r="H59" s="93">
        <f t="shared" si="7"/>
        <v>16187</v>
      </c>
      <c r="I59" s="94">
        <f t="shared" si="7"/>
        <v>16187</v>
      </c>
      <c r="J59" s="94">
        <f t="shared" si="7"/>
        <v>15696</v>
      </c>
      <c r="K59" s="96">
        <f t="shared" si="7"/>
        <v>16812</v>
      </c>
      <c r="L59" s="555">
        <f t="shared" si="7"/>
        <v>16812</v>
      </c>
      <c r="M59" s="556">
        <f t="shared" si="7"/>
        <v>16812</v>
      </c>
      <c r="N59" s="556">
        <f t="shared" si="7"/>
        <v>16812</v>
      </c>
      <c r="O59" s="556">
        <f t="shared" si="7"/>
        <v>17350</v>
      </c>
      <c r="P59" s="556">
        <f t="shared" si="7"/>
        <v>17350</v>
      </c>
      <c r="Q59" s="96">
        <f t="shared" si="7"/>
        <v>17350</v>
      </c>
      <c r="R59" s="574">
        <f t="shared" si="0"/>
        <v>1.3</v>
      </c>
      <c r="S59" s="510">
        <f t="shared" si="1"/>
        <v>0.6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160</v>
      </c>
      <c r="E60" s="526">
        <v>160</v>
      </c>
      <c r="F60" s="526">
        <v>160</v>
      </c>
      <c r="G60" s="526">
        <v>160</v>
      </c>
      <c r="H60" s="526">
        <v>160</v>
      </c>
      <c r="I60" s="526">
        <v>160</v>
      </c>
      <c r="J60" s="526">
        <v>160</v>
      </c>
      <c r="K60" s="498">
        <v>0</v>
      </c>
      <c r="L60" s="533">
        <v>0</v>
      </c>
      <c r="M60" s="534">
        <v>0</v>
      </c>
      <c r="N60" s="534">
        <v>0</v>
      </c>
      <c r="O60" s="534">
        <v>0</v>
      </c>
      <c r="P60" s="534">
        <v>0</v>
      </c>
      <c r="Q60" s="535">
        <v>0</v>
      </c>
      <c r="R60" s="573" t="str">
        <f t="shared" si="0"/>
        <v xml:space="preserve">     -</v>
      </c>
      <c r="S60" s="256" t="str">
        <f t="shared" si="1"/>
        <v xml:space="preserve">     -</v>
      </c>
      <c r="U60" s="280"/>
      <c r="V60" s="280"/>
      <c r="W60" s="280"/>
      <c r="X60" s="338"/>
      <c r="Y60" s="338"/>
      <c r="Z60" s="338"/>
      <c r="AA60" s="338"/>
      <c r="AB60" s="338"/>
      <c r="AC60" s="338"/>
      <c r="AD60" s="338"/>
      <c r="AE60" s="338"/>
      <c r="AF60" s="338"/>
      <c r="AG60" s="338"/>
    </row>
    <row r="61" spans="1:33" ht="15" customHeight="1">
      <c r="A61" s="16"/>
      <c r="B61" s="668" t="s">
        <v>320</v>
      </c>
      <c r="C61" s="669"/>
      <c r="D61" s="553">
        <v>735</v>
      </c>
      <c r="E61" s="526">
        <v>650</v>
      </c>
      <c r="F61" s="530">
        <v>694</v>
      </c>
      <c r="G61" s="497">
        <v>753</v>
      </c>
      <c r="H61" s="496">
        <v>792</v>
      </c>
      <c r="I61" s="497">
        <v>827</v>
      </c>
      <c r="J61" s="497">
        <v>905.4</v>
      </c>
      <c r="K61" s="502">
        <v>905.4</v>
      </c>
      <c r="L61" s="503">
        <v>905</v>
      </c>
      <c r="M61" s="496">
        <v>905</v>
      </c>
      <c r="N61" s="496">
        <v>905</v>
      </c>
      <c r="O61" s="496">
        <v>905</v>
      </c>
      <c r="P61" s="497">
        <v>905</v>
      </c>
      <c r="Q61" s="502">
        <v>905</v>
      </c>
      <c r="R61" s="573">
        <f t="shared" si="0"/>
        <v>3</v>
      </c>
      <c r="S61" s="256">
        <f t="shared" si="1"/>
        <v>0</v>
      </c>
      <c r="U61" s="280"/>
      <c r="V61" s="280"/>
      <c r="W61" s="280"/>
      <c r="X61" s="338"/>
      <c r="Y61" s="338"/>
      <c r="Z61" s="338"/>
      <c r="AA61" s="338"/>
      <c r="AB61" s="338"/>
      <c r="AC61" s="338"/>
      <c r="AD61" s="338"/>
      <c r="AE61" s="338"/>
      <c r="AF61" s="338"/>
      <c r="AG61" s="338"/>
    </row>
    <row r="62" spans="1:33" ht="15" customHeight="1">
      <c r="A62" s="16"/>
      <c r="B62" s="670" t="s">
        <v>321</v>
      </c>
      <c r="C62" s="671"/>
      <c r="D62" s="553">
        <v>186</v>
      </c>
      <c r="E62" s="525">
        <v>297</v>
      </c>
      <c r="F62" s="530">
        <v>301</v>
      </c>
      <c r="G62" s="497">
        <v>316</v>
      </c>
      <c r="H62" s="496">
        <v>319</v>
      </c>
      <c r="I62" s="497">
        <v>589</v>
      </c>
      <c r="J62" s="497">
        <v>589</v>
      </c>
      <c r="K62" s="536">
        <v>589</v>
      </c>
      <c r="L62" s="537">
        <v>589</v>
      </c>
      <c r="M62" s="538">
        <v>589</v>
      </c>
      <c r="N62" s="538">
        <v>589</v>
      </c>
      <c r="O62" s="538">
        <v>589</v>
      </c>
      <c r="P62" s="515">
        <v>589</v>
      </c>
      <c r="Q62" s="536">
        <v>589</v>
      </c>
      <c r="R62" s="573">
        <f t="shared" si="0"/>
        <v>17.899999999999999</v>
      </c>
      <c r="S62" s="256">
        <f t="shared" si="1"/>
        <v>0</v>
      </c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1081</v>
      </c>
      <c r="E63" s="539">
        <f t="shared" ref="E63:Q63" si="8">SUM(E60:E62)</f>
        <v>1107</v>
      </c>
      <c r="F63" s="539">
        <f t="shared" si="8"/>
        <v>1155</v>
      </c>
      <c r="G63" s="100">
        <f t="shared" si="8"/>
        <v>1229</v>
      </c>
      <c r="H63" s="100">
        <f t="shared" si="8"/>
        <v>1271</v>
      </c>
      <c r="I63" s="100">
        <f t="shared" si="8"/>
        <v>1576</v>
      </c>
      <c r="J63" s="101">
        <f t="shared" si="8"/>
        <v>1654.4</v>
      </c>
      <c r="K63" s="104">
        <f t="shared" si="8"/>
        <v>1494.4</v>
      </c>
      <c r="L63" s="540">
        <f t="shared" si="8"/>
        <v>1494</v>
      </c>
      <c r="M63" s="100">
        <f t="shared" si="8"/>
        <v>1494</v>
      </c>
      <c r="N63" s="100">
        <f t="shared" si="8"/>
        <v>1494</v>
      </c>
      <c r="O63" s="100">
        <f t="shared" si="8"/>
        <v>1494</v>
      </c>
      <c r="P63" s="100">
        <f t="shared" si="8"/>
        <v>1494</v>
      </c>
      <c r="Q63" s="103">
        <f t="shared" si="8"/>
        <v>1494</v>
      </c>
      <c r="R63" s="576">
        <f t="shared" si="0"/>
        <v>4.7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43094.877500000002</v>
      </c>
      <c r="E64" s="543">
        <f t="shared" ref="E64:Q64" si="9">E48+E49+E51+E53+E55+E56+E59+E63</f>
        <v>43830.642</v>
      </c>
      <c r="F64" s="543">
        <f t="shared" si="9"/>
        <v>43133.986789999995</v>
      </c>
      <c r="G64" s="544">
        <f t="shared" si="9"/>
        <v>43929.359199999999</v>
      </c>
      <c r="H64" s="544">
        <f t="shared" si="9"/>
        <v>44307.544649563126</v>
      </c>
      <c r="I64" s="544">
        <f t="shared" si="9"/>
        <v>44727.077480218271</v>
      </c>
      <c r="J64" s="545">
        <f t="shared" si="9"/>
        <v>44407.17748021827</v>
      </c>
      <c r="K64" s="546">
        <f t="shared" si="9"/>
        <v>46532.577480218264</v>
      </c>
      <c r="L64" s="547">
        <f t="shared" si="9"/>
        <v>46925.913480218267</v>
      </c>
      <c r="M64" s="544">
        <f t="shared" si="9"/>
        <v>47468.059248218269</v>
      </c>
      <c r="N64" s="544">
        <f t="shared" si="9"/>
        <v>48066.593474738271</v>
      </c>
      <c r="O64" s="544">
        <f t="shared" si="9"/>
        <v>49083.375714656067</v>
      </c>
      <c r="P64" s="544">
        <f t="shared" si="9"/>
        <v>49510.409688172636</v>
      </c>
      <c r="Q64" s="577">
        <f t="shared" si="9"/>
        <v>49811.699171291955</v>
      </c>
      <c r="R64" s="579">
        <f t="shared" si="0"/>
        <v>1.1000000000000001</v>
      </c>
      <c r="S64" s="558">
        <f t="shared" si="1"/>
        <v>1.2</v>
      </c>
    </row>
    <row r="65" spans="1:33" ht="15" customHeight="1">
      <c r="A65" s="616" t="s">
        <v>327</v>
      </c>
      <c r="B65" s="666" t="s">
        <v>433</v>
      </c>
      <c r="C65" s="667"/>
      <c r="D65" s="487">
        <v>1019</v>
      </c>
      <c r="E65" s="488">
        <v>983</v>
      </c>
      <c r="F65" s="489">
        <v>1016</v>
      </c>
      <c r="G65" s="559">
        <v>1015</v>
      </c>
      <c r="H65" s="560">
        <v>1059</v>
      </c>
      <c r="I65" s="559">
        <v>1041</v>
      </c>
      <c r="J65" s="559">
        <v>997</v>
      </c>
      <c r="K65" s="561">
        <v>955</v>
      </c>
      <c r="L65" s="562">
        <v>1000</v>
      </c>
      <c r="M65" s="560">
        <v>1000</v>
      </c>
      <c r="N65" s="560">
        <v>1000</v>
      </c>
      <c r="O65" s="560">
        <v>1020</v>
      </c>
      <c r="P65" s="563">
        <v>1020</v>
      </c>
      <c r="Q65" s="561">
        <v>1020</v>
      </c>
      <c r="R65" s="573">
        <f t="shared" si="0"/>
        <v>-0.9</v>
      </c>
      <c r="S65" s="256">
        <f t="shared" si="1"/>
        <v>0.4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1494</v>
      </c>
      <c r="E66" s="525">
        <v>1447</v>
      </c>
      <c r="F66" s="530">
        <v>1437</v>
      </c>
      <c r="G66" s="497">
        <v>1532</v>
      </c>
      <c r="H66" s="496">
        <v>1542</v>
      </c>
      <c r="I66" s="497">
        <v>1597</v>
      </c>
      <c r="J66" s="551">
        <v>1600</v>
      </c>
      <c r="K66" s="498">
        <v>1644</v>
      </c>
      <c r="L66" s="499">
        <v>1600</v>
      </c>
      <c r="M66" s="500">
        <v>1600</v>
      </c>
      <c r="N66" s="500">
        <v>1600</v>
      </c>
      <c r="O66" s="500">
        <v>1600</v>
      </c>
      <c r="P66" s="501">
        <v>1600</v>
      </c>
      <c r="Q66" s="498">
        <v>1600</v>
      </c>
      <c r="R66" s="573">
        <f t="shared" si="0"/>
        <v>1.4</v>
      </c>
      <c r="S66" s="256">
        <f t="shared" si="1"/>
        <v>0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U67" s="280"/>
      <c r="V67" s="280"/>
      <c r="W67" s="280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4750</v>
      </c>
      <c r="E68" s="496">
        <v>4830</v>
      </c>
      <c r="F68" s="497">
        <v>5152</v>
      </c>
      <c r="G68" s="497">
        <v>5474</v>
      </c>
      <c r="H68" s="496">
        <v>5474</v>
      </c>
      <c r="I68" s="497">
        <v>5385</v>
      </c>
      <c r="J68" s="497">
        <v>5369</v>
      </c>
      <c r="K68" s="502">
        <v>5410</v>
      </c>
      <c r="L68" s="503">
        <v>5530</v>
      </c>
      <c r="M68" s="496">
        <v>5852</v>
      </c>
      <c r="N68" s="496">
        <v>6335</v>
      </c>
      <c r="O68" s="496">
        <v>6657</v>
      </c>
      <c r="P68" s="279">
        <v>6899</v>
      </c>
      <c r="Q68" s="502">
        <v>7140</v>
      </c>
      <c r="R68" s="573">
        <f t="shared" si="0"/>
        <v>1.9</v>
      </c>
      <c r="S68" s="256">
        <f t="shared" si="1"/>
        <v>5.2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538</v>
      </c>
      <c r="E69" s="496">
        <v>538</v>
      </c>
      <c r="F69" s="497">
        <v>538</v>
      </c>
      <c r="G69" s="497">
        <v>538</v>
      </c>
      <c r="H69" s="496">
        <v>472.77646483687374</v>
      </c>
      <c r="I69" s="497">
        <v>520.05019979737824</v>
      </c>
      <c r="J69" s="497">
        <v>529.49198866074653</v>
      </c>
      <c r="K69" s="502">
        <v>556.80097718249192</v>
      </c>
      <c r="L69" s="503">
        <v>521.4632189291849</v>
      </c>
      <c r="M69" s="496">
        <v>521.4632189291849</v>
      </c>
      <c r="N69" s="496">
        <v>521.4632189291849</v>
      </c>
      <c r="O69" s="496">
        <v>521.4632189291849</v>
      </c>
      <c r="P69" s="279">
        <v>521.4632189291849</v>
      </c>
      <c r="Q69" s="502">
        <v>521.4632189291849</v>
      </c>
      <c r="R69" s="573">
        <f t="shared" si="0"/>
        <v>0.5</v>
      </c>
      <c r="S69" s="256">
        <f t="shared" si="1"/>
        <v>0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591.80722891566268</v>
      </c>
      <c r="E70" s="496">
        <v>474.69879518072293</v>
      </c>
      <c r="F70" s="497">
        <v>590.36144578313258</v>
      </c>
      <c r="G70" s="497">
        <v>590.36144578313258</v>
      </c>
      <c r="H70" s="496">
        <v>590.36144578313258</v>
      </c>
      <c r="I70" s="497">
        <v>700</v>
      </c>
      <c r="J70" s="497">
        <v>836.5</v>
      </c>
      <c r="K70" s="502">
        <v>880</v>
      </c>
      <c r="L70" s="503">
        <v>925</v>
      </c>
      <c r="M70" s="496">
        <v>970</v>
      </c>
      <c r="N70" s="496">
        <v>1020</v>
      </c>
      <c r="O70" s="496">
        <v>1070</v>
      </c>
      <c r="P70" s="279">
        <v>1125</v>
      </c>
      <c r="Q70" s="502">
        <v>1180</v>
      </c>
      <c r="R70" s="573">
        <f t="shared" si="0"/>
        <v>5.8</v>
      </c>
      <c r="S70" s="256">
        <f t="shared" si="1"/>
        <v>5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604</v>
      </c>
      <c r="E71" s="49">
        <v>628</v>
      </c>
      <c r="F71" s="45">
        <v>655</v>
      </c>
      <c r="G71" s="49">
        <v>730</v>
      </c>
      <c r="H71" s="49">
        <v>1119</v>
      </c>
      <c r="I71" s="45">
        <v>1119</v>
      </c>
      <c r="J71" s="49">
        <v>1139</v>
      </c>
      <c r="K71" s="50">
        <v>1200</v>
      </c>
      <c r="L71" s="140">
        <v>1200</v>
      </c>
      <c r="M71" s="45">
        <v>1250</v>
      </c>
      <c r="N71" s="45">
        <v>1280</v>
      </c>
      <c r="O71" s="45">
        <v>1300</v>
      </c>
      <c r="P71" s="45">
        <v>1400</v>
      </c>
      <c r="Q71" s="50">
        <v>1400</v>
      </c>
      <c r="R71" s="573">
        <f t="shared" si="0"/>
        <v>10.3</v>
      </c>
      <c r="S71" s="256">
        <f t="shared" si="1"/>
        <v>3.1</v>
      </c>
      <c r="U71" s="280"/>
      <c r="V71" s="280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/>
      <c r="R73" s="573" t="str">
        <f t="shared" si="10"/>
        <v xml:space="preserve">     -</v>
      </c>
      <c r="S73" s="256" t="str">
        <f t="shared" si="11"/>
        <v xml:space="preserve">     -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155.86419753086417</v>
      </c>
      <c r="E74" s="496">
        <v>155.86419753086417</v>
      </c>
      <c r="F74" s="497">
        <v>119</v>
      </c>
      <c r="G74" s="497">
        <v>0</v>
      </c>
      <c r="H74" s="496">
        <v>0</v>
      </c>
      <c r="I74" s="497">
        <v>0</v>
      </c>
      <c r="J74" s="497">
        <v>0</v>
      </c>
      <c r="K74" s="502">
        <v>0</v>
      </c>
      <c r="L74" s="503">
        <v>0</v>
      </c>
      <c r="M74" s="496">
        <v>0</v>
      </c>
      <c r="N74" s="496">
        <v>0</v>
      </c>
      <c r="O74" s="496">
        <v>0</v>
      </c>
      <c r="P74" s="279">
        <v>0</v>
      </c>
      <c r="Q74" s="502">
        <v>0</v>
      </c>
      <c r="R74" s="573" t="str">
        <f t="shared" si="10"/>
        <v xml:space="preserve">     -</v>
      </c>
      <c r="S74" s="256" t="str">
        <f t="shared" si="11"/>
        <v xml:space="preserve">     -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0</v>
      </c>
      <c r="Q75" s="50">
        <v>0</v>
      </c>
      <c r="R75" s="573" t="str">
        <f t="shared" si="10"/>
        <v xml:space="preserve">     -</v>
      </c>
      <c r="S75" s="256" t="str">
        <f t="shared" si="11"/>
        <v xml:space="preserve">     -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3436.1000000000004</v>
      </c>
      <c r="E76" s="40">
        <v>3034</v>
      </c>
      <c r="F76" s="40">
        <v>2639.4</v>
      </c>
      <c r="G76" s="40">
        <v>2976.9</v>
      </c>
      <c r="H76" s="505">
        <v>2918.7999999999997</v>
      </c>
      <c r="I76" s="505">
        <v>3209.9</v>
      </c>
      <c r="J76" s="506">
        <v>3268.1</v>
      </c>
      <c r="K76" s="507">
        <v>3462.2000000000003</v>
      </c>
      <c r="L76" s="508">
        <v>3348.6</v>
      </c>
      <c r="M76" s="505">
        <v>3426.8</v>
      </c>
      <c r="N76" s="505">
        <v>3426.8</v>
      </c>
      <c r="O76" s="505">
        <v>3426.8</v>
      </c>
      <c r="P76" s="505">
        <v>3426.8</v>
      </c>
      <c r="Q76" s="509">
        <v>3426.8</v>
      </c>
      <c r="R76" s="573">
        <f t="shared" si="10"/>
        <v>0.1</v>
      </c>
      <c r="S76" s="256">
        <f t="shared" si="11"/>
        <v>0.5</v>
      </c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12588.771426446527</v>
      </c>
      <c r="E77" s="93">
        <f t="shared" ref="E77:Q77" si="12">SUM(E65:E76)</f>
        <v>12090.562992711586</v>
      </c>
      <c r="F77" s="93">
        <f t="shared" si="12"/>
        <v>12146.761445783131</v>
      </c>
      <c r="G77" s="93">
        <f t="shared" si="12"/>
        <v>12856.261445783131</v>
      </c>
      <c r="H77" s="93">
        <f t="shared" si="12"/>
        <v>13175.937910620005</v>
      </c>
      <c r="I77" s="93">
        <f t="shared" si="12"/>
        <v>13571.950199797378</v>
      </c>
      <c r="J77" s="93">
        <f t="shared" si="12"/>
        <v>13739.091988660746</v>
      </c>
      <c r="K77" s="96">
        <f t="shared" si="12"/>
        <v>14108.000977182493</v>
      </c>
      <c r="L77" s="95">
        <f t="shared" si="12"/>
        <v>14125.063218929185</v>
      </c>
      <c r="M77" s="93">
        <f t="shared" si="12"/>
        <v>14620.263218929183</v>
      </c>
      <c r="N77" s="93">
        <f t="shared" si="12"/>
        <v>15183.263218929183</v>
      </c>
      <c r="O77" s="93">
        <f t="shared" si="12"/>
        <v>15595.263218929183</v>
      </c>
      <c r="P77" s="93">
        <f t="shared" si="12"/>
        <v>15992.263218929183</v>
      </c>
      <c r="Q77" s="96">
        <f t="shared" si="12"/>
        <v>16288.263218929183</v>
      </c>
      <c r="R77" s="574">
        <f t="shared" si="10"/>
        <v>1.6</v>
      </c>
      <c r="S77" s="510">
        <f t="shared" si="11"/>
        <v>2.9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0</v>
      </c>
      <c r="E78" s="512">
        <v>0</v>
      </c>
      <c r="F78" s="512">
        <v>0</v>
      </c>
      <c r="G78" s="512">
        <v>0</v>
      </c>
      <c r="H78" s="512">
        <v>0</v>
      </c>
      <c r="I78" s="512">
        <v>0</v>
      </c>
      <c r="J78" s="513">
        <v>0</v>
      </c>
      <c r="K78" s="514">
        <v>0</v>
      </c>
      <c r="L78" s="511">
        <v>0</v>
      </c>
      <c r="M78" s="512">
        <v>0</v>
      </c>
      <c r="N78" s="512">
        <v>0</v>
      </c>
      <c r="O78" s="512">
        <v>0</v>
      </c>
      <c r="P78" s="513">
        <v>0</v>
      </c>
      <c r="Q78" s="514">
        <v>0</v>
      </c>
      <c r="R78" s="574" t="str">
        <f t="shared" si="10"/>
        <v xml:space="preserve">     -</v>
      </c>
      <c r="S78" s="510" t="str">
        <f t="shared" si="11"/>
        <v xml:space="preserve">     -</v>
      </c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0</v>
      </c>
      <c r="E79" s="512">
        <v>0</v>
      </c>
      <c r="F79" s="512">
        <v>0</v>
      </c>
      <c r="G79" s="512">
        <v>0</v>
      </c>
      <c r="H79" s="512">
        <v>0</v>
      </c>
      <c r="I79" s="512">
        <v>0</v>
      </c>
      <c r="J79" s="513">
        <v>0</v>
      </c>
      <c r="K79" s="514">
        <v>0</v>
      </c>
      <c r="L79" s="511">
        <v>0</v>
      </c>
      <c r="M79" s="512">
        <v>0</v>
      </c>
      <c r="N79" s="512">
        <v>0</v>
      </c>
      <c r="O79" s="512">
        <v>0</v>
      </c>
      <c r="P79" s="513">
        <v>0</v>
      </c>
      <c r="Q79" s="514">
        <v>0</v>
      </c>
      <c r="R79" s="574" t="str">
        <f t="shared" si="10"/>
        <v xml:space="preserve">     -</v>
      </c>
      <c r="S79" s="510" t="str">
        <f t="shared" si="11"/>
        <v xml:space="preserve">     -</v>
      </c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10572</v>
      </c>
      <c r="E80" s="538">
        <v>10771</v>
      </c>
      <c r="F80" s="538">
        <v>10062</v>
      </c>
      <c r="G80" s="538">
        <v>9923</v>
      </c>
      <c r="H80" s="538">
        <v>9949</v>
      </c>
      <c r="I80" s="538">
        <v>9769</v>
      </c>
      <c r="J80" s="515">
        <v>9697</v>
      </c>
      <c r="K80" s="536">
        <v>10026</v>
      </c>
      <c r="L80" s="537">
        <v>10275</v>
      </c>
      <c r="M80" s="538">
        <v>10353</v>
      </c>
      <c r="N80" s="538">
        <v>10455</v>
      </c>
      <c r="O80" s="538">
        <v>10437</v>
      </c>
      <c r="P80" s="515">
        <v>10477</v>
      </c>
      <c r="Q80" s="536">
        <v>10456</v>
      </c>
      <c r="R80" s="575">
        <f t="shared" si="10"/>
        <v>-0.8</v>
      </c>
      <c r="S80" s="517">
        <f t="shared" si="11"/>
        <v>0.3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9337</v>
      </c>
      <c r="E81" s="512">
        <v>9142</v>
      </c>
      <c r="F81" s="512">
        <v>8911</v>
      </c>
      <c r="G81" s="512">
        <v>8748</v>
      </c>
      <c r="H81" s="512">
        <v>8833</v>
      </c>
      <c r="I81" s="512">
        <v>8582</v>
      </c>
      <c r="J81" s="513">
        <v>8664</v>
      </c>
      <c r="K81" s="514">
        <v>8872</v>
      </c>
      <c r="L81" s="511">
        <v>9083</v>
      </c>
      <c r="M81" s="512">
        <v>9156</v>
      </c>
      <c r="N81" s="512">
        <v>9244</v>
      </c>
      <c r="O81" s="512">
        <v>9212</v>
      </c>
      <c r="P81" s="513">
        <v>9221</v>
      </c>
      <c r="Q81" s="514">
        <v>9221</v>
      </c>
      <c r="R81" s="574">
        <f t="shared" si="10"/>
        <v>-0.7</v>
      </c>
      <c r="S81" s="510">
        <f t="shared" si="11"/>
        <v>0.3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1486</v>
      </c>
      <c r="E82" s="496">
        <v>1728</v>
      </c>
      <c r="F82" s="496">
        <v>1764</v>
      </c>
      <c r="G82" s="496">
        <v>1912</v>
      </c>
      <c r="H82" s="496">
        <v>1951</v>
      </c>
      <c r="I82" s="496">
        <v>2608</v>
      </c>
      <c r="J82" s="497">
        <v>2392</v>
      </c>
      <c r="K82" s="502">
        <v>2576</v>
      </c>
      <c r="L82" s="503">
        <v>2656</v>
      </c>
      <c r="M82" s="496">
        <v>2720</v>
      </c>
      <c r="N82" s="496">
        <v>2736</v>
      </c>
      <c r="O82" s="496">
        <v>2872</v>
      </c>
      <c r="P82" s="497">
        <v>3016</v>
      </c>
      <c r="Q82" s="502">
        <v>3028</v>
      </c>
      <c r="R82" s="573">
        <f t="shared" si="10"/>
        <v>8.1999999999999993</v>
      </c>
      <c r="S82" s="256">
        <f t="shared" si="11"/>
        <v>2.7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631</v>
      </c>
      <c r="F83" s="518">
        <v>619</v>
      </c>
      <c r="G83" s="518">
        <v>651</v>
      </c>
      <c r="H83" s="518">
        <v>653</v>
      </c>
      <c r="I83" s="518">
        <v>736</v>
      </c>
      <c r="J83" s="519">
        <v>688</v>
      </c>
      <c r="K83" s="514">
        <v>720</v>
      </c>
      <c r="L83" s="511">
        <v>736</v>
      </c>
      <c r="M83" s="518">
        <v>752</v>
      </c>
      <c r="N83" s="518">
        <v>752</v>
      </c>
      <c r="O83" s="518">
        <v>752</v>
      </c>
      <c r="P83" s="519">
        <v>752</v>
      </c>
      <c r="Q83" s="514">
        <v>752</v>
      </c>
      <c r="R83" s="574" t="str">
        <f t="shared" si="10"/>
        <v xml:space="preserve">     -</v>
      </c>
      <c r="S83" s="510">
        <f t="shared" si="11"/>
        <v>0.4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632</v>
      </c>
      <c r="E84" s="518">
        <v>577</v>
      </c>
      <c r="F84" s="518">
        <v>589</v>
      </c>
      <c r="G84" s="518">
        <v>615</v>
      </c>
      <c r="H84" s="518">
        <v>635</v>
      </c>
      <c r="I84" s="518">
        <v>635</v>
      </c>
      <c r="J84" s="519">
        <v>676</v>
      </c>
      <c r="K84" s="514">
        <v>773</v>
      </c>
      <c r="L84" s="511">
        <v>845</v>
      </c>
      <c r="M84" s="518">
        <v>918</v>
      </c>
      <c r="N84" s="518">
        <v>991</v>
      </c>
      <c r="O84" s="518">
        <v>1055</v>
      </c>
      <c r="P84" s="519">
        <v>1128</v>
      </c>
      <c r="Q84" s="514">
        <v>1131</v>
      </c>
      <c r="R84" s="574">
        <f t="shared" si="10"/>
        <v>2.9</v>
      </c>
      <c r="S84" s="510">
        <f t="shared" si="11"/>
        <v>6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1091.0515</v>
      </c>
      <c r="E85" s="521">
        <v>1210.2420000000002</v>
      </c>
      <c r="F85" s="521">
        <v>1350.8867900000002</v>
      </c>
      <c r="G85" s="521">
        <v>1129.5592000000001</v>
      </c>
      <c r="H85" s="521">
        <v>1137.4661143999999</v>
      </c>
      <c r="I85" s="521">
        <v>1095</v>
      </c>
      <c r="J85" s="522">
        <v>1087.335</v>
      </c>
      <c r="K85" s="523">
        <v>1071</v>
      </c>
      <c r="L85" s="520">
        <v>1088.136</v>
      </c>
      <c r="M85" s="521">
        <v>1102.2817679999998</v>
      </c>
      <c r="N85" s="521">
        <v>1118.8159945199998</v>
      </c>
      <c r="O85" s="521">
        <v>1135.5982344377996</v>
      </c>
      <c r="P85" s="522">
        <v>1152.6322079543665</v>
      </c>
      <c r="Q85" s="523">
        <v>1169.921691073682</v>
      </c>
      <c r="R85" s="574">
        <f t="shared" si="10"/>
        <v>-0.3</v>
      </c>
      <c r="S85" s="510">
        <f t="shared" si="11"/>
        <v>1.5</v>
      </c>
      <c r="U85" s="280"/>
      <c r="V85" s="280"/>
      <c r="W85" s="280"/>
      <c r="X85" s="280"/>
      <c r="Y85" s="280"/>
      <c r="Z85" s="280"/>
      <c r="AA85" s="43"/>
      <c r="AB85" s="43"/>
      <c r="AC85" s="280"/>
      <c r="AD85" s="280"/>
      <c r="AE85" s="280"/>
      <c r="AF85" s="280"/>
      <c r="AG85" s="280"/>
    </row>
    <row r="86" spans="1:33" ht="15" customHeight="1">
      <c r="A86" s="16"/>
      <c r="B86" s="672" t="s">
        <v>316</v>
      </c>
      <c r="C86" s="673"/>
      <c r="D86" s="529">
        <v>10739</v>
      </c>
      <c r="E86" s="525">
        <v>9531</v>
      </c>
      <c r="F86" s="530">
        <v>10338</v>
      </c>
      <c r="G86" s="530">
        <v>10477</v>
      </c>
      <c r="H86" s="525">
        <v>10693</v>
      </c>
      <c r="I86" s="530">
        <v>10971</v>
      </c>
      <c r="J86" s="530">
        <v>11144</v>
      </c>
      <c r="K86" s="564">
        <v>11400</v>
      </c>
      <c r="L86" s="524">
        <v>11729</v>
      </c>
      <c r="M86" s="525">
        <v>12027</v>
      </c>
      <c r="N86" s="525">
        <v>12245</v>
      </c>
      <c r="O86" s="525">
        <v>12456</v>
      </c>
      <c r="P86" s="530">
        <v>12641</v>
      </c>
      <c r="Q86" s="564">
        <v>12815</v>
      </c>
      <c r="R86" s="573">
        <f t="shared" si="10"/>
        <v>0.9</v>
      </c>
      <c r="S86" s="256">
        <f t="shared" si="11"/>
        <v>1.8</v>
      </c>
      <c r="U86" s="280"/>
      <c r="V86" s="280"/>
      <c r="W86" s="281"/>
      <c r="X86" s="281"/>
      <c r="Y86" s="281"/>
      <c r="Z86" s="281"/>
      <c r="AA86" s="420"/>
      <c r="AB86" s="281"/>
      <c r="AC86" s="281"/>
      <c r="AD86" s="281"/>
      <c r="AE86" s="281"/>
      <c r="AF86" s="281"/>
      <c r="AG86" s="281"/>
    </row>
    <row r="87" spans="1:33" ht="15" customHeight="1">
      <c r="A87" s="16"/>
      <c r="B87" s="670" t="s">
        <v>317</v>
      </c>
      <c r="C87" s="671"/>
      <c r="D87" s="553">
        <v>0</v>
      </c>
      <c r="E87" s="525">
        <v>0</v>
      </c>
      <c r="F87" s="530">
        <v>0</v>
      </c>
      <c r="G87" s="530">
        <v>0</v>
      </c>
      <c r="H87" s="525">
        <v>0</v>
      </c>
      <c r="I87" s="530">
        <v>0</v>
      </c>
      <c r="J87" s="530">
        <v>0</v>
      </c>
      <c r="K87" s="564">
        <v>0</v>
      </c>
      <c r="L87" s="524">
        <v>0</v>
      </c>
      <c r="M87" s="525">
        <v>0</v>
      </c>
      <c r="N87" s="525">
        <v>0</v>
      </c>
      <c r="O87" s="525">
        <v>0</v>
      </c>
      <c r="P87" s="530">
        <v>0</v>
      </c>
      <c r="Q87" s="564">
        <v>0</v>
      </c>
      <c r="R87" s="573" t="str">
        <f t="shared" si="10"/>
        <v xml:space="preserve">     -</v>
      </c>
      <c r="S87" s="256" t="str">
        <f t="shared" si="11"/>
        <v xml:space="preserve">     -</v>
      </c>
      <c r="U87" s="280"/>
      <c r="V87" s="280"/>
      <c r="W87" s="281"/>
      <c r="X87" s="281"/>
      <c r="Y87" s="281"/>
      <c r="Z87" s="281"/>
      <c r="AA87" s="420"/>
      <c r="AB87" s="281"/>
      <c r="AC87" s="281"/>
      <c r="AD87" s="281"/>
      <c r="AE87" s="281"/>
      <c r="AF87" s="281"/>
      <c r="AG87" s="281"/>
    </row>
    <row r="88" spans="1:33" ht="15.75" customHeight="1">
      <c r="A88" s="16"/>
      <c r="B88" s="674" t="s">
        <v>318</v>
      </c>
      <c r="C88" s="675"/>
      <c r="D88" s="95">
        <f>SUM(D86:D87)</f>
        <v>10739</v>
      </c>
      <c r="E88" s="92">
        <f t="shared" ref="E88:Q88" si="13">SUM(E86:E87)</f>
        <v>9531</v>
      </c>
      <c r="F88" s="92">
        <f t="shared" si="13"/>
        <v>10338</v>
      </c>
      <c r="G88" s="93">
        <f t="shared" si="13"/>
        <v>10477</v>
      </c>
      <c r="H88" s="93">
        <f t="shared" si="13"/>
        <v>10693</v>
      </c>
      <c r="I88" s="94">
        <f t="shared" si="13"/>
        <v>10971</v>
      </c>
      <c r="J88" s="94">
        <f t="shared" si="13"/>
        <v>11144</v>
      </c>
      <c r="K88" s="96">
        <f t="shared" si="13"/>
        <v>11400</v>
      </c>
      <c r="L88" s="95">
        <f t="shared" si="13"/>
        <v>11729</v>
      </c>
      <c r="M88" s="93">
        <f t="shared" si="13"/>
        <v>12027</v>
      </c>
      <c r="N88" s="93">
        <f t="shared" si="13"/>
        <v>12245</v>
      </c>
      <c r="O88" s="93">
        <f t="shared" si="13"/>
        <v>12456</v>
      </c>
      <c r="P88" s="93">
        <f t="shared" si="13"/>
        <v>12641</v>
      </c>
      <c r="Q88" s="96">
        <f t="shared" si="13"/>
        <v>12815</v>
      </c>
      <c r="R88" s="574">
        <f t="shared" si="10"/>
        <v>0.9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1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381</v>
      </c>
      <c r="E89" s="525">
        <v>575</v>
      </c>
      <c r="F89" s="530">
        <v>607</v>
      </c>
      <c r="G89" s="530">
        <v>618</v>
      </c>
      <c r="H89" s="525">
        <v>631</v>
      </c>
      <c r="I89" s="530">
        <v>653</v>
      </c>
      <c r="J89" s="530">
        <v>667</v>
      </c>
      <c r="K89" s="564">
        <v>684</v>
      </c>
      <c r="L89" s="565">
        <v>699</v>
      </c>
      <c r="M89" s="566">
        <v>717</v>
      </c>
      <c r="N89" s="566">
        <v>684</v>
      </c>
      <c r="O89" s="566">
        <v>684</v>
      </c>
      <c r="P89" s="566">
        <v>684</v>
      </c>
      <c r="Q89" s="567">
        <v>684</v>
      </c>
      <c r="R89" s="573">
        <f t="shared" si="10"/>
        <v>8.6999999999999993</v>
      </c>
      <c r="S89" s="256">
        <f t="shared" si="11"/>
        <v>-0.4</v>
      </c>
      <c r="U89" s="280"/>
      <c r="V89" s="280"/>
      <c r="W89" s="281"/>
      <c r="X89" s="281"/>
      <c r="Y89" s="281"/>
      <c r="Z89" s="281"/>
      <c r="AA89" s="420"/>
      <c r="AB89" s="281"/>
      <c r="AC89" s="281"/>
      <c r="AD89" s="281"/>
      <c r="AE89" s="281"/>
      <c r="AF89" s="281"/>
      <c r="AG89" s="281"/>
    </row>
    <row r="90" spans="1:33" ht="15" customHeight="1">
      <c r="A90" s="16"/>
      <c r="B90" s="668" t="s">
        <v>320</v>
      </c>
      <c r="C90" s="669"/>
      <c r="D90" s="553">
        <v>593</v>
      </c>
      <c r="E90" s="525">
        <v>561</v>
      </c>
      <c r="F90" s="530">
        <v>580</v>
      </c>
      <c r="G90" s="530">
        <v>611</v>
      </c>
      <c r="H90" s="525">
        <v>789</v>
      </c>
      <c r="I90" s="530">
        <v>765</v>
      </c>
      <c r="J90" s="530">
        <v>740</v>
      </c>
      <c r="K90" s="564">
        <v>748</v>
      </c>
      <c r="L90" s="524">
        <v>768.80000000000007</v>
      </c>
      <c r="M90" s="525">
        <v>768.40000000000009</v>
      </c>
      <c r="N90" s="525">
        <v>768.40000000000009</v>
      </c>
      <c r="O90" s="525">
        <v>768.40000000000009</v>
      </c>
      <c r="P90" s="530">
        <v>768.40000000000009</v>
      </c>
      <c r="Q90" s="564">
        <v>768.40000000000009</v>
      </c>
      <c r="R90" s="573">
        <f t="shared" si="10"/>
        <v>3.4</v>
      </c>
      <c r="S90" s="256">
        <f t="shared" si="11"/>
        <v>0</v>
      </c>
      <c r="U90" s="43"/>
      <c r="V90" s="43"/>
      <c r="W90" s="281"/>
      <c r="X90" s="281"/>
      <c r="Y90" s="281"/>
      <c r="Z90" s="281"/>
      <c r="AA90" s="420"/>
      <c r="AB90" s="281"/>
      <c r="AC90" s="281"/>
      <c r="AD90" s="281"/>
      <c r="AE90" s="281"/>
      <c r="AF90" s="281"/>
      <c r="AG90" s="281"/>
    </row>
    <row r="91" spans="1:33" ht="15" customHeight="1">
      <c r="A91" s="16"/>
      <c r="B91" s="670" t="s">
        <v>321</v>
      </c>
      <c r="C91" s="671"/>
      <c r="D91" s="553">
        <v>210</v>
      </c>
      <c r="E91" s="525">
        <v>179</v>
      </c>
      <c r="F91" s="530">
        <v>271</v>
      </c>
      <c r="G91" s="530">
        <v>286</v>
      </c>
      <c r="H91" s="525">
        <v>297</v>
      </c>
      <c r="I91" s="530">
        <v>296</v>
      </c>
      <c r="J91" s="530">
        <v>294</v>
      </c>
      <c r="K91" s="568">
        <v>298</v>
      </c>
      <c r="L91" s="569">
        <v>245</v>
      </c>
      <c r="M91" s="570">
        <v>245</v>
      </c>
      <c r="N91" s="570">
        <v>245</v>
      </c>
      <c r="O91" s="570">
        <v>245</v>
      </c>
      <c r="P91" s="571">
        <v>245</v>
      </c>
      <c r="Q91" s="568">
        <v>245</v>
      </c>
      <c r="R91" s="573">
        <f t="shared" si="10"/>
        <v>5.0999999999999996</v>
      </c>
      <c r="S91" s="256">
        <f t="shared" si="11"/>
        <v>0</v>
      </c>
      <c r="U91" s="280"/>
      <c r="V91" s="280"/>
      <c r="W91" s="283"/>
      <c r="X91" s="283"/>
      <c r="Y91" s="283"/>
      <c r="Z91" s="280"/>
      <c r="AA91" s="280"/>
      <c r="AB91" s="280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1184</v>
      </c>
      <c r="E92" s="539">
        <f t="shared" ref="E92:Q92" si="14">SUM(E89:E91)</f>
        <v>1315</v>
      </c>
      <c r="F92" s="539">
        <f t="shared" si="14"/>
        <v>1458</v>
      </c>
      <c r="G92" s="100">
        <f t="shared" si="14"/>
        <v>1515</v>
      </c>
      <c r="H92" s="100">
        <f t="shared" si="14"/>
        <v>1717</v>
      </c>
      <c r="I92" s="100">
        <f t="shared" si="14"/>
        <v>1714</v>
      </c>
      <c r="J92" s="101">
        <f t="shared" si="14"/>
        <v>1701</v>
      </c>
      <c r="K92" s="104">
        <f t="shared" si="14"/>
        <v>1730</v>
      </c>
      <c r="L92" s="540">
        <f t="shared" si="14"/>
        <v>1712.8000000000002</v>
      </c>
      <c r="M92" s="100">
        <f t="shared" si="14"/>
        <v>1730.4</v>
      </c>
      <c r="N92" s="100">
        <f t="shared" si="14"/>
        <v>1697.4</v>
      </c>
      <c r="O92" s="100">
        <f t="shared" si="14"/>
        <v>1697.4</v>
      </c>
      <c r="P92" s="100">
        <f t="shared" si="14"/>
        <v>1697.4</v>
      </c>
      <c r="Q92" s="103">
        <f t="shared" si="14"/>
        <v>1697.4</v>
      </c>
      <c r="R92" s="576">
        <f t="shared" si="10"/>
        <v>5.6</v>
      </c>
      <c r="S92" s="541">
        <f t="shared" si="11"/>
        <v>-0.2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38292.822926446526</v>
      </c>
      <c r="E93" s="543">
        <f t="shared" ref="E93:Q93" si="15">E77+E78+E80+E82+E84+E85+E88+E92</f>
        <v>37222.804992711586</v>
      </c>
      <c r="F93" s="543">
        <f t="shared" si="15"/>
        <v>37708.648235783126</v>
      </c>
      <c r="G93" s="544">
        <f t="shared" si="15"/>
        <v>38427.820645783126</v>
      </c>
      <c r="H93" s="544">
        <f t="shared" si="15"/>
        <v>39258.404025020005</v>
      </c>
      <c r="I93" s="544">
        <f t="shared" si="15"/>
        <v>40363.950199797378</v>
      </c>
      <c r="J93" s="545">
        <f t="shared" si="15"/>
        <v>40436.426988660744</v>
      </c>
      <c r="K93" s="546">
        <f t="shared" si="15"/>
        <v>41684.000977182492</v>
      </c>
      <c r="L93" s="547">
        <f t="shared" si="15"/>
        <v>42430.999218929188</v>
      </c>
      <c r="M93" s="544">
        <f t="shared" si="15"/>
        <v>43470.944986929186</v>
      </c>
      <c r="N93" s="544">
        <f t="shared" si="15"/>
        <v>44426.47921344918</v>
      </c>
      <c r="O93" s="544">
        <f t="shared" si="15"/>
        <v>45248.261453366984</v>
      </c>
      <c r="P93" s="544">
        <f t="shared" si="15"/>
        <v>46104.295426883553</v>
      </c>
      <c r="Q93" s="577">
        <f t="shared" si="15"/>
        <v>46585.584910002864</v>
      </c>
      <c r="R93" s="578">
        <f t="shared" si="10"/>
        <v>1.2</v>
      </c>
      <c r="S93" s="549">
        <f t="shared" si="11"/>
        <v>1.9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7"/>
      <c r="L117" s="27"/>
      <c r="M117" s="27"/>
      <c r="N117" s="27"/>
      <c r="O117" s="27"/>
      <c r="P117" s="27"/>
      <c r="Q117" s="27"/>
    </row>
    <row r="118" spans="5:17">
      <c r="E118" s="27"/>
      <c r="F118" s="27"/>
      <c r="G118" s="27"/>
      <c r="H118" s="24"/>
      <c r="I118" s="24"/>
      <c r="J118" s="24"/>
      <c r="K118" s="27"/>
      <c r="L118" s="27"/>
      <c r="M118" s="27"/>
      <c r="N118" s="27"/>
      <c r="O118" s="27"/>
      <c r="P118" s="27"/>
      <c r="Q118" s="27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7"/>
      <c r="L120" s="27"/>
      <c r="M120" s="27"/>
      <c r="N120" s="27"/>
      <c r="O120" s="27"/>
      <c r="P120" s="27"/>
      <c r="Q120" s="27"/>
    </row>
    <row r="121" spans="5:17">
      <c r="E121" s="27"/>
      <c r="F121" s="27"/>
      <c r="G121" s="27"/>
      <c r="H121" s="24"/>
      <c r="I121" s="24"/>
      <c r="J121" s="24"/>
      <c r="K121" s="27"/>
      <c r="L121" s="27"/>
      <c r="M121" s="27"/>
      <c r="N121" s="27"/>
      <c r="O121" s="27"/>
      <c r="P121" s="27"/>
      <c r="Q121" s="27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7"/>
      <c r="L161" s="27"/>
      <c r="M161" s="27"/>
      <c r="N161" s="27"/>
      <c r="O161" s="27"/>
      <c r="P161" s="27"/>
      <c r="Q161" s="27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 spans="5:17">
      <c r="E180" s="27"/>
      <c r="F180" s="27"/>
      <c r="G180" s="27"/>
      <c r="H180" s="24"/>
      <c r="I180" s="24"/>
      <c r="J180" s="24"/>
      <c r="K180" s="27"/>
      <c r="L180" s="27"/>
      <c r="M180" s="27"/>
      <c r="N180" s="27"/>
      <c r="O180" s="27"/>
      <c r="P180" s="27"/>
      <c r="Q180" s="27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5:C85"/>
    <mergeCell ref="B88:C88"/>
    <mergeCell ref="B92:C92"/>
    <mergeCell ref="B68:C68"/>
    <mergeCell ref="B86:C86"/>
    <mergeCell ref="B69:C69"/>
    <mergeCell ref="B70:C70"/>
    <mergeCell ref="B82:C82"/>
    <mergeCell ref="B73:C73"/>
    <mergeCell ref="B77:C77"/>
    <mergeCell ref="B78:C78"/>
    <mergeCell ref="B80:C80"/>
    <mergeCell ref="B27:C27"/>
    <mergeCell ref="B49:C49"/>
    <mergeCell ref="B51:C51"/>
    <mergeCell ref="B53:C53"/>
    <mergeCell ref="B55:C55"/>
    <mergeCell ref="B45:C45"/>
    <mergeCell ref="B46:C46"/>
    <mergeCell ref="B47:C47"/>
    <mergeCell ref="B48:C48"/>
    <mergeCell ref="B39:C39"/>
    <mergeCell ref="B40:C40"/>
    <mergeCell ref="B41:C41"/>
    <mergeCell ref="B42:C42"/>
    <mergeCell ref="B44:C44"/>
    <mergeCell ref="B93:C93"/>
    <mergeCell ref="B64:C64"/>
    <mergeCell ref="B35:C35"/>
    <mergeCell ref="B87:C87"/>
    <mergeCell ref="B89:C89"/>
    <mergeCell ref="B90:C90"/>
    <mergeCell ref="B91:C91"/>
    <mergeCell ref="B74:C74"/>
    <mergeCell ref="B75:C75"/>
    <mergeCell ref="B76:C76"/>
    <mergeCell ref="B56:C56"/>
    <mergeCell ref="B59:C59"/>
    <mergeCell ref="B63:C63"/>
    <mergeCell ref="B62:C62"/>
    <mergeCell ref="B84:C84"/>
    <mergeCell ref="B71:C71"/>
    <mergeCell ref="B67:C67"/>
    <mergeCell ref="B57:C57"/>
    <mergeCell ref="B58:C58"/>
    <mergeCell ref="B60:C60"/>
    <mergeCell ref="B61:C61"/>
    <mergeCell ref="B65:C65"/>
    <mergeCell ref="B66:C66"/>
    <mergeCell ref="B18:C18"/>
    <mergeCell ref="B36:C36"/>
    <mergeCell ref="B37:C37"/>
    <mergeCell ref="B38:C38"/>
    <mergeCell ref="B28:C28"/>
    <mergeCell ref="B29:C29"/>
    <mergeCell ref="B31:C31"/>
    <mergeCell ref="B32:C32"/>
    <mergeCell ref="B30:C30"/>
    <mergeCell ref="B34:C34"/>
    <mergeCell ref="B33:C33"/>
    <mergeCell ref="B24:C24"/>
    <mergeCell ref="B19:C19"/>
    <mergeCell ref="B20:C20"/>
    <mergeCell ref="B22:C22"/>
    <mergeCell ref="B26:C26"/>
    <mergeCell ref="B12:C12"/>
    <mergeCell ref="B13:C13"/>
    <mergeCell ref="B15:C15"/>
    <mergeCell ref="B16:C16"/>
    <mergeCell ref="B17:C17"/>
    <mergeCell ref="B11:C11"/>
    <mergeCell ref="D5:D6"/>
    <mergeCell ref="E5:E6"/>
    <mergeCell ref="F5:F6"/>
    <mergeCell ref="G5:G6"/>
    <mergeCell ref="B10:C10"/>
    <mergeCell ref="S5:S6"/>
    <mergeCell ref="R4:S4"/>
    <mergeCell ref="B7:C7"/>
    <mergeCell ref="B8:C8"/>
    <mergeCell ref="B9:C9"/>
    <mergeCell ref="R5:R6"/>
    <mergeCell ref="N5:N6"/>
    <mergeCell ref="O5:O6"/>
    <mergeCell ref="P5:P6"/>
    <mergeCell ref="Q5:Q6"/>
    <mergeCell ref="H5:H6"/>
    <mergeCell ref="I5:I6"/>
    <mergeCell ref="J5:J6"/>
    <mergeCell ref="K5:K6"/>
    <mergeCell ref="L5:L6"/>
    <mergeCell ref="M5:M6"/>
  </mergeCells>
  <phoneticPr fontId="6"/>
  <conditionalFormatting sqref="C97:C98">
    <cfRule type="expression" dxfId="299" priority="5">
      <formula>CELL("protect",C97)=0</formula>
    </cfRule>
    <cfRule type="expression" dxfId="298" priority="6">
      <formula>CELL("protect",C97)=0</formula>
    </cfRule>
  </conditionalFormatting>
  <conditionalFormatting sqref="C95">
    <cfRule type="expression" dxfId="297" priority="3">
      <formula>CELL("protect",C95)=0</formula>
    </cfRule>
    <cfRule type="expression" dxfId="296" priority="4">
      <formula>CELL("protect",C95)=0</formula>
    </cfRule>
  </conditionalFormatting>
  <conditionalFormatting sqref="C97">
    <cfRule type="expression" dxfId="295" priority="1">
      <formula>CELL("protect",C97)=0</formula>
    </cfRule>
    <cfRule type="expression" dxfId="29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00B0F0"/>
    <pageSetUpPr fitToPage="1"/>
  </sheetPr>
  <dimension ref="A1:AG182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16.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9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1352</v>
      </c>
      <c r="E7" s="488">
        <v>1347</v>
      </c>
      <c r="F7" s="489">
        <v>1355</v>
      </c>
      <c r="G7" s="489">
        <v>1355</v>
      </c>
      <c r="H7" s="488">
        <v>1605</v>
      </c>
      <c r="I7" s="489">
        <v>1605</v>
      </c>
      <c r="J7" s="489">
        <v>1605</v>
      </c>
      <c r="K7" s="490">
        <v>1605</v>
      </c>
      <c r="L7" s="491">
        <v>1605</v>
      </c>
      <c r="M7" s="492">
        <v>1605</v>
      </c>
      <c r="N7" s="492">
        <v>1605</v>
      </c>
      <c r="O7" s="492">
        <v>1605</v>
      </c>
      <c r="P7" s="493">
        <v>1605</v>
      </c>
      <c r="Q7" s="490">
        <v>1605</v>
      </c>
      <c r="R7" s="572">
        <f>IF(D7=0,"     -",IF(K7=0,"     -",ROUND(((K7/D7)^(1/7)-1)*100,1)))</f>
        <v>2.5</v>
      </c>
      <c r="S7" s="494">
        <f>IF(L7=0,"     -",IF(Q7=0,"     -",ROUND(((Q7/L7)^(1/5)-1)*100,1)))</f>
        <v>0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2300</v>
      </c>
      <c r="E8" s="496">
        <v>2300</v>
      </c>
      <c r="F8" s="497">
        <v>2300</v>
      </c>
      <c r="G8" s="497">
        <v>2300</v>
      </c>
      <c r="H8" s="496">
        <v>2600</v>
      </c>
      <c r="I8" s="497">
        <v>2600</v>
      </c>
      <c r="J8" s="497">
        <v>2600</v>
      </c>
      <c r="K8" s="498">
        <v>2600</v>
      </c>
      <c r="L8" s="499">
        <v>2600</v>
      </c>
      <c r="M8" s="500">
        <v>2600</v>
      </c>
      <c r="N8" s="500">
        <v>2600</v>
      </c>
      <c r="O8" s="500">
        <v>2600</v>
      </c>
      <c r="P8" s="501">
        <v>2600</v>
      </c>
      <c r="Q8" s="498">
        <v>2600</v>
      </c>
      <c r="R8" s="573">
        <f t="shared" ref="R8:R71" si="0">IF(D8=0,"     -",IF(K8=0,"     -",ROUND(((K8/D8)^(1/7)-1)*100,1)))</f>
        <v>1.8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872</v>
      </c>
      <c r="E9" s="496">
        <v>872</v>
      </c>
      <c r="F9" s="497">
        <v>872</v>
      </c>
      <c r="G9" s="497">
        <v>872</v>
      </c>
      <c r="H9" s="496">
        <v>872</v>
      </c>
      <c r="I9" s="497">
        <v>872</v>
      </c>
      <c r="J9" s="497">
        <v>872</v>
      </c>
      <c r="K9" s="502">
        <v>872</v>
      </c>
      <c r="L9" s="503">
        <v>872</v>
      </c>
      <c r="M9" s="496">
        <v>872</v>
      </c>
      <c r="N9" s="496">
        <v>872</v>
      </c>
      <c r="O9" s="496">
        <v>872</v>
      </c>
      <c r="P9" s="279">
        <v>872</v>
      </c>
      <c r="Q9" s="502">
        <v>872</v>
      </c>
      <c r="R9" s="573">
        <f t="shared" si="0"/>
        <v>0</v>
      </c>
      <c r="S9" s="256">
        <f t="shared" si="1"/>
        <v>0</v>
      </c>
      <c r="U9" s="329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3200</v>
      </c>
      <c r="E10" s="496">
        <v>3565</v>
      </c>
      <c r="F10" s="497">
        <v>3695</v>
      </c>
      <c r="G10" s="497">
        <v>4965</v>
      </c>
      <c r="H10" s="496">
        <v>5465</v>
      </c>
      <c r="I10" s="497">
        <v>6515</v>
      </c>
      <c r="J10" s="497">
        <v>7708</v>
      </c>
      <c r="K10" s="502">
        <v>8085</v>
      </c>
      <c r="L10" s="503">
        <v>10713</v>
      </c>
      <c r="M10" s="496">
        <v>13703</v>
      </c>
      <c r="N10" s="496">
        <v>16023</v>
      </c>
      <c r="O10" s="496">
        <v>17123</v>
      </c>
      <c r="P10" s="279">
        <v>18223</v>
      </c>
      <c r="Q10" s="502">
        <v>19313</v>
      </c>
      <c r="R10" s="573">
        <f t="shared" si="0"/>
        <v>14.2</v>
      </c>
      <c r="S10" s="256">
        <f t="shared" si="1"/>
        <v>12.5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395</v>
      </c>
      <c r="E11" s="496">
        <v>420</v>
      </c>
      <c r="F11" s="497">
        <v>420</v>
      </c>
      <c r="G11" s="497">
        <v>420</v>
      </c>
      <c r="H11" s="496">
        <v>420</v>
      </c>
      <c r="I11" s="497">
        <v>420</v>
      </c>
      <c r="J11" s="497">
        <v>420</v>
      </c>
      <c r="K11" s="502">
        <v>420</v>
      </c>
      <c r="L11" s="503">
        <v>420</v>
      </c>
      <c r="M11" s="496">
        <v>420</v>
      </c>
      <c r="N11" s="496">
        <v>420</v>
      </c>
      <c r="O11" s="496">
        <v>420</v>
      </c>
      <c r="P11" s="279">
        <v>420</v>
      </c>
      <c r="Q11" s="502">
        <v>420</v>
      </c>
      <c r="R11" s="573">
        <f t="shared" si="0"/>
        <v>0.9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220</v>
      </c>
      <c r="E12" s="496">
        <v>220</v>
      </c>
      <c r="F12" s="497">
        <v>220</v>
      </c>
      <c r="G12" s="497">
        <v>220</v>
      </c>
      <c r="H12" s="496">
        <v>220</v>
      </c>
      <c r="I12" s="497">
        <v>220</v>
      </c>
      <c r="J12" s="497">
        <v>220</v>
      </c>
      <c r="K12" s="502">
        <v>220</v>
      </c>
      <c r="L12" s="503">
        <v>220</v>
      </c>
      <c r="M12" s="496">
        <v>220</v>
      </c>
      <c r="N12" s="496">
        <v>220</v>
      </c>
      <c r="O12" s="496">
        <v>220</v>
      </c>
      <c r="P12" s="279">
        <v>220</v>
      </c>
      <c r="Q12" s="502">
        <v>570</v>
      </c>
      <c r="R12" s="573">
        <f t="shared" si="0"/>
        <v>0</v>
      </c>
      <c r="S12" s="256">
        <f t="shared" si="1"/>
        <v>21</v>
      </c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1670</v>
      </c>
      <c r="E13" s="49">
        <v>1670</v>
      </c>
      <c r="F13" s="45">
        <v>1670</v>
      </c>
      <c r="G13" s="49">
        <v>1670</v>
      </c>
      <c r="H13" s="49">
        <v>1620</v>
      </c>
      <c r="I13" s="45">
        <v>1620</v>
      </c>
      <c r="J13" s="49">
        <v>2520</v>
      </c>
      <c r="K13" s="50">
        <v>2520</v>
      </c>
      <c r="L13" s="140">
        <v>2520</v>
      </c>
      <c r="M13" s="45">
        <v>2520</v>
      </c>
      <c r="N13" s="45">
        <v>2520</v>
      </c>
      <c r="O13" s="45">
        <v>2520</v>
      </c>
      <c r="P13" s="45">
        <v>2520</v>
      </c>
      <c r="Q13" s="50">
        <v>2520</v>
      </c>
      <c r="R13" s="573">
        <f t="shared" si="0"/>
        <v>6.1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365</v>
      </c>
      <c r="E16" s="496">
        <v>365</v>
      </c>
      <c r="F16" s="497">
        <v>365</v>
      </c>
      <c r="G16" s="497">
        <v>365</v>
      </c>
      <c r="H16" s="496">
        <v>365</v>
      </c>
      <c r="I16" s="497">
        <v>365</v>
      </c>
      <c r="J16" s="497">
        <v>365</v>
      </c>
      <c r="K16" s="502">
        <v>365</v>
      </c>
      <c r="L16" s="503">
        <v>365</v>
      </c>
      <c r="M16" s="496">
        <v>365</v>
      </c>
      <c r="N16" s="496">
        <v>1115</v>
      </c>
      <c r="O16" s="496">
        <v>1115</v>
      </c>
      <c r="P16" s="279">
        <v>1115</v>
      </c>
      <c r="Q16" s="502">
        <v>1115</v>
      </c>
      <c r="R16" s="573">
        <f t="shared" si="0"/>
        <v>0</v>
      </c>
      <c r="S16" s="256">
        <f t="shared" si="1"/>
        <v>25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875</v>
      </c>
      <c r="E18" s="40">
        <v>875</v>
      </c>
      <c r="F18" s="40">
        <v>875</v>
      </c>
      <c r="G18" s="40">
        <v>875</v>
      </c>
      <c r="H18" s="40">
        <v>885.8</v>
      </c>
      <c r="I18" s="505">
        <v>817.8</v>
      </c>
      <c r="J18" s="506">
        <v>817.8</v>
      </c>
      <c r="K18" s="507">
        <v>842.6</v>
      </c>
      <c r="L18" s="508">
        <v>842.6</v>
      </c>
      <c r="M18" s="505">
        <v>842.6</v>
      </c>
      <c r="N18" s="505">
        <v>842.6</v>
      </c>
      <c r="O18" s="505">
        <v>842.6</v>
      </c>
      <c r="P18" s="505">
        <v>842.6</v>
      </c>
      <c r="Q18" s="509">
        <v>842.6</v>
      </c>
      <c r="R18" s="573">
        <f t="shared" si="0"/>
        <v>-0.5</v>
      </c>
      <c r="S18" s="256">
        <f t="shared" si="1"/>
        <v>0</v>
      </c>
      <c r="U18" s="43"/>
      <c r="V18" s="43"/>
      <c r="W18" s="43"/>
      <c r="X18" s="322"/>
      <c r="Y18" s="322"/>
      <c r="Z18" s="322"/>
      <c r="AA18" s="322"/>
      <c r="AB18" s="322"/>
      <c r="AC18" s="322"/>
      <c r="AD18" s="322"/>
      <c r="AE18" s="322"/>
      <c r="AF18" s="322"/>
      <c r="AG18" s="322"/>
    </row>
    <row r="19" spans="1:33" ht="15.75" customHeight="1">
      <c r="A19" s="16"/>
      <c r="B19" s="674" t="s">
        <v>307</v>
      </c>
      <c r="C19" s="675"/>
      <c r="D19" s="95">
        <f>SUM(D7:D18)</f>
        <v>11249</v>
      </c>
      <c r="E19" s="93">
        <f t="shared" ref="E19:Q19" si="2">SUM(E7:E18)</f>
        <v>11634</v>
      </c>
      <c r="F19" s="93">
        <f t="shared" si="2"/>
        <v>11772</v>
      </c>
      <c r="G19" s="93">
        <f t="shared" si="2"/>
        <v>13042</v>
      </c>
      <c r="H19" s="93">
        <f t="shared" si="2"/>
        <v>14052.8</v>
      </c>
      <c r="I19" s="93">
        <f t="shared" si="2"/>
        <v>15034.8</v>
      </c>
      <c r="J19" s="93">
        <f t="shared" si="2"/>
        <v>17127.8</v>
      </c>
      <c r="K19" s="96">
        <f t="shared" si="2"/>
        <v>17529.599999999999</v>
      </c>
      <c r="L19" s="95">
        <f t="shared" si="2"/>
        <v>20157.599999999999</v>
      </c>
      <c r="M19" s="93">
        <f t="shared" si="2"/>
        <v>23147.599999999999</v>
      </c>
      <c r="N19" s="93">
        <f t="shared" si="2"/>
        <v>26217.599999999999</v>
      </c>
      <c r="O19" s="93">
        <f t="shared" si="2"/>
        <v>27317.599999999999</v>
      </c>
      <c r="P19" s="93">
        <f t="shared" si="2"/>
        <v>28417.599999999999</v>
      </c>
      <c r="Q19" s="96">
        <f t="shared" si="2"/>
        <v>29857.599999999999</v>
      </c>
      <c r="R19" s="574">
        <f t="shared" si="0"/>
        <v>6.5</v>
      </c>
      <c r="S19" s="510">
        <f t="shared" si="1"/>
        <v>8.1999999999999993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4</v>
      </c>
      <c r="E20" s="512">
        <v>4</v>
      </c>
      <c r="F20" s="512">
        <v>4</v>
      </c>
      <c r="G20" s="512">
        <v>6</v>
      </c>
      <c r="H20" s="512">
        <v>6</v>
      </c>
      <c r="I20" s="512">
        <v>6</v>
      </c>
      <c r="J20" s="513">
        <v>6</v>
      </c>
      <c r="K20" s="514">
        <v>6</v>
      </c>
      <c r="L20" s="511">
        <v>6</v>
      </c>
      <c r="M20" s="512">
        <v>6</v>
      </c>
      <c r="N20" s="512">
        <v>6</v>
      </c>
      <c r="O20" s="512">
        <v>6</v>
      </c>
      <c r="P20" s="513">
        <v>6</v>
      </c>
      <c r="Q20" s="514">
        <v>6</v>
      </c>
      <c r="R20" s="574">
        <f t="shared" si="0"/>
        <v>6</v>
      </c>
      <c r="S20" s="510">
        <f t="shared" si="1"/>
        <v>0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4</v>
      </c>
      <c r="E21" s="512">
        <v>4</v>
      </c>
      <c r="F21" s="512">
        <v>4</v>
      </c>
      <c r="G21" s="512">
        <v>6</v>
      </c>
      <c r="H21" s="512">
        <v>6</v>
      </c>
      <c r="I21" s="512">
        <v>6</v>
      </c>
      <c r="J21" s="513">
        <v>6</v>
      </c>
      <c r="K21" s="514">
        <v>6</v>
      </c>
      <c r="L21" s="511">
        <v>6</v>
      </c>
      <c r="M21" s="512">
        <v>6</v>
      </c>
      <c r="N21" s="512">
        <v>6</v>
      </c>
      <c r="O21" s="512">
        <v>6</v>
      </c>
      <c r="P21" s="513">
        <v>6</v>
      </c>
      <c r="Q21" s="514">
        <v>6</v>
      </c>
      <c r="R21" s="574">
        <f t="shared" si="0"/>
        <v>6</v>
      </c>
      <c r="S21" s="510">
        <f t="shared" si="1"/>
        <v>0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1413</v>
      </c>
      <c r="E22" s="496">
        <v>1326</v>
      </c>
      <c r="F22" s="496">
        <v>1354</v>
      </c>
      <c r="G22" s="496">
        <v>1354</v>
      </c>
      <c r="H22" s="496">
        <v>1354</v>
      </c>
      <c r="I22" s="496">
        <v>1389</v>
      </c>
      <c r="J22" s="515">
        <v>1389</v>
      </c>
      <c r="K22" s="502">
        <v>1389</v>
      </c>
      <c r="L22" s="503">
        <v>1389</v>
      </c>
      <c r="M22" s="496">
        <v>1389</v>
      </c>
      <c r="N22" s="496">
        <v>1389</v>
      </c>
      <c r="O22" s="512">
        <v>1389</v>
      </c>
      <c r="P22" s="512">
        <v>1389</v>
      </c>
      <c r="Q22" s="514">
        <v>1389</v>
      </c>
      <c r="R22" s="575">
        <f t="shared" si="0"/>
        <v>-0.2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1334</v>
      </c>
      <c r="E23" s="512">
        <v>1247</v>
      </c>
      <c r="F23" s="512">
        <v>1244</v>
      </c>
      <c r="G23" s="512">
        <v>1294</v>
      </c>
      <c r="H23" s="512">
        <v>1294</v>
      </c>
      <c r="I23" s="512">
        <v>1329</v>
      </c>
      <c r="J23" s="513">
        <v>1329</v>
      </c>
      <c r="K23" s="514">
        <v>1329</v>
      </c>
      <c r="L23" s="511">
        <v>1329</v>
      </c>
      <c r="M23" s="512">
        <v>1329</v>
      </c>
      <c r="N23" s="512">
        <v>1329</v>
      </c>
      <c r="O23" s="512">
        <v>1329</v>
      </c>
      <c r="P23" s="512">
        <v>1329</v>
      </c>
      <c r="Q23" s="514">
        <v>1329</v>
      </c>
      <c r="R23" s="574">
        <f t="shared" si="0"/>
        <v>-0.1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8839</v>
      </c>
      <c r="E24" s="496">
        <v>9296</v>
      </c>
      <c r="F24" s="496">
        <v>9270</v>
      </c>
      <c r="G24" s="496">
        <v>9096</v>
      </c>
      <c r="H24" s="496">
        <v>9296</v>
      </c>
      <c r="I24" s="496">
        <v>9296</v>
      </c>
      <c r="J24" s="497">
        <v>9696</v>
      </c>
      <c r="K24" s="502">
        <v>9696</v>
      </c>
      <c r="L24" s="503">
        <v>9696</v>
      </c>
      <c r="M24" s="496">
        <v>9776</v>
      </c>
      <c r="N24" s="496">
        <v>9776</v>
      </c>
      <c r="O24" s="496">
        <v>9776</v>
      </c>
      <c r="P24" s="497">
        <v>10276</v>
      </c>
      <c r="Q24" s="502">
        <v>10276</v>
      </c>
      <c r="R24" s="574">
        <f t="shared" si="0"/>
        <v>1.3</v>
      </c>
      <c r="S24" s="510">
        <f t="shared" si="1"/>
        <v>1.2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7030</v>
      </c>
      <c r="F25" s="518">
        <v>7030</v>
      </c>
      <c r="G25" s="518">
        <v>7030</v>
      </c>
      <c r="H25" s="518">
        <v>7230</v>
      </c>
      <c r="I25" s="518">
        <v>7230</v>
      </c>
      <c r="J25" s="519">
        <v>7630</v>
      </c>
      <c r="K25" s="514">
        <v>7630</v>
      </c>
      <c r="L25" s="511">
        <v>7630</v>
      </c>
      <c r="M25" s="518">
        <v>7710</v>
      </c>
      <c r="N25" s="518">
        <v>7710</v>
      </c>
      <c r="O25" s="518">
        <v>7710</v>
      </c>
      <c r="P25" s="519">
        <v>8210</v>
      </c>
      <c r="Q25" s="514">
        <v>8210</v>
      </c>
      <c r="R25" s="573" t="str">
        <f t="shared" si="0"/>
        <v xml:space="preserve">     -</v>
      </c>
      <c r="S25" s="256">
        <f t="shared" si="1"/>
        <v>1.5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0</v>
      </c>
      <c r="E26" s="518">
        <v>0</v>
      </c>
      <c r="F26" s="518">
        <v>0</v>
      </c>
      <c r="G26" s="518">
        <v>0</v>
      </c>
      <c r="H26" s="518">
        <v>0</v>
      </c>
      <c r="I26" s="518">
        <v>0</v>
      </c>
      <c r="J26" s="519">
        <v>0</v>
      </c>
      <c r="K26" s="514">
        <v>0</v>
      </c>
      <c r="L26" s="511">
        <v>0</v>
      </c>
      <c r="M26" s="518">
        <v>0</v>
      </c>
      <c r="N26" s="518">
        <v>0</v>
      </c>
      <c r="O26" s="518">
        <v>0</v>
      </c>
      <c r="P26" s="519">
        <v>0</v>
      </c>
      <c r="Q26" s="514">
        <v>0</v>
      </c>
      <c r="R26" s="574" t="str">
        <f t="shared" si="0"/>
        <v xml:space="preserve">     -</v>
      </c>
      <c r="S26" s="510" t="str">
        <f t="shared" si="1"/>
        <v xml:space="preserve">     -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511</v>
      </c>
      <c r="E27" s="521">
        <v>511</v>
      </c>
      <c r="F27" s="521">
        <v>511</v>
      </c>
      <c r="G27" s="521">
        <v>511</v>
      </c>
      <c r="H27" s="521">
        <v>511</v>
      </c>
      <c r="I27" s="521">
        <v>511</v>
      </c>
      <c r="J27" s="522">
        <v>700</v>
      </c>
      <c r="K27" s="523">
        <v>700</v>
      </c>
      <c r="L27" s="520">
        <v>700</v>
      </c>
      <c r="M27" s="521">
        <v>700</v>
      </c>
      <c r="N27" s="521">
        <v>700</v>
      </c>
      <c r="O27" s="521">
        <v>700</v>
      </c>
      <c r="P27" s="522">
        <v>700</v>
      </c>
      <c r="Q27" s="523">
        <v>700</v>
      </c>
      <c r="R27" s="574">
        <f t="shared" si="0"/>
        <v>4.5999999999999996</v>
      </c>
      <c r="S27" s="510">
        <f t="shared" si="1"/>
        <v>0</v>
      </c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" customHeight="1">
      <c r="A28" s="16"/>
      <c r="B28" s="672" t="s">
        <v>316</v>
      </c>
      <c r="C28" s="673"/>
      <c r="D28" s="524">
        <v>2211</v>
      </c>
      <c r="E28" s="525">
        <v>2211</v>
      </c>
      <c r="F28" s="525">
        <v>2167</v>
      </c>
      <c r="G28" s="526">
        <v>2167</v>
      </c>
      <c r="H28" s="526">
        <v>2167</v>
      </c>
      <c r="I28" s="496">
        <v>2194</v>
      </c>
      <c r="J28" s="497">
        <v>2194</v>
      </c>
      <c r="K28" s="498">
        <v>2270</v>
      </c>
      <c r="L28" s="527">
        <v>2270</v>
      </c>
      <c r="M28" s="528">
        <v>2880</v>
      </c>
      <c r="N28" s="528">
        <v>4330</v>
      </c>
      <c r="O28" s="528">
        <v>4460</v>
      </c>
      <c r="P28" s="528">
        <v>4460</v>
      </c>
      <c r="Q28" s="498">
        <v>4460</v>
      </c>
      <c r="R28" s="573">
        <f t="shared" si="0"/>
        <v>0.4</v>
      </c>
      <c r="S28" s="256">
        <f t="shared" si="1"/>
        <v>14.5</v>
      </c>
      <c r="U28" s="43"/>
      <c r="V28" s="43"/>
      <c r="W28" s="43"/>
      <c r="X28" s="364"/>
      <c r="Y28" s="364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1465</v>
      </c>
      <c r="E29" s="525">
        <v>1465</v>
      </c>
      <c r="F29" s="530">
        <v>1450</v>
      </c>
      <c r="G29" s="531">
        <v>1500</v>
      </c>
      <c r="H29" s="526">
        <v>1500</v>
      </c>
      <c r="I29" s="497">
        <v>1500</v>
      </c>
      <c r="J29" s="497">
        <v>1530</v>
      </c>
      <c r="K29" s="498">
        <v>1770</v>
      </c>
      <c r="L29" s="499">
        <v>1770</v>
      </c>
      <c r="M29" s="532">
        <v>1770</v>
      </c>
      <c r="N29" s="532">
        <v>1770</v>
      </c>
      <c r="O29" s="532">
        <v>1770</v>
      </c>
      <c r="P29" s="532">
        <v>1770</v>
      </c>
      <c r="Q29" s="498">
        <v>1770</v>
      </c>
      <c r="R29" s="573">
        <f t="shared" si="0"/>
        <v>2.7</v>
      </c>
      <c r="S29" s="256">
        <f t="shared" si="1"/>
        <v>0</v>
      </c>
      <c r="U29" s="43"/>
      <c r="V29" s="43"/>
      <c r="W29" s="43"/>
      <c r="X29" s="364"/>
      <c r="Y29" s="364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3676</v>
      </c>
      <c r="E30" s="92">
        <f t="shared" ref="E30:Q30" si="3">SUM(E28:E29)</f>
        <v>3676</v>
      </c>
      <c r="F30" s="92">
        <f t="shared" si="3"/>
        <v>3617</v>
      </c>
      <c r="G30" s="93">
        <f t="shared" si="3"/>
        <v>3667</v>
      </c>
      <c r="H30" s="93">
        <f t="shared" si="3"/>
        <v>3667</v>
      </c>
      <c r="I30" s="94">
        <f t="shared" si="3"/>
        <v>3694</v>
      </c>
      <c r="J30" s="94">
        <f t="shared" si="3"/>
        <v>3724</v>
      </c>
      <c r="K30" s="96">
        <f t="shared" si="3"/>
        <v>4040</v>
      </c>
      <c r="L30" s="95">
        <f t="shared" si="3"/>
        <v>4040</v>
      </c>
      <c r="M30" s="93">
        <f t="shared" si="3"/>
        <v>4650</v>
      </c>
      <c r="N30" s="93">
        <f t="shared" si="3"/>
        <v>6100</v>
      </c>
      <c r="O30" s="93">
        <f t="shared" si="3"/>
        <v>6230</v>
      </c>
      <c r="P30" s="93">
        <f t="shared" si="3"/>
        <v>6230</v>
      </c>
      <c r="Q30" s="96">
        <f t="shared" si="3"/>
        <v>6230</v>
      </c>
      <c r="R30" s="574">
        <f t="shared" si="0"/>
        <v>1.4</v>
      </c>
      <c r="S30" s="510">
        <f t="shared" si="1"/>
        <v>9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375</v>
      </c>
      <c r="E31" s="525">
        <v>375</v>
      </c>
      <c r="F31" s="530">
        <v>375</v>
      </c>
      <c r="G31" s="531">
        <v>375</v>
      </c>
      <c r="H31" s="526">
        <v>375</v>
      </c>
      <c r="I31" s="497">
        <v>375</v>
      </c>
      <c r="J31" s="497">
        <v>375</v>
      </c>
      <c r="K31" s="498">
        <v>495</v>
      </c>
      <c r="L31" s="533">
        <v>495</v>
      </c>
      <c r="M31" s="534">
        <v>495</v>
      </c>
      <c r="N31" s="534">
        <v>495</v>
      </c>
      <c r="O31" s="534">
        <v>495</v>
      </c>
      <c r="P31" s="534">
        <v>495</v>
      </c>
      <c r="Q31" s="535">
        <v>495</v>
      </c>
      <c r="R31" s="573">
        <f t="shared" si="0"/>
        <v>4</v>
      </c>
      <c r="S31" s="256">
        <f t="shared" si="1"/>
        <v>0</v>
      </c>
      <c r="U31" s="43"/>
      <c r="V31" s="43"/>
      <c r="W31" s="43"/>
      <c r="X31" s="364"/>
      <c r="Y31" s="364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295</v>
      </c>
      <c r="E32" s="525">
        <v>295</v>
      </c>
      <c r="F32" s="530">
        <v>295</v>
      </c>
      <c r="G32" s="531">
        <v>295</v>
      </c>
      <c r="H32" s="526">
        <v>295</v>
      </c>
      <c r="I32" s="497">
        <v>295</v>
      </c>
      <c r="J32" s="497">
        <v>295</v>
      </c>
      <c r="K32" s="502">
        <v>295</v>
      </c>
      <c r="L32" s="503">
        <v>295</v>
      </c>
      <c r="M32" s="496">
        <v>295</v>
      </c>
      <c r="N32" s="496">
        <v>295</v>
      </c>
      <c r="O32" s="496">
        <v>295</v>
      </c>
      <c r="P32" s="497">
        <v>295</v>
      </c>
      <c r="Q32" s="502">
        <v>295</v>
      </c>
      <c r="R32" s="573">
        <f t="shared" si="0"/>
        <v>0</v>
      </c>
      <c r="S32" s="256">
        <f t="shared" si="1"/>
        <v>0</v>
      </c>
      <c r="U32" s="43"/>
      <c r="V32" s="43"/>
      <c r="W32" s="43"/>
      <c r="X32" s="364"/>
      <c r="Y32" s="364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84</v>
      </c>
      <c r="E33" s="525">
        <v>84</v>
      </c>
      <c r="F33" s="530">
        <v>84</v>
      </c>
      <c r="G33" s="531">
        <v>84</v>
      </c>
      <c r="H33" s="526">
        <v>84</v>
      </c>
      <c r="I33" s="497">
        <v>84</v>
      </c>
      <c r="J33" s="497">
        <v>84</v>
      </c>
      <c r="K33" s="536">
        <v>84</v>
      </c>
      <c r="L33" s="537">
        <v>84</v>
      </c>
      <c r="M33" s="538">
        <v>84</v>
      </c>
      <c r="N33" s="538">
        <v>84</v>
      </c>
      <c r="O33" s="538">
        <v>84</v>
      </c>
      <c r="P33" s="515">
        <v>84</v>
      </c>
      <c r="Q33" s="502">
        <v>84</v>
      </c>
      <c r="R33" s="573">
        <f t="shared" si="0"/>
        <v>0</v>
      </c>
      <c r="S33" s="256">
        <f t="shared" si="1"/>
        <v>0</v>
      </c>
      <c r="U33" s="43"/>
      <c r="V33" s="43"/>
      <c r="W33" s="43"/>
      <c r="X33" s="363"/>
      <c r="Y33" s="36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754</v>
      </c>
      <c r="E34" s="539">
        <f t="shared" ref="E34:Q34" si="4">SUM(E31:E33)</f>
        <v>754</v>
      </c>
      <c r="F34" s="539">
        <f t="shared" si="4"/>
        <v>754</v>
      </c>
      <c r="G34" s="100">
        <f t="shared" si="4"/>
        <v>754</v>
      </c>
      <c r="H34" s="100">
        <f t="shared" si="4"/>
        <v>754</v>
      </c>
      <c r="I34" s="100">
        <f t="shared" si="4"/>
        <v>754</v>
      </c>
      <c r="J34" s="101">
        <f t="shared" si="4"/>
        <v>754</v>
      </c>
      <c r="K34" s="104">
        <f t="shared" si="4"/>
        <v>874</v>
      </c>
      <c r="L34" s="540">
        <f t="shared" si="4"/>
        <v>874</v>
      </c>
      <c r="M34" s="100">
        <f t="shared" si="4"/>
        <v>874</v>
      </c>
      <c r="N34" s="100">
        <f t="shared" si="4"/>
        <v>874</v>
      </c>
      <c r="O34" s="100">
        <f t="shared" si="4"/>
        <v>874</v>
      </c>
      <c r="P34" s="100">
        <f t="shared" si="4"/>
        <v>874</v>
      </c>
      <c r="Q34" s="103">
        <f t="shared" si="4"/>
        <v>874</v>
      </c>
      <c r="R34" s="576">
        <f t="shared" si="0"/>
        <v>2.1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26446</v>
      </c>
      <c r="E35" s="543">
        <f t="shared" ref="E35:Q35" si="5">E19+E20+E22+E24+E26+E27+E30+E34</f>
        <v>27201</v>
      </c>
      <c r="F35" s="543">
        <f t="shared" si="5"/>
        <v>27282</v>
      </c>
      <c r="G35" s="544">
        <f t="shared" si="5"/>
        <v>28430</v>
      </c>
      <c r="H35" s="544">
        <f t="shared" si="5"/>
        <v>29640.799999999999</v>
      </c>
      <c r="I35" s="544">
        <f t="shared" si="5"/>
        <v>30684.799999999999</v>
      </c>
      <c r="J35" s="545">
        <f t="shared" si="5"/>
        <v>33396.800000000003</v>
      </c>
      <c r="K35" s="546">
        <f t="shared" si="5"/>
        <v>34234.6</v>
      </c>
      <c r="L35" s="547">
        <f t="shared" si="5"/>
        <v>36862.6</v>
      </c>
      <c r="M35" s="544">
        <f t="shared" si="5"/>
        <v>40542.6</v>
      </c>
      <c r="N35" s="544">
        <f t="shared" si="5"/>
        <v>45062.6</v>
      </c>
      <c r="O35" s="544">
        <f t="shared" si="5"/>
        <v>46292.6</v>
      </c>
      <c r="P35" s="544">
        <f t="shared" si="5"/>
        <v>47892.6</v>
      </c>
      <c r="Q35" s="577">
        <f t="shared" si="5"/>
        <v>49332.6</v>
      </c>
      <c r="R35" s="578">
        <f t="shared" si="0"/>
        <v>3.8</v>
      </c>
      <c r="S35" s="549">
        <f t="shared" si="1"/>
        <v>6</v>
      </c>
    </row>
    <row r="36" spans="1:33" ht="15" customHeight="1">
      <c r="A36" s="613" t="s">
        <v>324</v>
      </c>
      <c r="B36" s="666" t="s">
        <v>433</v>
      </c>
      <c r="C36" s="667"/>
      <c r="D36" s="487">
        <v>1153</v>
      </c>
      <c r="E36" s="488">
        <v>1151</v>
      </c>
      <c r="F36" s="489">
        <v>1167</v>
      </c>
      <c r="G36" s="489">
        <v>1168</v>
      </c>
      <c r="H36" s="488">
        <v>1180</v>
      </c>
      <c r="I36" s="489">
        <v>1179</v>
      </c>
      <c r="J36" s="550">
        <v>1222</v>
      </c>
      <c r="K36" s="490">
        <v>1244</v>
      </c>
      <c r="L36" s="491">
        <v>1240</v>
      </c>
      <c r="M36" s="492">
        <v>1240</v>
      </c>
      <c r="N36" s="492">
        <v>1240</v>
      </c>
      <c r="O36" s="492">
        <v>1250</v>
      </c>
      <c r="P36" s="493">
        <v>1250</v>
      </c>
      <c r="Q36" s="498">
        <v>1250</v>
      </c>
      <c r="R36" s="573">
        <f t="shared" si="0"/>
        <v>1.1000000000000001</v>
      </c>
      <c r="S36" s="256">
        <f t="shared" si="1"/>
        <v>0.2</v>
      </c>
      <c r="U36" s="43"/>
      <c r="V36" s="43"/>
      <c r="W36" s="43"/>
      <c r="X36" s="43"/>
      <c r="Y36" s="43"/>
      <c r="Z36" s="43"/>
      <c r="AA36" s="318"/>
      <c r="AB36" s="318"/>
      <c r="AC36" s="318"/>
      <c r="AD36" s="318"/>
      <c r="AE36" s="318"/>
      <c r="AF36" s="318"/>
      <c r="AG36" s="318"/>
    </row>
    <row r="37" spans="1:33" ht="15" customHeight="1">
      <c r="A37" s="614" t="s">
        <v>325</v>
      </c>
      <c r="B37" s="668" t="s">
        <v>434</v>
      </c>
      <c r="C37" s="669"/>
      <c r="D37" s="495">
        <v>2139</v>
      </c>
      <c r="E37" s="496">
        <v>1994</v>
      </c>
      <c r="F37" s="497">
        <v>1990</v>
      </c>
      <c r="G37" s="497">
        <v>2112</v>
      </c>
      <c r="H37" s="496">
        <v>2298</v>
      </c>
      <c r="I37" s="497">
        <v>2349</v>
      </c>
      <c r="J37" s="551">
        <v>2358</v>
      </c>
      <c r="K37" s="498">
        <v>2367</v>
      </c>
      <c r="L37" s="499">
        <v>2350</v>
      </c>
      <c r="M37" s="500">
        <v>2350</v>
      </c>
      <c r="N37" s="500">
        <v>2350</v>
      </c>
      <c r="O37" s="500">
        <v>2400</v>
      </c>
      <c r="P37" s="501">
        <v>2400</v>
      </c>
      <c r="Q37" s="498">
        <v>2400</v>
      </c>
      <c r="R37" s="573">
        <f t="shared" si="0"/>
        <v>1.5</v>
      </c>
      <c r="S37" s="256">
        <f t="shared" si="1"/>
        <v>0.4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828</v>
      </c>
      <c r="E38" s="496">
        <v>828.4</v>
      </c>
      <c r="F38" s="497">
        <v>791.4</v>
      </c>
      <c r="G38" s="497">
        <v>854.56</v>
      </c>
      <c r="H38" s="496">
        <v>674.29041095890409</v>
      </c>
      <c r="I38" s="497">
        <v>769.02499999999998</v>
      </c>
      <c r="J38" s="497">
        <v>463</v>
      </c>
      <c r="K38" s="502">
        <v>872</v>
      </c>
      <c r="L38" s="503">
        <v>817</v>
      </c>
      <c r="M38" s="496">
        <v>760</v>
      </c>
      <c r="N38" s="496">
        <v>828</v>
      </c>
      <c r="O38" s="496">
        <v>828</v>
      </c>
      <c r="P38" s="279">
        <v>828</v>
      </c>
      <c r="Q38" s="502">
        <v>817</v>
      </c>
      <c r="R38" s="573">
        <f t="shared" si="0"/>
        <v>0.7</v>
      </c>
      <c r="S38" s="256">
        <f t="shared" si="1"/>
        <v>0</v>
      </c>
      <c r="U38" s="329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2568</v>
      </c>
      <c r="E39" s="496">
        <v>2927</v>
      </c>
      <c r="F39" s="497">
        <v>2898</v>
      </c>
      <c r="G39" s="497">
        <v>3488</v>
      </c>
      <c r="H39" s="496">
        <v>3510</v>
      </c>
      <c r="I39" s="497">
        <v>4330</v>
      </c>
      <c r="J39" s="497">
        <v>5130</v>
      </c>
      <c r="K39" s="502">
        <v>6278</v>
      </c>
      <c r="L39" s="503">
        <v>8000</v>
      </c>
      <c r="M39" s="496">
        <v>9260</v>
      </c>
      <c r="N39" s="496">
        <v>10060</v>
      </c>
      <c r="O39" s="496">
        <v>11260</v>
      </c>
      <c r="P39" s="279">
        <v>12685</v>
      </c>
      <c r="Q39" s="502">
        <v>13830</v>
      </c>
      <c r="R39" s="573">
        <f t="shared" si="0"/>
        <v>13.6</v>
      </c>
      <c r="S39" s="256">
        <f t="shared" si="1"/>
        <v>11.6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310</v>
      </c>
      <c r="E40" s="496">
        <v>285</v>
      </c>
      <c r="F40" s="497">
        <v>357</v>
      </c>
      <c r="G40" s="497">
        <v>357</v>
      </c>
      <c r="H40" s="496">
        <v>357</v>
      </c>
      <c r="I40" s="497">
        <v>366.26617740000006</v>
      </c>
      <c r="J40" s="497">
        <v>372.66399999999999</v>
      </c>
      <c r="K40" s="502">
        <v>393</v>
      </c>
      <c r="L40" s="503">
        <v>410</v>
      </c>
      <c r="M40" s="496">
        <v>410</v>
      </c>
      <c r="N40" s="496">
        <v>410</v>
      </c>
      <c r="O40" s="496">
        <v>410</v>
      </c>
      <c r="P40" s="279">
        <v>410</v>
      </c>
      <c r="Q40" s="502">
        <v>410</v>
      </c>
      <c r="R40" s="573">
        <f t="shared" si="0"/>
        <v>3.4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104.94</v>
      </c>
      <c r="E41" s="496">
        <v>137</v>
      </c>
      <c r="F41" s="497">
        <v>198</v>
      </c>
      <c r="G41" s="497">
        <v>198</v>
      </c>
      <c r="H41" s="496">
        <v>110</v>
      </c>
      <c r="I41" s="497">
        <v>198</v>
      </c>
      <c r="J41" s="497">
        <v>198</v>
      </c>
      <c r="K41" s="502">
        <v>198</v>
      </c>
      <c r="L41" s="503">
        <v>198</v>
      </c>
      <c r="M41" s="496">
        <v>198</v>
      </c>
      <c r="N41" s="496">
        <v>198</v>
      </c>
      <c r="O41" s="496">
        <v>400</v>
      </c>
      <c r="P41" s="279">
        <v>400</v>
      </c>
      <c r="Q41" s="502">
        <v>400</v>
      </c>
      <c r="R41" s="573">
        <f t="shared" si="0"/>
        <v>9.5</v>
      </c>
      <c r="S41" s="256">
        <f t="shared" si="1"/>
        <v>15.1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840</v>
      </c>
      <c r="E42" s="49">
        <v>989</v>
      </c>
      <c r="F42" s="45">
        <v>1033</v>
      </c>
      <c r="G42" s="49">
        <v>1040</v>
      </c>
      <c r="H42" s="49">
        <v>1138</v>
      </c>
      <c r="I42" s="45">
        <v>1620</v>
      </c>
      <c r="J42" s="49">
        <v>1159</v>
      </c>
      <c r="K42" s="50">
        <v>1300</v>
      </c>
      <c r="L42" s="504">
        <v>1800</v>
      </c>
      <c r="M42" s="45">
        <v>2000</v>
      </c>
      <c r="N42" s="45">
        <v>2200</v>
      </c>
      <c r="O42" s="45">
        <v>2200</v>
      </c>
      <c r="P42" s="49">
        <v>2300</v>
      </c>
      <c r="Q42" s="50">
        <v>2300</v>
      </c>
      <c r="R42" s="573">
        <f t="shared" si="0"/>
        <v>6.4</v>
      </c>
      <c r="S42" s="256">
        <f t="shared" si="1"/>
        <v>5</v>
      </c>
      <c r="U42" s="43"/>
      <c r="V42" s="280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337</v>
      </c>
      <c r="E45" s="496">
        <v>349.9297270324513</v>
      </c>
      <c r="F45" s="497">
        <v>350</v>
      </c>
      <c r="G45" s="497">
        <v>350</v>
      </c>
      <c r="H45" s="496">
        <v>350</v>
      </c>
      <c r="I45" s="497">
        <v>350</v>
      </c>
      <c r="J45" s="497">
        <v>350</v>
      </c>
      <c r="K45" s="502">
        <v>350</v>
      </c>
      <c r="L45" s="503">
        <v>350</v>
      </c>
      <c r="M45" s="496">
        <v>350</v>
      </c>
      <c r="N45" s="496">
        <v>886.83333333333337</v>
      </c>
      <c r="O45" s="496">
        <v>960.49999999999989</v>
      </c>
      <c r="P45" s="279">
        <v>1004.4166666666665</v>
      </c>
      <c r="Q45" s="502">
        <v>1066.7499999999998</v>
      </c>
      <c r="R45" s="573">
        <f t="shared" si="0"/>
        <v>0.5</v>
      </c>
      <c r="S45" s="256">
        <f t="shared" si="1"/>
        <v>25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595.9</v>
      </c>
      <c r="E47" s="496">
        <v>581.29999999999995</v>
      </c>
      <c r="F47" s="497">
        <v>639.1</v>
      </c>
      <c r="G47" s="497">
        <v>720.3</v>
      </c>
      <c r="H47" s="496">
        <v>664.2</v>
      </c>
      <c r="I47" s="497">
        <v>727.3</v>
      </c>
      <c r="J47" s="497">
        <v>632.29999999999995</v>
      </c>
      <c r="K47" s="502">
        <v>715.4</v>
      </c>
      <c r="L47" s="503">
        <v>641.9</v>
      </c>
      <c r="M47" s="496">
        <v>681</v>
      </c>
      <c r="N47" s="496">
        <v>624</v>
      </c>
      <c r="O47" s="496">
        <v>678</v>
      </c>
      <c r="P47" s="497">
        <v>622</v>
      </c>
      <c r="Q47" s="502">
        <v>675</v>
      </c>
      <c r="R47" s="573">
        <f t="shared" si="0"/>
        <v>2.6</v>
      </c>
      <c r="S47" s="256">
        <f t="shared" si="1"/>
        <v>1</v>
      </c>
      <c r="U47" s="43"/>
      <c r="V47" s="43"/>
      <c r="W47" s="43"/>
      <c r="X47" s="365"/>
      <c r="Y47" s="365"/>
      <c r="Z47" s="365"/>
      <c r="AA47" s="365"/>
      <c r="AB47" s="365"/>
      <c r="AC47" s="365"/>
      <c r="AD47" s="365"/>
      <c r="AE47" s="365"/>
      <c r="AF47" s="365"/>
      <c r="AG47" s="365"/>
    </row>
    <row r="48" spans="1:33" ht="15.75" customHeight="1">
      <c r="A48" s="16"/>
      <c r="B48" s="674" t="s">
        <v>307</v>
      </c>
      <c r="C48" s="675"/>
      <c r="D48" s="95">
        <f>SUM(D36:D47)</f>
        <v>8875.8399999999983</v>
      </c>
      <c r="E48" s="93">
        <f t="shared" ref="E48:Q48" si="6">SUM(E36:E47)</f>
        <v>9242.6297270324503</v>
      </c>
      <c r="F48" s="93">
        <f t="shared" si="6"/>
        <v>9423.5</v>
      </c>
      <c r="G48" s="93">
        <f t="shared" si="6"/>
        <v>10287.859999999999</v>
      </c>
      <c r="H48" s="93">
        <f t="shared" si="6"/>
        <v>10281.490410958904</v>
      </c>
      <c r="I48" s="93">
        <f t="shared" si="6"/>
        <v>11888.5911774</v>
      </c>
      <c r="J48" s="93">
        <f t="shared" si="6"/>
        <v>11884.964</v>
      </c>
      <c r="K48" s="96">
        <f t="shared" si="6"/>
        <v>13717.4</v>
      </c>
      <c r="L48" s="95">
        <f t="shared" si="6"/>
        <v>15806.9</v>
      </c>
      <c r="M48" s="93">
        <f t="shared" si="6"/>
        <v>17249</v>
      </c>
      <c r="N48" s="93">
        <f t="shared" si="6"/>
        <v>18796.833333333332</v>
      </c>
      <c r="O48" s="93">
        <f t="shared" si="6"/>
        <v>20386.5</v>
      </c>
      <c r="P48" s="93">
        <f t="shared" si="6"/>
        <v>21899.416666666668</v>
      </c>
      <c r="Q48" s="96">
        <f t="shared" si="6"/>
        <v>23148.75</v>
      </c>
      <c r="R48" s="574">
        <f t="shared" si="0"/>
        <v>6.4</v>
      </c>
      <c r="S48" s="510">
        <f t="shared" si="1"/>
        <v>7.9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1.823</v>
      </c>
      <c r="E49" s="512">
        <v>0.59099999999999997</v>
      </c>
      <c r="F49" s="512">
        <v>0</v>
      </c>
      <c r="G49" s="512">
        <v>5</v>
      </c>
      <c r="H49" s="512">
        <v>6</v>
      </c>
      <c r="I49" s="512">
        <v>6</v>
      </c>
      <c r="J49" s="513">
        <v>6</v>
      </c>
      <c r="K49" s="514">
        <v>6</v>
      </c>
      <c r="L49" s="511">
        <v>6</v>
      </c>
      <c r="M49" s="512">
        <v>6</v>
      </c>
      <c r="N49" s="512">
        <v>6</v>
      </c>
      <c r="O49" s="512">
        <v>6</v>
      </c>
      <c r="P49" s="513">
        <v>6</v>
      </c>
      <c r="Q49" s="514">
        <v>6</v>
      </c>
      <c r="R49" s="574">
        <f t="shared" si="0"/>
        <v>18.600000000000001</v>
      </c>
      <c r="S49" s="510">
        <f t="shared" si="1"/>
        <v>0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1.823</v>
      </c>
      <c r="E50" s="512">
        <v>0.59099999999999997</v>
      </c>
      <c r="F50" s="512">
        <v>0</v>
      </c>
      <c r="G50" s="512">
        <v>5</v>
      </c>
      <c r="H50" s="512">
        <v>6</v>
      </c>
      <c r="I50" s="512">
        <v>6</v>
      </c>
      <c r="J50" s="513">
        <v>6</v>
      </c>
      <c r="K50" s="514">
        <v>6</v>
      </c>
      <c r="L50" s="511">
        <v>6</v>
      </c>
      <c r="M50" s="512">
        <v>6</v>
      </c>
      <c r="N50" s="512">
        <v>6</v>
      </c>
      <c r="O50" s="512">
        <v>6</v>
      </c>
      <c r="P50" s="513">
        <v>6</v>
      </c>
      <c r="Q50" s="514">
        <v>6</v>
      </c>
      <c r="R50" s="574">
        <f t="shared" si="0"/>
        <v>18.600000000000001</v>
      </c>
      <c r="S50" s="510">
        <f t="shared" si="1"/>
        <v>0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1006.711</v>
      </c>
      <c r="E51" s="512">
        <v>940.31</v>
      </c>
      <c r="F51" s="512">
        <v>970.87199999999996</v>
      </c>
      <c r="G51" s="512">
        <v>1061.086</v>
      </c>
      <c r="H51" s="512">
        <v>1003.355</v>
      </c>
      <c r="I51" s="512">
        <v>1085.74</v>
      </c>
      <c r="J51" s="513">
        <v>1196.2470000000001</v>
      </c>
      <c r="K51" s="514">
        <v>1186.5899999999999</v>
      </c>
      <c r="L51" s="511">
        <v>1194.5440000000001</v>
      </c>
      <c r="M51" s="512">
        <v>1125.373</v>
      </c>
      <c r="N51" s="512">
        <v>1145.0239999999999</v>
      </c>
      <c r="O51" s="512">
        <v>1180.6610000000001</v>
      </c>
      <c r="P51" s="513">
        <v>1155.095</v>
      </c>
      <c r="Q51" s="514">
        <v>1141.0360000000001</v>
      </c>
      <c r="R51" s="574">
        <f t="shared" si="0"/>
        <v>2.4</v>
      </c>
      <c r="S51" s="510">
        <f t="shared" si="1"/>
        <v>-0.9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918.86400000000003</v>
      </c>
      <c r="E52" s="512">
        <v>876.24</v>
      </c>
      <c r="F52" s="512">
        <v>908.77</v>
      </c>
      <c r="G52" s="512">
        <v>1001.381</v>
      </c>
      <c r="H52" s="512">
        <v>957.13</v>
      </c>
      <c r="I52" s="512">
        <v>1035.4470000000001</v>
      </c>
      <c r="J52" s="513">
        <v>1146.5260000000001</v>
      </c>
      <c r="K52" s="514">
        <v>1109.5119999999999</v>
      </c>
      <c r="L52" s="511">
        <v>1128.4270000000001</v>
      </c>
      <c r="M52" s="512">
        <v>1052.914</v>
      </c>
      <c r="N52" s="512">
        <v>1059.8309999999999</v>
      </c>
      <c r="O52" s="512">
        <v>1089.8290000000002</v>
      </c>
      <c r="P52" s="513">
        <v>1066.4829999999999</v>
      </c>
      <c r="Q52" s="514">
        <v>1050.0810000000001</v>
      </c>
      <c r="R52" s="574">
        <f t="shared" si="0"/>
        <v>2.7</v>
      </c>
      <c r="S52" s="510">
        <f t="shared" si="1"/>
        <v>-1.4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6958</v>
      </c>
      <c r="E53" s="496">
        <v>7254</v>
      </c>
      <c r="F53" s="496">
        <v>7985</v>
      </c>
      <c r="G53" s="496">
        <v>8005</v>
      </c>
      <c r="H53" s="496">
        <v>8193.75</v>
      </c>
      <c r="I53" s="496">
        <v>8550</v>
      </c>
      <c r="J53" s="497">
        <v>8750</v>
      </c>
      <c r="K53" s="502">
        <v>8760</v>
      </c>
      <c r="L53" s="503">
        <v>8770</v>
      </c>
      <c r="M53" s="496">
        <v>8920</v>
      </c>
      <c r="N53" s="496">
        <v>8980</v>
      </c>
      <c r="O53" s="496">
        <v>9105</v>
      </c>
      <c r="P53" s="497">
        <v>9420</v>
      </c>
      <c r="Q53" s="502">
        <v>9580</v>
      </c>
      <c r="R53" s="573">
        <f t="shared" si="0"/>
        <v>3.3</v>
      </c>
      <c r="S53" s="256">
        <f t="shared" si="1"/>
        <v>1.8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6308</v>
      </c>
      <c r="F54" s="518">
        <v>6325</v>
      </c>
      <c r="G54" s="518">
        <v>6388</v>
      </c>
      <c r="H54" s="518">
        <v>6410</v>
      </c>
      <c r="I54" s="518">
        <v>6300</v>
      </c>
      <c r="J54" s="519">
        <v>6750</v>
      </c>
      <c r="K54" s="514">
        <v>6765</v>
      </c>
      <c r="L54" s="511">
        <v>6770</v>
      </c>
      <c r="M54" s="518">
        <v>6820</v>
      </c>
      <c r="N54" s="518">
        <v>6840</v>
      </c>
      <c r="O54" s="518">
        <v>6860</v>
      </c>
      <c r="P54" s="519">
        <v>7160</v>
      </c>
      <c r="Q54" s="514">
        <v>7260</v>
      </c>
      <c r="R54" s="574" t="str">
        <f t="shared" si="0"/>
        <v xml:space="preserve">     -</v>
      </c>
      <c r="S54" s="510">
        <f t="shared" si="1"/>
        <v>1.4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0</v>
      </c>
      <c r="E55" s="518">
        <v>0</v>
      </c>
      <c r="F55" s="518">
        <v>0</v>
      </c>
      <c r="G55" s="518">
        <v>0</v>
      </c>
      <c r="H55" s="518">
        <v>0</v>
      </c>
      <c r="I55" s="518">
        <v>0</v>
      </c>
      <c r="J55" s="519">
        <v>0</v>
      </c>
      <c r="K55" s="514">
        <v>0</v>
      </c>
      <c r="L55" s="511">
        <v>0</v>
      </c>
      <c r="M55" s="518">
        <v>0</v>
      </c>
      <c r="N55" s="518">
        <v>0</v>
      </c>
      <c r="O55" s="518">
        <v>0</v>
      </c>
      <c r="P55" s="519">
        <v>0</v>
      </c>
      <c r="Q55" s="514">
        <v>0</v>
      </c>
      <c r="R55" s="574" t="str">
        <f t="shared" si="0"/>
        <v xml:space="preserve">     -</v>
      </c>
      <c r="S55" s="510" t="str">
        <f t="shared" si="1"/>
        <v xml:space="preserve">     -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341</v>
      </c>
      <c r="E56" s="521">
        <v>191</v>
      </c>
      <c r="F56" s="521">
        <v>197.494</v>
      </c>
      <c r="G56" s="521">
        <v>200.06142199999999</v>
      </c>
      <c r="H56" s="521">
        <v>309</v>
      </c>
      <c r="I56" s="521">
        <v>303</v>
      </c>
      <c r="J56" s="522">
        <v>300.87900000000002</v>
      </c>
      <c r="K56" s="523">
        <v>306.89658000000003</v>
      </c>
      <c r="L56" s="520">
        <v>311.80692528000003</v>
      </c>
      <c r="M56" s="521">
        <v>315.86041530863997</v>
      </c>
      <c r="N56" s="521">
        <v>320.59832153826954</v>
      </c>
      <c r="O56" s="521">
        <v>325.40729636134358</v>
      </c>
      <c r="P56" s="522">
        <v>330.28840580676371</v>
      </c>
      <c r="Q56" s="523">
        <v>335.24273189386514</v>
      </c>
      <c r="R56" s="574">
        <f t="shared" si="0"/>
        <v>-1.5</v>
      </c>
      <c r="S56" s="510">
        <f t="shared" si="1"/>
        <v>1.5</v>
      </c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" customHeight="1">
      <c r="A57" s="16"/>
      <c r="B57" s="672" t="s">
        <v>316</v>
      </c>
      <c r="C57" s="673"/>
      <c r="D57" s="596">
        <v>1600</v>
      </c>
      <c r="E57" s="597">
        <v>1990</v>
      </c>
      <c r="F57" s="598">
        <v>1950</v>
      </c>
      <c r="G57" s="599">
        <v>1950</v>
      </c>
      <c r="H57" s="600">
        <v>1950</v>
      </c>
      <c r="I57" s="599">
        <v>1975</v>
      </c>
      <c r="J57" s="594">
        <v>1975</v>
      </c>
      <c r="K57" s="592">
        <v>2043</v>
      </c>
      <c r="L57" s="589">
        <v>2043</v>
      </c>
      <c r="M57" s="601">
        <v>2592</v>
      </c>
      <c r="N57" s="601">
        <v>3897</v>
      </c>
      <c r="O57" s="601">
        <v>4014</v>
      </c>
      <c r="P57" s="601">
        <v>4014</v>
      </c>
      <c r="Q57" s="595">
        <v>4014</v>
      </c>
      <c r="R57" s="573">
        <f t="shared" si="0"/>
        <v>3.6</v>
      </c>
      <c r="S57" s="256">
        <f t="shared" si="1"/>
        <v>14.5</v>
      </c>
      <c r="U57" s="280"/>
      <c r="V57" s="280"/>
      <c r="W57" s="280"/>
      <c r="X57" s="281"/>
      <c r="Y57" s="281"/>
      <c r="Z57" s="281"/>
      <c r="AA57" s="420"/>
      <c r="AB57" s="281"/>
      <c r="AC57" s="281"/>
      <c r="AD57" s="364"/>
      <c r="AE57" s="364"/>
      <c r="AF57" s="364"/>
      <c r="AG57" s="364"/>
    </row>
    <row r="58" spans="1:33" ht="15" customHeight="1">
      <c r="A58" s="16"/>
      <c r="B58" s="670" t="s">
        <v>317</v>
      </c>
      <c r="C58" s="671"/>
      <c r="D58" s="553">
        <v>1072</v>
      </c>
      <c r="E58" s="526">
        <v>1106</v>
      </c>
      <c r="F58" s="530">
        <v>1330</v>
      </c>
      <c r="G58" s="497">
        <v>1350</v>
      </c>
      <c r="H58" s="496">
        <v>1350</v>
      </c>
      <c r="I58" s="497">
        <v>1350</v>
      </c>
      <c r="J58" s="551">
        <v>1350</v>
      </c>
      <c r="K58" s="498">
        <v>1505</v>
      </c>
      <c r="L58" s="499">
        <v>1505</v>
      </c>
      <c r="M58" s="532">
        <v>1505</v>
      </c>
      <c r="N58" s="532">
        <v>1505</v>
      </c>
      <c r="O58" s="532">
        <v>1505</v>
      </c>
      <c r="P58" s="532">
        <v>1505</v>
      </c>
      <c r="Q58" s="602">
        <v>1505</v>
      </c>
      <c r="R58" s="573">
        <f t="shared" si="0"/>
        <v>5</v>
      </c>
      <c r="S58" s="256">
        <f t="shared" si="1"/>
        <v>0</v>
      </c>
      <c r="U58" s="280"/>
      <c r="V58" s="280"/>
      <c r="W58" s="280"/>
      <c r="X58" s="281"/>
      <c r="Y58" s="281"/>
      <c r="Z58" s="281"/>
      <c r="AA58" s="420"/>
      <c r="AB58" s="281"/>
      <c r="AC58" s="281"/>
      <c r="AD58" s="364"/>
      <c r="AE58" s="364"/>
      <c r="AF58" s="364"/>
      <c r="AG58" s="364"/>
    </row>
    <row r="59" spans="1:33" ht="15.75" customHeight="1">
      <c r="A59" s="16"/>
      <c r="B59" s="674" t="s">
        <v>318</v>
      </c>
      <c r="C59" s="675"/>
      <c r="D59" s="95">
        <f>SUM(D57:D58)</f>
        <v>2672</v>
      </c>
      <c r="E59" s="92">
        <f t="shared" ref="E59:Q59" si="7">SUM(E57:E58)</f>
        <v>3096</v>
      </c>
      <c r="F59" s="92">
        <f t="shared" si="7"/>
        <v>3280</v>
      </c>
      <c r="G59" s="556">
        <f t="shared" si="7"/>
        <v>3300</v>
      </c>
      <c r="H59" s="556">
        <f t="shared" si="7"/>
        <v>3300</v>
      </c>
      <c r="I59" s="603">
        <f t="shared" si="7"/>
        <v>3325</v>
      </c>
      <c r="J59" s="603">
        <f t="shared" si="7"/>
        <v>3325</v>
      </c>
      <c r="K59" s="96">
        <f t="shared" si="7"/>
        <v>3548</v>
      </c>
      <c r="L59" s="555">
        <f t="shared" si="7"/>
        <v>3548</v>
      </c>
      <c r="M59" s="556">
        <f t="shared" si="7"/>
        <v>4097</v>
      </c>
      <c r="N59" s="556">
        <f t="shared" si="7"/>
        <v>5402</v>
      </c>
      <c r="O59" s="556">
        <f t="shared" si="7"/>
        <v>5519</v>
      </c>
      <c r="P59" s="556">
        <f t="shared" si="7"/>
        <v>5519</v>
      </c>
      <c r="Q59" s="227">
        <f t="shared" si="7"/>
        <v>5519</v>
      </c>
      <c r="R59" s="574">
        <f t="shared" si="0"/>
        <v>4.0999999999999996</v>
      </c>
      <c r="S59" s="510">
        <f t="shared" si="1"/>
        <v>9.1999999999999993</v>
      </c>
      <c r="U59" s="43"/>
      <c r="V59" s="43"/>
      <c r="W59" s="43"/>
      <c r="X59" s="43"/>
      <c r="Y59" s="43"/>
      <c r="Z59" s="43"/>
      <c r="AA59" s="41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275</v>
      </c>
      <c r="E60" s="526">
        <v>180</v>
      </c>
      <c r="F60" s="530">
        <v>210</v>
      </c>
      <c r="G60" s="497">
        <v>210</v>
      </c>
      <c r="H60" s="496">
        <v>319</v>
      </c>
      <c r="I60" s="497">
        <v>319</v>
      </c>
      <c r="J60" s="551">
        <v>319</v>
      </c>
      <c r="K60" s="498">
        <v>319</v>
      </c>
      <c r="L60" s="533">
        <v>319</v>
      </c>
      <c r="M60" s="534">
        <v>319</v>
      </c>
      <c r="N60" s="534">
        <v>319</v>
      </c>
      <c r="O60" s="534">
        <v>319</v>
      </c>
      <c r="P60" s="534">
        <v>319</v>
      </c>
      <c r="Q60" s="535">
        <v>319</v>
      </c>
      <c r="R60" s="573">
        <f t="shared" si="0"/>
        <v>2.1</v>
      </c>
      <c r="S60" s="256">
        <f t="shared" si="1"/>
        <v>0</v>
      </c>
      <c r="U60" s="280"/>
      <c r="V60" s="280"/>
      <c r="W60" s="280"/>
      <c r="X60" s="281"/>
      <c r="Y60" s="281"/>
      <c r="Z60" s="281"/>
      <c r="AA60" s="420"/>
      <c r="AB60" s="281"/>
      <c r="AC60" s="281"/>
      <c r="AD60" s="364"/>
      <c r="AE60" s="364"/>
      <c r="AF60" s="364"/>
      <c r="AG60" s="364"/>
    </row>
    <row r="61" spans="1:33" ht="15" customHeight="1">
      <c r="A61" s="16"/>
      <c r="B61" s="668" t="s">
        <v>320</v>
      </c>
      <c r="C61" s="669"/>
      <c r="D61" s="553">
        <v>215</v>
      </c>
      <c r="E61" s="526">
        <v>206</v>
      </c>
      <c r="F61" s="530">
        <v>280</v>
      </c>
      <c r="G61" s="497">
        <v>254</v>
      </c>
      <c r="H61" s="496">
        <v>265</v>
      </c>
      <c r="I61" s="497">
        <v>306</v>
      </c>
      <c r="J61" s="497">
        <v>306</v>
      </c>
      <c r="K61" s="502">
        <v>306</v>
      </c>
      <c r="L61" s="503">
        <v>306</v>
      </c>
      <c r="M61" s="496">
        <v>306</v>
      </c>
      <c r="N61" s="496">
        <v>306</v>
      </c>
      <c r="O61" s="496">
        <v>306</v>
      </c>
      <c r="P61" s="497">
        <v>306</v>
      </c>
      <c r="Q61" s="502">
        <v>306</v>
      </c>
      <c r="R61" s="573">
        <f t="shared" si="0"/>
        <v>5.2</v>
      </c>
      <c r="S61" s="256">
        <f t="shared" si="1"/>
        <v>0</v>
      </c>
      <c r="U61" s="280"/>
      <c r="V61" s="280"/>
      <c r="W61" s="280"/>
      <c r="X61" s="281"/>
      <c r="Y61" s="281"/>
      <c r="Z61" s="281"/>
      <c r="AA61" s="420"/>
      <c r="AB61" s="281"/>
      <c r="AC61" s="281"/>
      <c r="AD61" s="364"/>
      <c r="AE61" s="364"/>
      <c r="AF61" s="364"/>
      <c r="AG61" s="364"/>
    </row>
    <row r="62" spans="1:33" ht="15" customHeight="1">
      <c r="A62" s="16"/>
      <c r="B62" s="670" t="s">
        <v>321</v>
      </c>
      <c r="C62" s="671"/>
      <c r="D62" s="604">
        <v>58</v>
      </c>
      <c r="E62" s="570">
        <v>57</v>
      </c>
      <c r="F62" s="571">
        <v>60</v>
      </c>
      <c r="G62" s="515">
        <v>62</v>
      </c>
      <c r="H62" s="538">
        <v>71</v>
      </c>
      <c r="I62" s="515">
        <v>71</v>
      </c>
      <c r="J62" s="515">
        <v>71</v>
      </c>
      <c r="K62" s="536">
        <v>71</v>
      </c>
      <c r="L62" s="537">
        <v>71</v>
      </c>
      <c r="M62" s="538">
        <v>71</v>
      </c>
      <c r="N62" s="538">
        <v>71</v>
      </c>
      <c r="O62" s="538">
        <v>71</v>
      </c>
      <c r="P62" s="515">
        <v>71</v>
      </c>
      <c r="Q62" s="536">
        <v>71</v>
      </c>
      <c r="R62" s="573">
        <f t="shared" si="0"/>
        <v>2.9</v>
      </c>
      <c r="S62" s="256">
        <f t="shared" si="1"/>
        <v>0</v>
      </c>
      <c r="U62" s="43"/>
      <c r="V62" s="43"/>
      <c r="W62" s="43"/>
      <c r="X62" s="363"/>
      <c r="Y62" s="363"/>
      <c r="Z62" s="363"/>
      <c r="AA62" s="363"/>
      <c r="AB62" s="283"/>
      <c r="AC62" s="363"/>
      <c r="AD62" s="363"/>
      <c r="AE62" s="363"/>
      <c r="AF62" s="363"/>
      <c r="AG62" s="363"/>
    </row>
    <row r="63" spans="1:33" ht="15.75" customHeight="1" thickBot="1">
      <c r="A63" s="16"/>
      <c r="B63" s="678" t="s">
        <v>322</v>
      </c>
      <c r="C63" s="679"/>
      <c r="D63" s="102">
        <f>SUM(D60:D62)</f>
        <v>548</v>
      </c>
      <c r="E63" s="539">
        <f t="shared" ref="E63:Q63" si="8">SUM(E60:E62)</f>
        <v>443</v>
      </c>
      <c r="F63" s="539">
        <f t="shared" si="8"/>
        <v>550</v>
      </c>
      <c r="G63" s="100">
        <f t="shared" si="8"/>
        <v>526</v>
      </c>
      <c r="H63" s="100">
        <f t="shared" si="8"/>
        <v>655</v>
      </c>
      <c r="I63" s="100">
        <f t="shared" si="8"/>
        <v>696</v>
      </c>
      <c r="J63" s="101">
        <f t="shared" si="8"/>
        <v>696</v>
      </c>
      <c r="K63" s="104">
        <f t="shared" si="8"/>
        <v>696</v>
      </c>
      <c r="L63" s="540">
        <f t="shared" si="8"/>
        <v>696</v>
      </c>
      <c r="M63" s="100">
        <f t="shared" si="8"/>
        <v>696</v>
      </c>
      <c r="N63" s="100">
        <f t="shared" si="8"/>
        <v>696</v>
      </c>
      <c r="O63" s="100">
        <f t="shared" si="8"/>
        <v>696</v>
      </c>
      <c r="P63" s="100">
        <f t="shared" si="8"/>
        <v>696</v>
      </c>
      <c r="Q63" s="103">
        <f t="shared" si="8"/>
        <v>696</v>
      </c>
      <c r="R63" s="576">
        <f t="shared" si="0"/>
        <v>3.5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20403.373999999996</v>
      </c>
      <c r="E64" s="543">
        <f t="shared" ref="E64:Q64" si="9">E48+E49+E51+E53+E55+E56+E59+E63</f>
        <v>21167.530727032448</v>
      </c>
      <c r="F64" s="543">
        <f t="shared" si="9"/>
        <v>22406.865999999998</v>
      </c>
      <c r="G64" s="544">
        <f t="shared" si="9"/>
        <v>23385.007421999995</v>
      </c>
      <c r="H64" s="544">
        <f t="shared" si="9"/>
        <v>23748.595410958904</v>
      </c>
      <c r="I64" s="544">
        <f t="shared" si="9"/>
        <v>25854.331177399999</v>
      </c>
      <c r="J64" s="545">
        <f t="shared" si="9"/>
        <v>26159.09</v>
      </c>
      <c r="K64" s="546">
        <f t="shared" si="9"/>
        <v>28220.886579999999</v>
      </c>
      <c r="L64" s="547">
        <f t="shared" si="9"/>
        <v>30333.250925280001</v>
      </c>
      <c r="M64" s="544">
        <f t="shared" si="9"/>
        <v>32409.233415308641</v>
      </c>
      <c r="N64" s="544">
        <f t="shared" si="9"/>
        <v>35346.455654871606</v>
      </c>
      <c r="O64" s="544">
        <f t="shared" si="9"/>
        <v>37218.568296361344</v>
      </c>
      <c r="P64" s="544">
        <f t="shared" si="9"/>
        <v>39025.80007247343</v>
      </c>
      <c r="Q64" s="577">
        <f t="shared" si="9"/>
        <v>40426.028731893864</v>
      </c>
      <c r="R64" s="579">
        <f t="shared" si="0"/>
        <v>4.7</v>
      </c>
      <c r="S64" s="558">
        <f t="shared" si="1"/>
        <v>5.9</v>
      </c>
    </row>
    <row r="65" spans="1:33" ht="15" customHeight="1">
      <c r="A65" s="616" t="s">
        <v>327</v>
      </c>
      <c r="B65" s="666" t="s">
        <v>433</v>
      </c>
      <c r="C65" s="667"/>
      <c r="D65" s="487">
        <v>1158</v>
      </c>
      <c r="E65" s="488">
        <v>1206</v>
      </c>
      <c r="F65" s="489">
        <v>1181</v>
      </c>
      <c r="G65" s="559">
        <v>1166</v>
      </c>
      <c r="H65" s="560">
        <v>1050</v>
      </c>
      <c r="I65" s="559">
        <v>1015</v>
      </c>
      <c r="J65" s="559">
        <v>1017</v>
      </c>
      <c r="K65" s="561">
        <v>1042</v>
      </c>
      <c r="L65" s="562">
        <v>1050</v>
      </c>
      <c r="M65" s="560">
        <v>1050</v>
      </c>
      <c r="N65" s="560">
        <v>1050</v>
      </c>
      <c r="O65" s="560">
        <v>1050</v>
      </c>
      <c r="P65" s="563">
        <v>1050</v>
      </c>
      <c r="Q65" s="561">
        <v>1050</v>
      </c>
      <c r="R65" s="573">
        <f t="shared" si="0"/>
        <v>-1.5</v>
      </c>
      <c r="S65" s="256">
        <f t="shared" si="1"/>
        <v>0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1130</v>
      </c>
      <c r="E66" s="525">
        <v>1039</v>
      </c>
      <c r="F66" s="530">
        <v>980</v>
      </c>
      <c r="G66" s="497">
        <v>1100</v>
      </c>
      <c r="H66" s="496">
        <v>1030</v>
      </c>
      <c r="I66" s="497">
        <v>1103</v>
      </c>
      <c r="J66" s="551">
        <v>1205</v>
      </c>
      <c r="K66" s="498">
        <v>1004</v>
      </c>
      <c r="L66" s="499">
        <v>1150</v>
      </c>
      <c r="M66" s="500">
        <v>1150</v>
      </c>
      <c r="N66" s="500">
        <v>1200</v>
      </c>
      <c r="O66" s="500">
        <v>1250</v>
      </c>
      <c r="P66" s="501">
        <v>1250</v>
      </c>
      <c r="Q66" s="498">
        <v>1250</v>
      </c>
      <c r="R66" s="573">
        <f t="shared" si="0"/>
        <v>-1.7</v>
      </c>
      <c r="S66" s="256">
        <f t="shared" si="1"/>
        <v>1.7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21</v>
      </c>
      <c r="E67" s="496">
        <v>17.229000000000042</v>
      </c>
      <c r="F67" s="497">
        <v>17.452977000000043</v>
      </c>
      <c r="G67" s="497">
        <v>18.116190126000046</v>
      </c>
      <c r="H67" s="496">
        <v>18.641559639654048</v>
      </c>
      <c r="I67" s="497">
        <v>19.01439083244713</v>
      </c>
      <c r="J67" s="497">
        <v>19</v>
      </c>
      <c r="K67" s="502">
        <v>20</v>
      </c>
      <c r="L67" s="503">
        <v>21</v>
      </c>
      <c r="M67" s="496">
        <v>21</v>
      </c>
      <c r="N67" s="496">
        <v>22</v>
      </c>
      <c r="O67" s="496">
        <v>22</v>
      </c>
      <c r="P67" s="497">
        <v>23</v>
      </c>
      <c r="Q67" s="502">
        <v>23</v>
      </c>
      <c r="R67" s="573">
        <f t="shared" si="0"/>
        <v>-0.7</v>
      </c>
      <c r="S67" s="256">
        <f t="shared" si="1"/>
        <v>1.8</v>
      </c>
      <c r="U67" s="329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9117</v>
      </c>
      <c r="E68" s="496">
        <v>10137</v>
      </c>
      <c r="F68" s="497">
        <v>10689</v>
      </c>
      <c r="G68" s="497">
        <v>11653</v>
      </c>
      <c r="H68" s="496">
        <v>12084</v>
      </c>
      <c r="I68" s="497">
        <v>12852</v>
      </c>
      <c r="J68" s="497">
        <v>13056</v>
      </c>
      <c r="K68" s="502">
        <v>15005</v>
      </c>
      <c r="L68" s="503">
        <v>16280</v>
      </c>
      <c r="M68" s="496">
        <v>17468</v>
      </c>
      <c r="N68" s="496">
        <v>18545</v>
      </c>
      <c r="O68" s="496">
        <v>19613</v>
      </c>
      <c r="P68" s="279">
        <v>20812</v>
      </c>
      <c r="Q68" s="502">
        <v>21706</v>
      </c>
      <c r="R68" s="573">
        <f t="shared" si="0"/>
        <v>7.4</v>
      </c>
      <c r="S68" s="256">
        <f t="shared" si="1"/>
        <v>5.9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534</v>
      </c>
      <c r="E69" s="496">
        <v>516</v>
      </c>
      <c r="F69" s="497">
        <v>447</v>
      </c>
      <c r="G69" s="497">
        <v>447</v>
      </c>
      <c r="H69" s="496">
        <v>477.81400000000002</v>
      </c>
      <c r="I69" s="497">
        <v>484.55117740000003</v>
      </c>
      <c r="J69" s="497">
        <v>490</v>
      </c>
      <c r="K69" s="502">
        <v>505</v>
      </c>
      <c r="L69" s="503">
        <v>514</v>
      </c>
      <c r="M69" s="496">
        <v>533.84039999999993</v>
      </c>
      <c r="N69" s="496">
        <v>553.53911075999986</v>
      </c>
      <c r="O69" s="496">
        <v>573.1897491919799</v>
      </c>
      <c r="P69" s="279">
        <v>593.25139041369914</v>
      </c>
      <c r="Q69" s="502">
        <v>614.37113991242688</v>
      </c>
      <c r="R69" s="573">
        <f t="shared" si="0"/>
        <v>-0.8</v>
      </c>
      <c r="S69" s="256">
        <f t="shared" si="1"/>
        <v>3.6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470.68022402249932</v>
      </c>
      <c r="E70" s="496">
        <v>500.80375835993931</v>
      </c>
      <c r="F70" s="497">
        <v>570</v>
      </c>
      <c r="G70" s="497">
        <v>577</v>
      </c>
      <c r="H70" s="496">
        <v>581</v>
      </c>
      <c r="I70" s="497">
        <v>581</v>
      </c>
      <c r="J70" s="497">
        <v>581</v>
      </c>
      <c r="K70" s="502">
        <v>550</v>
      </c>
      <c r="L70" s="503">
        <v>640</v>
      </c>
      <c r="M70" s="496">
        <v>670</v>
      </c>
      <c r="N70" s="496">
        <v>700</v>
      </c>
      <c r="O70" s="496">
        <v>735</v>
      </c>
      <c r="P70" s="279">
        <v>770</v>
      </c>
      <c r="Q70" s="502">
        <v>805</v>
      </c>
      <c r="R70" s="573">
        <f t="shared" si="0"/>
        <v>2.2000000000000002</v>
      </c>
      <c r="S70" s="256">
        <f t="shared" si="1"/>
        <v>4.7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1562</v>
      </c>
      <c r="E71" s="49">
        <v>1561</v>
      </c>
      <c r="F71" s="45">
        <v>1630</v>
      </c>
      <c r="G71" s="49">
        <v>1840</v>
      </c>
      <c r="H71" s="49">
        <v>1838</v>
      </c>
      <c r="I71" s="45">
        <v>2648</v>
      </c>
      <c r="J71" s="49">
        <v>2198</v>
      </c>
      <c r="K71" s="50">
        <v>2300</v>
      </c>
      <c r="L71" s="140">
        <v>2950</v>
      </c>
      <c r="M71" s="45">
        <v>3000</v>
      </c>
      <c r="N71" s="45">
        <v>3100</v>
      </c>
      <c r="O71" s="45">
        <v>3200</v>
      </c>
      <c r="P71" s="45">
        <v>3300</v>
      </c>
      <c r="Q71" s="50">
        <v>3300</v>
      </c>
      <c r="R71" s="573">
        <f t="shared" si="0"/>
        <v>5.7</v>
      </c>
      <c r="S71" s="256">
        <f t="shared" si="1"/>
        <v>2.2999999999999998</v>
      </c>
      <c r="U71" s="43"/>
      <c r="V71" s="280"/>
      <c r="W71" s="43"/>
      <c r="X71" s="43"/>
      <c r="Y71" s="43"/>
      <c r="Z71" s="24"/>
      <c r="AA71" s="24"/>
      <c r="AB71" s="24"/>
      <c r="AC71" s="24"/>
      <c r="AD71" s="24"/>
      <c r="AE71" s="24"/>
      <c r="AF71" s="24"/>
      <c r="AG71" s="24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24"/>
      <c r="AA72" s="24"/>
      <c r="AB72" s="24"/>
      <c r="AC72" s="24"/>
      <c r="AD72" s="24"/>
      <c r="AE72" s="24"/>
      <c r="AF72" s="24"/>
      <c r="AG72" s="24"/>
    </row>
    <row r="73" spans="1:33" ht="15" customHeight="1">
      <c r="A73" s="16"/>
      <c r="B73" s="668" t="s">
        <v>440</v>
      </c>
      <c r="C73" s="669"/>
      <c r="D73" s="140">
        <v>2</v>
      </c>
      <c r="E73" s="49">
        <v>2</v>
      </c>
      <c r="F73" s="45">
        <v>2</v>
      </c>
      <c r="G73" s="49">
        <v>2</v>
      </c>
      <c r="H73" s="49">
        <v>2</v>
      </c>
      <c r="I73" s="45">
        <v>2</v>
      </c>
      <c r="J73" s="49">
        <v>2</v>
      </c>
      <c r="K73" s="50">
        <v>2</v>
      </c>
      <c r="L73" s="140">
        <v>2</v>
      </c>
      <c r="M73" s="45">
        <v>2</v>
      </c>
      <c r="N73" s="45">
        <v>2</v>
      </c>
      <c r="O73" s="45">
        <v>2</v>
      </c>
      <c r="P73" s="45">
        <v>2</v>
      </c>
      <c r="Q73" s="50">
        <v>2</v>
      </c>
      <c r="R73" s="573">
        <f t="shared" si="10"/>
        <v>0</v>
      </c>
      <c r="S73" s="256">
        <f t="shared" si="11"/>
        <v>0</v>
      </c>
      <c r="U73" s="280"/>
      <c r="V73" s="280"/>
      <c r="W73" s="280"/>
      <c r="X73" s="43"/>
      <c r="Y73" s="43"/>
      <c r="Z73" s="24"/>
      <c r="AA73" s="24"/>
      <c r="AB73" s="24"/>
      <c r="AC73" s="24"/>
      <c r="AD73" s="24"/>
      <c r="AE73" s="24"/>
      <c r="AF73" s="24"/>
      <c r="AG73" s="24"/>
    </row>
    <row r="74" spans="1:33" ht="15" customHeight="1">
      <c r="A74" s="16"/>
      <c r="B74" s="668" t="s">
        <v>441</v>
      </c>
      <c r="C74" s="669"/>
      <c r="D74" s="495">
        <v>246.28051490383427</v>
      </c>
      <c r="E74" s="496">
        <v>200</v>
      </c>
      <c r="F74" s="497">
        <v>200</v>
      </c>
      <c r="G74" s="497">
        <v>220</v>
      </c>
      <c r="H74" s="496">
        <v>216.95399999999998</v>
      </c>
      <c r="I74" s="497">
        <v>213.59</v>
      </c>
      <c r="J74" s="497">
        <v>139.691</v>
      </c>
      <c r="K74" s="502">
        <v>245.42499999999998</v>
      </c>
      <c r="L74" s="503">
        <v>245.42499999999998</v>
      </c>
      <c r="M74" s="496">
        <v>245.42499999999998</v>
      </c>
      <c r="N74" s="496">
        <v>245.42499999999998</v>
      </c>
      <c r="O74" s="496">
        <v>245.42499999999998</v>
      </c>
      <c r="P74" s="279">
        <v>245.42499999999998</v>
      </c>
      <c r="Q74" s="502">
        <v>245.42499999999998</v>
      </c>
      <c r="R74" s="573">
        <f t="shared" si="10"/>
        <v>0</v>
      </c>
      <c r="S74" s="256">
        <f t="shared" si="11"/>
        <v>0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117</v>
      </c>
      <c r="E75" s="496">
        <v>125</v>
      </c>
      <c r="F75" s="497">
        <v>185</v>
      </c>
      <c r="G75" s="497">
        <v>198</v>
      </c>
      <c r="H75" s="496">
        <v>211</v>
      </c>
      <c r="I75" s="497">
        <v>225</v>
      </c>
      <c r="J75" s="497">
        <v>103</v>
      </c>
      <c r="K75" s="502">
        <v>187</v>
      </c>
      <c r="L75" s="503">
        <v>198</v>
      </c>
      <c r="M75" s="496">
        <v>210</v>
      </c>
      <c r="N75" s="496">
        <v>223</v>
      </c>
      <c r="O75" s="496">
        <v>236</v>
      </c>
      <c r="P75" s="279">
        <v>250</v>
      </c>
      <c r="Q75" s="502">
        <v>265</v>
      </c>
      <c r="R75" s="573">
        <f t="shared" si="10"/>
        <v>6.9</v>
      </c>
      <c r="S75" s="256">
        <f t="shared" si="11"/>
        <v>6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529.99999999999989</v>
      </c>
      <c r="E76" s="40">
        <v>481.09999999999997</v>
      </c>
      <c r="F76" s="40">
        <v>448.30000000000007</v>
      </c>
      <c r="G76" s="40">
        <v>450.99999999999994</v>
      </c>
      <c r="H76" s="505">
        <v>423.90000000000003</v>
      </c>
      <c r="I76" s="505">
        <v>393.19999999999993</v>
      </c>
      <c r="J76" s="506">
        <v>371.99999999999994</v>
      </c>
      <c r="K76" s="507">
        <v>400.59999999999997</v>
      </c>
      <c r="L76" s="508">
        <v>378.5</v>
      </c>
      <c r="M76" s="505">
        <v>393</v>
      </c>
      <c r="N76" s="505">
        <v>394</v>
      </c>
      <c r="O76" s="505">
        <v>395</v>
      </c>
      <c r="P76" s="505">
        <v>396</v>
      </c>
      <c r="Q76" s="509">
        <v>397</v>
      </c>
      <c r="R76" s="573">
        <f t="shared" si="10"/>
        <v>-3.9</v>
      </c>
      <c r="S76" s="256">
        <f t="shared" si="11"/>
        <v>1</v>
      </c>
      <c r="U76" s="43"/>
      <c r="V76" s="43"/>
      <c r="W76" s="43"/>
      <c r="X76" s="365"/>
      <c r="Y76" s="365"/>
      <c r="Z76" s="365"/>
      <c r="AA76" s="365"/>
      <c r="AB76" s="365"/>
      <c r="AC76" s="365"/>
      <c r="AD76" s="365"/>
      <c r="AE76" s="365"/>
      <c r="AF76" s="365"/>
      <c r="AG76" s="365"/>
    </row>
    <row r="77" spans="1:33" ht="15.75" customHeight="1">
      <c r="A77" s="16"/>
      <c r="B77" s="674" t="s">
        <v>307</v>
      </c>
      <c r="C77" s="675"/>
      <c r="D77" s="95">
        <f>SUM(D65:D76)</f>
        <v>14887.960738926333</v>
      </c>
      <c r="E77" s="93">
        <f t="shared" ref="E77:Q77" si="12">SUM(E65:E76)</f>
        <v>15785.13275835994</v>
      </c>
      <c r="F77" s="93">
        <f t="shared" si="12"/>
        <v>16349.752977</v>
      </c>
      <c r="G77" s="93">
        <f t="shared" si="12"/>
        <v>17672.116190125998</v>
      </c>
      <c r="H77" s="93">
        <f t="shared" si="12"/>
        <v>17933.309559639656</v>
      </c>
      <c r="I77" s="93">
        <f t="shared" si="12"/>
        <v>19536.355568232448</v>
      </c>
      <c r="J77" s="93">
        <f t="shared" si="12"/>
        <v>19182.690999999999</v>
      </c>
      <c r="K77" s="96">
        <f t="shared" si="12"/>
        <v>21261.024999999998</v>
      </c>
      <c r="L77" s="95">
        <f t="shared" si="12"/>
        <v>23428.924999999999</v>
      </c>
      <c r="M77" s="93">
        <f t="shared" si="12"/>
        <v>24743.2654</v>
      </c>
      <c r="N77" s="93">
        <f t="shared" si="12"/>
        <v>26034.96411076</v>
      </c>
      <c r="O77" s="93">
        <f t="shared" si="12"/>
        <v>27321.61474919198</v>
      </c>
      <c r="P77" s="93">
        <f t="shared" si="12"/>
        <v>28691.676390413697</v>
      </c>
      <c r="Q77" s="96">
        <f t="shared" si="12"/>
        <v>29657.796139912425</v>
      </c>
      <c r="R77" s="574">
        <f t="shared" si="10"/>
        <v>5.2</v>
      </c>
      <c r="S77" s="510">
        <f t="shared" si="11"/>
        <v>4.8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35.676000000000002</v>
      </c>
      <c r="E78" s="512">
        <v>34.375999999999998</v>
      </c>
      <c r="F78" s="512">
        <v>4</v>
      </c>
      <c r="G78" s="512">
        <v>7</v>
      </c>
      <c r="H78" s="512">
        <v>14</v>
      </c>
      <c r="I78" s="512">
        <v>26</v>
      </c>
      <c r="J78" s="513">
        <v>31</v>
      </c>
      <c r="K78" s="514">
        <v>20</v>
      </c>
      <c r="L78" s="511">
        <v>20</v>
      </c>
      <c r="M78" s="512">
        <v>20</v>
      </c>
      <c r="N78" s="512">
        <v>21</v>
      </c>
      <c r="O78" s="512">
        <v>21</v>
      </c>
      <c r="P78" s="513">
        <v>21</v>
      </c>
      <c r="Q78" s="514">
        <v>21</v>
      </c>
      <c r="R78" s="574">
        <f t="shared" si="10"/>
        <v>-7.9</v>
      </c>
      <c r="S78" s="510">
        <f t="shared" si="11"/>
        <v>1</v>
      </c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35.676000000000002</v>
      </c>
      <c r="E79" s="512">
        <v>34.375999999999998</v>
      </c>
      <c r="F79" s="512">
        <v>4</v>
      </c>
      <c r="G79" s="512">
        <v>7</v>
      </c>
      <c r="H79" s="512">
        <v>14</v>
      </c>
      <c r="I79" s="512">
        <v>26</v>
      </c>
      <c r="J79" s="513">
        <v>31</v>
      </c>
      <c r="K79" s="514">
        <v>20</v>
      </c>
      <c r="L79" s="511">
        <v>20</v>
      </c>
      <c r="M79" s="512">
        <v>20</v>
      </c>
      <c r="N79" s="512">
        <v>21</v>
      </c>
      <c r="O79" s="512">
        <v>21</v>
      </c>
      <c r="P79" s="513">
        <v>21</v>
      </c>
      <c r="Q79" s="514">
        <v>21</v>
      </c>
      <c r="R79" s="574">
        <f t="shared" si="10"/>
        <v>-7.9</v>
      </c>
      <c r="S79" s="510">
        <f t="shared" si="11"/>
        <v>1</v>
      </c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1749.0860000000002</v>
      </c>
      <c r="E80" s="538">
        <v>1776.4340000000002</v>
      </c>
      <c r="F80" s="538">
        <v>1726.9929999999999</v>
      </c>
      <c r="G80" s="538">
        <v>1657.8920000000001</v>
      </c>
      <c r="H80" s="538">
        <v>1678.5010000000002</v>
      </c>
      <c r="I80" s="538">
        <v>1822.1100000000001</v>
      </c>
      <c r="J80" s="515">
        <v>1886.0499999999997</v>
      </c>
      <c r="K80" s="536">
        <v>1907.558</v>
      </c>
      <c r="L80" s="537">
        <v>1922.4639999999999</v>
      </c>
      <c r="M80" s="538">
        <v>1982.6220000000001</v>
      </c>
      <c r="N80" s="538">
        <v>2002.0389999999998</v>
      </c>
      <c r="O80" s="538">
        <v>1999.4549999999999</v>
      </c>
      <c r="P80" s="515">
        <v>2003.61</v>
      </c>
      <c r="Q80" s="536">
        <v>2106.7580000000003</v>
      </c>
      <c r="R80" s="575">
        <f t="shared" si="10"/>
        <v>1.2</v>
      </c>
      <c r="S80" s="517">
        <f t="shared" si="11"/>
        <v>1.8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1645.6560000000002</v>
      </c>
      <c r="E81" s="512">
        <v>1665.9080000000001</v>
      </c>
      <c r="F81" s="512">
        <v>1610.0360000000003</v>
      </c>
      <c r="G81" s="512">
        <v>1535.9230000000002</v>
      </c>
      <c r="H81" s="512">
        <v>1553.835</v>
      </c>
      <c r="I81" s="512">
        <v>1689.2209999999998</v>
      </c>
      <c r="J81" s="513">
        <v>1738.3669999999997</v>
      </c>
      <c r="K81" s="514">
        <v>1742.6060000000004</v>
      </c>
      <c r="L81" s="511">
        <v>1762.7550000000001</v>
      </c>
      <c r="M81" s="512">
        <v>1819.6860000000004</v>
      </c>
      <c r="N81" s="512">
        <v>1828.6510000000003</v>
      </c>
      <c r="O81" s="512">
        <v>1828.1</v>
      </c>
      <c r="P81" s="513">
        <v>1830.1290000000001</v>
      </c>
      <c r="Q81" s="514">
        <v>1933.9310000000003</v>
      </c>
      <c r="R81" s="574">
        <f t="shared" si="10"/>
        <v>0.8</v>
      </c>
      <c r="S81" s="510">
        <f t="shared" si="11"/>
        <v>1.9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520</v>
      </c>
      <c r="E82" s="496">
        <v>696</v>
      </c>
      <c r="F82" s="496">
        <v>765.6</v>
      </c>
      <c r="G82" s="496">
        <v>842.16000000000008</v>
      </c>
      <c r="H82" s="496">
        <v>894.26800000000003</v>
      </c>
      <c r="I82" s="496">
        <v>642</v>
      </c>
      <c r="J82" s="497">
        <v>630</v>
      </c>
      <c r="K82" s="502">
        <v>694</v>
      </c>
      <c r="L82" s="503">
        <v>718</v>
      </c>
      <c r="M82" s="496">
        <v>742</v>
      </c>
      <c r="N82" s="496">
        <v>766</v>
      </c>
      <c r="O82" s="496">
        <v>826</v>
      </c>
      <c r="P82" s="497">
        <v>852</v>
      </c>
      <c r="Q82" s="502">
        <v>858</v>
      </c>
      <c r="R82" s="573">
        <f t="shared" si="10"/>
        <v>4.2</v>
      </c>
      <c r="S82" s="256">
        <f t="shared" si="11"/>
        <v>3.6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106</v>
      </c>
      <c r="F83" s="518">
        <v>121.89999999999999</v>
      </c>
      <c r="G83" s="518">
        <v>132</v>
      </c>
      <c r="H83" s="518">
        <v>140.18499999999997</v>
      </c>
      <c r="I83" s="518">
        <v>101.76062025520901</v>
      </c>
      <c r="J83" s="519">
        <v>97.722500403812006</v>
      </c>
      <c r="K83" s="514">
        <v>97.257857601026302</v>
      </c>
      <c r="L83" s="511">
        <v>96.594525779758101</v>
      </c>
      <c r="M83" s="518">
        <v>96.594525779758101</v>
      </c>
      <c r="N83" s="518">
        <v>96.8332272437938</v>
      </c>
      <c r="O83" s="518">
        <v>98.026734563971999</v>
      </c>
      <c r="P83" s="519">
        <v>98.663271801400398</v>
      </c>
      <c r="Q83" s="514">
        <v>100</v>
      </c>
      <c r="R83" s="574" t="str">
        <f t="shared" si="10"/>
        <v xml:space="preserve">     -</v>
      </c>
      <c r="S83" s="510">
        <f t="shared" si="11"/>
        <v>0.7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95</v>
      </c>
      <c r="E84" s="518">
        <v>102</v>
      </c>
      <c r="F84" s="518">
        <v>115.25999999999999</v>
      </c>
      <c r="G84" s="518">
        <v>115.25999999999999</v>
      </c>
      <c r="H84" s="518">
        <v>130.24379999999996</v>
      </c>
      <c r="I84" s="518">
        <v>80</v>
      </c>
      <c r="J84" s="519">
        <v>68</v>
      </c>
      <c r="K84" s="514">
        <v>122</v>
      </c>
      <c r="L84" s="511">
        <v>173</v>
      </c>
      <c r="M84" s="518">
        <v>207</v>
      </c>
      <c r="N84" s="518">
        <v>223</v>
      </c>
      <c r="O84" s="518">
        <v>228</v>
      </c>
      <c r="P84" s="519">
        <v>235</v>
      </c>
      <c r="Q84" s="514">
        <v>239</v>
      </c>
      <c r="R84" s="574">
        <f t="shared" si="10"/>
        <v>3.6</v>
      </c>
      <c r="S84" s="510">
        <f t="shared" si="11"/>
        <v>6.7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289</v>
      </c>
      <c r="E85" s="521">
        <v>239</v>
      </c>
      <c r="F85" s="521">
        <v>235.3</v>
      </c>
      <c r="G85" s="521">
        <v>232.26142199999998</v>
      </c>
      <c r="H85" s="521">
        <v>328</v>
      </c>
      <c r="I85" s="521">
        <v>283</v>
      </c>
      <c r="J85" s="522">
        <v>281.01900000000001</v>
      </c>
      <c r="K85" s="523">
        <v>318</v>
      </c>
      <c r="L85" s="520">
        <v>320</v>
      </c>
      <c r="M85" s="521">
        <v>322</v>
      </c>
      <c r="N85" s="521">
        <v>325</v>
      </c>
      <c r="O85" s="521">
        <v>327</v>
      </c>
      <c r="P85" s="522">
        <v>329</v>
      </c>
      <c r="Q85" s="523">
        <v>330</v>
      </c>
      <c r="R85" s="574">
        <f t="shared" si="10"/>
        <v>1.4</v>
      </c>
      <c r="S85" s="510">
        <f t="shared" si="11"/>
        <v>0.6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v>1968</v>
      </c>
      <c r="E86" s="525">
        <v>2330</v>
      </c>
      <c r="F86" s="530">
        <v>2354</v>
      </c>
      <c r="G86" s="530">
        <v>2378</v>
      </c>
      <c r="H86" s="525">
        <v>2402</v>
      </c>
      <c r="I86" s="530">
        <v>2460</v>
      </c>
      <c r="J86" s="530">
        <v>2499</v>
      </c>
      <c r="K86" s="564">
        <v>2556</v>
      </c>
      <c r="L86" s="524">
        <v>2630</v>
      </c>
      <c r="M86" s="525">
        <v>2697</v>
      </c>
      <c r="N86" s="525">
        <v>2746</v>
      </c>
      <c r="O86" s="525">
        <v>2793</v>
      </c>
      <c r="P86" s="530">
        <v>2834</v>
      </c>
      <c r="Q86" s="564">
        <v>2873</v>
      </c>
      <c r="R86" s="573">
        <f t="shared" si="10"/>
        <v>3.8</v>
      </c>
      <c r="S86" s="256">
        <f t="shared" si="11"/>
        <v>1.8</v>
      </c>
      <c r="U86" s="280"/>
      <c r="V86" s="280"/>
      <c r="W86" s="280"/>
      <c r="X86" s="281"/>
      <c r="Y86" s="281"/>
      <c r="Z86" s="281"/>
      <c r="AA86" s="420"/>
      <c r="AB86" s="281"/>
      <c r="AC86" s="281"/>
      <c r="AD86" s="364"/>
      <c r="AE86" s="364"/>
      <c r="AF86" s="364"/>
      <c r="AG86" s="364"/>
    </row>
    <row r="87" spans="1:33" ht="15" customHeight="1">
      <c r="A87" s="16"/>
      <c r="B87" s="670" t="s">
        <v>317</v>
      </c>
      <c r="C87" s="671"/>
      <c r="D87" s="553">
        <v>0</v>
      </c>
      <c r="E87" s="525">
        <v>0</v>
      </c>
      <c r="F87" s="530">
        <v>0</v>
      </c>
      <c r="G87" s="530">
        <v>0</v>
      </c>
      <c r="H87" s="525">
        <v>0</v>
      </c>
      <c r="I87" s="530">
        <v>0</v>
      </c>
      <c r="J87" s="530">
        <v>0</v>
      </c>
      <c r="K87" s="564">
        <v>0</v>
      </c>
      <c r="L87" s="524">
        <v>0</v>
      </c>
      <c r="M87" s="525">
        <v>0</v>
      </c>
      <c r="N87" s="525">
        <v>0</v>
      </c>
      <c r="O87" s="525">
        <v>0</v>
      </c>
      <c r="P87" s="530">
        <v>0</v>
      </c>
      <c r="Q87" s="564">
        <v>0</v>
      </c>
      <c r="R87" s="573" t="str">
        <f t="shared" si="10"/>
        <v xml:space="preserve">     -</v>
      </c>
      <c r="S87" s="256" t="str">
        <f t="shared" si="11"/>
        <v xml:space="preserve">     -</v>
      </c>
      <c r="U87" s="280"/>
      <c r="V87" s="280"/>
      <c r="W87" s="280"/>
      <c r="X87" s="281"/>
      <c r="Y87" s="281"/>
      <c r="Z87" s="281"/>
      <c r="AA87" s="420"/>
      <c r="AB87" s="281"/>
      <c r="AC87" s="281"/>
      <c r="AD87" s="364"/>
      <c r="AE87" s="364"/>
      <c r="AF87" s="364"/>
      <c r="AG87" s="364"/>
    </row>
    <row r="88" spans="1:33" ht="15.75" customHeight="1">
      <c r="A88" s="16"/>
      <c r="B88" s="674" t="s">
        <v>318</v>
      </c>
      <c r="C88" s="675"/>
      <c r="D88" s="95">
        <f>SUM(D86:D87)</f>
        <v>1968</v>
      </c>
      <c r="E88" s="92">
        <f t="shared" ref="E88:Q88" si="13">SUM(E86:E87)</f>
        <v>2330</v>
      </c>
      <c r="F88" s="92">
        <f t="shared" si="13"/>
        <v>2354</v>
      </c>
      <c r="G88" s="93">
        <f t="shared" si="13"/>
        <v>2378</v>
      </c>
      <c r="H88" s="93">
        <f t="shared" si="13"/>
        <v>2402</v>
      </c>
      <c r="I88" s="94">
        <f t="shared" si="13"/>
        <v>2460</v>
      </c>
      <c r="J88" s="94">
        <f t="shared" si="13"/>
        <v>2499</v>
      </c>
      <c r="K88" s="96">
        <f t="shared" si="13"/>
        <v>2556</v>
      </c>
      <c r="L88" s="95">
        <f t="shared" si="13"/>
        <v>2630</v>
      </c>
      <c r="M88" s="93">
        <f t="shared" si="13"/>
        <v>2697</v>
      </c>
      <c r="N88" s="93">
        <f t="shared" si="13"/>
        <v>2746</v>
      </c>
      <c r="O88" s="93">
        <f t="shared" si="13"/>
        <v>2793</v>
      </c>
      <c r="P88" s="93">
        <f t="shared" si="13"/>
        <v>2834</v>
      </c>
      <c r="Q88" s="96">
        <f t="shared" si="13"/>
        <v>2873</v>
      </c>
      <c r="R88" s="574">
        <f t="shared" si="10"/>
        <v>3.8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1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452</v>
      </c>
      <c r="E89" s="525">
        <v>457</v>
      </c>
      <c r="F89" s="530">
        <v>462</v>
      </c>
      <c r="G89" s="530">
        <v>467</v>
      </c>
      <c r="H89" s="525">
        <v>478</v>
      </c>
      <c r="I89" s="530">
        <v>490</v>
      </c>
      <c r="J89" s="530">
        <v>500</v>
      </c>
      <c r="K89" s="564">
        <v>510</v>
      </c>
      <c r="L89" s="565">
        <v>521</v>
      </c>
      <c r="M89" s="566">
        <v>534</v>
      </c>
      <c r="N89" s="566">
        <v>549</v>
      </c>
      <c r="O89" s="566">
        <v>565</v>
      </c>
      <c r="P89" s="566">
        <v>582</v>
      </c>
      <c r="Q89" s="567">
        <v>599</v>
      </c>
      <c r="R89" s="573">
        <f t="shared" si="10"/>
        <v>1.7</v>
      </c>
      <c r="S89" s="256">
        <f t="shared" si="11"/>
        <v>2.8</v>
      </c>
      <c r="U89" s="326"/>
      <c r="V89" s="326"/>
      <c r="W89" s="326"/>
      <c r="X89" s="281"/>
      <c r="Y89" s="281"/>
      <c r="Z89" s="281"/>
      <c r="AA89" s="420"/>
      <c r="AB89" s="281"/>
      <c r="AC89" s="281"/>
      <c r="AD89" s="364"/>
      <c r="AE89" s="364"/>
      <c r="AF89" s="364"/>
      <c r="AG89" s="364"/>
    </row>
    <row r="90" spans="1:33" ht="15" customHeight="1">
      <c r="A90" s="16"/>
      <c r="B90" s="668" t="s">
        <v>320</v>
      </c>
      <c r="C90" s="669"/>
      <c r="D90" s="553">
        <v>424</v>
      </c>
      <c r="E90" s="525">
        <v>428</v>
      </c>
      <c r="F90" s="530">
        <v>432</v>
      </c>
      <c r="G90" s="530">
        <v>436</v>
      </c>
      <c r="H90" s="525">
        <v>440</v>
      </c>
      <c r="I90" s="530">
        <v>440</v>
      </c>
      <c r="J90" s="530">
        <v>426</v>
      </c>
      <c r="K90" s="564">
        <v>431</v>
      </c>
      <c r="L90" s="524">
        <v>437</v>
      </c>
      <c r="M90" s="525">
        <v>447</v>
      </c>
      <c r="N90" s="525">
        <v>457</v>
      </c>
      <c r="O90" s="525">
        <v>467</v>
      </c>
      <c r="P90" s="530">
        <v>477</v>
      </c>
      <c r="Q90" s="564">
        <v>487</v>
      </c>
      <c r="R90" s="573">
        <f t="shared" si="10"/>
        <v>0.2</v>
      </c>
      <c r="S90" s="256">
        <f t="shared" si="11"/>
        <v>2.2000000000000002</v>
      </c>
      <c r="U90" s="280"/>
      <c r="V90" s="280"/>
      <c r="W90" s="280"/>
      <c r="X90" s="281"/>
      <c r="Y90" s="281"/>
      <c r="Z90" s="281"/>
      <c r="AA90" s="420"/>
      <c r="AB90" s="281"/>
      <c r="AC90" s="281"/>
      <c r="AD90" s="364"/>
      <c r="AE90" s="364"/>
      <c r="AF90" s="364"/>
      <c r="AG90" s="364"/>
    </row>
    <row r="91" spans="1:33" ht="15" customHeight="1">
      <c r="A91" s="16"/>
      <c r="B91" s="670" t="s">
        <v>321</v>
      </c>
      <c r="C91" s="671"/>
      <c r="D91" s="553">
        <v>140</v>
      </c>
      <c r="E91" s="525">
        <v>141</v>
      </c>
      <c r="F91" s="530">
        <v>145</v>
      </c>
      <c r="G91" s="530">
        <v>149</v>
      </c>
      <c r="H91" s="525">
        <v>153</v>
      </c>
      <c r="I91" s="530">
        <v>153</v>
      </c>
      <c r="J91" s="530">
        <v>152</v>
      </c>
      <c r="K91" s="568">
        <v>154</v>
      </c>
      <c r="L91" s="569">
        <v>156</v>
      </c>
      <c r="M91" s="570">
        <v>159</v>
      </c>
      <c r="N91" s="570">
        <v>163</v>
      </c>
      <c r="O91" s="570">
        <v>167</v>
      </c>
      <c r="P91" s="571">
        <v>172</v>
      </c>
      <c r="Q91" s="568">
        <v>177</v>
      </c>
      <c r="R91" s="573">
        <f t="shared" si="10"/>
        <v>1.4</v>
      </c>
      <c r="S91" s="256">
        <f t="shared" si="11"/>
        <v>2.6</v>
      </c>
      <c r="U91" s="43"/>
      <c r="V91" s="43"/>
      <c r="W91" s="43"/>
      <c r="X91" s="363"/>
      <c r="Y91" s="363"/>
      <c r="Z91" s="363"/>
      <c r="AA91" s="363"/>
      <c r="AB91" s="363"/>
      <c r="AC91" s="363"/>
      <c r="AD91" s="363"/>
      <c r="AE91" s="363"/>
      <c r="AF91" s="363"/>
      <c r="AG91" s="363"/>
    </row>
    <row r="92" spans="1:33" ht="15.75" customHeight="1" thickBot="1">
      <c r="A92" s="16"/>
      <c r="B92" s="678" t="s">
        <v>322</v>
      </c>
      <c r="C92" s="679"/>
      <c r="D92" s="102">
        <f>SUM(D89:D91)</f>
        <v>1016</v>
      </c>
      <c r="E92" s="539">
        <f t="shared" ref="E92:Q92" si="14">SUM(E89:E91)</f>
        <v>1026</v>
      </c>
      <c r="F92" s="539">
        <f t="shared" si="14"/>
        <v>1039</v>
      </c>
      <c r="G92" s="100">
        <f t="shared" si="14"/>
        <v>1052</v>
      </c>
      <c r="H92" s="100">
        <f t="shared" si="14"/>
        <v>1071</v>
      </c>
      <c r="I92" s="100">
        <f t="shared" si="14"/>
        <v>1083</v>
      </c>
      <c r="J92" s="101">
        <f t="shared" si="14"/>
        <v>1078</v>
      </c>
      <c r="K92" s="104">
        <f t="shared" si="14"/>
        <v>1095</v>
      </c>
      <c r="L92" s="540">
        <f t="shared" si="14"/>
        <v>1114</v>
      </c>
      <c r="M92" s="100">
        <f t="shared" si="14"/>
        <v>1140</v>
      </c>
      <c r="N92" s="100">
        <f t="shared" si="14"/>
        <v>1169</v>
      </c>
      <c r="O92" s="100">
        <f t="shared" si="14"/>
        <v>1199</v>
      </c>
      <c r="P92" s="100">
        <f t="shared" si="14"/>
        <v>1231</v>
      </c>
      <c r="Q92" s="103">
        <f t="shared" si="14"/>
        <v>1263</v>
      </c>
      <c r="R92" s="576">
        <f t="shared" si="10"/>
        <v>1.1000000000000001</v>
      </c>
      <c r="S92" s="541">
        <f t="shared" si="11"/>
        <v>2.5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20560.722738926332</v>
      </c>
      <c r="E93" s="543">
        <f t="shared" ref="E93:Q93" si="15">E77+E78+E80+E82+E84+E85+E88+E92</f>
        <v>21988.942758359939</v>
      </c>
      <c r="F93" s="543">
        <f t="shared" si="15"/>
        <v>22589.905976999995</v>
      </c>
      <c r="G93" s="544">
        <f t="shared" si="15"/>
        <v>23956.689612125996</v>
      </c>
      <c r="H93" s="544">
        <f t="shared" si="15"/>
        <v>24451.322359639656</v>
      </c>
      <c r="I93" s="544">
        <f t="shared" si="15"/>
        <v>25932.465568232448</v>
      </c>
      <c r="J93" s="545">
        <f t="shared" si="15"/>
        <v>25655.759999999998</v>
      </c>
      <c r="K93" s="546">
        <f t="shared" si="15"/>
        <v>27973.582999999999</v>
      </c>
      <c r="L93" s="547">
        <f t="shared" si="15"/>
        <v>30326.388999999999</v>
      </c>
      <c r="M93" s="544">
        <f t="shared" si="15"/>
        <v>31853.8874</v>
      </c>
      <c r="N93" s="544">
        <f t="shared" si="15"/>
        <v>33287.003110760001</v>
      </c>
      <c r="O93" s="544">
        <f t="shared" si="15"/>
        <v>34715.069749191978</v>
      </c>
      <c r="P93" s="544">
        <f t="shared" si="15"/>
        <v>36197.286390413698</v>
      </c>
      <c r="Q93" s="577">
        <f t="shared" si="15"/>
        <v>37348.554139912427</v>
      </c>
      <c r="R93" s="578">
        <f t="shared" si="10"/>
        <v>4.5</v>
      </c>
      <c r="S93" s="549">
        <f t="shared" si="11"/>
        <v>4.3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13"/>
      <c r="L98" s="13"/>
      <c r="M98" s="13"/>
      <c r="N98" s="13"/>
      <c r="O98" s="13"/>
      <c r="P98" s="13"/>
      <c r="Q98" s="13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13"/>
      <c r="L127" s="13"/>
      <c r="M127" s="13"/>
      <c r="N127" s="13"/>
      <c r="O127" s="13"/>
      <c r="P127" s="13"/>
      <c r="Q127" s="13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13"/>
      <c r="L156" s="13"/>
      <c r="M156" s="13"/>
      <c r="N156" s="13"/>
      <c r="O156" s="13"/>
      <c r="P156" s="13"/>
      <c r="Q156" s="13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93" priority="5">
      <formula>CELL("protect",C97)=0</formula>
    </cfRule>
    <cfRule type="expression" dxfId="292" priority="6">
      <formula>CELL("protect",C97)=0</formula>
    </cfRule>
  </conditionalFormatting>
  <conditionalFormatting sqref="C95">
    <cfRule type="expression" dxfId="291" priority="3">
      <formula>CELL("protect",C95)=0</formula>
    </cfRule>
    <cfRule type="expression" dxfId="290" priority="4">
      <formula>CELL("protect",C95)=0</formula>
    </cfRule>
  </conditionalFormatting>
  <conditionalFormatting sqref="C97">
    <cfRule type="expression" dxfId="289" priority="1">
      <formula>CELL("protect",C97)=0</formula>
    </cfRule>
    <cfRule type="expression" dxfId="288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&amp;C150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00B0F0"/>
    <pageSetUpPr fitToPage="1"/>
  </sheetPr>
  <dimension ref="A1:AG182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7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51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95">
        <v>400</v>
      </c>
      <c r="E7" s="496">
        <v>400</v>
      </c>
      <c r="F7" s="497">
        <v>500</v>
      </c>
      <c r="G7" s="497">
        <v>500</v>
      </c>
      <c r="H7" s="496">
        <v>500</v>
      </c>
      <c r="I7" s="497">
        <v>500</v>
      </c>
      <c r="J7" s="497">
        <v>500</v>
      </c>
      <c r="K7" s="502">
        <v>600</v>
      </c>
      <c r="L7" s="503">
        <v>600</v>
      </c>
      <c r="M7" s="496">
        <v>600</v>
      </c>
      <c r="N7" s="496">
        <v>700</v>
      </c>
      <c r="O7" s="496">
        <v>700</v>
      </c>
      <c r="P7" s="279">
        <v>1000</v>
      </c>
      <c r="Q7" s="502">
        <v>1000</v>
      </c>
      <c r="R7" s="572">
        <f>IF(D7=0,"     -",IF(K7=0,"     -",ROUND(((K7/D7)^(1/7)-1)*100,1)))</f>
        <v>6</v>
      </c>
      <c r="S7" s="494">
        <f>IF(L7=0,"     -",IF(Q7=0,"     -",ROUND(((Q7/L7)^(1/5)-1)*100,1)))</f>
        <v>10.8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315</v>
      </c>
      <c r="E8" s="496">
        <v>315</v>
      </c>
      <c r="F8" s="497">
        <v>315</v>
      </c>
      <c r="G8" s="497">
        <v>315</v>
      </c>
      <c r="H8" s="496">
        <v>315</v>
      </c>
      <c r="I8" s="497">
        <v>315</v>
      </c>
      <c r="J8" s="497">
        <v>315</v>
      </c>
      <c r="K8" s="502">
        <v>400</v>
      </c>
      <c r="L8" s="503">
        <v>400</v>
      </c>
      <c r="M8" s="496">
        <v>400</v>
      </c>
      <c r="N8" s="496">
        <v>400</v>
      </c>
      <c r="O8" s="496">
        <v>400</v>
      </c>
      <c r="P8" s="279">
        <v>400</v>
      </c>
      <c r="Q8" s="502">
        <v>400</v>
      </c>
      <c r="R8" s="573">
        <f t="shared" ref="R8:R71" si="0">IF(D8=0,"     -",IF(K8=0,"     -",ROUND(((K8/D8)^(1/7)-1)*100,1)))</f>
        <v>3.5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328</v>
      </c>
      <c r="E9" s="496">
        <v>328.3</v>
      </c>
      <c r="F9" s="497">
        <v>328</v>
      </c>
      <c r="G9" s="497">
        <v>696</v>
      </c>
      <c r="H9" s="496">
        <v>696</v>
      </c>
      <c r="I9" s="497">
        <v>822</v>
      </c>
      <c r="J9" s="497">
        <v>822</v>
      </c>
      <c r="K9" s="502">
        <v>885</v>
      </c>
      <c r="L9" s="503">
        <v>885</v>
      </c>
      <c r="M9" s="496">
        <v>885</v>
      </c>
      <c r="N9" s="496">
        <v>904</v>
      </c>
      <c r="O9" s="496">
        <v>904</v>
      </c>
      <c r="P9" s="279">
        <v>904</v>
      </c>
      <c r="Q9" s="502">
        <v>904</v>
      </c>
      <c r="R9" s="573">
        <f t="shared" si="0"/>
        <v>15.2</v>
      </c>
      <c r="S9" s="256">
        <f t="shared" si="1"/>
        <v>0.4</v>
      </c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519.57065156651561</v>
      </c>
      <c r="E10" s="496">
        <v>716.64705882352905</v>
      </c>
      <c r="F10" s="497">
        <v>930.1375120540016</v>
      </c>
      <c r="G10" s="497">
        <v>941.4096787651215</v>
      </c>
      <c r="H10" s="496">
        <v>1058.8235294117646</v>
      </c>
      <c r="I10" s="497">
        <v>1176.4705882352941</v>
      </c>
      <c r="J10" s="497">
        <v>1294.1176470588236</v>
      </c>
      <c r="K10" s="502">
        <v>1411.7647058823529</v>
      </c>
      <c r="L10" s="503">
        <v>1470.5882352941178</v>
      </c>
      <c r="M10" s="496">
        <v>1529.4117647058824</v>
      </c>
      <c r="N10" s="496">
        <v>1588.2352941176471</v>
      </c>
      <c r="O10" s="496">
        <v>1647.0588235294117</v>
      </c>
      <c r="P10" s="279">
        <v>1705.8823529411766</v>
      </c>
      <c r="Q10" s="502">
        <v>1764.7058823529412</v>
      </c>
      <c r="R10" s="573">
        <f t="shared" si="0"/>
        <v>15.3</v>
      </c>
      <c r="S10" s="256">
        <f t="shared" si="1"/>
        <v>3.7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0</v>
      </c>
      <c r="E11" s="496">
        <v>0</v>
      </c>
      <c r="F11" s="497">
        <v>0</v>
      </c>
      <c r="G11" s="497">
        <v>0</v>
      </c>
      <c r="H11" s="496">
        <v>0</v>
      </c>
      <c r="I11" s="497">
        <v>0</v>
      </c>
      <c r="J11" s="497">
        <v>0</v>
      </c>
      <c r="K11" s="502">
        <v>0</v>
      </c>
      <c r="L11" s="503">
        <v>0</v>
      </c>
      <c r="M11" s="496">
        <v>0</v>
      </c>
      <c r="N11" s="496">
        <v>0</v>
      </c>
      <c r="O11" s="496">
        <v>0</v>
      </c>
      <c r="P11" s="279">
        <v>0</v>
      </c>
      <c r="Q11" s="502">
        <v>0</v>
      </c>
      <c r="R11" s="573" t="str">
        <f t="shared" si="0"/>
        <v xml:space="preserve">     -</v>
      </c>
      <c r="S11" s="256" t="str">
        <f t="shared" si="1"/>
        <v xml:space="preserve">     -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0</v>
      </c>
      <c r="E12" s="45">
        <v>0</v>
      </c>
      <c r="F12" s="49">
        <v>0</v>
      </c>
      <c r="G12" s="45">
        <v>0</v>
      </c>
      <c r="H12" s="49">
        <v>0</v>
      </c>
      <c r="I12" s="45">
        <v>0</v>
      </c>
      <c r="J12" s="49">
        <v>0</v>
      </c>
      <c r="K12" s="50">
        <v>0</v>
      </c>
      <c r="L12" s="504">
        <v>0</v>
      </c>
      <c r="M12" s="45">
        <v>0</v>
      </c>
      <c r="N12" s="45">
        <v>0</v>
      </c>
      <c r="O12" s="45">
        <v>0</v>
      </c>
      <c r="P12" s="45">
        <v>0</v>
      </c>
      <c r="Q12" s="51">
        <v>0</v>
      </c>
      <c r="R12" s="573" t="str">
        <f t="shared" si="0"/>
        <v xml:space="preserve">     -</v>
      </c>
      <c r="S12" s="256" t="str">
        <f t="shared" si="1"/>
        <v xml:space="preserve">     -</v>
      </c>
      <c r="U12" s="280"/>
      <c r="V12" s="280"/>
      <c r="W12" s="280"/>
      <c r="X12" s="280"/>
      <c r="Y12" s="280"/>
      <c r="Z12" s="280"/>
      <c r="AA12" s="280"/>
      <c r="AB12" s="280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140</v>
      </c>
      <c r="E13" s="49">
        <v>140</v>
      </c>
      <c r="F13" s="45">
        <v>140</v>
      </c>
      <c r="G13" s="49">
        <v>140</v>
      </c>
      <c r="H13" s="49">
        <v>140</v>
      </c>
      <c r="I13" s="45">
        <v>140</v>
      </c>
      <c r="J13" s="49">
        <v>140</v>
      </c>
      <c r="K13" s="50">
        <v>140</v>
      </c>
      <c r="L13" s="140">
        <v>140</v>
      </c>
      <c r="M13" s="45">
        <v>140</v>
      </c>
      <c r="N13" s="45">
        <v>140</v>
      </c>
      <c r="O13" s="45">
        <v>140</v>
      </c>
      <c r="P13" s="45">
        <v>140</v>
      </c>
      <c r="Q13" s="50">
        <v>140</v>
      </c>
      <c r="R13" s="573">
        <f t="shared" si="0"/>
        <v>0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/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0</v>
      </c>
      <c r="E16" s="496">
        <v>0</v>
      </c>
      <c r="F16" s="497">
        <v>0</v>
      </c>
      <c r="G16" s="497">
        <v>0</v>
      </c>
      <c r="H16" s="496">
        <v>0</v>
      </c>
      <c r="I16" s="497">
        <v>0</v>
      </c>
      <c r="J16" s="497">
        <v>0</v>
      </c>
      <c r="K16" s="502">
        <v>0</v>
      </c>
      <c r="L16" s="503">
        <v>0</v>
      </c>
      <c r="M16" s="496">
        <v>0</v>
      </c>
      <c r="N16" s="496">
        <v>0</v>
      </c>
      <c r="O16" s="496">
        <v>0</v>
      </c>
      <c r="P16" s="497">
        <v>0</v>
      </c>
      <c r="Q16" s="502">
        <v>0</v>
      </c>
      <c r="R16" s="573" t="str">
        <f t="shared" si="0"/>
        <v xml:space="preserve">     -</v>
      </c>
      <c r="S16" s="256" t="str">
        <f t="shared" si="1"/>
        <v xml:space="preserve">     -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1420</v>
      </c>
      <c r="E18" s="40">
        <v>1420</v>
      </c>
      <c r="F18" s="40">
        <v>1420</v>
      </c>
      <c r="G18" s="40">
        <v>1420</v>
      </c>
      <c r="H18" s="40">
        <v>1420</v>
      </c>
      <c r="I18" s="505">
        <v>1420</v>
      </c>
      <c r="J18" s="506">
        <v>1420</v>
      </c>
      <c r="K18" s="507">
        <v>1420</v>
      </c>
      <c r="L18" s="508">
        <v>1420</v>
      </c>
      <c r="M18" s="505">
        <v>1420</v>
      </c>
      <c r="N18" s="505">
        <v>1420</v>
      </c>
      <c r="O18" s="505">
        <v>1420</v>
      </c>
      <c r="P18" s="505">
        <v>1420</v>
      </c>
      <c r="Q18" s="509">
        <v>1420</v>
      </c>
      <c r="R18" s="573">
        <f t="shared" si="0"/>
        <v>0</v>
      </c>
      <c r="S18" s="256">
        <f t="shared" si="1"/>
        <v>0</v>
      </c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SUM(D7:D18)</f>
        <v>3122.5706515665156</v>
      </c>
      <c r="E19" s="93">
        <f t="shared" ref="E19:Q19" si="2">SUM(E7:E18)</f>
        <v>3319.947058823529</v>
      </c>
      <c r="F19" s="93">
        <f t="shared" si="2"/>
        <v>3633.1375120540015</v>
      </c>
      <c r="G19" s="93">
        <f t="shared" si="2"/>
        <v>4012.4096787651215</v>
      </c>
      <c r="H19" s="93">
        <f t="shared" si="2"/>
        <v>4129.8235294117649</v>
      </c>
      <c r="I19" s="93">
        <f t="shared" si="2"/>
        <v>4373.4705882352937</v>
      </c>
      <c r="J19" s="93">
        <f t="shared" si="2"/>
        <v>4491.1176470588234</v>
      </c>
      <c r="K19" s="96">
        <f t="shared" si="2"/>
        <v>4856.7647058823532</v>
      </c>
      <c r="L19" s="95">
        <f t="shared" si="2"/>
        <v>4915.588235294118</v>
      </c>
      <c r="M19" s="93">
        <f t="shared" si="2"/>
        <v>4974.4117647058829</v>
      </c>
      <c r="N19" s="93">
        <f t="shared" si="2"/>
        <v>5152.2352941176468</v>
      </c>
      <c r="O19" s="93">
        <f t="shared" si="2"/>
        <v>5211.0588235294117</v>
      </c>
      <c r="P19" s="93">
        <f t="shared" si="2"/>
        <v>5569.8823529411766</v>
      </c>
      <c r="Q19" s="96">
        <f t="shared" si="2"/>
        <v>5628.7058823529414</v>
      </c>
      <c r="R19" s="574">
        <f t="shared" si="0"/>
        <v>6.5</v>
      </c>
      <c r="S19" s="510">
        <f t="shared" si="1"/>
        <v>2.7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3048</v>
      </c>
      <c r="E22" s="496">
        <v>3008</v>
      </c>
      <c r="F22" s="496">
        <v>3008</v>
      </c>
      <c r="G22" s="496">
        <v>3008</v>
      </c>
      <c r="H22" s="496">
        <v>3008</v>
      </c>
      <c r="I22" s="496">
        <v>3008</v>
      </c>
      <c r="J22" s="515">
        <v>3008</v>
      </c>
      <c r="K22" s="502">
        <v>3008</v>
      </c>
      <c r="L22" s="503">
        <v>3108</v>
      </c>
      <c r="M22" s="496">
        <v>3108</v>
      </c>
      <c r="N22" s="496">
        <v>3108</v>
      </c>
      <c r="O22" s="512">
        <v>3108</v>
      </c>
      <c r="P22" s="512">
        <v>3108</v>
      </c>
      <c r="Q22" s="514">
        <v>3108</v>
      </c>
      <c r="R22" s="575">
        <f t="shared" si="0"/>
        <v>-0.2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2893</v>
      </c>
      <c r="E23" s="512">
        <v>2893</v>
      </c>
      <c r="F23" s="512">
        <v>2893</v>
      </c>
      <c r="G23" s="512">
        <v>2893</v>
      </c>
      <c r="H23" s="512">
        <v>2893</v>
      </c>
      <c r="I23" s="512">
        <v>2893</v>
      </c>
      <c r="J23" s="513">
        <v>2893</v>
      </c>
      <c r="K23" s="514">
        <v>2893</v>
      </c>
      <c r="L23" s="511">
        <v>2993</v>
      </c>
      <c r="M23" s="512">
        <v>2993</v>
      </c>
      <c r="N23" s="512">
        <v>2993</v>
      </c>
      <c r="O23" s="512">
        <v>2993</v>
      </c>
      <c r="P23" s="512">
        <v>2993</v>
      </c>
      <c r="Q23" s="514">
        <v>2993</v>
      </c>
      <c r="R23" s="574">
        <f t="shared" si="0"/>
        <v>0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994</v>
      </c>
      <c r="E24" s="496">
        <v>1710</v>
      </c>
      <c r="F24" s="496">
        <v>1660</v>
      </c>
      <c r="G24" s="496">
        <v>1660</v>
      </c>
      <c r="H24" s="496">
        <v>2030</v>
      </c>
      <c r="I24" s="496">
        <v>2030</v>
      </c>
      <c r="J24" s="497">
        <v>2100</v>
      </c>
      <c r="K24" s="502">
        <v>2000</v>
      </c>
      <c r="L24" s="503">
        <v>2300</v>
      </c>
      <c r="M24" s="496">
        <v>2400</v>
      </c>
      <c r="N24" s="496">
        <v>2500</v>
      </c>
      <c r="O24" s="496">
        <v>2600</v>
      </c>
      <c r="P24" s="497">
        <v>2700</v>
      </c>
      <c r="Q24" s="502">
        <v>3000</v>
      </c>
      <c r="R24" s="574">
        <f t="shared" si="0"/>
        <v>10.5</v>
      </c>
      <c r="S24" s="510">
        <f t="shared" si="1"/>
        <v>5.5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0</v>
      </c>
      <c r="F25" s="518">
        <v>0</v>
      </c>
      <c r="G25" s="518">
        <v>0</v>
      </c>
      <c r="H25" s="518">
        <v>0</v>
      </c>
      <c r="I25" s="518">
        <v>0</v>
      </c>
      <c r="J25" s="519">
        <v>0</v>
      </c>
      <c r="K25" s="514">
        <v>0</v>
      </c>
      <c r="L25" s="511">
        <v>0</v>
      </c>
      <c r="M25" s="518">
        <v>0</v>
      </c>
      <c r="N25" s="518">
        <v>0</v>
      </c>
      <c r="O25" s="518">
        <v>0</v>
      </c>
      <c r="P25" s="519">
        <v>0</v>
      </c>
      <c r="Q25" s="514">
        <v>0</v>
      </c>
      <c r="R25" s="573" t="str">
        <f t="shared" si="0"/>
        <v xml:space="preserve">     -</v>
      </c>
      <c r="S25" s="256" t="str">
        <f t="shared" si="1"/>
        <v xml:space="preserve">     -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28</v>
      </c>
      <c r="E26" s="518">
        <v>20</v>
      </c>
      <c r="F26" s="518">
        <v>20</v>
      </c>
      <c r="G26" s="518">
        <v>0</v>
      </c>
      <c r="H26" s="518">
        <v>0</v>
      </c>
      <c r="I26" s="518">
        <v>0</v>
      </c>
      <c r="J26" s="519">
        <v>0</v>
      </c>
      <c r="K26" s="514">
        <v>60</v>
      </c>
      <c r="L26" s="511">
        <v>60</v>
      </c>
      <c r="M26" s="518">
        <v>60</v>
      </c>
      <c r="N26" s="518">
        <v>60</v>
      </c>
      <c r="O26" s="518">
        <v>60</v>
      </c>
      <c r="P26" s="519">
        <v>60</v>
      </c>
      <c r="Q26" s="514">
        <v>60</v>
      </c>
      <c r="R26" s="574">
        <f t="shared" si="0"/>
        <v>11.5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759.84999999999991</v>
      </c>
      <c r="E27" s="521">
        <v>759.84999999999991</v>
      </c>
      <c r="F27" s="521">
        <v>759.84999999999991</v>
      </c>
      <c r="G27" s="521">
        <v>716</v>
      </c>
      <c r="H27" s="521">
        <v>724.84999999999991</v>
      </c>
      <c r="I27" s="521">
        <v>746.72499999999991</v>
      </c>
      <c r="J27" s="522">
        <v>746.72499999999991</v>
      </c>
      <c r="K27" s="523">
        <v>755</v>
      </c>
      <c r="L27" s="520">
        <v>755</v>
      </c>
      <c r="M27" s="521">
        <v>755</v>
      </c>
      <c r="N27" s="521">
        <v>755</v>
      </c>
      <c r="O27" s="521">
        <v>755</v>
      </c>
      <c r="P27" s="522">
        <v>755</v>
      </c>
      <c r="Q27" s="523">
        <v>755</v>
      </c>
      <c r="R27" s="574">
        <f t="shared" si="0"/>
        <v>-0.1</v>
      </c>
      <c r="S27" s="510">
        <f t="shared" si="1"/>
        <v>0</v>
      </c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" customHeight="1">
      <c r="A28" s="16"/>
      <c r="B28" s="672" t="s">
        <v>316</v>
      </c>
      <c r="C28" s="673"/>
      <c r="D28" s="524">
        <v>4432</v>
      </c>
      <c r="E28" s="525">
        <v>4432</v>
      </c>
      <c r="F28" s="525">
        <v>4432</v>
      </c>
      <c r="G28" s="526">
        <v>4900</v>
      </c>
      <c r="H28" s="526">
        <v>4900</v>
      </c>
      <c r="I28" s="496">
        <v>4900</v>
      </c>
      <c r="J28" s="497">
        <v>4900</v>
      </c>
      <c r="K28" s="498">
        <v>4900</v>
      </c>
      <c r="L28" s="527">
        <v>4900</v>
      </c>
      <c r="M28" s="528">
        <v>4900</v>
      </c>
      <c r="N28" s="528">
        <v>4900</v>
      </c>
      <c r="O28" s="528">
        <v>4900</v>
      </c>
      <c r="P28" s="528">
        <v>4900</v>
      </c>
      <c r="Q28" s="498">
        <v>4900</v>
      </c>
      <c r="R28" s="573">
        <f t="shared" si="0"/>
        <v>1.4</v>
      </c>
      <c r="S28" s="256">
        <f t="shared" si="1"/>
        <v>0</v>
      </c>
      <c r="U28" s="280"/>
      <c r="V28" s="280"/>
      <c r="W28" s="280"/>
      <c r="X28" s="281"/>
      <c r="Y28" s="281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38</v>
      </c>
      <c r="E29" s="525">
        <v>38</v>
      </c>
      <c r="F29" s="530">
        <v>38</v>
      </c>
      <c r="G29" s="531">
        <v>38</v>
      </c>
      <c r="H29" s="526">
        <v>38</v>
      </c>
      <c r="I29" s="497">
        <v>38</v>
      </c>
      <c r="J29" s="497">
        <v>38</v>
      </c>
      <c r="K29" s="498">
        <v>38</v>
      </c>
      <c r="L29" s="499">
        <v>38</v>
      </c>
      <c r="M29" s="532">
        <v>38</v>
      </c>
      <c r="N29" s="532">
        <v>38</v>
      </c>
      <c r="O29" s="532">
        <v>38</v>
      </c>
      <c r="P29" s="532">
        <v>38</v>
      </c>
      <c r="Q29" s="498">
        <v>38</v>
      </c>
      <c r="R29" s="573">
        <f t="shared" si="0"/>
        <v>0</v>
      </c>
      <c r="S29" s="256">
        <f t="shared" si="1"/>
        <v>0</v>
      </c>
      <c r="U29" s="280"/>
      <c r="V29" s="280"/>
      <c r="W29" s="280"/>
      <c r="X29" s="281"/>
      <c r="Y29" s="281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4470</v>
      </c>
      <c r="E30" s="92">
        <f t="shared" ref="E30:Q30" si="3">SUM(E28:E29)</f>
        <v>4470</v>
      </c>
      <c r="F30" s="92">
        <f t="shared" si="3"/>
        <v>4470</v>
      </c>
      <c r="G30" s="93">
        <f t="shared" si="3"/>
        <v>4938</v>
      </c>
      <c r="H30" s="93">
        <f t="shared" si="3"/>
        <v>4938</v>
      </c>
      <c r="I30" s="94">
        <f t="shared" si="3"/>
        <v>4938</v>
      </c>
      <c r="J30" s="94">
        <f t="shared" si="3"/>
        <v>4938</v>
      </c>
      <c r="K30" s="96">
        <f t="shared" si="3"/>
        <v>4938</v>
      </c>
      <c r="L30" s="95">
        <f t="shared" si="3"/>
        <v>4938</v>
      </c>
      <c r="M30" s="93">
        <f t="shared" si="3"/>
        <v>4938</v>
      </c>
      <c r="N30" s="93">
        <f t="shared" si="3"/>
        <v>4938</v>
      </c>
      <c r="O30" s="93">
        <f t="shared" si="3"/>
        <v>4938</v>
      </c>
      <c r="P30" s="93">
        <f t="shared" si="3"/>
        <v>4938</v>
      </c>
      <c r="Q30" s="96">
        <f t="shared" si="3"/>
        <v>4938</v>
      </c>
      <c r="R30" s="574">
        <f t="shared" si="0"/>
        <v>1.4</v>
      </c>
      <c r="S30" s="510">
        <f t="shared" si="1"/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340</v>
      </c>
      <c r="E31" s="525">
        <v>354.26981611111103</v>
      </c>
      <c r="F31" s="530">
        <v>100</v>
      </c>
      <c r="G31" s="531">
        <v>100</v>
      </c>
      <c r="H31" s="526">
        <v>100</v>
      </c>
      <c r="I31" s="497">
        <v>390</v>
      </c>
      <c r="J31" s="497">
        <v>390</v>
      </c>
      <c r="K31" s="498">
        <v>390</v>
      </c>
      <c r="L31" s="533">
        <v>390</v>
      </c>
      <c r="M31" s="534">
        <v>390</v>
      </c>
      <c r="N31" s="534">
        <v>390</v>
      </c>
      <c r="O31" s="534">
        <v>390</v>
      </c>
      <c r="P31" s="534">
        <v>390</v>
      </c>
      <c r="Q31" s="535">
        <v>390</v>
      </c>
      <c r="R31" s="573">
        <f t="shared" si="0"/>
        <v>2</v>
      </c>
      <c r="S31" s="256">
        <f t="shared" si="1"/>
        <v>0</v>
      </c>
      <c r="U31" s="326"/>
      <c r="V31" s="326"/>
      <c r="W31" s="326"/>
      <c r="X31" s="281"/>
      <c r="Y31" s="281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95.142657309941512</v>
      </c>
      <c r="E32" s="525">
        <v>95</v>
      </c>
      <c r="F32" s="530">
        <v>100</v>
      </c>
      <c r="G32" s="531">
        <v>100</v>
      </c>
      <c r="H32" s="526">
        <v>100</v>
      </c>
      <c r="I32" s="497">
        <v>100</v>
      </c>
      <c r="J32" s="497">
        <v>100</v>
      </c>
      <c r="K32" s="502">
        <v>100</v>
      </c>
      <c r="L32" s="503">
        <v>110</v>
      </c>
      <c r="M32" s="496">
        <v>110</v>
      </c>
      <c r="N32" s="496">
        <v>110</v>
      </c>
      <c r="O32" s="496">
        <v>110</v>
      </c>
      <c r="P32" s="497">
        <v>110</v>
      </c>
      <c r="Q32" s="502">
        <v>110</v>
      </c>
      <c r="R32" s="573">
        <f t="shared" si="0"/>
        <v>0.7</v>
      </c>
      <c r="S32" s="256">
        <f t="shared" si="1"/>
        <v>0</v>
      </c>
      <c r="U32" s="280"/>
      <c r="V32" s="280"/>
      <c r="W32" s="280"/>
      <c r="X32" s="281"/>
      <c r="Y32" s="281"/>
      <c r="Z32" s="280"/>
      <c r="AA32" s="280"/>
      <c r="AB32" s="280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180</v>
      </c>
      <c r="E33" s="525">
        <v>180</v>
      </c>
      <c r="F33" s="530">
        <v>173.33333333333334</v>
      </c>
      <c r="G33" s="531">
        <v>185</v>
      </c>
      <c r="H33" s="526">
        <v>185</v>
      </c>
      <c r="I33" s="497">
        <v>190</v>
      </c>
      <c r="J33" s="497">
        <v>190</v>
      </c>
      <c r="K33" s="536">
        <v>190</v>
      </c>
      <c r="L33" s="537">
        <v>190</v>
      </c>
      <c r="M33" s="538">
        <v>190</v>
      </c>
      <c r="N33" s="538">
        <v>190</v>
      </c>
      <c r="O33" s="538">
        <v>190</v>
      </c>
      <c r="P33" s="515">
        <v>190</v>
      </c>
      <c r="Q33" s="502">
        <v>190</v>
      </c>
      <c r="R33" s="573">
        <f t="shared" si="0"/>
        <v>0.8</v>
      </c>
      <c r="S33" s="256">
        <f t="shared" si="1"/>
        <v>0</v>
      </c>
      <c r="U33" s="43"/>
      <c r="V33" s="43"/>
      <c r="W33" s="43"/>
      <c r="X33" s="363"/>
      <c r="Y33" s="36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615.14265730994157</v>
      </c>
      <c r="E34" s="539">
        <f t="shared" ref="E34:Q34" si="4">SUM(E31:E33)</f>
        <v>629.26981611111103</v>
      </c>
      <c r="F34" s="539">
        <f t="shared" si="4"/>
        <v>373.33333333333337</v>
      </c>
      <c r="G34" s="100">
        <f t="shared" si="4"/>
        <v>385</v>
      </c>
      <c r="H34" s="100">
        <f t="shared" si="4"/>
        <v>385</v>
      </c>
      <c r="I34" s="100">
        <f t="shared" si="4"/>
        <v>680</v>
      </c>
      <c r="J34" s="101">
        <f t="shared" si="4"/>
        <v>680</v>
      </c>
      <c r="K34" s="104">
        <f t="shared" si="4"/>
        <v>680</v>
      </c>
      <c r="L34" s="540">
        <f t="shared" si="4"/>
        <v>690</v>
      </c>
      <c r="M34" s="100">
        <f t="shared" si="4"/>
        <v>690</v>
      </c>
      <c r="N34" s="100">
        <f t="shared" si="4"/>
        <v>690</v>
      </c>
      <c r="O34" s="100">
        <f t="shared" si="4"/>
        <v>690</v>
      </c>
      <c r="P34" s="100">
        <f t="shared" si="4"/>
        <v>690</v>
      </c>
      <c r="Q34" s="103">
        <f t="shared" si="4"/>
        <v>690</v>
      </c>
      <c r="R34" s="576">
        <f t="shared" si="0"/>
        <v>1.4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13037.563308876457</v>
      </c>
      <c r="E35" s="543">
        <f t="shared" ref="E35:Q35" si="5">E19+E20+E22+E24+E26+E27+E30+E34</f>
        <v>13917.066874934641</v>
      </c>
      <c r="F35" s="543">
        <f t="shared" si="5"/>
        <v>13924.320845387336</v>
      </c>
      <c r="G35" s="544">
        <f t="shared" si="5"/>
        <v>14719.409678765121</v>
      </c>
      <c r="H35" s="544">
        <f t="shared" si="5"/>
        <v>15215.673529411766</v>
      </c>
      <c r="I35" s="544">
        <f t="shared" si="5"/>
        <v>15776.195588235294</v>
      </c>
      <c r="J35" s="545">
        <f t="shared" si="5"/>
        <v>15963.842647058824</v>
      </c>
      <c r="K35" s="546">
        <f t="shared" si="5"/>
        <v>16297.764705882353</v>
      </c>
      <c r="L35" s="547">
        <f t="shared" si="5"/>
        <v>16766.588235294119</v>
      </c>
      <c r="M35" s="544">
        <f t="shared" si="5"/>
        <v>16925.411764705881</v>
      </c>
      <c r="N35" s="544">
        <f t="shared" si="5"/>
        <v>17203.235294117647</v>
      </c>
      <c r="O35" s="544">
        <f t="shared" si="5"/>
        <v>17362.058823529413</v>
      </c>
      <c r="P35" s="544">
        <f t="shared" si="5"/>
        <v>17820.882352941175</v>
      </c>
      <c r="Q35" s="577">
        <f t="shared" si="5"/>
        <v>18179.705882352941</v>
      </c>
      <c r="R35" s="578">
        <f t="shared" si="0"/>
        <v>3.2</v>
      </c>
      <c r="S35" s="549">
        <f t="shared" si="1"/>
        <v>1.6</v>
      </c>
    </row>
    <row r="36" spans="1:33" ht="15" customHeight="1">
      <c r="A36" s="613" t="s">
        <v>324</v>
      </c>
      <c r="B36" s="666" t="s">
        <v>433</v>
      </c>
      <c r="C36" s="667"/>
      <c r="D36" s="495">
        <v>400</v>
      </c>
      <c r="E36" s="496">
        <v>400</v>
      </c>
      <c r="F36" s="497">
        <v>500</v>
      </c>
      <c r="G36" s="497">
        <v>500</v>
      </c>
      <c r="H36" s="496">
        <v>500</v>
      </c>
      <c r="I36" s="497">
        <v>500</v>
      </c>
      <c r="J36" s="497">
        <v>500</v>
      </c>
      <c r="K36" s="502">
        <v>500</v>
      </c>
      <c r="L36" s="503">
        <v>500</v>
      </c>
      <c r="M36" s="496">
        <v>500</v>
      </c>
      <c r="N36" s="496">
        <v>500</v>
      </c>
      <c r="O36" s="496">
        <v>600</v>
      </c>
      <c r="P36" s="279">
        <v>900</v>
      </c>
      <c r="Q36" s="502">
        <v>900</v>
      </c>
      <c r="R36" s="573">
        <f t="shared" si="0"/>
        <v>3.2</v>
      </c>
      <c r="S36" s="256">
        <f t="shared" si="1"/>
        <v>12.5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121</v>
      </c>
      <c r="E37" s="496">
        <v>121</v>
      </c>
      <c r="F37" s="497">
        <v>126</v>
      </c>
      <c r="G37" s="497">
        <v>126</v>
      </c>
      <c r="H37" s="496">
        <v>126</v>
      </c>
      <c r="I37" s="497">
        <v>126</v>
      </c>
      <c r="J37" s="497">
        <v>126</v>
      </c>
      <c r="K37" s="502">
        <v>150</v>
      </c>
      <c r="L37" s="503">
        <v>150</v>
      </c>
      <c r="M37" s="496">
        <v>150</v>
      </c>
      <c r="N37" s="496">
        <v>150</v>
      </c>
      <c r="O37" s="496">
        <v>150</v>
      </c>
      <c r="P37" s="279">
        <v>150</v>
      </c>
      <c r="Q37" s="502">
        <v>150</v>
      </c>
      <c r="R37" s="573">
        <f t="shared" si="0"/>
        <v>3.1</v>
      </c>
      <c r="S37" s="256">
        <f t="shared" si="1"/>
        <v>0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300</v>
      </c>
      <c r="E38" s="496">
        <v>294.72500000000002</v>
      </c>
      <c r="F38" s="497">
        <v>284.18999999999994</v>
      </c>
      <c r="G38" s="497">
        <v>510.815</v>
      </c>
      <c r="H38" s="496">
        <v>601.94000000000005</v>
      </c>
      <c r="I38" s="497">
        <v>644.84765375566201</v>
      </c>
      <c r="J38" s="497">
        <v>587</v>
      </c>
      <c r="K38" s="502">
        <v>654</v>
      </c>
      <c r="L38" s="503">
        <v>673</v>
      </c>
      <c r="M38" s="496">
        <v>675</v>
      </c>
      <c r="N38" s="496">
        <v>697</v>
      </c>
      <c r="O38" s="496">
        <v>692</v>
      </c>
      <c r="P38" s="279">
        <v>706</v>
      </c>
      <c r="Q38" s="502">
        <v>706</v>
      </c>
      <c r="R38" s="573">
        <f t="shared" si="0"/>
        <v>11.8</v>
      </c>
      <c r="S38" s="256">
        <f t="shared" si="1"/>
        <v>1</v>
      </c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441.63505383153824</v>
      </c>
      <c r="E39" s="496">
        <v>609.14999999999964</v>
      </c>
      <c r="F39" s="497">
        <v>790.61688524590136</v>
      </c>
      <c r="G39" s="497">
        <v>800.19822695035327</v>
      </c>
      <c r="H39" s="496">
        <v>900</v>
      </c>
      <c r="I39" s="497">
        <v>1000</v>
      </c>
      <c r="J39" s="497">
        <v>1100</v>
      </c>
      <c r="K39" s="502">
        <v>1200</v>
      </c>
      <c r="L39" s="503">
        <v>1250</v>
      </c>
      <c r="M39" s="496">
        <v>1300</v>
      </c>
      <c r="N39" s="496">
        <v>1350</v>
      </c>
      <c r="O39" s="496">
        <v>1400</v>
      </c>
      <c r="P39" s="279">
        <v>1450</v>
      </c>
      <c r="Q39" s="502">
        <v>1500</v>
      </c>
      <c r="R39" s="573">
        <f t="shared" si="0"/>
        <v>15.3</v>
      </c>
      <c r="S39" s="256">
        <f t="shared" si="1"/>
        <v>3.7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0</v>
      </c>
      <c r="E40" s="496">
        <v>0</v>
      </c>
      <c r="F40" s="497">
        <v>0</v>
      </c>
      <c r="G40" s="497">
        <v>0</v>
      </c>
      <c r="H40" s="496">
        <v>0</v>
      </c>
      <c r="I40" s="497">
        <v>0</v>
      </c>
      <c r="J40" s="497">
        <v>0</v>
      </c>
      <c r="K40" s="502">
        <v>0</v>
      </c>
      <c r="L40" s="503">
        <v>0</v>
      </c>
      <c r="M40" s="496">
        <v>0</v>
      </c>
      <c r="N40" s="496">
        <v>0</v>
      </c>
      <c r="O40" s="496">
        <v>0</v>
      </c>
      <c r="P40" s="279">
        <v>0</v>
      </c>
      <c r="Q40" s="502">
        <v>0</v>
      </c>
      <c r="R40" s="573" t="str">
        <f t="shared" si="0"/>
        <v xml:space="preserve">     -</v>
      </c>
      <c r="S40" s="256" t="str">
        <f t="shared" si="1"/>
        <v xml:space="preserve">     -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0</v>
      </c>
      <c r="E41" s="45">
        <v>0</v>
      </c>
      <c r="F41" s="49">
        <v>0</v>
      </c>
      <c r="G41" s="45">
        <v>0</v>
      </c>
      <c r="H41" s="49">
        <v>0</v>
      </c>
      <c r="I41" s="45">
        <v>0</v>
      </c>
      <c r="J41" s="49">
        <v>0</v>
      </c>
      <c r="K41" s="50">
        <v>0</v>
      </c>
      <c r="L41" s="504">
        <v>0</v>
      </c>
      <c r="M41" s="45">
        <v>0</v>
      </c>
      <c r="N41" s="45">
        <v>0</v>
      </c>
      <c r="O41" s="45">
        <v>0</v>
      </c>
      <c r="P41" s="45">
        <v>0</v>
      </c>
      <c r="Q41" s="51">
        <v>0</v>
      </c>
      <c r="R41" s="573" t="str">
        <f t="shared" si="0"/>
        <v xml:space="preserve">     -</v>
      </c>
      <c r="S41" s="256" t="str">
        <f t="shared" si="1"/>
        <v xml:space="preserve">     -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140</v>
      </c>
      <c r="E42" s="49">
        <v>140</v>
      </c>
      <c r="F42" s="45">
        <v>140</v>
      </c>
      <c r="G42" s="49">
        <v>140</v>
      </c>
      <c r="H42" s="49">
        <v>140</v>
      </c>
      <c r="I42" s="45">
        <v>140</v>
      </c>
      <c r="J42" s="49">
        <v>140</v>
      </c>
      <c r="K42" s="50">
        <v>140</v>
      </c>
      <c r="L42" s="504">
        <v>140</v>
      </c>
      <c r="M42" s="45">
        <v>140</v>
      </c>
      <c r="N42" s="45">
        <v>140</v>
      </c>
      <c r="O42" s="45">
        <v>140</v>
      </c>
      <c r="P42" s="49">
        <v>140</v>
      </c>
      <c r="Q42" s="50">
        <v>140</v>
      </c>
      <c r="R42" s="573">
        <f t="shared" si="0"/>
        <v>0</v>
      </c>
      <c r="S42" s="256">
        <f t="shared" si="1"/>
        <v>0</v>
      </c>
      <c r="U42" s="43"/>
      <c r="V42" s="280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0</v>
      </c>
      <c r="E45" s="496">
        <v>0</v>
      </c>
      <c r="F45" s="497">
        <v>0</v>
      </c>
      <c r="G45" s="497">
        <v>0</v>
      </c>
      <c r="H45" s="496">
        <v>0</v>
      </c>
      <c r="I45" s="497">
        <v>0</v>
      </c>
      <c r="J45" s="497">
        <v>0</v>
      </c>
      <c r="K45" s="502">
        <v>0</v>
      </c>
      <c r="L45" s="503">
        <v>0</v>
      </c>
      <c r="M45" s="496">
        <v>0</v>
      </c>
      <c r="N45" s="496">
        <v>0</v>
      </c>
      <c r="O45" s="496">
        <v>0</v>
      </c>
      <c r="P45" s="497">
        <v>0</v>
      </c>
      <c r="Q45" s="502">
        <v>0</v>
      </c>
      <c r="R45" s="573" t="str">
        <f t="shared" si="0"/>
        <v xml:space="preserve">     -</v>
      </c>
      <c r="S45" s="256" t="str">
        <f t="shared" si="1"/>
        <v xml:space="preserve">     -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1113.9359999999997</v>
      </c>
      <c r="E47" s="496">
        <v>1040.4090000000006</v>
      </c>
      <c r="F47" s="497">
        <v>998.54099999999926</v>
      </c>
      <c r="G47" s="497">
        <v>945.19200000000001</v>
      </c>
      <c r="H47" s="496">
        <v>1076.0809999999983</v>
      </c>
      <c r="I47" s="497">
        <v>1052.2460000000001</v>
      </c>
      <c r="J47" s="497">
        <v>1013.8460000000005</v>
      </c>
      <c r="K47" s="502">
        <v>1027.5709999999999</v>
      </c>
      <c r="L47" s="503">
        <v>997.59000000000015</v>
      </c>
      <c r="M47" s="496">
        <v>1042.3025000000002</v>
      </c>
      <c r="N47" s="496">
        <v>1037.778</v>
      </c>
      <c r="O47" s="496">
        <v>1036.3630000000001</v>
      </c>
      <c r="P47" s="497">
        <v>1036.3985000000002</v>
      </c>
      <c r="Q47" s="502">
        <v>1036.4095</v>
      </c>
      <c r="R47" s="573">
        <f t="shared" si="0"/>
        <v>-1.1000000000000001</v>
      </c>
      <c r="S47" s="256">
        <f t="shared" si="1"/>
        <v>0.8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2516.5710538315379</v>
      </c>
      <c r="E48" s="93">
        <f t="shared" ref="E48:Q48" si="6">SUM(E36:E47)</f>
        <v>2605.2840000000001</v>
      </c>
      <c r="F48" s="93">
        <f t="shared" si="6"/>
        <v>2839.3478852459007</v>
      </c>
      <c r="G48" s="93">
        <f t="shared" si="6"/>
        <v>3022.2052269503533</v>
      </c>
      <c r="H48" s="93">
        <f t="shared" si="6"/>
        <v>3344.0209999999984</v>
      </c>
      <c r="I48" s="93">
        <f t="shared" si="6"/>
        <v>3463.0936537556622</v>
      </c>
      <c r="J48" s="93">
        <f t="shared" si="6"/>
        <v>3466.8460000000005</v>
      </c>
      <c r="K48" s="96">
        <f t="shared" si="6"/>
        <v>3671.5709999999999</v>
      </c>
      <c r="L48" s="95">
        <f t="shared" si="6"/>
        <v>3710.59</v>
      </c>
      <c r="M48" s="93">
        <f t="shared" si="6"/>
        <v>3807.3025000000002</v>
      </c>
      <c r="N48" s="93">
        <f t="shared" si="6"/>
        <v>3874.7780000000002</v>
      </c>
      <c r="O48" s="93">
        <f t="shared" si="6"/>
        <v>4018.3630000000003</v>
      </c>
      <c r="P48" s="93">
        <f t="shared" si="6"/>
        <v>4382.3985000000002</v>
      </c>
      <c r="Q48" s="96">
        <f t="shared" si="6"/>
        <v>4432.4094999999998</v>
      </c>
      <c r="R48" s="574">
        <f t="shared" si="0"/>
        <v>5.5</v>
      </c>
      <c r="S48" s="510">
        <f t="shared" si="1"/>
        <v>3.6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4389</v>
      </c>
      <c r="E51" s="512">
        <v>3303</v>
      </c>
      <c r="F51" s="512">
        <v>2642</v>
      </c>
      <c r="G51" s="512">
        <v>2910</v>
      </c>
      <c r="H51" s="512">
        <v>2756</v>
      </c>
      <c r="I51" s="512">
        <v>2794</v>
      </c>
      <c r="J51" s="513">
        <v>2773</v>
      </c>
      <c r="K51" s="514">
        <v>2503</v>
      </c>
      <c r="L51" s="511">
        <v>2493</v>
      </c>
      <c r="M51" s="512">
        <v>2505</v>
      </c>
      <c r="N51" s="512">
        <v>2505</v>
      </c>
      <c r="O51" s="512">
        <v>2505</v>
      </c>
      <c r="P51" s="513">
        <v>2505</v>
      </c>
      <c r="Q51" s="514">
        <v>2505</v>
      </c>
      <c r="R51" s="574">
        <f t="shared" si="0"/>
        <v>-7.7</v>
      </c>
      <c r="S51" s="510">
        <f t="shared" si="1"/>
        <v>0.1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3958</v>
      </c>
      <c r="E52" s="512">
        <v>2603</v>
      </c>
      <c r="F52" s="512">
        <v>2576</v>
      </c>
      <c r="G52" s="512">
        <v>2844</v>
      </c>
      <c r="H52" s="512">
        <v>2689</v>
      </c>
      <c r="I52" s="512">
        <v>2726</v>
      </c>
      <c r="J52" s="513">
        <v>2706</v>
      </c>
      <c r="K52" s="514">
        <v>2443</v>
      </c>
      <c r="L52" s="511">
        <v>2440</v>
      </c>
      <c r="M52" s="512">
        <v>2452</v>
      </c>
      <c r="N52" s="512">
        <v>2452</v>
      </c>
      <c r="O52" s="512">
        <v>2452</v>
      </c>
      <c r="P52" s="513">
        <v>2452</v>
      </c>
      <c r="Q52" s="514">
        <v>2452</v>
      </c>
      <c r="R52" s="574">
        <f t="shared" si="0"/>
        <v>-6.7</v>
      </c>
      <c r="S52" s="510">
        <f t="shared" si="1"/>
        <v>0.1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994</v>
      </c>
      <c r="E53" s="496">
        <v>1710</v>
      </c>
      <c r="F53" s="496">
        <v>1660</v>
      </c>
      <c r="G53" s="496">
        <v>1660</v>
      </c>
      <c r="H53" s="496">
        <v>2030</v>
      </c>
      <c r="I53" s="496">
        <v>2030</v>
      </c>
      <c r="J53" s="497">
        <v>2100</v>
      </c>
      <c r="K53" s="502">
        <v>2000</v>
      </c>
      <c r="L53" s="503">
        <v>2300</v>
      </c>
      <c r="M53" s="496">
        <v>2400</v>
      </c>
      <c r="N53" s="496">
        <v>2500</v>
      </c>
      <c r="O53" s="496">
        <v>2600</v>
      </c>
      <c r="P53" s="497">
        <v>2700</v>
      </c>
      <c r="Q53" s="502">
        <v>3000</v>
      </c>
      <c r="R53" s="573">
        <f t="shared" si="0"/>
        <v>10.5</v>
      </c>
      <c r="S53" s="256">
        <f t="shared" si="1"/>
        <v>5.5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0</v>
      </c>
      <c r="F54" s="518">
        <v>0</v>
      </c>
      <c r="G54" s="518">
        <v>0</v>
      </c>
      <c r="H54" s="518">
        <v>0</v>
      </c>
      <c r="I54" s="518">
        <v>0</v>
      </c>
      <c r="J54" s="519">
        <v>0</v>
      </c>
      <c r="K54" s="514">
        <v>0</v>
      </c>
      <c r="L54" s="511">
        <v>0</v>
      </c>
      <c r="M54" s="518">
        <v>0</v>
      </c>
      <c r="N54" s="518">
        <v>0</v>
      </c>
      <c r="O54" s="518">
        <v>0</v>
      </c>
      <c r="P54" s="519">
        <v>0</v>
      </c>
      <c r="Q54" s="514">
        <v>0</v>
      </c>
      <c r="R54" s="574" t="str">
        <f t="shared" si="0"/>
        <v xml:space="preserve">     -</v>
      </c>
      <c r="S54" s="510" t="str">
        <f t="shared" si="1"/>
        <v xml:space="preserve">     -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28</v>
      </c>
      <c r="E55" s="518">
        <v>20</v>
      </c>
      <c r="F55" s="518">
        <v>20</v>
      </c>
      <c r="G55" s="518">
        <v>0</v>
      </c>
      <c r="H55" s="518">
        <v>0</v>
      </c>
      <c r="I55" s="518">
        <v>0</v>
      </c>
      <c r="J55" s="519">
        <v>0</v>
      </c>
      <c r="K55" s="514">
        <v>50</v>
      </c>
      <c r="L55" s="511">
        <v>50</v>
      </c>
      <c r="M55" s="518">
        <v>50</v>
      </c>
      <c r="N55" s="518">
        <v>50</v>
      </c>
      <c r="O55" s="518">
        <v>60</v>
      </c>
      <c r="P55" s="519">
        <v>60</v>
      </c>
      <c r="Q55" s="514">
        <v>60</v>
      </c>
      <c r="R55" s="574">
        <f t="shared" si="0"/>
        <v>8.6</v>
      </c>
      <c r="S55" s="510">
        <f t="shared" si="1"/>
        <v>3.7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310</v>
      </c>
      <c r="E56" s="521">
        <v>310</v>
      </c>
      <c r="F56" s="521">
        <v>300</v>
      </c>
      <c r="G56" s="521">
        <v>300</v>
      </c>
      <c r="H56" s="521">
        <v>280</v>
      </c>
      <c r="I56" s="521">
        <v>280</v>
      </c>
      <c r="J56" s="522">
        <v>280</v>
      </c>
      <c r="K56" s="523">
        <v>114</v>
      </c>
      <c r="L56" s="520">
        <v>115</v>
      </c>
      <c r="M56" s="521">
        <v>117</v>
      </c>
      <c r="N56" s="521">
        <v>119</v>
      </c>
      <c r="O56" s="521">
        <v>121</v>
      </c>
      <c r="P56" s="522">
        <v>123</v>
      </c>
      <c r="Q56" s="523">
        <v>125</v>
      </c>
      <c r="R56" s="574">
        <f t="shared" si="0"/>
        <v>-13.3</v>
      </c>
      <c r="S56" s="510">
        <f t="shared" si="1"/>
        <v>1.7</v>
      </c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" customHeight="1">
      <c r="A57" s="16"/>
      <c r="B57" s="672" t="s">
        <v>316</v>
      </c>
      <c r="C57" s="673"/>
      <c r="D57" s="553">
        <v>3087</v>
      </c>
      <c r="E57" s="526">
        <v>4100</v>
      </c>
      <c r="F57" s="530">
        <v>4100</v>
      </c>
      <c r="G57" s="497">
        <v>4600</v>
      </c>
      <c r="H57" s="496">
        <v>4600</v>
      </c>
      <c r="I57" s="497">
        <v>4600</v>
      </c>
      <c r="J57" s="551">
        <v>4600</v>
      </c>
      <c r="K57" s="554">
        <v>4600</v>
      </c>
      <c r="L57" s="527">
        <v>4600</v>
      </c>
      <c r="M57" s="528">
        <v>4600</v>
      </c>
      <c r="N57" s="528">
        <v>4600</v>
      </c>
      <c r="O57" s="528">
        <v>4600</v>
      </c>
      <c r="P57" s="500">
        <v>4600</v>
      </c>
      <c r="Q57" s="498">
        <v>4600</v>
      </c>
      <c r="R57" s="573">
        <f t="shared" si="0"/>
        <v>5.9</v>
      </c>
      <c r="S57" s="256">
        <f t="shared" si="1"/>
        <v>0</v>
      </c>
      <c r="U57" s="43"/>
      <c r="V57" s="43"/>
      <c r="W57" s="43"/>
      <c r="X57" s="43"/>
      <c r="Y57" s="43"/>
      <c r="Z57" s="43"/>
      <c r="AA57" s="43"/>
      <c r="AB57" s="326"/>
      <c r="AC57" s="326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34.003574408468239</v>
      </c>
      <c r="E58" s="526">
        <v>34.513628024595256</v>
      </c>
      <c r="F58" s="530">
        <v>30</v>
      </c>
      <c r="G58" s="497">
        <v>35.556802431638637</v>
      </c>
      <c r="H58" s="496">
        <v>36.090154468113212</v>
      </c>
      <c r="I58" s="497">
        <v>34</v>
      </c>
      <c r="J58" s="551">
        <v>34.200000000000003</v>
      </c>
      <c r="K58" s="498">
        <v>34.200000000000003</v>
      </c>
      <c r="L58" s="499">
        <v>34.200000000000003</v>
      </c>
      <c r="M58" s="532">
        <v>34.200000000000003</v>
      </c>
      <c r="N58" s="532">
        <v>34.200000000000003</v>
      </c>
      <c r="O58" s="532">
        <v>34.200000000000003</v>
      </c>
      <c r="P58" s="532">
        <v>34</v>
      </c>
      <c r="Q58" s="498">
        <v>34</v>
      </c>
      <c r="R58" s="573">
        <f t="shared" si="0"/>
        <v>0.1</v>
      </c>
      <c r="S58" s="256">
        <f t="shared" si="1"/>
        <v>-0.1</v>
      </c>
      <c r="U58" s="43"/>
      <c r="V58" s="43"/>
      <c r="W58" s="43"/>
      <c r="X58" s="43"/>
      <c r="Y58" s="43"/>
      <c r="Z58" s="43"/>
      <c r="AA58" s="43"/>
      <c r="AB58" s="326"/>
      <c r="AC58" s="326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3121.003574408468</v>
      </c>
      <c r="E59" s="92">
        <f t="shared" ref="E59:Q59" si="7">SUM(E57:E58)</f>
        <v>4134.5136280245952</v>
      </c>
      <c r="F59" s="92">
        <f t="shared" si="7"/>
        <v>4130</v>
      </c>
      <c r="G59" s="93">
        <f t="shared" si="7"/>
        <v>4635.556802431639</v>
      </c>
      <c r="H59" s="93">
        <f t="shared" si="7"/>
        <v>4636.0901544681128</v>
      </c>
      <c r="I59" s="94">
        <f t="shared" si="7"/>
        <v>4634</v>
      </c>
      <c r="J59" s="94">
        <f t="shared" si="7"/>
        <v>4634.2</v>
      </c>
      <c r="K59" s="96">
        <f t="shared" si="7"/>
        <v>4634.2</v>
      </c>
      <c r="L59" s="555">
        <f t="shared" si="7"/>
        <v>4634.2</v>
      </c>
      <c r="M59" s="556">
        <f t="shared" si="7"/>
        <v>4634.2</v>
      </c>
      <c r="N59" s="556">
        <f t="shared" si="7"/>
        <v>4634.2</v>
      </c>
      <c r="O59" s="556">
        <f t="shared" si="7"/>
        <v>4634.2</v>
      </c>
      <c r="P59" s="556">
        <f t="shared" si="7"/>
        <v>4634</v>
      </c>
      <c r="Q59" s="227">
        <f t="shared" si="7"/>
        <v>4634</v>
      </c>
      <c r="R59" s="574">
        <f t="shared" si="0"/>
        <v>5.8</v>
      </c>
      <c r="S59" s="510">
        <f t="shared" si="1"/>
        <v>0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309.55614999999995</v>
      </c>
      <c r="E60" s="526">
        <v>318.84283449999992</v>
      </c>
      <c r="F60" s="530">
        <v>90</v>
      </c>
      <c r="G60" s="497">
        <v>92</v>
      </c>
      <c r="H60" s="496">
        <v>94</v>
      </c>
      <c r="I60" s="497">
        <v>100</v>
      </c>
      <c r="J60" s="551">
        <v>100</v>
      </c>
      <c r="K60" s="498">
        <v>100</v>
      </c>
      <c r="L60" s="533">
        <v>100</v>
      </c>
      <c r="M60" s="534">
        <v>100</v>
      </c>
      <c r="N60" s="534">
        <v>100</v>
      </c>
      <c r="O60" s="534">
        <v>100</v>
      </c>
      <c r="P60" s="534">
        <v>100</v>
      </c>
      <c r="Q60" s="535">
        <v>100</v>
      </c>
      <c r="R60" s="573">
        <f t="shared" si="0"/>
        <v>-14.9</v>
      </c>
      <c r="S60" s="256">
        <f t="shared" si="1"/>
        <v>0</v>
      </c>
      <c r="U60" s="43"/>
      <c r="V60" s="43"/>
      <c r="W60" s="43"/>
      <c r="X60" s="43"/>
      <c r="Y60" s="43"/>
      <c r="Z60" s="43"/>
      <c r="AA60" s="43"/>
      <c r="AB60" s="43"/>
      <c r="AC60" s="43"/>
      <c r="AD60" s="326"/>
      <c r="AE60" s="326"/>
      <c r="AF60" s="326"/>
      <c r="AG60" s="326"/>
    </row>
    <row r="61" spans="1:33" ht="15" customHeight="1">
      <c r="A61" s="16"/>
      <c r="B61" s="668" t="s">
        <v>320</v>
      </c>
      <c r="C61" s="669"/>
      <c r="D61" s="553">
        <v>85.628391578947358</v>
      </c>
      <c r="E61" s="526">
        <v>87.34095941052631</v>
      </c>
      <c r="F61" s="530">
        <v>89.087778598736833</v>
      </c>
      <c r="G61" s="497">
        <v>85</v>
      </c>
      <c r="H61" s="496">
        <v>85</v>
      </c>
      <c r="I61" s="497">
        <v>85</v>
      </c>
      <c r="J61" s="497">
        <v>85</v>
      </c>
      <c r="K61" s="502">
        <v>85</v>
      </c>
      <c r="L61" s="503">
        <v>85</v>
      </c>
      <c r="M61" s="496">
        <v>85</v>
      </c>
      <c r="N61" s="496">
        <v>85</v>
      </c>
      <c r="O61" s="496">
        <v>85</v>
      </c>
      <c r="P61" s="497">
        <v>85</v>
      </c>
      <c r="Q61" s="502">
        <v>85</v>
      </c>
      <c r="R61" s="573">
        <f t="shared" si="0"/>
        <v>-0.1</v>
      </c>
      <c r="S61" s="256">
        <f t="shared" si="1"/>
        <v>0</v>
      </c>
      <c r="U61" s="43"/>
      <c r="V61" s="43"/>
      <c r="W61" s="43"/>
      <c r="X61" s="43"/>
      <c r="Y61" s="43"/>
      <c r="Z61" s="43"/>
      <c r="AA61" s="43"/>
      <c r="AB61" s="43"/>
      <c r="AC61" s="43"/>
      <c r="AD61" s="326"/>
      <c r="AE61" s="326"/>
      <c r="AF61" s="326"/>
      <c r="AG61" s="326"/>
    </row>
    <row r="62" spans="1:33" ht="15" customHeight="1">
      <c r="A62" s="16"/>
      <c r="B62" s="670" t="s">
        <v>321</v>
      </c>
      <c r="C62" s="671"/>
      <c r="D62" s="553">
        <v>149</v>
      </c>
      <c r="E62" s="525">
        <v>152</v>
      </c>
      <c r="F62" s="530">
        <v>156</v>
      </c>
      <c r="G62" s="497">
        <v>161</v>
      </c>
      <c r="H62" s="496">
        <v>166.16025641025644</v>
      </c>
      <c r="I62" s="497">
        <v>171.48590565417493</v>
      </c>
      <c r="J62" s="497">
        <v>171</v>
      </c>
      <c r="K62" s="536">
        <v>171</v>
      </c>
      <c r="L62" s="537">
        <v>171</v>
      </c>
      <c r="M62" s="538">
        <v>171</v>
      </c>
      <c r="N62" s="538">
        <v>171</v>
      </c>
      <c r="O62" s="538">
        <v>171</v>
      </c>
      <c r="P62" s="515">
        <v>171</v>
      </c>
      <c r="Q62" s="536">
        <v>171</v>
      </c>
      <c r="R62" s="573">
        <f t="shared" si="0"/>
        <v>2</v>
      </c>
      <c r="S62" s="256">
        <f t="shared" si="1"/>
        <v>0</v>
      </c>
      <c r="U62" s="43"/>
      <c r="V62" s="43"/>
      <c r="W62" s="43"/>
      <c r="X62" s="43"/>
      <c r="Y62" s="43"/>
      <c r="Z62" s="43"/>
      <c r="AA62" s="43"/>
      <c r="AB62" s="43"/>
      <c r="AC62" s="43"/>
      <c r="AD62" s="283"/>
      <c r="AE62" s="283"/>
      <c r="AF62" s="283"/>
      <c r="AG62" s="283"/>
    </row>
    <row r="63" spans="1:33" ht="15.75" customHeight="1" thickBot="1">
      <c r="A63" s="16"/>
      <c r="B63" s="678" t="s">
        <v>322</v>
      </c>
      <c r="C63" s="679"/>
      <c r="D63" s="102">
        <f>SUM(D60:D62)</f>
        <v>544.18454157894735</v>
      </c>
      <c r="E63" s="539">
        <f t="shared" ref="E63:Q63" si="8">SUM(E60:E62)</f>
        <v>558.18379391052622</v>
      </c>
      <c r="F63" s="539">
        <f t="shared" si="8"/>
        <v>335.0877785987368</v>
      </c>
      <c r="G63" s="100">
        <f t="shared" si="8"/>
        <v>338</v>
      </c>
      <c r="H63" s="100">
        <f t="shared" si="8"/>
        <v>345.16025641025647</v>
      </c>
      <c r="I63" s="100">
        <f t="shared" si="8"/>
        <v>356.48590565417493</v>
      </c>
      <c r="J63" s="101">
        <f t="shared" si="8"/>
        <v>356</v>
      </c>
      <c r="K63" s="104">
        <f t="shared" si="8"/>
        <v>356</v>
      </c>
      <c r="L63" s="540">
        <f t="shared" si="8"/>
        <v>356</v>
      </c>
      <c r="M63" s="100">
        <f t="shared" si="8"/>
        <v>356</v>
      </c>
      <c r="N63" s="100">
        <f t="shared" si="8"/>
        <v>356</v>
      </c>
      <c r="O63" s="100">
        <f t="shared" si="8"/>
        <v>356</v>
      </c>
      <c r="P63" s="100">
        <f t="shared" si="8"/>
        <v>356</v>
      </c>
      <c r="Q63" s="103">
        <f t="shared" si="8"/>
        <v>356</v>
      </c>
      <c r="R63" s="576">
        <f t="shared" si="0"/>
        <v>-5.9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11902.759169818954</v>
      </c>
      <c r="E64" s="543">
        <f t="shared" ref="E64:Q64" si="9">E48+E49+E51+E53+E55+E56+E59+E63</f>
        <v>12640.981421935121</v>
      </c>
      <c r="F64" s="543">
        <f t="shared" si="9"/>
        <v>11926.435663844637</v>
      </c>
      <c r="G64" s="544">
        <f t="shared" si="9"/>
        <v>12865.762029381993</v>
      </c>
      <c r="H64" s="544">
        <f t="shared" si="9"/>
        <v>13391.271410878368</v>
      </c>
      <c r="I64" s="544">
        <f t="shared" si="9"/>
        <v>13557.579559409838</v>
      </c>
      <c r="J64" s="545">
        <f t="shared" si="9"/>
        <v>13610.046000000002</v>
      </c>
      <c r="K64" s="546">
        <f t="shared" si="9"/>
        <v>13328.771000000001</v>
      </c>
      <c r="L64" s="547">
        <f t="shared" si="9"/>
        <v>13658.79</v>
      </c>
      <c r="M64" s="544">
        <f t="shared" si="9"/>
        <v>13869.502499999999</v>
      </c>
      <c r="N64" s="544">
        <f t="shared" si="9"/>
        <v>14038.977999999999</v>
      </c>
      <c r="O64" s="544">
        <f t="shared" si="9"/>
        <v>14294.563000000002</v>
      </c>
      <c r="P64" s="544">
        <f t="shared" si="9"/>
        <v>14760.398499999999</v>
      </c>
      <c r="Q64" s="577">
        <f t="shared" si="9"/>
        <v>15112.4095</v>
      </c>
      <c r="R64" s="579">
        <f t="shared" si="0"/>
        <v>1.6</v>
      </c>
      <c r="S64" s="558">
        <f t="shared" si="1"/>
        <v>2</v>
      </c>
    </row>
    <row r="65" spans="1:33" ht="15" customHeight="1">
      <c r="A65" s="616" t="s">
        <v>327</v>
      </c>
      <c r="B65" s="666" t="s">
        <v>433</v>
      </c>
      <c r="C65" s="667"/>
      <c r="D65" s="495">
        <v>400</v>
      </c>
      <c r="E65" s="496">
        <v>400</v>
      </c>
      <c r="F65" s="497">
        <v>400</v>
      </c>
      <c r="G65" s="497">
        <v>400</v>
      </c>
      <c r="H65" s="496">
        <v>400</v>
      </c>
      <c r="I65" s="497">
        <v>500</v>
      </c>
      <c r="J65" s="497">
        <v>500</v>
      </c>
      <c r="K65" s="502">
        <v>500</v>
      </c>
      <c r="L65" s="503">
        <v>500</v>
      </c>
      <c r="M65" s="496">
        <v>500</v>
      </c>
      <c r="N65" s="496">
        <v>500</v>
      </c>
      <c r="O65" s="496">
        <v>600</v>
      </c>
      <c r="P65" s="279">
        <v>700</v>
      </c>
      <c r="Q65" s="502">
        <v>700</v>
      </c>
      <c r="R65" s="573">
        <f t="shared" si="0"/>
        <v>3.2</v>
      </c>
      <c r="S65" s="256">
        <f t="shared" si="1"/>
        <v>7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121</v>
      </c>
      <c r="E66" s="496">
        <v>121</v>
      </c>
      <c r="F66" s="497">
        <v>126</v>
      </c>
      <c r="G66" s="497">
        <v>126</v>
      </c>
      <c r="H66" s="496">
        <v>126</v>
      </c>
      <c r="I66" s="497">
        <v>126</v>
      </c>
      <c r="J66" s="497">
        <v>126</v>
      </c>
      <c r="K66" s="502">
        <v>120</v>
      </c>
      <c r="L66" s="503">
        <v>150</v>
      </c>
      <c r="M66" s="496">
        <v>150</v>
      </c>
      <c r="N66" s="496">
        <v>150</v>
      </c>
      <c r="O66" s="496">
        <v>150</v>
      </c>
      <c r="P66" s="279">
        <v>150</v>
      </c>
      <c r="Q66" s="502">
        <v>150</v>
      </c>
      <c r="R66" s="573">
        <f t="shared" si="0"/>
        <v>-0.1</v>
      </c>
      <c r="S66" s="256">
        <f t="shared" si="1"/>
        <v>0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158</v>
      </c>
      <c r="E67" s="496">
        <v>70.78703999999999</v>
      </c>
      <c r="F67" s="497">
        <v>65.895251519999988</v>
      </c>
      <c r="G67" s="497">
        <v>68.698911077760002</v>
      </c>
      <c r="H67" s="496">
        <v>68.031379499015046</v>
      </c>
      <c r="I67" s="497">
        <v>114.69440708899535</v>
      </c>
      <c r="J67" s="497">
        <v>108</v>
      </c>
      <c r="K67" s="502">
        <v>114</v>
      </c>
      <c r="L67" s="503">
        <v>115</v>
      </c>
      <c r="M67" s="496">
        <v>116</v>
      </c>
      <c r="N67" s="496">
        <v>116</v>
      </c>
      <c r="O67" s="496">
        <v>113</v>
      </c>
      <c r="P67" s="497">
        <v>118</v>
      </c>
      <c r="Q67" s="502">
        <v>118</v>
      </c>
      <c r="R67" s="573">
        <f t="shared" si="0"/>
        <v>-4.5999999999999996</v>
      </c>
      <c r="S67" s="256">
        <f t="shared" si="1"/>
        <v>0.5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441.63505383153824</v>
      </c>
      <c r="E68" s="496">
        <v>609.14999999999964</v>
      </c>
      <c r="F68" s="497">
        <v>790.61688524590136</v>
      </c>
      <c r="G68" s="497">
        <v>800.19822695035327</v>
      </c>
      <c r="H68" s="496">
        <v>900</v>
      </c>
      <c r="I68" s="497">
        <v>1000</v>
      </c>
      <c r="J68" s="497">
        <v>1100</v>
      </c>
      <c r="K68" s="502">
        <v>1200</v>
      </c>
      <c r="L68" s="503">
        <v>1250</v>
      </c>
      <c r="M68" s="496">
        <v>1300</v>
      </c>
      <c r="N68" s="496">
        <v>1350</v>
      </c>
      <c r="O68" s="496">
        <v>1400</v>
      </c>
      <c r="P68" s="279">
        <v>1450</v>
      </c>
      <c r="Q68" s="502">
        <v>1500</v>
      </c>
      <c r="R68" s="573">
        <f t="shared" si="0"/>
        <v>15.3</v>
      </c>
      <c r="S68" s="256">
        <f t="shared" si="1"/>
        <v>3.7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0</v>
      </c>
      <c r="E69" s="496">
        <v>0</v>
      </c>
      <c r="F69" s="497">
        <v>0</v>
      </c>
      <c r="G69" s="497">
        <v>0</v>
      </c>
      <c r="H69" s="496">
        <v>0</v>
      </c>
      <c r="I69" s="497">
        <v>0</v>
      </c>
      <c r="J69" s="497">
        <v>0</v>
      </c>
      <c r="K69" s="502">
        <v>0</v>
      </c>
      <c r="L69" s="503">
        <v>0</v>
      </c>
      <c r="M69" s="496">
        <v>0</v>
      </c>
      <c r="N69" s="496">
        <v>0</v>
      </c>
      <c r="O69" s="496">
        <v>0</v>
      </c>
      <c r="P69" s="497">
        <v>0</v>
      </c>
      <c r="Q69" s="502">
        <v>0</v>
      </c>
      <c r="R69" s="573" t="str">
        <f t="shared" si="0"/>
        <v xml:space="preserve">     -</v>
      </c>
      <c r="S69" s="256" t="str">
        <f t="shared" si="1"/>
        <v xml:space="preserve">     -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0</v>
      </c>
      <c r="E70" s="45">
        <v>0</v>
      </c>
      <c r="F70" s="49">
        <v>0</v>
      </c>
      <c r="G70" s="45">
        <v>0</v>
      </c>
      <c r="H70" s="49">
        <v>0</v>
      </c>
      <c r="I70" s="45">
        <v>0</v>
      </c>
      <c r="J70" s="49">
        <v>0</v>
      </c>
      <c r="K70" s="50">
        <v>0</v>
      </c>
      <c r="L70" s="504">
        <v>0</v>
      </c>
      <c r="M70" s="45">
        <v>0</v>
      </c>
      <c r="N70" s="45">
        <v>0</v>
      </c>
      <c r="O70" s="45">
        <v>0</v>
      </c>
      <c r="P70" s="45">
        <v>0</v>
      </c>
      <c r="Q70" s="51">
        <v>0</v>
      </c>
      <c r="R70" s="573" t="str">
        <f t="shared" si="0"/>
        <v xml:space="preserve">     -</v>
      </c>
      <c r="S70" s="256" t="str">
        <f t="shared" si="1"/>
        <v xml:space="preserve">     -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140</v>
      </c>
      <c r="E71" s="49">
        <v>140</v>
      </c>
      <c r="F71" s="45">
        <v>140</v>
      </c>
      <c r="G71" s="49">
        <v>140</v>
      </c>
      <c r="H71" s="49">
        <v>140</v>
      </c>
      <c r="I71" s="45">
        <v>140</v>
      </c>
      <c r="J71" s="49">
        <v>140</v>
      </c>
      <c r="K71" s="50">
        <v>140</v>
      </c>
      <c r="L71" s="140">
        <v>140</v>
      </c>
      <c r="M71" s="45">
        <v>140</v>
      </c>
      <c r="N71" s="45">
        <v>140</v>
      </c>
      <c r="O71" s="45">
        <v>140</v>
      </c>
      <c r="P71" s="45">
        <v>140</v>
      </c>
      <c r="Q71" s="50">
        <v>140</v>
      </c>
      <c r="R71" s="573">
        <f t="shared" si="0"/>
        <v>0</v>
      </c>
      <c r="S71" s="256">
        <f t="shared" si="1"/>
        <v>0</v>
      </c>
      <c r="U71" s="43"/>
      <c r="V71" s="280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>
        <v>0</v>
      </c>
      <c r="R73" s="573" t="str">
        <f t="shared" si="10"/>
        <v xml:space="preserve">     -</v>
      </c>
      <c r="S73" s="256" t="str">
        <f t="shared" si="11"/>
        <v xml:space="preserve">     -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0</v>
      </c>
      <c r="E74" s="496">
        <v>0</v>
      </c>
      <c r="F74" s="497">
        <v>0</v>
      </c>
      <c r="G74" s="497">
        <v>0</v>
      </c>
      <c r="H74" s="496">
        <v>0</v>
      </c>
      <c r="I74" s="497">
        <v>0</v>
      </c>
      <c r="J74" s="497">
        <v>0</v>
      </c>
      <c r="K74" s="502">
        <v>0</v>
      </c>
      <c r="L74" s="503">
        <v>0</v>
      </c>
      <c r="M74" s="496">
        <v>0</v>
      </c>
      <c r="N74" s="496">
        <v>0</v>
      </c>
      <c r="O74" s="496">
        <v>0</v>
      </c>
      <c r="P74" s="497">
        <v>0</v>
      </c>
      <c r="Q74" s="502">
        <v>0</v>
      </c>
      <c r="R74" s="573" t="str">
        <f t="shared" si="10"/>
        <v xml:space="preserve">     -</v>
      </c>
      <c r="S74" s="256" t="str">
        <f t="shared" si="11"/>
        <v xml:space="preserve">     -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134</v>
      </c>
      <c r="E75" s="496">
        <v>143</v>
      </c>
      <c r="F75" s="497">
        <v>152</v>
      </c>
      <c r="G75" s="497">
        <v>163</v>
      </c>
      <c r="H75" s="496">
        <v>174</v>
      </c>
      <c r="I75" s="497">
        <v>185</v>
      </c>
      <c r="J75" s="497">
        <v>196</v>
      </c>
      <c r="K75" s="502">
        <v>208</v>
      </c>
      <c r="L75" s="503">
        <v>220</v>
      </c>
      <c r="M75" s="496">
        <v>233</v>
      </c>
      <c r="N75" s="496">
        <v>247</v>
      </c>
      <c r="O75" s="496">
        <v>262</v>
      </c>
      <c r="P75" s="279">
        <v>280</v>
      </c>
      <c r="Q75" s="502">
        <v>296</v>
      </c>
      <c r="R75" s="573">
        <f t="shared" si="10"/>
        <v>6.5</v>
      </c>
      <c r="S75" s="256">
        <f t="shared" si="11"/>
        <v>6.1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978.8</v>
      </c>
      <c r="E76" s="40">
        <v>1013.7</v>
      </c>
      <c r="F76" s="40">
        <v>943</v>
      </c>
      <c r="G76" s="40">
        <v>940</v>
      </c>
      <c r="H76" s="505">
        <v>965.56666666666661</v>
      </c>
      <c r="I76" s="505">
        <v>929</v>
      </c>
      <c r="J76" s="506">
        <v>918</v>
      </c>
      <c r="K76" s="507">
        <v>939</v>
      </c>
      <c r="L76" s="508">
        <v>925</v>
      </c>
      <c r="M76" s="505">
        <v>956.63350000000003</v>
      </c>
      <c r="N76" s="505">
        <v>952.10899999999992</v>
      </c>
      <c r="O76" s="505">
        <v>950.69399999999996</v>
      </c>
      <c r="P76" s="505">
        <v>950.72950000000003</v>
      </c>
      <c r="Q76" s="509">
        <v>950.74049999999988</v>
      </c>
      <c r="R76" s="573">
        <f t="shared" si="10"/>
        <v>-0.6</v>
      </c>
      <c r="S76" s="256">
        <f t="shared" si="11"/>
        <v>0.6</v>
      </c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2373.4350538315384</v>
      </c>
      <c r="E77" s="93">
        <f t="shared" ref="E77:Q77" si="12">SUM(E65:E76)</f>
        <v>2497.6370399999996</v>
      </c>
      <c r="F77" s="93">
        <f t="shared" si="12"/>
        <v>2617.5121367659012</v>
      </c>
      <c r="G77" s="93">
        <f t="shared" si="12"/>
        <v>2637.8971380281132</v>
      </c>
      <c r="H77" s="93">
        <f t="shared" si="12"/>
        <v>2773.5980461656818</v>
      </c>
      <c r="I77" s="93">
        <f t="shared" si="12"/>
        <v>2994.6944070889954</v>
      </c>
      <c r="J77" s="93">
        <f t="shared" si="12"/>
        <v>3088</v>
      </c>
      <c r="K77" s="96">
        <f t="shared" si="12"/>
        <v>3221</v>
      </c>
      <c r="L77" s="95">
        <f t="shared" si="12"/>
        <v>3300</v>
      </c>
      <c r="M77" s="93">
        <f t="shared" si="12"/>
        <v>3395.6334999999999</v>
      </c>
      <c r="N77" s="93">
        <f t="shared" si="12"/>
        <v>3455.1089999999999</v>
      </c>
      <c r="O77" s="93">
        <f t="shared" si="12"/>
        <v>3615.694</v>
      </c>
      <c r="P77" s="93">
        <f t="shared" si="12"/>
        <v>3788.7294999999999</v>
      </c>
      <c r="Q77" s="96">
        <f t="shared" si="12"/>
        <v>3854.7404999999999</v>
      </c>
      <c r="R77" s="574">
        <f t="shared" si="10"/>
        <v>4.5</v>
      </c>
      <c r="S77" s="510">
        <f t="shared" si="11"/>
        <v>3.2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65.863</v>
      </c>
      <c r="E78" s="512">
        <v>37.635999999999996</v>
      </c>
      <c r="F78" s="512">
        <v>38</v>
      </c>
      <c r="G78" s="512">
        <v>37.635999999999996</v>
      </c>
      <c r="H78" s="512">
        <v>37.635999999999996</v>
      </c>
      <c r="I78" s="512">
        <v>38</v>
      </c>
      <c r="J78" s="513">
        <v>34</v>
      </c>
      <c r="K78" s="514">
        <v>35</v>
      </c>
      <c r="L78" s="511">
        <v>36</v>
      </c>
      <c r="M78" s="512">
        <v>37</v>
      </c>
      <c r="N78" s="512">
        <v>38</v>
      </c>
      <c r="O78" s="512">
        <v>39</v>
      </c>
      <c r="P78" s="513">
        <v>40</v>
      </c>
      <c r="Q78" s="514">
        <v>41</v>
      </c>
      <c r="R78" s="574">
        <f t="shared" si="10"/>
        <v>-8.6</v>
      </c>
      <c r="S78" s="510">
        <f t="shared" si="11"/>
        <v>2.6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37.635999999999996</v>
      </c>
      <c r="E79" s="512">
        <v>37.635999999999996</v>
      </c>
      <c r="F79" s="512">
        <v>37.635999999999996</v>
      </c>
      <c r="G79" s="512">
        <v>37.635999999999996</v>
      </c>
      <c r="H79" s="512">
        <v>37.635999999999996</v>
      </c>
      <c r="I79" s="512">
        <v>38</v>
      </c>
      <c r="J79" s="513">
        <v>34</v>
      </c>
      <c r="K79" s="514">
        <v>35</v>
      </c>
      <c r="L79" s="511">
        <v>36</v>
      </c>
      <c r="M79" s="512">
        <v>37</v>
      </c>
      <c r="N79" s="512">
        <v>38</v>
      </c>
      <c r="O79" s="512">
        <v>39</v>
      </c>
      <c r="P79" s="513">
        <v>40</v>
      </c>
      <c r="Q79" s="514">
        <v>41</v>
      </c>
      <c r="R79" s="574">
        <f t="shared" si="10"/>
        <v>-1</v>
      </c>
      <c r="S79" s="510">
        <f t="shared" si="11"/>
        <v>2.6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4399</v>
      </c>
      <c r="E80" s="538">
        <v>3280</v>
      </c>
      <c r="F80" s="538">
        <v>2632</v>
      </c>
      <c r="G80" s="538">
        <v>2892</v>
      </c>
      <c r="H80" s="538">
        <v>2747</v>
      </c>
      <c r="I80" s="538">
        <v>2822</v>
      </c>
      <c r="J80" s="515">
        <v>2794</v>
      </c>
      <c r="K80" s="536">
        <v>2508</v>
      </c>
      <c r="L80" s="537">
        <v>2502</v>
      </c>
      <c r="M80" s="538">
        <v>2522</v>
      </c>
      <c r="N80" s="538">
        <v>2522</v>
      </c>
      <c r="O80" s="538">
        <v>2522</v>
      </c>
      <c r="P80" s="515">
        <v>2522</v>
      </c>
      <c r="Q80" s="536">
        <v>2522</v>
      </c>
      <c r="R80" s="575">
        <f t="shared" si="10"/>
        <v>-7.7</v>
      </c>
      <c r="S80" s="517">
        <f t="shared" si="11"/>
        <v>0.2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3958</v>
      </c>
      <c r="E81" s="512">
        <v>2567</v>
      </c>
      <c r="F81" s="512">
        <v>2522</v>
      </c>
      <c r="G81" s="512">
        <v>2818</v>
      </c>
      <c r="H81" s="512">
        <v>2654</v>
      </c>
      <c r="I81" s="512">
        <v>2729</v>
      </c>
      <c r="J81" s="513">
        <v>2705</v>
      </c>
      <c r="K81" s="514">
        <v>2427</v>
      </c>
      <c r="L81" s="511">
        <v>2428</v>
      </c>
      <c r="M81" s="512">
        <v>2447</v>
      </c>
      <c r="N81" s="512">
        <v>2447</v>
      </c>
      <c r="O81" s="512">
        <v>2447</v>
      </c>
      <c r="P81" s="513">
        <v>2447</v>
      </c>
      <c r="Q81" s="514">
        <v>2447</v>
      </c>
      <c r="R81" s="574">
        <f t="shared" si="10"/>
        <v>-6.7</v>
      </c>
      <c r="S81" s="510">
        <f t="shared" si="11"/>
        <v>0.2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994</v>
      </c>
      <c r="E82" s="496">
        <v>1710</v>
      </c>
      <c r="F82" s="496">
        <v>1660</v>
      </c>
      <c r="G82" s="496">
        <v>1660</v>
      </c>
      <c r="H82" s="496">
        <v>2030</v>
      </c>
      <c r="I82" s="496">
        <v>2030</v>
      </c>
      <c r="J82" s="497">
        <v>2100</v>
      </c>
      <c r="K82" s="502">
        <v>2000</v>
      </c>
      <c r="L82" s="503">
        <v>2300</v>
      </c>
      <c r="M82" s="496">
        <v>2400</v>
      </c>
      <c r="N82" s="496">
        <v>2500</v>
      </c>
      <c r="O82" s="496">
        <v>2600</v>
      </c>
      <c r="P82" s="497">
        <v>2700</v>
      </c>
      <c r="Q82" s="502">
        <v>3000</v>
      </c>
      <c r="R82" s="573">
        <f t="shared" si="10"/>
        <v>10.5</v>
      </c>
      <c r="S82" s="256">
        <f t="shared" si="11"/>
        <v>5.5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0</v>
      </c>
      <c r="F83" s="518">
        <v>0</v>
      </c>
      <c r="G83" s="518">
        <v>0</v>
      </c>
      <c r="H83" s="518">
        <v>0</v>
      </c>
      <c r="I83" s="518">
        <v>0</v>
      </c>
      <c r="J83" s="519">
        <v>0</v>
      </c>
      <c r="K83" s="514">
        <v>0</v>
      </c>
      <c r="L83" s="511">
        <v>0</v>
      </c>
      <c r="M83" s="518">
        <v>0</v>
      </c>
      <c r="N83" s="518">
        <v>0</v>
      </c>
      <c r="O83" s="518">
        <v>0</v>
      </c>
      <c r="P83" s="519">
        <v>0</v>
      </c>
      <c r="Q83" s="514">
        <v>0</v>
      </c>
      <c r="R83" s="574" t="str">
        <f t="shared" si="10"/>
        <v xml:space="preserve">     -</v>
      </c>
      <c r="S83" s="510" t="str">
        <f t="shared" si="11"/>
        <v xml:space="preserve">     -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28</v>
      </c>
      <c r="E84" s="518">
        <v>20</v>
      </c>
      <c r="F84" s="518">
        <v>40</v>
      </c>
      <c r="G84" s="518">
        <v>0</v>
      </c>
      <c r="H84" s="518">
        <v>0</v>
      </c>
      <c r="I84" s="518">
        <v>0</v>
      </c>
      <c r="J84" s="519">
        <v>0</v>
      </c>
      <c r="K84" s="514">
        <v>50</v>
      </c>
      <c r="L84" s="511">
        <v>50</v>
      </c>
      <c r="M84" s="518">
        <v>50</v>
      </c>
      <c r="N84" s="518">
        <v>50</v>
      </c>
      <c r="O84" s="518">
        <v>60</v>
      </c>
      <c r="P84" s="519">
        <v>60</v>
      </c>
      <c r="Q84" s="514">
        <v>60</v>
      </c>
      <c r="R84" s="574">
        <f t="shared" si="10"/>
        <v>8.6</v>
      </c>
      <c r="S84" s="510">
        <f t="shared" si="11"/>
        <v>3.7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310</v>
      </c>
      <c r="E85" s="521">
        <v>310</v>
      </c>
      <c r="F85" s="521">
        <v>300</v>
      </c>
      <c r="G85" s="521">
        <v>300</v>
      </c>
      <c r="H85" s="521">
        <v>280</v>
      </c>
      <c r="I85" s="521">
        <v>280</v>
      </c>
      <c r="J85" s="522">
        <v>280</v>
      </c>
      <c r="K85" s="523">
        <v>85</v>
      </c>
      <c r="L85" s="520">
        <v>86</v>
      </c>
      <c r="M85" s="521">
        <v>87</v>
      </c>
      <c r="N85" s="521">
        <v>89</v>
      </c>
      <c r="O85" s="521">
        <v>90</v>
      </c>
      <c r="P85" s="522">
        <v>91</v>
      </c>
      <c r="Q85" s="523">
        <v>93</v>
      </c>
      <c r="R85" s="574">
        <f t="shared" si="10"/>
        <v>-16.899999999999999</v>
      </c>
      <c r="S85" s="510">
        <f t="shared" si="11"/>
        <v>1.6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v>3087</v>
      </c>
      <c r="E86" s="525">
        <v>4100</v>
      </c>
      <c r="F86" s="530">
        <v>4100</v>
      </c>
      <c r="G86" s="530">
        <v>4185</v>
      </c>
      <c r="H86" s="525">
        <v>4230</v>
      </c>
      <c r="I86" s="530">
        <v>4276</v>
      </c>
      <c r="J86" s="530">
        <v>4322</v>
      </c>
      <c r="K86" s="564">
        <v>4421</v>
      </c>
      <c r="L86" s="524">
        <v>4540</v>
      </c>
      <c r="M86" s="525">
        <v>4654</v>
      </c>
      <c r="N86" s="525">
        <v>4736</v>
      </c>
      <c r="O86" s="525">
        <v>4817</v>
      </c>
      <c r="P86" s="530">
        <v>4898</v>
      </c>
      <c r="Q86" s="564">
        <v>4965</v>
      </c>
      <c r="R86" s="573">
        <f t="shared" si="10"/>
        <v>5.3</v>
      </c>
      <c r="S86" s="256">
        <f t="shared" si="11"/>
        <v>1.8</v>
      </c>
      <c r="U86" s="43"/>
      <c r="V86" s="43"/>
      <c r="W86" s="43"/>
      <c r="X86" s="43"/>
      <c r="Y86" s="43"/>
      <c r="Z86" s="43"/>
      <c r="AA86" s="43"/>
      <c r="AB86" s="326"/>
      <c r="AC86" s="326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34.003574408468239</v>
      </c>
      <c r="E87" s="525">
        <v>34</v>
      </c>
      <c r="F87" s="530">
        <v>34</v>
      </c>
      <c r="G87" s="530">
        <v>34</v>
      </c>
      <c r="H87" s="525">
        <v>34</v>
      </c>
      <c r="I87" s="530">
        <v>34</v>
      </c>
      <c r="J87" s="530">
        <v>35</v>
      </c>
      <c r="K87" s="564">
        <v>36</v>
      </c>
      <c r="L87" s="524">
        <v>37</v>
      </c>
      <c r="M87" s="525">
        <v>38</v>
      </c>
      <c r="N87" s="525">
        <v>39</v>
      </c>
      <c r="O87" s="525">
        <v>40</v>
      </c>
      <c r="P87" s="530">
        <v>41</v>
      </c>
      <c r="Q87" s="564">
        <v>42</v>
      </c>
      <c r="R87" s="573">
        <f t="shared" si="10"/>
        <v>0.8</v>
      </c>
      <c r="S87" s="256">
        <f t="shared" si="11"/>
        <v>2.6</v>
      </c>
      <c r="U87" s="43"/>
      <c r="V87" s="43"/>
      <c r="W87" s="43"/>
      <c r="X87" s="43"/>
      <c r="Y87" s="43"/>
      <c r="Z87" s="43"/>
      <c r="AA87" s="43"/>
      <c r="AB87" s="326"/>
      <c r="AC87" s="326"/>
      <c r="AD87" s="43"/>
      <c r="AE87" s="43"/>
      <c r="AF87" s="43"/>
      <c r="AG87" s="43"/>
    </row>
    <row r="88" spans="1:33" ht="15.75" customHeight="1">
      <c r="A88" s="16"/>
      <c r="B88" s="674" t="s">
        <v>318</v>
      </c>
      <c r="C88" s="675"/>
      <c r="D88" s="95">
        <f>SUM(D86:D87)</f>
        <v>3121.003574408468</v>
      </c>
      <c r="E88" s="92">
        <f t="shared" ref="E88:Q88" si="13">SUM(E86:E87)</f>
        <v>4134</v>
      </c>
      <c r="F88" s="92">
        <f t="shared" si="13"/>
        <v>4134</v>
      </c>
      <c r="G88" s="93">
        <f t="shared" si="13"/>
        <v>4219</v>
      </c>
      <c r="H88" s="93">
        <f t="shared" si="13"/>
        <v>4264</v>
      </c>
      <c r="I88" s="94">
        <f t="shared" si="13"/>
        <v>4310</v>
      </c>
      <c r="J88" s="94">
        <f t="shared" si="13"/>
        <v>4357</v>
      </c>
      <c r="K88" s="96">
        <f t="shared" si="13"/>
        <v>4457</v>
      </c>
      <c r="L88" s="95">
        <f t="shared" si="13"/>
        <v>4577</v>
      </c>
      <c r="M88" s="93">
        <f t="shared" si="13"/>
        <v>4692</v>
      </c>
      <c r="N88" s="93">
        <f t="shared" si="13"/>
        <v>4775</v>
      </c>
      <c r="O88" s="93">
        <f t="shared" si="13"/>
        <v>4857</v>
      </c>
      <c r="P88" s="93">
        <f t="shared" si="13"/>
        <v>4939</v>
      </c>
      <c r="Q88" s="96">
        <f t="shared" si="13"/>
        <v>5007</v>
      </c>
      <c r="R88" s="574">
        <f t="shared" si="10"/>
        <v>5.2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90</v>
      </c>
      <c r="E89" s="525">
        <v>90</v>
      </c>
      <c r="F89" s="530">
        <v>90</v>
      </c>
      <c r="G89" s="530">
        <v>90</v>
      </c>
      <c r="H89" s="525">
        <v>90</v>
      </c>
      <c r="I89" s="530">
        <v>100</v>
      </c>
      <c r="J89" s="530">
        <v>100</v>
      </c>
      <c r="K89" s="564">
        <v>101</v>
      </c>
      <c r="L89" s="565">
        <v>103</v>
      </c>
      <c r="M89" s="566">
        <v>105</v>
      </c>
      <c r="N89" s="566">
        <v>107</v>
      </c>
      <c r="O89" s="566">
        <v>109</v>
      </c>
      <c r="P89" s="566">
        <v>111</v>
      </c>
      <c r="Q89" s="567">
        <v>114</v>
      </c>
      <c r="R89" s="573">
        <f t="shared" si="10"/>
        <v>1.7</v>
      </c>
      <c r="S89" s="256">
        <f t="shared" si="11"/>
        <v>2.1</v>
      </c>
      <c r="U89" s="43"/>
      <c r="V89" s="43"/>
      <c r="W89" s="43"/>
      <c r="X89" s="43"/>
      <c r="Y89" s="43"/>
      <c r="Z89" s="43"/>
      <c r="AA89" s="43"/>
      <c r="AB89" s="43"/>
      <c r="AC89" s="43"/>
      <c r="AD89" s="326"/>
      <c r="AE89" s="326"/>
      <c r="AF89" s="326"/>
      <c r="AG89" s="326"/>
    </row>
    <row r="90" spans="1:33" ht="15" customHeight="1">
      <c r="A90" s="16"/>
      <c r="B90" s="668" t="s">
        <v>320</v>
      </c>
      <c r="C90" s="669"/>
      <c r="D90" s="553">
        <v>85.628391578947358</v>
      </c>
      <c r="E90" s="525">
        <v>87.34095941052631</v>
      </c>
      <c r="F90" s="530">
        <v>89.087778598736833</v>
      </c>
      <c r="G90" s="530">
        <v>85</v>
      </c>
      <c r="H90" s="525">
        <v>85</v>
      </c>
      <c r="I90" s="530">
        <v>85</v>
      </c>
      <c r="J90" s="530">
        <v>85</v>
      </c>
      <c r="K90" s="564">
        <v>86</v>
      </c>
      <c r="L90" s="524">
        <v>88</v>
      </c>
      <c r="M90" s="525">
        <v>90</v>
      </c>
      <c r="N90" s="525">
        <v>92</v>
      </c>
      <c r="O90" s="525">
        <v>94</v>
      </c>
      <c r="P90" s="530">
        <v>96</v>
      </c>
      <c r="Q90" s="564">
        <v>98</v>
      </c>
      <c r="R90" s="573">
        <f t="shared" si="10"/>
        <v>0.1</v>
      </c>
      <c r="S90" s="256">
        <f t="shared" si="11"/>
        <v>2.2000000000000002</v>
      </c>
      <c r="U90" s="43"/>
      <c r="V90" s="43"/>
      <c r="W90" s="43"/>
      <c r="X90" s="43"/>
      <c r="Y90" s="43"/>
      <c r="Z90" s="43"/>
      <c r="AA90" s="43"/>
      <c r="AB90" s="43"/>
      <c r="AC90" s="43"/>
      <c r="AD90" s="326"/>
      <c r="AE90" s="326"/>
      <c r="AF90" s="326"/>
      <c r="AG90" s="326"/>
    </row>
    <row r="91" spans="1:33" ht="15" customHeight="1">
      <c r="A91" s="16"/>
      <c r="B91" s="670" t="s">
        <v>321</v>
      </c>
      <c r="C91" s="671"/>
      <c r="D91" s="553">
        <v>149</v>
      </c>
      <c r="E91" s="525">
        <v>152</v>
      </c>
      <c r="F91" s="530">
        <v>156</v>
      </c>
      <c r="G91" s="530">
        <v>161</v>
      </c>
      <c r="H91" s="525">
        <v>166.16025641025644</v>
      </c>
      <c r="I91" s="530">
        <v>171.48590565417493</v>
      </c>
      <c r="J91" s="530">
        <v>180.06020093688369</v>
      </c>
      <c r="K91" s="568">
        <v>182</v>
      </c>
      <c r="L91" s="569">
        <v>185</v>
      </c>
      <c r="M91" s="570">
        <v>189</v>
      </c>
      <c r="N91" s="570">
        <v>194</v>
      </c>
      <c r="O91" s="570">
        <v>199</v>
      </c>
      <c r="P91" s="571">
        <v>204</v>
      </c>
      <c r="Q91" s="568">
        <v>210</v>
      </c>
      <c r="R91" s="573">
        <f t="shared" si="10"/>
        <v>2.9</v>
      </c>
      <c r="S91" s="256">
        <f t="shared" si="11"/>
        <v>2.6</v>
      </c>
      <c r="U91" s="43"/>
      <c r="V91" s="43"/>
      <c r="W91" s="43"/>
      <c r="X91" s="43"/>
      <c r="Y91" s="43"/>
      <c r="Z91" s="43"/>
      <c r="AA91" s="43"/>
      <c r="AB91" s="43"/>
      <c r="AC91" s="43"/>
      <c r="AD91" s="283"/>
      <c r="AE91" s="283"/>
      <c r="AF91" s="283"/>
      <c r="AG91" s="283"/>
    </row>
    <row r="92" spans="1:33" ht="15.75" customHeight="1" thickBot="1">
      <c r="A92" s="16"/>
      <c r="B92" s="678" t="s">
        <v>322</v>
      </c>
      <c r="C92" s="679"/>
      <c r="D92" s="102">
        <f>SUM(D89:D91)</f>
        <v>324.62839157894734</v>
      </c>
      <c r="E92" s="539">
        <f t="shared" ref="E92:Q92" si="14">SUM(E89:E91)</f>
        <v>329.3409594105263</v>
      </c>
      <c r="F92" s="539">
        <f t="shared" si="14"/>
        <v>335.0877785987368</v>
      </c>
      <c r="G92" s="100">
        <f t="shared" si="14"/>
        <v>336</v>
      </c>
      <c r="H92" s="100">
        <f t="shared" si="14"/>
        <v>341.16025641025647</v>
      </c>
      <c r="I92" s="100">
        <f t="shared" si="14"/>
        <v>356.48590565417493</v>
      </c>
      <c r="J92" s="101">
        <f t="shared" si="14"/>
        <v>365.06020093688369</v>
      </c>
      <c r="K92" s="104">
        <f t="shared" si="14"/>
        <v>369</v>
      </c>
      <c r="L92" s="540">
        <f t="shared" si="14"/>
        <v>376</v>
      </c>
      <c r="M92" s="100">
        <f t="shared" si="14"/>
        <v>384</v>
      </c>
      <c r="N92" s="100">
        <f t="shared" si="14"/>
        <v>393</v>
      </c>
      <c r="O92" s="100">
        <f t="shared" si="14"/>
        <v>402</v>
      </c>
      <c r="P92" s="100">
        <f t="shared" si="14"/>
        <v>411</v>
      </c>
      <c r="Q92" s="103">
        <f t="shared" si="14"/>
        <v>422</v>
      </c>
      <c r="R92" s="576">
        <f t="shared" si="10"/>
        <v>1.8</v>
      </c>
      <c r="S92" s="541">
        <f t="shared" si="11"/>
        <v>2.2999999999999998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11615.930019818954</v>
      </c>
      <c r="E93" s="543">
        <f t="shared" ref="E93:Q93" si="15">E77+E78+E80+E82+E84+E85+E88+E92</f>
        <v>12318.613999410527</v>
      </c>
      <c r="F93" s="543">
        <f t="shared" si="15"/>
        <v>11756.599915364637</v>
      </c>
      <c r="G93" s="544">
        <f t="shared" si="15"/>
        <v>12082.533138028113</v>
      </c>
      <c r="H93" s="544">
        <f t="shared" si="15"/>
        <v>12473.394302575938</v>
      </c>
      <c r="I93" s="544">
        <f t="shared" si="15"/>
        <v>12831.18031274317</v>
      </c>
      <c r="J93" s="545">
        <f t="shared" si="15"/>
        <v>13018.060200936883</v>
      </c>
      <c r="K93" s="546">
        <f t="shared" si="15"/>
        <v>12725</v>
      </c>
      <c r="L93" s="547">
        <f t="shared" si="15"/>
        <v>13227</v>
      </c>
      <c r="M93" s="544">
        <f t="shared" si="15"/>
        <v>13567.6335</v>
      </c>
      <c r="N93" s="544">
        <f t="shared" si="15"/>
        <v>13822.109</v>
      </c>
      <c r="O93" s="544">
        <f t="shared" si="15"/>
        <v>14185.694</v>
      </c>
      <c r="P93" s="544">
        <f t="shared" si="15"/>
        <v>14551.729499999999</v>
      </c>
      <c r="Q93" s="577">
        <f t="shared" si="15"/>
        <v>14999.7405</v>
      </c>
      <c r="R93" s="578">
        <f t="shared" si="10"/>
        <v>1.3</v>
      </c>
      <c r="S93" s="549">
        <f t="shared" si="11"/>
        <v>2.5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 spans="5:17">
      <c r="E147" s="27"/>
      <c r="F147" s="27"/>
      <c r="G147" s="27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24"/>
    </row>
    <row r="150" spans="5:17">
      <c r="E150" s="27"/>
      <c r="F150" s="27"/>
      <c r="G150" s="27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7"/>
      <c r="K161" s="27"/>
      <c r="L161" s="27"/>
      <c r="M161" s="27"/>
      <c r="N161" s="27"/>
      <c r="O161" s="27"/>
      <c r="P161" s="27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4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 spans="5:17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4"/>
      <c r="L178" s="24"/>
      <c r="M178" s="24"/>
      <c r="N178" s="24"/>
      <c r="O178" s="24"/>
      <c r="P178" s="24"/>
      <c r="Q178" s="24"/>
    </row>
    <row r="179" spans="5:17">
      <c r="E179" s="27"/>
      <c r="F179" s="27"/>
      <c r="G179" s="27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87" priority="5">
      <formula>CELL("protect",C97)=0</formula>
    </cfRule>
    <cfRule type="expression" dxfId="286" priority="6">
      <formula>CELL("protect",C97)=0</formula>
    </cfRule>
  </conditionalFormatting>
  <conditionalFormatting sqref="C95">
    <cfRule type="expression" dxfId="285" priority="3">
      <formula>CELL("protect",C95)=0</formula>
    </cfRule>
    <cfRule type="expression" dxfId="284" priority="4">
      <formula>CELL("protect",C95)=0</formula>
    </cfRule>
  </conditionalFormatting>
  <conditionalFormatting sqref="C97">
    <cfRule type="expression" dxfId="283" priority="1">
      <formula>CELL("protect",C97)=0</formula>
    </cfRule>
    <cfRule type="expression" dxfId="28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&amp;C151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00B0F0"/>
    <pageSetUpPr fitToPage="1"/>
  </sheetPr>
  <dimension ref="A1:AG182"/>
  <sheetViews>
    <sheetView showGridLines="0" view="pageBreakPreview" zoomScale="80" zoomScaleNormal="7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19.37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11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6309</v>
      </c>
      <c r="E7" s="488">
        <v>6334</v>
      </c>
      <c r="F7" s="489">
        <v>6734</v>
      </c>
      <c r="G7" s="489">
        <v>6979</v>
      </c>
      <c r="H7" s="488">
        <v>7379</v>
      </c>
      <c r="I7" s="489">
        <v>7520</v>
      </c>
      <c r="J7" s="489">
        <v>8250</v>
      </c>
      <c r="K7" s="490">
        <v>8410</v>
      </c>
      <c r="L7" s="491">
        <v>9210</v>
      </c>
      <c r="M7" s="492">
        <v>9525</v>
      </c>
      <c r="N7" s="492">
        <v>9695</v>
      </c>
      <c r="O7" s="492">
        <v>10550</v>
      </c>
      <c r="P7" s="493">
        <v>10900</v>
      </c>
      <c r="Q7" s="490">
        <v>11400</v>
      </c>
      <c r="R7" s="572">
        <f>IF(D7=0,"     -",IF(K7=0,"     -",ROUND(((K7/D7)^(1/7)-1)*100,1)))</f>
        <v>4.2</v>
      </c>
      <c r="S7" s="494">
        <f>IF(L7=0,"     -",IF(Q7=0,"     -",ROUND(((Q7/L7)^(1/5)-1)*100,1)))</f>
        <v>4.4000000000000004</v>
      </c>
      <c r="T7" s="283"/>
      <c r="U7" s="440"/>
      <c r="V7" s="440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3093</v>
      </c>
      <c r="E8" s="496">
        <v>3093</v>
      </c>
      <c r="F8" s="497">
        <v>3589</v>
      </c>
      <c r="G8" s="497">
        <v>3890</v>
      </c>
      <c r="H8" s="496">
        <v>3595</v>
      </c>
      <c r="I8" s="497">
        <v>3595</v>
      </c>
      <c r="J8" s="497">
        <v>3595</v>
      </c>
      <c r="K8" s="498">
        <v>3595</v>
      </c>
      <c r="L8" s="499">
        <v>3595</v>
      </c>
      <c r="M8" s="500">
        <v>3595</v>
      </c>
      <c r="N8" s="500">
        <v>3595</v>
      </c>
      <c r="O8" s="500">
        <v>3595</v>
      </c>
      <c r="P8" s="501">
        <v>3595</v>
      </c>
      <c r="Q8" s="498">
        <v>3595</v>
      </c>
      <c r="R8" s="573">
        <f t="shared" ref="R8:R71" si="0">IF(D8=0,"     -",IF(K8=0,"     -",ROUND(((K8/D8)^(1/7)-1)*100,1)))</f>
        <v>2.2000000000000002</v>
      </c>
      <c r="S8" s="256">
        <f t="shared" ref="S8:S71" si="1">IF(L8=0,"     -",IF(Q8=0,"     -",ROUND(((Q8/L8)^(1/5)-1)*100,1)))</f>
        <v>0</v>
      </c>
      <c r="T8" s="283"/>
      <c r="U8" s="440"/>
      <c r="V8" s="440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1820</v>
      </c>
      <c r="E9" s="496">
        <v>1930</v>
      </c>
      <c r="F9" s="497">
        <v>1930</v>
      </c>
      <c r="G9" s="497">
        <v>2430</v>
      </c>
      <c r="H9" s="496">
        <v>2430</v>
      </c>
      <c r="I9" s="497">
        <v>2530</v>
      </c>
      <c r="J9" s="497">
        <v>2530</v>
      </c>
      <c r="K9" s="502">
        <v>2530</v>
      </c>
      <c r="L9" s="503">
        <v>2530</v>
      </c>
      <c r="M9" s="496">
        <v>2530</v>
      </c>
      <c r="N9" s="496">
        <v>2530</v>
      </c>
      <c r="O9" s="496">
        <v>2530</v>
      </c>
      <c r="P9" s="279">
        <v>2530</v>
      </c>
      <c r="Q9" s="502">
        <v>2530</v>
      </c>
      <c r="R9" s="573">
        <f t="shared" si="0"/>
        <v>4.8</v>
      </c>
      <c r="S9" s="256">
        <f t="shared" si="1"/>
        <v>0</v>
      </c>
      <c r="T9" s="283"/>
      <c r="U9" s="440"/>
      <c r="V9" s="440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14695</v>
      </c>
      <c r="E10" s="496">
        <v>16225</v>
      </c>
      <c r="F10" s="497">
        <v>17485</v>
      </c>
      <c r="G10" s="497">
        <v>19522</v>
      </c>
      <c r="H10" s="496">
        <v>22574</v>
      </c>
      <c r="I10" s="497">
        <v>27060</v>
      </c>
      <c r="J10" s="497">
        <v>28688</v>
      </c>
      <c r="K10" s="502">
        <v>30988</v>
      </c>
      <c r="L10" s="503">
        <v>32901</v>
      </c>
      <c r="M10" s="496">
        <v>36494</v>
      </c>
      <c r="N10" s="496">
        <v>41844</v>
      </c>
      <c r="O10" s="496">
        <v>45669</v>
      </c>
      <c r="P10" s="279">
        <v>48329</v>
      </c>
      <c r="Q10" s="502">
        <v>49979</v>
      </c>
      <c r="R10" s="573">
        <f t="shared" si="0"/>
        <v>11.2</v>
      </c>
      <c r="S10" s="256">
        <f t="shared" si="1"/>
        <v>8.6999999999999993</v>
      </c>
      <c r="T10" s="283"/>
      <c r="U10" s="440"/>
      <c r="V10" s="440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2441</v>
      </c>
      <c r="E11" s="496">
        <v>2440</v>
      </c>
      <c r="F11" s="497">
        <v>2440</v>
      </c>
      <c r="G11" s="497">
        <v>2440</v>
      </c>
      <c r="H11" s="496">
        <v>2540</v>
      </c>
      <c r="I11" s="497">
        <v>2540</v>
      </c>
      <c r="J11" s="497">
        <v>2860</v>
      </c>
      <c r="K11" s="502">
        <v>2910</v>
      </c>
      <c r="L11" s="503">
        <v>2910</v>
      </c>
      <c r="M11" s="496">
        <v>2910</v>
      </c>
      <c r="N11" s="496">
        <v>2910</v>
      </c>
      <c r="O11" s="496">
        <v>3160</v>
      </c>
      <c r="P11" s="279">
        <v>3160</v>
      </c>
      <c r="Q11" s="502">
        <v>3160</v>
      </c>
      <c r="R11" s="573">
        <f t="shared" si="0"/>
        <v>2.5</v>
      </c>
      <c r="S11" s="256">
        <f t="shared" si="1"/>
        <v>1.7</v>
      </c>
      <c r="T11" s="283"/>
      <c r="U11" s="440"/>
      <c r="V11" s="44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680</v>
      </c>
      <c r="E12" s="496">
        <v>680</v>
      </c>
      <c r="F12" s="497">
        <v>680</v>
      </c>
      <c r="G12" s="497">
        <v>680</v>
      </c>
      <c r="H12" s="496">
        <v>990</v>
      </c>
      <c r="I12" s="497">
        <v>990</v>
      </c>
      <c r="J12" s="497">
        <v>990</v>
      </c>
      <c r="K12" s="502">
        <v>990</v>
      </c>
      <c r="L12" s="503">
        <v>990</v>
      </c>
      <c r="M12" s="496">
        <v>990</v>
      </c>
      <c r="N12" s="496">
        <v>1010</v>
      </c>
      <c r="O12" s="496">
        <v>1010</v>
      </c>
      <c r="P12" s="279">
        <v>1010</v>
      </c>
      <c r="Q12" s="502">
        <v>1010</v>
      </c>
      <c r="R12" s="573">
        <f t="shared" si="0"/>
        <v>5.5</v>
      </c>
      <c r="S12" s="256">
        <f t="shared" si="1"/>
        <v>0.4</v>
      </c>
      <c r="T12" s="283"/>
      <c r="U12" s="440"/>
      <c r="V12" s="440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3675</v>
      </c>
      <c r="E13" s="49">
        <v>3675</v>
      </c>
      <c r="F13" s="45">
        <v>4481</v>
      </c>
      <c r="G13" s="49">
        <v>4282</v>
      </c>
      <c r="H13" s="49">
        <v>7139</v>
      </c>
      <c r="I13" s="45">
        <v>7979</v>
      </c>
      <c r="J13" s="49">
        <v>4725</v>
      </c>
      <c r="K13" s="50">
        <v>4725</v>
      </c>
      <c r="L13" s="140">
        <v>4925</v>
      </c>
      <c r="M13" s="45">
        <v>5605</v>
      </c>
      <c r="N13" s="45">
        <v>6105</v>
      </c>
      <c r="O13" s="45">
        <v>6105</v>
      </c>
      <c r="P13" s="45">
        <v>6105</v>
      </c>
      <c r="Q13" s="50">
        <v>6105</v>
      </c>
      <c r="R13" s="573">
        <f t="shared" si="0"/>
        <v>3.7</v>
      </c>
      <c r="S13" s="256">
        <f t="shared" si="1"/>
        <v>4.4000000000000004</v>
      </c>
      <c r="T13" s="283"/>
      <c r="U13" s="440"/>
      <c r="V13" s="440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7.2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440"/>
      <c r="V14" s="44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125</v>
      </c>
      <c r="I15" s="45">
        <v>330</v>
      </c>
      <c r="J15" s="49">
        <v>330</v>
      </c>
      <c r="K15" s="50">
        <v>330</v>
      </c>
      <c r="L15" s="140">
        <v>330</v>
      </c>
      <c r="M15" s="45">
        <v>330</v>
      </c>
      <c r="N15" s="45">
        <v>330</v>
      </c>
      <c r="O15" s="45">
        <v>330</v>
      </c>
      <c r="P15" s="45">
        <v>380</v>
      </c>
      <c r="Q15" s="50">
        <v>380</v>
      </c>
      <c r="R15" s="573" t="str">
        <f t="shared" si="0"/>
        <v xml:space="preserve">     -</v>
      </c>
      <c r="S15" s="256">
        <f t="shared" si="1"/>
        <v>2.9</v>
      </c>
      <c r="T15" s="283"/>
      <c r="U15" s="440"/>
      <c r="V15" s="44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1135</v>
      </c>
      <c r="E16" s="496">
        <v>1135</v>
      </c>
      <c r="F16" s="497">
        <v>1135</v>
      </c>
      <c r="G16" s="497">
        <v>1135</v>
      </c>
      <c r="H16" s="496">
        <v>1135</v>
      </c>
      <c r="I16" s="497">
        <v>1135</v>
      </c>
      <c r="J16" s="497">
        <v>1135</v>
      </c>
      <c r="K16" s="502">
        <v>1135</v>
      </c>
      <c r="L16" s="503">
        <v>1295</v>
      </c>
      <c r="M16" s="496">
        <v>1745</v>
      </c>
      <c r="N16" s="496">
        <v>2245</v>
      </c>
      <c r="O16" s="496">
        <v>2245</v>
      </c>
      <c r="P16" s="279">
        <v>2245</v>
      </c>
      <c r="Q16" s="502">
        <v>2245</v>
      </c>
      <c r="R16" s="573">
        <f t="shared" si="0"/>
        <v>0</v>
      </c>
      <c r="S16" s="256">
        <f t="shared" si="1"/>
        <v>11.6</v>
      </c>
      <c r="T16" s="283"/>
      <c r="U16" s="440"/>
      <c r="V16" s="44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150</v>
      </c>
      <c r="E17" s="496">
        <v>150</v>
      </c>
      <c r="F17" s="497">
        <v>150</v>
      </c>
      <c r="G17" s="497">
        <v>150</v>
      </c>
      <c r="H17" s="496">
        <v>150</v>
      </c>
      <c r="I17" s="497">
        <v>150</v>
      </c>
      <c r="J17" s="497">
        <v>150</v>
      </c>
      <c r="K17" s="502">
        <v>520</v>
      </c>
      <c r="L17" s="503">
        <v>520</v>
      </c>
      <c r="M17" s="496">
        <v>520</v>
      </c>
      <c r="N17" s="496">
        <v>520</v>
      </c>
      <c r="O17" s="496">
        <v>520</v>
      </c>
      <c r="P17" s="279">
        <v>520</v>
      </c>
      <c r="Q17" s="502">
        <v>970</v>
      </c>
      <c r="R17" s="573">
        <f t="shared" si="0"/>
        <v>19.399999999999999</v>
      </c>
      <c r="S17" s="256">
        <f t="shared" si="1"/>
        <v>13.3</v>
      </c>
      <c r="T17" s="283"/>
      <c r="U17" s="440"/>
      <c r="V17" s="440"/>
      <c r="W17" s="280"/>
      <c r="X17" s="280"/>
      <c r="Y17" s="280"/>
      <c r="Z17" s="280"/>
      <c r="AA17" s="280"/>
      <c r="AB17" s="43"/>
      <c r="AC17" s="43"/>
      <c r="AD17" s="43"/>
      <c r="AE17" s="280"/>
      <c r="AF17" s="280"/>
      <c r="AG17" s="280"/>
    </row>
    <row r="18" spans="1:33" ht="15" customHeight="1">
      <c r="A18" s="16"/>
      <c r="B18" s="670" t="s">
        <v>443</v>
      </c>
      <c r="C18" s="671"/>
      <c r="D18" s="138">
        <v>6830.9</v>
      </c>
      <c r="E18" s="40">
        <v>6762.3</v>
      </c>
      <c r="F18" s="40">
        <v>6703.8</v>
      </c>
      <c r="G18" s="40">
        <v>6709.1</v>
      </c>
      <c r="H18" s="40">
        <v>6510.8312384319734</v>
      </c>
      <c r="I18" s="505">
        <v>6251.8060533895841</v>
      </c>
      <c r="J18" s="506">
        <v>5958.4</v>
      </c>
      <c r="K18" s="507">
        <v>5938.4</v>
      </c>
      <c r="L18" s="508">
        <v>5911.7</v>
      </c>
      <c r="M18" s="505">
        <v>5885.3</v>
      </c>
      <c r="N18" s="505">
        <v>5851.4</v>
      </c>
      <c r="O18" s="505">
        <v>5818.2</v>
      </c>
      <c r="P18" s="505">
        <v>5783.3</v>
      </c>
      <c r="Q18" s="509">
        <v>5749.4</v>
      </c>
      <c r="R18" s="573">
        <f t="shared" si="0"/>
        <v>-2</v>
      </c>
      <c r="S18" s="256">
        <f t="shared" si="1"/>
        <v>-0.6</v>
      </c>
      <c r="T18" s="283"/>
      <c r="U18" s="440"/>
      <c r="V18" s="440"/>
      <c r="W18" s="280"/>
      <c r="X18" s="280"/>
      <c r="Y18" s="280"/>
      <c r="Z18" s="280"/>
      <c r="AA18" s="280"/>
      <c r="AB18" s="280"/>
      <c r="AC18" s="280"/>
      <c r="AD18" s="280"/>
      <c r="AE18" s="280"/>
      <c r="AF18" s="280"/>
      <c r="AG18" s="280"/>
    </row>
    <row r="19" spans="1:33" ht="15.75" customHeight="1">
      <c r="A19" s="16"/>
      <c r="B19" s="674" t="s">
        <v>307</v>
      </c>
      <c r="C19" s="675"/>
      <c r="D19" s="95">
        <f>SUM(D7:D18)</f>
        <v>40828.9</v>
      </c>
      <c r="E19" s="93">
        <f t="shared" ref="E19:Q19" si="2">SUM(E7:E18)</f>
        <v>42424.3</v>
      </c>
      <c r="F19" s="93">
        <f t="shared" si="2"/>
        <v>45327.8</v>
      </c>
      <c r="G19" s="93">
        <f t="shared" si="2"/>
        <v>48217.1</v>
      </c>
      <c r="H19" s="93">
        <f t="shared" si="2"/>
        <v>54567.831238431972</v>
      </c>
      <c r="I19" s="93">
        <f t="shared" si="2"/>
        <v>60080.806053389584</v>
      </c>
      <c r="J19" s="93">
        <f t="shared" si="2"/>
        <v>59211.4</v>
      </c>
      <c r="K19" s="96">
        <f t="shared" si="2"/>
        <v>62071.4</v>
      </c>
      <c r="L19" s="95">
        <f t="shared" si="2"/>
        <v>65117.7</v>
      </c>
      <c r="M19" s="93">
        <f t="shared" si="2"/>
        <v>70129.3</v>
      </c>
      <c r="N19" s="93">
        <f t="shared" si="2"/>
        <v>76635.399999999994</v>
      </c>
      <c r="O19" s="93">
        <f t="shared" si="2"/>
        <v>81532.2</v>
      </c>
      <c r="P19" s="93">
        <f t="shared" si="2"/>
        <v>84557.3</v>
      </c>
      <c r="Q19" s="96">
        <f t="shared" si="2"/>
        <v>87123.4</v>
      </c>
      <c r="R19" s="574">
        <f t="shared" si="0"/>
        <v>6.2</v>
      </c>
      <c r="S19" s="510">
        <f t="shared" si="1"/>
        <v>6</v>
      </c>
      <c r="T19" s="283"/>
      <c r="U19" s="440"/>
      <c r="V19" s="440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342</v>
      </c>
      <c r="E20" s="512">
        <v>342</v>
      </c>
      <c r="F20" s="512">
        <v>205</v>
      </c>
      <c r="G20" s="512">
        <v>205</v>
      </c>
      <c r="H20" s="512">
        <v>205</v>
      </c>
      <c r="I20" s="512">
        <v>180</v>
      </c>
      <c r="J20" s="513">
        <v>180</v>
      </c>
      <c r="K20" s="514">
        <v>180</v>
      </c>
      <c r="L20" s="511">
        <v>180</v>
      </c>
      <c r="M20" s="512">
        <v>180</v>
      </c>
      <c r="N20" s="512">
        <v>180</v>
      </c>
      <c r="O20" s="512">
        <v>180</v>
      </c>
      <c r="P20" s="513">
        <v>180</v>
      </c>
      <c r="Q20" s="514">
        <v>180</v>
      </c>
      <c r="R20" s="574">
        <f t="shared" si="0"/>
        <v>-8.8000000000000007</v>
      </c>
      <c r="S20" s="510">
        <f t="shared" si="1"/>
        <v>0</v>
      </c>
      <c r="T20" s="283"/>
      <c r="U20" s="440"/>
      <c r="V20" s="44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342</v>
      </c>
      <c r="E21" s="512">
        <v>342</v>
      </c>
      <c r="F21" s="512">
        <v>205</v>
      </c>
      <c r="G21" s="512">
        <v>205</v>
      </c>
      <c r="H21" s="512">
        <v>205</v>
      </c>
      <c r="I21" s="512">
        <v>180</v>
      </c>
      <c r="J21" s="513">
        <v>180</v>
      </c>
      <c r="K21" s="514">
        <v>180</v>
      </c>
      <c r="L21" s="511">
        <v>180</v>
      </c>
      <c r="M21" s="512">
        <v>180</v>
      </c>
      <c r="N21" s="512">
        <v>180</v>
      </c>
      <c r="O21" s="512">
        <v>180</v>
      </c>
      <c r="P21" s="513">
        <v>180</v>
      </c>
      <c r="Q21" s="514">
        <v>180</v>
      </c>
      <c r="R21" s="574">
        <f t="shared" si="0"/>
        <v>-8.8000000000000007</v>
      </c>
      <c r="S21" s="510">
        <f t="shared" si="1"/>
        <v>0</v>
      </c>
      <c r="T21" s="283"/>
      <c r="U21" s="440"/>
      <c r="V21" s="44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19237</v>
      </c>
      <c r="E22" s="496">
        <v>19062</v>
      </c>
      <c r="F22" s="496">
        <v>18463</v>
      </c>
      <c r="G22" s="496">
        <v>18068</v>
      </c>
      <c r="H22" s="496">
        <v>19229</v>
      </c>
      <c r="I22" s="496">
        <v>17576</v>
      </c>
      <c r="J22" s="515">
        <v>17576</v>
      </c>
      <c r="K22" s="502">
        <v>17576</v>
      </c>
      <c r="L22" s="503">
        <v>17741</v>
      </c>
      <c r="M22" s="496">
        <v>17741</v>
      </c>
      <c r="N22" s="496">
        <v>17741</v>
      </c>
      <c r="O22" s="512">
        <v>17741</v>
      </c>
      <c r="P22" s="512">
        <v>17741</v>
      </c>
      <c r="Q22" s="514">
        <v>18491</v>
      </c>
      <c r="R22" s="575">
        <f t="shared" si="0"/>
        <v>-1.3</v>
      </c>
      <c r="S22" s="517">
        <f t="shared" si="1"/>
        <v>0.8</v>
      </c>
      <c r="T22" s="283"/>
      <c r="U22" s="440"/>
      <c r="V22" s="440"/>
      <c r="W22" s="280"/>
      <c r="X22" s="280"/>
      <c r="Y22" s="280"/>
      <c r="Z22" s="280"/>
      <c r="AA22" s="280"/>
      <c r="AB22" s="280"/>
      <c r="AC22" s="280"/>
      <c r="AD22" s="280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17179</v>
      </c>
      <c r="E23" s="512">
        <v>16905</v>
      </c>
      <c r="F23" s="512">
        <v>16714</v>
      </c>
      <c r="G23" s="512">
        <v>16319</v>
      </c>
      <c r="H23" s="512">
        <v>17480</v>
      </c>
      <c r="I23" s="512">
        <v>15827</v>
      </c>
      <c r="J23" s="513">
        <v>15827</v>
      </c>
      <c r="K23" s="514">
        <v>15827</v>
      </c>
      <c r="L23" s="511">
        <v>15892</v>
      </c>
      <c r="M23" s="512">
        <v>15892</v>
      </c>
      <c r="N23" s="512">
        <v>15892</v>
      </c>
      <c r="O23" s="512">
        <v>15892</v>
      </c>
      <c r="P23" s="512">
        <v>15892</v>
      </c>
      <c r="Q23" s="514">
        <v>16642</v>
      </c>
      <c r="R23" s="574">
        <f t="shared" si="0"/>
        <v>-1.2</v>
      </c>
      <c r="S23" s="510">
        <f t="shared" si="1"/>
        <v>0.9</v>
      </c>
      <c r="T23" s="283"/>
      <c r="U23" s="440"/>
      <c r="V23" s="440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8853</v>
      </c>
      <c r="E24" s="496">
        <v>9623</v>
      </c>
      <c r="F24" s="496">
        <v>9623</v>
      </c>
      <c r="G24" s="496">
        <v>9623</v>
      </c>
      <c r="H24" s="496">
        <v>10783</v>
      </c>
      <c r="I24" s="496">
        <v>11933</v>
      </c>
      <c r="J24" s="497">
        <v>12733</v>
      </c>
      <c r="K24" s="502">
        <v>12933</v>
      </c>
      <c r="L24" s="503">
        <v>13513</v>
      </c>
      <c r="M24" s="496">
        <v>13637</v>
      </c>
      <c r="N24" s="496">
        <v>13937</v>
      </c>
      <c r="O24" s="496">
        <v>13937</v>
      </c>
      <c r="P24" s="497">
        <v>13937</v>
      </c>
      <c r="Q24" s="502">
        <v>13937</v>
      </c>
      <c r="R24" s="574">
        <f t="shared" si="0"/>
        <v>5.6</v>
      </c>
      <c r="S24" s="510">
        <f t="shared" si="1"/>
        <v>0.6</v>
      </c>
      <c r="T24" s="283"/>
      <c r="U24" s="440"/>
      <c r="V24" s="44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6633</v>
      </c>
      <c r="F25" s="518">
        <v>6633</v>
      </c>
      <c r="G25" s="518">
        <v>6633</v>
      </c>
      <c r="H25" s="518">
        <v>6833</v>
      </c>
      <c r="I25" s="518">
        <v>6833</v>
      </c>
      <c r="J25" s="519">
        <v>7633</v>
      </c>
      <c r="K25" s="514">
        <v>7833</v>
      </c>
      <c r="L25" s="511">
        <v>7833</v>
      </c>
      <c r="M25" s="518">
        <v>7833</v>
      </c>
      <c r="N25" s="518">
        <v>7833</v>
      </c>
      <c r="O25" s="518">
        <v>7833</v>
      </c>
      <c r="P25" s="519">
        <v>7833</v>
      </c>
      <c r="Q25" s="514">
        <v>7833</v>
      </c>
      <c r="R25" s="573" t="str">
        <f t="shared" si="0"/>
        <v xml:space="preserve">     -</v>
      </c>
      <c r="S25" s="256">
        <f t="shared" si="1"/>
        <v>0</v>
      </c>
      <c r="T25" s="283"/>
      <c r="U25" s="440"/>
      <c r="V25" s="44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1358</v>
      </c>
      <c r="E26" s="518">
        <v>1758</v>
      </c>
      <c r="F26" s="518">
        <v>1758</v>
      </c>
      <c r="G26" s="518">
        <v>1761</v>
      </c>
      <c r="H26" s="518">
        <v>1761</v>
      </c>
      <c r="I26" s="518">
        <v>1761</v>
      </c>
      <c r="J26" s="519">
        <v>1761</v>
      </c>
      <c r="K26" s="514">
        <v>1761</v>
      </c>
      <c r="L26" s="511">
        <v>1761</v>
      </c>
      <c r="M26" s="518">
        <v>1761</v>
      </c>
      <c r="N26" s="518">
        <v>1761</v>
      </c>
      <c r="O26" s="518">
        <v>1761</v>
      </c>
      <c r="P26" s="519">
        <v>1761</v>
      </c>
      <c r="Q26" s="514">
        <v>1761</v>
      </c>
      <c r="R26" s="574">
        <f t="shared" si="0"/>
        <v>3.8</v>
      </c>
      <c r="S26" s="510">
        <f t="shared" si="1"/>
        <v>0</v>
      </c>
      <c r="T26" s="283"/>
      <c r="U26" s="440"/>
      <c r="V26" s="44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2032</v>
      </c>
      <c r="E27" s="521">
        <v>2307</v>
      </c>
      <c r="F27" s="521">
        <v>2307</v>
      </c>
      <c r="G27" s="521">
        <v>2652</v>
      </c>
      <c r="H27" s="521">
        <v>2652</v>
      </c>
      <c r="I27" s="521">
        <v>2652</v>
      </c>
      <c r="J27" s="522">
        <v>2710</v>
      </c>
      <c r="K27" s="523">
        <v>2827</v>
      </c>
      <c r="L27" s="520">
        <v>3457</v>
      </c>
      <c r="M27" s="521">
        <v>3567</v>
      </c>
      <c r="N27" s="521">
        <v>3567</v>
      </c>
      <c r="O27" s="521">
        <v>3567</v>
      </c>
      <c r="P27" s="522">
        <v>4167</v>
      </c>
      <c r="Q27" s="523">
        <v>4167</v>
      </c>
      <c r="R27" s="574">
        <f t="shared" si="0"/>
        <v>4.8</v>
      </c>
      <c r="S27" s="510">
        <f t="shared" si="1"/>
        <v>3.8</v>
      </c>
      <c r="T27" s="283"/>
      <c r="U27" s="440"/>
      <c r="V27" s="440"/>
      <c r="W27" s="43"/>
      <c r="X27" s="43"/>
      <c r="Y27" s="43"/>
      <c r="Z27" s="360"/>
      <c r="AA27" s="360"/>
      <c r="AB27" s="360"/>
      <c r="AC27" s="360"/>
      <c r="AD27" s="360"/>
      <c r="AE27" s="360"/>
      <c r="AF27" s="360"/>
      <c r="AG27" s="360"/>
    </row>
    <row r="28" spans="1:33" ht="15" customHeight="1">
      <c r="A28" s="16"/>
      <c r="B28" s="672" t="s">
        <v>316</v>
      </c>
      <c r="C28" s="673"/>
      <c r="D28" s="524">
        <v>17656</v>
      </c>
      <c r="E28" s="525">
        <v>18110</v>
      </c>
      <c r="F28" s="525">
        <v>18228</v>
      </c>
      <c r="G28" s="526">
        <v>18700</v>
      </c>
      <c r="H28" s="526">
        <v>18354</v>
      </c>
      <c r="I28" s="496">
        <v>18904</v>
      </c>
      <c r="J28" s="497">
        <v>19466</v>
      </c>
      <c r="K28" s="498">
        <v>19680</v>
      </c>
      <c r="L28" s="527">
        <v>20353</v>
      </c>
      <c r="M28" s="528">
        <v>20353</v>
      </c>
      <c r="N28" s="528">
        <v>20353</v>
      </c>
      <c r="O28" s="528">
        <v>20353</v>
      </c>
      <c r="P28" s="528">
        <v>20953</v>
      </c>
      <c r="Q28" s="498">
        <v>20953</v>
      </c>
      <c r="R28" s="573">
        <f t="shared" si="0"/>
        <v>1.6</v>
      </c>
      <c r="S28" s="256">
        <f t="shared" si="1"/>
        <v>0.6</v>
      </c>
      <c r="T28" s="283"/>
      <c r="U28" s="440"/>
      <c r="V28" s="440"/>
      <c r="W28" s="43"/>
      <c r="X28" s="338"/>
      <c r="Y28" s="338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762</v>
      </c>
      <c r="E29" s="525">
        <v>762</v>
      </c>
      <c r="F29" s="530">
        <v>762</v>
      </c>
      <c r="G29" s="531">
        <v>762</v>
      </c>
      <c r="H29" s="526">
        <v>762</v>
      </c>
      <c r="I29" s="497">
        <v>762</v>
      </c>
      <c r="J29" s="497">
        <v>762</v>
      </c>
      <c r="K29" s="498">
        <v>823</v>
      </c>
      <c r="L29" s="499">
        <v>823</v>
      </c>
      <c r="M29" s="532">
        <v>823</v>
      </c>
      <c r="N29" s="532">
        <v>823</v>
      </c>
      <c r="O29" s="532">
        <v>1348</v>
      </c>
      <c r="P29" s="532">
        <v>1873</v>
      </c>
      <c r="Q29" s="498">
        <v>1873</v>
      </c>
      <c r="R29" s="573">
        <f t="shared" si="0"/>
        <v>1.1000000000000001</v>
      </c>
      <c r="S29" s="256">
        <f t="shared" si="1"/>
        <v>17.899999999999999</v>
      </c>
      <c r="T29" s="283"/>
      <c r="U29" s="440"/>
      <c r="V29" s="440"/>
      <c r="W29" s="43"/>
      <c r="X29" s="43"/>
      <c r="Y29" s="43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18418</v>
      </c>
      <c r="E30" s="92">
        <f t="shared" ref="E30:Q30" si="3">SUM(E28:E29)</f>
        <v>18872</v>
      </c>
      <c r="F30" s="92">
        <f t="shared" si="3"/>
        <v>18990</v>
      </c>
      <c r="G30" s="93">
        <f t="shared" si="3"/>
        <v>19462</v>
      </c>
      <c r="H30" s="93">
        <f t="shared" si="3"/>
        <v>19116</v>
      </c>
      <c r="I30" s="94">
        <f t="shared" si="3"/>
        <v>19666</v>
      </c>
      <c r="J30" s="94">
        <f t="shared" si="3"/>
        <v>20228</v>
      </c>
      <c r="K30" s="96">
        <f t="shared" si="3"/>
        <v>20503</v>
      </c>
      <c r="L30" s="95">
        <f t="shared" si="3"/>
        <v>21176</v>
      </c>
      <c r="M30" s="93">
        <f t="shared" si="3"/>
        <v>21176</v>
      </c>
      <c r="N30" s="93">
        <f t="shared" si="3"/>
        <v>21176</v>
      </c>
      <c r="O30" s="93">
        <f t="shared" si="3"/>
        <v>21701</v>
      </c>
      <c r="P30" s="93">
        <f t="shared" si="3"/>
        <v>22826</v>
      </c>
      <c r="Q30" s="96">
        <f t="shared" si="3"/>
        <v>22826</v>
      </c>
      <c r="R30" s="574">
        <f t="shared" si="0"/>
        <v>1.5</v>
      </c>
      <c r="S30" s="510">
        <f t="shared" si="1"/>
        <v>1.5</v>
      </c>
      <c r="T30" s="283"/>
      <c r="U30" s="440"/>
      <c r="V30" s="440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1385</v>
      </c>
      <c r="E31" s="525">
        <v>1397</v>
      </c>
      <c r="F31" s="530">
        <v>1413</v>
      </c>
      <c r="G31" s="531">
        <v>1413</v>
      </c>
      <c r="H31" s="526">
        <v>1413</v>
      </c>
      <c r="I31" s="497">
        <v>1413</v>
      </c>
      <c r="J31" s="497">
        <v>1443</v>
      </c>
      <c r="K31" s="498">
        <v>1443</v>
      </c>
      <c r="L31" s="533">
        <v>1443</v>
      </c>
      <c r="M31" s="534">
        <v>1443</v>
      </c>
      <c r="N31" s="534">
        <v>1443</v>
      </c>
      <c r="O31" s="534">
        <v>1443</v>
      </c>
      <c r="P31" s="534">
        <v>1443</v>
      </c>
      <c r="Q31" s="535">
        <v>1443</v>
      </c>
      <c r="R31" s="573">
        <f t="shared" si="0"/>
        <v>0.6</v>
      </c>
      <c r="S31" s="256">
        <f t="shared" si="1"/>
        <v>0</v>
      </c>
      <c r="T31" s="283"/>
      <c r="U31" s="440"/>
      <c r="V31" s="440"/>
      <c r="W31" s="43"/>
      <c r="X31" s="338"/>
      <c r="Y31" s="33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2792</v>
      </c>
      <c r="E32" s="525">
        <v>2792</v>
      </c>
      <c r="F32" s="530">
        <v>2792</v>
      </c>
      <c r="G32" s="531">
        <v>2792</v>
      </c>
      <c r="H32" s="526">
        <v>2792</v>
      </c>
      <c r="I32" s="497">
        <v>2792</v>
      </c>
      <c r="J32" s="497">
        <v>2792</v>
      </c>
      <c r="K32" s="502">
        <v>2792</v>
      </c>
      <c r="L32" s="503">
        <v>2792</v>
      </c>
      <c r="M32" s="496">
        <v>2792</v>
      </c>
      <c r="N32" s="496">
        <v>2792</v>
      </c>
      <c r="O32" s="496">
        <v>2792</v>
      </c>
      <c r="P32" s="497">
        <v>2792</v>
      </c>
      <c r="Q32" s="502">
        <v>2792</v>
      </c>
      <c r="R32" s="573">
        <f t="shared" si="0"/>
        <v>0</v>
      </c>
      <c r="S32" s="256">
        <f t="shared" si="1"/>
        <v>0</v>
      </c>
      <c r="T32" s="283"/>
      <c r="U32" s="440"/>
      <c r="V32" s="440"/>
      <c r="W32" s="43"/>
      <c r="X32" s="338"/>
      <c r="Y32" s="338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1078</v>
      </c>
      <c r="E33" s="525">
        <v>1078</v>
      </c>
      <c r="F33" s="530">
        <v>1078</v>
      </c>
      <c r="G33" s="531">
        <v>1078</v>
      </c>
      <c r="H33" s="526">
        <v>1078</v>
      </c>
      <c r="I33" s="497">
        <v>1078</v>
      </c>
      <c r="J33" s="497">
        <v>1078</v>
      </c>
      <c r="K33" s="536">
        <v>1222</v>
      </c>
      <c r="L33" s="537">
        <v>1222</v>
      </c>
      <c r="M33" s="538">
        <v>1222</v>
      </c>
      <c r="N33" s="538">
        <v>1222</v>
      </c>
      <c r="O33" s="538">
        <v>1222</v>
      </c>
      <c r="P33" s="515">
        <v>1222</v>
      </c>
      <c r="Q33" s="502">
        <v>1222</v>
      </c>
      <c r="R33" s="573">
        <f t="shared" si="0"/>
        <v>1.8</v>
      </c>
      <c r="S33" s="256">
        <f t="shared" si="1"/>
        <v>0</v>
      </c>
      <c r="T33" s="283"/>
      <c r="U33" s="440"/>
      <c r="V33" s="440"/>
      <c r="W33" s="43"/>
      <c r="X33" s="283"/>
      <c r="Y33" s="28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5255</v>
      </c>
      <c r="E34" s="539">
        <f t="shared" ref="E34:Q34" si="4">SUM(E31:E33)</f>
        <v>5267</v>
      </c>
      <c r="F34" s="539">
        <f t="shared" si="4"/>
        <v>5283</v>
      </c>
      <c r="G34" s="100">
        <f t="shared" si="4"/>
        <v>5283</v>
      </c>
      <c r="H34" s="100">
        <f t="shared" si="4"/>
        <v>5283</v>
      </c>
      <c r="I34" s="100">
        <f t="shared" si="4"/>
        <v>5283</v>
      </c>
      <c r="J34" s="101">
        <f t="shared" si="4"/>
        <v>5313</v>
      </c>
      <c r="K34" s="104">
        <f t="shared" si="4"/>
        <v>5457</v>
      </c>
      <c r="L34" s="540">
        <f t="shared" si="4"/>
        <v>5457</v>
      </c>
      <c r="M34" s="100">
        <f t="shared" si="4"/>
        <v>5457</v>
      </c>
      <c r="N34" s="100">
        <f t="shared" si="4"/>
        <v>5457</v>
      </c>
      <c r="O34" s="100">
        <f t="shared" si="4"/>
        <v>5457</v>
      </c>
      <c r="P34" s="100">
        <f t="shared" si="4"/>
        <v>5457</v>
      </c>
      <c r="Q34" s="103">
        <f t="shared" si="4"/>
        <v>5457</v>
      </c>
      <c r="R34" s="576">
        <f t="shared" si="0"/>
        <v>0.5</v>
      </c>
      <c r="S34" s="541">
        <f t="shared" si="1"/>
        <v>0</v>
      </c>
      <c r="T34" s="283"/>
      <c r="U34" s="440"/>
      <c r="V34" s="440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96323.9</v>
      </c>
      <c r="E35" s="543">
        <f t="shared" ref="E35:Q35" si="5">E19+E20+E22+E24+E26+E27+E30+E34</f>
        <v>99655.3</v>
      </c>
      <c r="F35" s="543">
        <f t="shared" si="5"/>
        <v>101956.8</v>
      </c>
      <c r="G35" s="544">
        <f t="shared" si="5"/>
        <v>105271.1</v>
      </c>
      <c r="H35" s="544">
        <f t="shared" si="5"/>
        <v>113596.83123843197</v>
      </c>
      <c r="I35" s="544">
        <f t="shared" si="5"/>
        <v>119131.80605338959</v>
      </c>
      <c r="J35" s="545">
        <f t="shared" si="5"/>
        <v>119712.4</v>
      </c>
      <c r="K35" s="546">
        <f t="shared" si="5"/>
        <v>123308.4</v>
      </c>
      <c r="L35" s="547">
        <f t="shared" si="5"/>
        <v>128402.7</v>
      </c>
      <c r="M35" s="544">
        <f t="shared" si="5"/>
        <v>133648.29999999999</v>
      </c>
      <c r="N35" s="544">
        <f t="shared" si="5"/>
        <v>140454.39999999999</v>
      </c>
      <c r="O35" s="544">
        <f t="shared" si="5"/>
        <v>145876.20000000001</v>
      </c>
      <c r="P35" s="544">
        <f t="shared" si="5"/>
        <v>150626.29999999999</v>
      </c>
      <c r="Q35" s="577">
        <f t="shared" si="5"/>
        <v>153942.39999999999</v>
      </c>
      <c r="R35" s="578">
        <f t="shared" si="0"/>
        <v>3.6</v>
      </c>
      <c r="S35" s="549">
        <f t="shared" si="1"/>
        <v>3.7</v>
      </c>
      <c r="T35" s="283"/>
      <c r="U35" s="440"/>
      <c r="V35" s="440"/>
    </row>
    <row r="36" spans="1:33" ht="15" customHeight="1">
      <c r="A36" s="613" t="s">
        <v>324</v>
      </c>
      <c r="B36" s="666" t="s">
        <v>433</v>
      </c>
      <c r="C36" s="667"/>
      <c r="D36" s="495">
        <v>5668</v>
      </c>
      <c r="E36" s="496">
        <v>6054</v>
      </c>
      <c r="F36" s="497">
        <v>6712</v>
      </c>
      <c r="G36" s="497">
        <v>6908</v>
      </c>
      <c r="H36" s="496">
        <v>7149</v>
      </c>
      <c r="I36" s="497">
        <v>7036</v>
      </c>
      <c r="J36" s="497">
        <v>8019</v>
      </c>
      <c r="K36" s="502">
        <v>8322</v>
      </c>
      <c r="L36" s="503">
        <v>8500</v>
      </c>
      <c r="M36" s="496">
        <v>9100</v>
      </c>
      <c r="N36" s="496">
        <v>9300</v>
      </c>
      <c r="O36" s="496">
        <v>10100</v>
      </c>
      <c r="P36" s="279">
        <v>10500</v>
      </c>
      <c r="Q36" s="502">
        <v>10700</v>
      </c>
      <c r="R36" s="573">
        <f t="shared" si="0"/>
        <v>5.6</v>
      </c>
      <c r="S36" s="256">
        <f t="shared" si="1"/>
        <v>4.7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2976</v>
      </c>
      <c r="E37" s="496">
        <v>2601</v>
      </c>
      <c r="F37" s="497">
        <v>2696</v>
      </c>
      <c r="G37" s="497">
        <v>3047</v>
      </c>
      <c r="H37" s="496">
        <v>3237</v>
      </c>
      <c r="I37" s="497">
        <v>3273</v>
      </c>
      <c r="J37" s="497">
        <v>3415</v>
      </c>
      <c r="K37" s="502">
        <v>3305</v>
      </c>
      <c r="L37" s="503">
        <v>3400</v>
      </c>
      <c r="M37" s="496">
        <v>3400</v>
      </c>
      <c r="N37" s="496">
        <v>3400</v>
      </c>
      <c r="O37" s="496">
        <v>3500</v>
      </c>
      <c r="P37" s="279">
        <v>3500</v>
      </c>
      <c r="Q37" s="502">
        <v>3500</v>
      </c>
      <c r="R37" s="573">
        <f t="shared" si="0"/>
        <v>1.5</v>
      </c>
      <c r="S37" s="256">
        <f t="shared" si="1"/>
        <v>0.6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1457</v>
      </c>
      <c r="E38" s="496">
        <v>1679</v>
      </c>
      <c r="F38" s="497">
        <v>1739</v>
      </c>
      <c r="G38" s="497">
        <v>2340.625</v>
      </c>
      <c r="H38" s="496">
        <v>2287.2176800859188</v>
      </c>
      <c r="I38" s="497">
        <v>2459.1779025625237</v>
      </c>
      <c r="J38" s="497">
        <v>1897</v>
      </c>
      <c r="K38" s="502">
        <v>2357</v>
      </c>
      <c r="L38" s="503">
        <v>2378</v>
      </c>
      <c r="M38" s="496">
        <v>2397</v>
      </c>
      <c r="N38" s="496">
        <v>2450</v>
      </c>
      <c r="O38" s="496">
        <v>2403</v>
      </c>
      <c r="P38" s="279">
        <v>2402</v>
      </c>
      <c r="Q38" s="502">
        <v>2378</v>
      </c>
      <c r="R38" s="573">
        <f t="shared" si="0"/>
        <v>7.1</v>
      </c>
      <c r="S38" s="256">
        <f t="shared" si="1"/>
        <v>0</v>
      </c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13042</v>
      </c>
      <c r="E39" s="496">
        <v>14776</v>
      </c>
      <c r="F39" s="497">
        <v>14880</v>
      </c>
      <c r="G39" s="497">
        <v>16777</v>
      </c>
      <c r="H39" s="496">
        <v>19165</v>
      </c>
      <c r="I39" s="497">
        <v>22634</v>
      </c>
      <c r="J39" s="497">
        <v>25676</v>
      </c>
      <c r="K39" s="502">
        <v>26384.379999999997</v>
      </c>
      <c r="L39" s="503">
        <v>27751.18</v>
      </c>
      <c r="M39" s="496">
        <v>29672.36</v>
      </c>
      <c r="N39" s="496">
        <v>33636.61</v>
      </c>
      <c r="O39" s="496">
        <v>37297.1</v>
      </c>
      <c r="P39" s="279">
        <v>38812.839999999997</v>
      </c>
      <c r="Q39" s="502">
        <v>40387.100000000006</v>
      </c>
      <c r="R39" s="573">
        <f t="shared" si="0"/>
        <v>10.6</v>
      </c>
      <c r="S39" s="256">
        <f t="shared" si="1"/>
        <v>7.8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1697</v>
      </c>
      <c r="E40" s="496">
        <v>2085</v>
      </c>
      <c r="F40" s="497">
        <v>2226</v>
      </c>
      <c r="G40" s="497">
        <v>2411</v>
      </c>
      <c r="H40" s="496">
        <v>2411.2716699999996</v>
      </c>
      <c r="I40" s="497">
        <v>2351.7507479999999</v>
      </c>
      <c r="J40" s="497">
        <v>2415.3651463601582</v>
      </c>
      <c r="K40" s="502">
        <v>2566.0543021135722</v>
      </c>
      <c r="L40" s="503">
        <v>2880.1585204285707</v>
      </c>
      <c r="M40" s="496">
        <v>2874.3143884285705</v>
      </c>
      <c r="N40" s="496">
        <v>2874.625</v>
      </c>
      <c r="O40" s="496">
        <v>3132.625</v>
      </c>
      <c r="P40" s="279">
        <v>3137.625</v>
      </c>
      <c r="Q40" s="502">
        <v>3117.625</v>
      </c>
      <c r="R40" s="573">
        <f t="shared" si="0"/>
        <v>6.1</v>
      </c>
      <c r="S40" s="256">
        <f t="shared" si="1"/>
        <v>1.6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554.06999999999994</v>
      </c>
      <c r="E41" s="496">
        <v>554.06999999999994</v>
      </c>
      <c r="F41" s="497">
        <v>554.06999999999994</v>
      </c>
      <c r="G41" s="497">
        <v>554.06999999999994</v>
      </c>
      <c r="H41" s="496">
        <v>685.47</v>
      </c>
      <c r="I41" s="497">
        <v>685</v>
      </c>
      <c r="J41" s="497">
        <v>685</v>
      </c>
      <c r="K41" s="502">
        <v>740</v>
      </c>
      <c r="L41" s="503">
        <v>740</v>
      </c>
      <c r="M41" s="496">
        <v>740</v>
      </c>
      <c r="N41" s="496">
        <v>800</v>
      </c>
      <c r="O41" s="496">
        <v>800</v>
      </c>
      <c r="P41" s="279">
        <v>800</v>
      </c>
      <c r="Q41" s="502">
        <v>800</v>
      </c>
      <c r="R41" s="573">
        <f t="shared" si="0"/>
        <v>4.2</v>
      </c>
      <c r="S41" s="256">
        <f t="shared" si="1"/>
        <v>1.6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2670</v>
      </c>
      <c r="E42" s="49">
        <v>3560</v>
      </c>
      <c r="F42" s="45">
        <v>3495</v>
      </c>
      <c r="G42" s="49">
        <v>4150</v>
      </c>
      <c r="H42" s="49">
        <v>4500</v>
      </c>
      <c r="I42" s="45">
        <v>4690</v>
      </c>
      <c r="J42" s="49">
        <v>4457</v>
      </c>
      <c r="K42" s="50">
        <v>4600</v>
      </c>
      <c r="L42" s="504">
        <v>4800</v>
      </c>
      <c r="M42" s="45">
        <v>5300</v>
      </c>
      <c r="N42" s="45">
        <v>5800</v>
      </c>
      <c r="O42" s="45">
        <v>6000</v>
      </c>
      <c r="P42" s="49">
        <v>6000</v>
      </c>
      <c r="Q42" s="50">
        <v>6000</v>
      </c>
      <c r="R42" s="573">
        <f t="shared" si="0"/>
        <v>8.1</v>
      </c>
      <c r="S42" s="256">
        <f t="shared" si="1"/>
        <v>4.5999999999999996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12.565</v>
      </c>
      <c r="I44" s="45">
        <v>166.89699999999999</v>
      </c>
      <c r="J44" s="49">
        <v>177.02</v>
      </c>
      <c r="K44" s="50">
        <v>187.64</v>
      </c>
      <c r="L44" s="504">
        <v>198.89</v>
      </c>
      <c r="M44" s="45">
        <v>210.83</v>
      </c>
      <c r="N44" s="45">
        <v>223.48</v>
      </c>
      <c r="O44" s="45">
        <v>237</v>
      </c>
      <c r="P44" s="45">
        <v>251</v>
      </c>
      <c r="Q44" s="51">
        <v>266</v>
      </c>
      <c r="R44" s="573" t="str">
        <f t="shared" si="0"/>
        <v xml:space="preserve">     -</v>
      </c>
      <c r="S44" s="256">
        <f t="shared" si="1"/>
        <v>6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808</v>
      </c>
      <c r="E45" s="496">
        <v>908</v>
      </c>
      <c r="F45" s="497">
        <v>901</v>
      </c>
      <c r="G45" s="497">
        <v>741</v>
      </c>
      <c r="H45" s="496">
        <v>765.16147999999987</v>
      </c>
      <c r="I45" s="497">
        <v>762.94394</v>
      </c>
      <c r="J45" s="497">
        <v>742.59447999999986</v>
      </c>
      <c r="K45" s="502">
        <v>698.28240188999996</v>
      </c>
      <c r="L45" s="503">
        <v>928.08910078883002</v>
      </c>
      <c r="M45" s="496">
        <v>970.06659942511624</v>
      </c>
      <c r="N45" s="496">
        <v>2114.7289961975221</v>
      </c>
      <c r="O45" s="496">
        <v>2107.5380796134818</v>
      </c>
      <c r="P45" s="279">
        <v>2107.7415226667745</v>
      </c>
      <c r="Q45" s="502">
        <v>2136.4068123638463</v>
      </c>
      <c r="R45" s="573">
        <f t="shared" si="0"/>
        <v>-2.1</v>
      </c>
      <c r="S45" s="256">
        <f t="shared" si="1"/>
        <v>18.100000000000001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150</v>
      </c>
      <c r="E46" s="496">
        <v>150</v>
      </c>
      <c r="F46" s="497">
        <v>150</v>
      </c>
      <c r="G46" s="497">
        <v>150</v>
      </c>
      <c r="H46" s="496">
        <v>150</v>
      </c>
      <c r="I46" s="497">
        <v>150</v>
      </c>
      <c r="J46" s="497">
        <v>150</v>
      </c>
      <c r="K46" s="502">
        <v>150</v>
      </c>
      <c r="L46" s="503">
        <v>520</v>
      </c>
      <c r="M46" s="496">
        <v>520</v>
      </c>
      <c r="N46" s="496">
        <v>520</v>
      </c>
      <c r="O46" s="496">
        <v>520</v>
      </c>
      <c r="P46" s="279">
        <v>520</v>
      </c>
      <c r="Q46" s="502">
        <v>970</v>
      </c>
      <c r="R46" s="573">
        <f t="shared" si="0"/>
        <v>0</v>
      </c>
      <c r="S46" s="256">
        <f t="shared" si="1"/>
        <v>13.3</v>
      </c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  <c r="AE46" s="280"/>
      <c r="AF46" s="280"/>
      <c r="AG46" s="280"/>
    </row>
    <row r="47" spans="1:33" ht="15" customHeight="1">
      <c r="A47" s="16"/>
      <c r="B47" s="670" t="s">
        <v>443</v>
      </c>
      <c r="C47" s="671"/>
      <c r="D47" s="495">
        <v>5985.5</v>
      </c>
      <c r="E47" s="496">
        <v>5624.7</v>
      </c>
      <c r="F47" s="497">
        <v>5239.3</v>
      </c>
      <c r="G47" s="497">
        <v>5647</v>
      </c>
      <c r="H47" s="496">
        <v>5674</v>
      </c>
      <c r="I47" s="497">
        <v>5723</v>
      </c>
      <c r="J47" s="497">
        <v>5223.1000000000004</v>
      </c>
      <c r="K47" s="502">
        <v>5458.7</v>
      </c>
      <c r="L47" s="503">
        <v>5170.3</v>
      </c>
      <c r="M47" s="496">
        <v>5360.5669936981294</v>
      </c>
      <c r="N47" s="496">
        <v>5417.025127945144</v>
      </c>
      <c r="O47" s="496">
        <v>5429.9307218700415</v>
      </c>
      <c r="P47" s="497">
        <v>5443.9520150355511</v>
      </c>
      <c r="Q47" s="502">
        <v>5455.7933082010613</v>
      </c>
      <c r="R47" s="573">
        <f t="shared" si="0"/>
        <v>-1.3</v>
      </c>
      <c r="S47" s="256">
        <f t="shared" si="1"/>
        <v>1.1000000000000001</v>
      </c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  <c r="AE47" s="280"/>
      <c r="AF47" s="280"/>
      <c r="AG47" s="280"/>
    </row>
    <row r="48" spans="1:33" ht="15.75" customHeight="1">
      <c r="A48" s="16"/>
      <c r="B48" s="674" t="s">
        <v>307</v>
      </c>
      <c r="C48" s="675"/>
      <c r="D48" s="95">
        <f>SUM(D36:D47)</f>
        <v>35007.57</v>
      </c>
      <c r="E48" s="93">
        <f t="shared" ref="E48:Q48" si="6">SUM(E36:E47)</f>
        <v>37991.769999999997</v>
      </c>
      <c r="F48" s="93">
        <f t="shared" si="6"/>
        <v>38592.370000000003</v>
      </c>
      <c r="G48" s="93">
        <f t="shared" si="6"/>
        <v>42725.695</v>
      </c>
      <c r="H48" s="93">
        <f t="shared" si="6"/>
        <v>46036.685830085924</v>
      </c>
      <c r="I48" s="93">
        <f t="shared" si="6"/>
        <v>49931.769590562515</v>
      </c>
      <c r="J48" s="93">
        <f t="shared" si="6"/>
        <v>52857.079626360151</v>
      </c>
      <c r="K48" s="96">
        <f t="shared" si="6"/>
        <v>54769.056704003568</v>
      </c>
      <c r="L48" s="95">
        <f t="shared" si="6"/>
        <v>57266.617621217403</v>
      </c>
      <c r="M48" s="93">
        <f t="shared" si="6"/>
        <v>60545.137981551816</v>
      </c>
      <c r="N48" s="93">
        <f t="shared" si="6"/>
        <v>66536.469124142677</v>
      </c>
      <c r="O48" s="93">
        <f t="shared" si="6"/>
        <v>71527.193801483518</v>
      </c>
      <c r="P48" s="93">
        <f t="shared" si="6"/>
        <v>73475.158537702329</v>
      </c>
      <c r="Q48" s="96">
        <f t="shared" si="6"/>
        <v>75710.925120564905</v>
      </c>
      <c r="R48" s="574">
        <f t="shared" si="0"/>
        <v>6.6</v>
      </c>
      <c r="S48" s="510">
        <f t="shared" si="1"/>
        <v>5.7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270</v>
      </c>
      <c r="E49" s="512">
        <v>270</v>
      </c>
      <c r="F49" s="512">
        <v>200</v>
      </c>
      <c r="G49" s="512">
        <v>200</v>
      </c>
      <c r="H49" s="512">
        <v>130</v>
      </c>
      <c r="I49" s="512">
        <v>125</v>
      </c>
      <c r="J49" s="513">
        <v>125</v>
      </c>
      <c r="K49" s="514">
        <v>125</v>
      </c>
      <c r="L49" s="511">
        <v>125</v>
      </c>
      <c r="M49" s="512">
        <v>125</v>
      </c>
      <c r="N49" s="512">
        <v>125</v>
      </c>
      <c r="O49" s="512">
        <v>125</v>
      </c>
      <c r="P49" s="513">
        <v>125</v>
      </c>
      <c r="Q49" s="514">
        <v>125</v>
      </c>
      <c r="R49" s="574">
        <f t="shared" si="0"/>
        <v>-10.4</v>
      </c>
      <c r="S49" s="510">
        <f t="shared" si="1"/>
        <v>0</v>
      </c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270</v>
      </c>
      <c r="E50" s="512">
        <v>270</v>
      </c>
      <c r="F50" s="512">
        <v>200</v>
      </c>
      <c r="G50" s="512">
        <v>200</v>
      </c>
      <c r="H50" s="512">
        <v>130</v>
      </c>
      <c r="I50" s="512">
        <v>125</v>
      </c>
      <c r="J50" s="513">
        <v>125</v>
      </c>
      <c r="K50" s="514">
        <v>125</v>
      </c>
      <c r="L50" s="511">
        <v>125</v>
      </c>
      <c r="M50" s="512">
        <v>125</v>
      </c>
      <c r="N50" s="512">
        <v>125</v>
      </c>
      <c r="O50" s="512">
        <v>125</v>
      </c>
      <c r="P50" s="513">
        <v>125</v>
      </c>
      <c r="Q50" s="514">
        <v>125</v>
      </c>
      <c r="R50" s="574">
        <f t="shared" si="0"/>
        <v>-10.4</v>
      </c>
      <c r="S50" s="510">
        <f t="shared" si="1"/>
        <v>0</v>
      </c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16326</v>
      </c>
      <c r="E51" s="512">
        <v>15512</v>
      </c>
      <c r="F51" s="512">
        <v>14888</v>
      </c>
      <c r="G51" s="512">
        <v>14943</v>
      </c>
      <c r="H51" s="512">
        <v>14852.489900999999</v>
      </c>
      <c r="I51" s="512">
        <v>14939</v>
      </c>
      <c r="J51" s="513">
        <v>15128.630594</v>
      </c>
      <c r="K51" s="514">
        <v>15017.092359</v>
      </c>
      <c r="L51" s="511">
        <v>14973.989187000001</v>
      </c>
      <c r="M51" s="512">
        <v>15165.610504</v>
      </c>
      <c r="N51" s="512">
        <v>15275.797522999999</v>
      </c>
      <c r="O51" s="512">
        <v>15269.809386000001</v>
      </c>
      <c r="P51" s="513">
        <v>15428.246661000001</v>
      </c>
      <c r="Q51" s="514">
        <v>15683.439990999999</v>
      </c>
      <c r="R51" s="574">
        <f t="shared" si="0"/>
        <v>-1.2</v>
      </c>
      <c r="S51" s="510">
        <f t="shared" si="1"/>
        <v>0.9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14602</v>
      </c>
      <c r="E52" s="512">
        <v>13741</v>
      </c>
      <c r="F52" s="512">
        <v>13614</v>
      </c>
      <c r="G52" s="512">
        <v>13630</v>
      </c>
      <c r="H52" s="512">
        <v>13554.8</v>
      </c>
      <c r="I52" s="512">
        <v>13609</v>
      </c>
      <c r="J52" s="513">
        <v>14078.630594</v>
      </c>
      <c r="K52" s="514">
        <v>13653.12</v>
      </c>
      <c r="L52" s="511">
        <v>13567.785996000001</v>
      </c>
      <c r="M52" s="512">
        <v>13691.884516</v>
      </c>
      <c r="N52" s="512">
        <v>13773.656913999999</v>
      </c>
      <c r="O52" s="512">
        <v>13751.925037000001</v>
      </c>
      <c r="P52" s="513">
        <v>13912.817863</v>
      </c>
      <c r="Q52" s="514">
        <v>14177.907870999999</v>
      </c>
      <c r="R52" s="574">
        <f t="shared" si="0"/>
        <v>-1</v>
      </c>
      <c r="S52" s="510">
        <f t="shared" si="1"/>
        <v>0.9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6020</v>
      </c>
      <c r="E53" s="496">
        <v>6806</v>
      </c>
      <c r="F53" s="496">
        <v>7143</v>
      </c>
      <c r="G53" s="496">
        <v>7421</v>
      </c>
      <c r="H53" s="496">
        <v>7809</v>
      </c>
      <c r="I53" s="496">
        <v>8099</v>
      </c>
      <c r="J53" s="497">
        <v>8701</v>
      </c>
      <c r="K53" s="502">
        <v>9686</v>
      </c>
      <c r="L53" s="503">
        <v>9902</v>
      </c>
      <c r="M53" s="496">
        <v>10219</v>
      </c>
      <c r="N53" s="496">
        <v>10455</v>
      </c>
      <c r="O53" s="496">
        <v>10766</v>
      </c>
      <c r="P53" s="497">
        <v>11137</v>
      </c>
      <c r="Q53" s="502">
        <v>11562</v>
      </c>
      <c r="R53" s="573">
        <f t="shared" si="0"/>
        <v>7</v>
      </c>
      <c r="S53" s="256">
        <f t="shared" si="1"/>
        <v>3.1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4360</v>
      </c>
      <c r="F54" s="518">
        <v>4801</v>
      </c>
      <c r="G54" s="518">
        <v>5216</v>
      </c>
      <c r="H54" s="518">
        <v>5295</v>
      </c>
      <c r="I54" s="518">
        <v>5388</v>
      </c>
      <c r="J54" s="519">
        <v>5499</v>
      </c>
      <c r="K54" s="514">
        <v>5847</v>
      </c>
      <c r="L54" s="511">
        <v>5951</v>
      </c>
      <c r="M54" s="518">
        <v>6075</v>
      </c>
      <c r="N54" s="518">
        <v>6140</v>
      </c>
      <c r="O54" s="518">
        <v>6249</v>
      </c>
      <c r="P54" s="519">
        <v>6319</v>
      </c>
      <c r="Q54" s="514">
        <v>6410</v>
      </c>
      <c r="R54" s="574" t="str">
        <f t="shared" si="0"/>
        <v xml:space="preserve">     -</v>
      </c>
      <c r="S54" s="510">
        <f t="shared" si="1"/>
        <v>1.5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1035</v>
      </c>
      <c r="E55" s="518">
        <v>1040</v>
      </c>
      <c r="F55" s="518">
        <v>1060</v>
      </c>
      <c r="G55" s="518">
        <v>1087</v>
      </c>
      <c r="H55" s="518">
        <v>1128</v>
      </c>
      <c r="I55" s="518">
        <v>1245</v>
      </c>
      <c r="J55" s="519">
        <v>1263</v>
      </c>
      <c r="K55" s="514">
        <v>1275</v>
      </c>
      <c r="L55" s="511">
        <v>1280</v>
      </c>
      <c r="M55" s="518">
        <v>1285</v>
      </c>
      <c r="N55" s="518">
        <v>1290</v>
      </c>
      <c r="O55" s="518">
        <v>1295</v>
      </c>
      <c r="P55" s="519">
        <v>1300</v>
      </c>
      <c r="Q55" s="514">
        <v>1305</v>
      </c>
      <c r="R55" s="574">
        <f t="shared" si="0"/>
        <v>3</v>
      </c>
      <c r="S55" s="510">
        <f t="shared" si="1"/>
        <v>0.4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1738</v>
      </c>
      <c r="E56" s="521">
        <v>1878</v>
      </c>
      <c r="F56" s="521">
        <v>1301.4000000000001</v>
      </c>
      <c r="G56" s="521">
        <v>1583.4</v>
      </c>
      <c r="H56" s="521">
        <v>1538</v>
      </c>
      <c r="I56" s="521">
        <v>1730</v>
      </c>
      <c r="J56" s="522">
        <v>2377.9299999999998</v>
      </c>
      <c r="K56" s="523">
        <v>2454.5500000000002</v>
      </c>
      <c r="L56" s="520">
        <v>2578</v>
      </c>
      <c r="M56" s="521">
        <v>2792</v>
      </c>
      <c r="N56" s="521">
        <v>2833.8799999999997</v>
      </c>
      <c r="O56" s="521">
        <v>3052</v>
      </c>
      <c r="P56" s="522">
        <v>3300</v>
      </c>
      <c r="Q56" s="523">
        <v>3625</v>
      </c>
      <c r="R56" s="574">
        <f t="shared" si="0"/>
        <v>5.0999999999999996</v>
      </c>
      <c r="S56" s="510">
        <f t="shared" si="1"/>
        <v>7.1</v>
      </c>
      <c r="U56" s="280"/>
      <c r="V56" s="43"/>
      <c r="W56" s="43"/>
      <c r="X56" s="43"/>
      <c r="Y56" s="43"/>
      <c r="Z56" s="361"/>
      <c r="AA56" s="361"/>
      <c r="AB56" s="361"/>
      <c r="AC56" s="361"/>
      <c r="AD56" s="361"/>
      <c r="AE56" s="361"/>
      <c r="AF56" s="361"/>
      <c r="AG56" s="361"/>
    </row>
    <row r="57" spans="1:33" ht="15" customHeight="1">
      <c r="A57" s="16"/>
      <c r="B57" s="672" t="s">
        <v>316</v>
      </c>
      <c r="C57" s="673"/>
      <c r="D57" s="553">
        <v>16590</v>
      </c>
      <c r="E57" s="526">
        <v>14324</v>
      </c>
      <c r="F57" s="530">
        <v>13684</v>
      </c>
      <c r="G57" s="497">
        <v>13940</v>
      </c>
      <c r="H57" s="496">
        <v>14050</v>
      </c>
      <c r="I57" s="497">
        <v>14297</v>
      </c>
      <c r="J57" s="551">
        <v>14522</v>
      </c>
      <c r="K57" s="554">
        <v>14760</v>
      </c>
      <c r="L57" s="527">
        <v>15265</v>
      </c>
      <c r="M57" s="528">
        <v>15265</v>
      </c>
      <c r="N57" s="528">
        <v>15265</v>
      </c>
      <c r="O57" s="528">
        <v>15265</v>
      </c>
      <c r="P57" s="500">
        <v>15715</v>
      </c>
      <c r="Q57" s="554">
        <v>15715</v>
      </c>
      <c r="R57" s="573">
        <f t="shared" si="0"/>
        <v>-1.7</v>
      </c>
      <c r="S57" s="256">
        <f t="shared" si="1"/>
        <v>0.6</v>
      </c>
      <c r="U57" s="326"/>
      <c r="V57" s="338"/>
      <c r="W57" s="338"/>
      <c r="X57" s="43"/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610</v>
      </c>
      <c r="E58" s="526">
        <v>610</v>
      </c>
      <c r="F58" s="530">
        <v>610</v>
      </c>
      <c r="G58" s="497">
        <v>610</v>
      </c>
      <c r="H58" s="496">
        <v>610</v>
      </c>
      <c r="I58" s="497">
        <v>610</v>
      </c>
      <c r="J58" s="551">
        <v>610</v>
      </c>
      <c r="K58" s="498">
        <v>609.6</v>
      </c>
      <c r="L58" s="499">
        <v>609.6</v>
      </c>
      <c r="M58" s="532">
        <v>609.6</v>
      </c>
      <c r="N58" s="532">
        <v>609.6</v>
      </c>
      <c r="O58" s="532">
        <v>1029.6000000000001</v>
      </c>
      <c r="P58" s="532">
        <v>1498</v>
      </c>
      <c r="Q58" s="498">
        <v>1498</v>
      </c>
      <c r="R58" s="573">
        <f t="shared" si="0"/>
        <v>0</v>
      </c>
      <c r="S58" s="256">
        <f t="shared" si="1"/>
        <v>19.7</v>
      </c>
      <c r="U58" s="338"/>
      <c r="V58" s="338"/>
      <c r="W58" s="338"/>
      <c r="X58" s="281"/>
      <c r="Y58" s="281"/>
      <c r="Z58" s="281"/>
      <c r="AA58" s="420"/>
      <c r="AB58" s="281"/>
      <c r="AC58" s="281"/>
      <c r="AD58" s="338"/>
      <c r="AE58" s="338"/>
      <c r="AF58" s="338"/>
      <c r="AG58" s="338"/>
    </row>
    <row r="59" spans="1:33" ht="15.75" customHeight="1">
      <c r="A59" s="16"/>
      <c r="B59" s="674" t="s">
        <v>318</v>
      </c>
      <c r="C59" s="675"/>
      <c r="D59" s="95">
        <f>SUM(D57:D58)</f>
        <v>17200</v>
      </c>
      <c r="E59" s="92">
        <f t="shared" ref="E59:Q59" si="7">SUM(E57:E58)</f>
        <v>14934</v>
      </c>
      <c r="F59" s="92">
        <f t="shared" si="7"/>
        <v>14294</v>
      </c>
      <c r="G59" s="93">
        <f t="shared" si="7"/>
        <v>14550</v>
      </c>
      <c r="H59" s="93">
        <f t="shared" si="7"/>
        <v>14660</v>
      </c>
      <c r="I59" s="94">
        <f t="shared" si="7"/>
        <v>14907</v>
      </c>
      <c r="J59" s="94">
        <f t="shared" si="7"/>
        <v>15132</v>
      </c>
      <c r="K59" s="96">
        <f t="shared" si="7"/>
        <v>15369.6</v>
      </c>
      <c r="L59" s="555">
        <f t="shared" si="7"/>
        <v>15874.6</v>
      </c>
      <c r="M59" s="556">
        <f t="shared" si="7"/>
        <v>15874.6</v>
      </c>
      <c r="N59" s="556">
        <f t="shared" si="7"/>
        <v>15874.6</v>
      </c>
      <c r="O59" s="556">
        <f t="shared" si="7"/>
        <v>16294.6</v>
      </c>
      <c r="P59" s="556">
        <f t="shared" si="7"/>
        <v>17213</v>
      </c>
      <c r="Q59" s="227">
        <f t="shared" si="7"/>
        <v>17213</v>
      </c>
      <c r="R59" s="574">
        <f t="shared" si="0"/>
        <v>-1.6</v>
      </c>
      <c r="S59" s="510">
        <f t="shared" si="1"/>
        <v>1.6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831</v>
      </c>
      <c r="E60" s="526">
        <v>600</v>
      </c>
      <c r="F60" s="530">
        <v>600</v>
      </c>
      <c r="G60" s="497">
        <v>600</v>
      </c>
      <c r="H60" s="496">
        <v>600</v>
      </c>
      <c r="I60" s="497">
        <v>600</v>
      </c>
      <c r="J60" s="497">
        <v>600</v>
      </c>
      <c r="K60" s="497">
        <v>600</v>
      </c>
      <c r="L60" s="533">
        <v>600</v>
      </c>
      <c r="M60" s="534">
        <v>600</v>
      </c>
      <c r="N60" s="534">
        <v>600</v>
      </c>
      <c r="O60" s="534">
        <v>600</v>
      </c>
      <c r="P60" s="534">
        <v>600</v>
      </c>
      <c r="Q60" s="535">
        <v>600</v>
      </c>
      <c r="R60" s="573">
        <f t="shared" si="0"/>
        <v>-4.5</v>
      </c>
      <c r="S60" s="256">
        <f t="shared" si="1"/>
        <v>0</v>
      </c>
      <c r="U60" s="280"/>
      <c r="V60" s="338"/>
      <c r="W60" s="338"/>
      <c r="X60" s="338"/>
      <c r="Y60" s="338"/>
      <c r="Z60" s="338"/>
      <c r="AA60" s="280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2250</v>
      </c>
      <c r="E61" s="526">
        <v>2234</v>
      </c>
      <c r="F61" s="530">
        <v>2150</v>
      </c>
      <c r="G61" s="497">
        <v>2384</v>
      </c>
      <c r="H61" s="496">
        <v>2317.3599999999997</v>
      </c>
      <c r="I61" s="497">
        <v>2317.3599999999997</v>
      </c>
      <c r="J61" s="497">
        <v>2317.3599999999997</v>
      </c>
      <c r="K61" s="502">
        <v>2233.6</v>
      </c>
      <c r="L61" s="503">
        <v>2233.6</v>
      </c>
      <c r="M61" s="496">
        <v>2233.6</v>
      </c>
      <c r="N61" s="496">
        <v>2233.6</v>
      </c>
      <c r="O61" s="496">
        <v>2233.6</v>
      </c>
      <c r="P61" s="497">
        <v>2233.6</v>
      </c>
      <c r="Q61" s="502">
        <v>2234</v>
      </c>
      <c r="R61" s="573">
        <f t="shared" si="0"/>
        <v>-0.1</v>
      </c>
      <c r="S61" s="256">
        <f t="shared" si="1"/>
        <v>0</v>
      </c>
      <c r="U61" s="280"/>
      <c r="V61" s="338"/>
      <c r="W61" s="338"/>
      <c r="X61" s="338"/>
      <c r="Y61" s="338"/>
      <c r="Z61" s="280"/>
      <c r="AA61" s="280"/>
      <c r="AB61" s="280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764</v>
      </c>
      <c r="E62" s="525">
        <v>932</v>
      </c>
      <c r="F62" s="530">
        <v>932</v>
      </c>
      <c r="G62" s="497">
        <v>942</v>
      </c>
      <c r="H62" s="496">
        <v>942</v>
      </c>
      <c r="I62" s="497">
        <v>942</v>
      </c>
      <c r="J62" s="497">
        <v>942</v>
      </c>
      <c r="K62" s="536">
        <v>1063</v>
      </c>
      <c r="L62" s="537">
        <v>1063</v>
      </c>
      <c r="M62" s="538">
        <v>1063</v>
      </c>
      <c r="N62" s="538">
        <v>1063</v>
      </c>
      <c r="O62" s="538">
        <v>1063</v>
      </c>
      <c r="P62" s="515">
        <v>1063</v>
      </c>
      <c r="Q62" s="536">
        <v>1063</v>
      </c>
      <c r="R62" s="573">
        <f t="shared" si="0"/>
        <v>4.8</v>
      </c>
      <c r="S62" s="256">
        <f t="shared" si="1"/>
        <v>0</v>
      </c>
      <c r="U62" s="43"/>
      <c r="V62" s="43"/>
      <c r="W62" s="43"/>
      <c r="X62" s="362"/>
      <c r="Y62" s="362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3845</v>
      </c>
      <c r="E63" s="539">
        <f t="shared" ref="E63:Q63" si="8">SUM(E60:E62)</f>
        <v>3766</v>
      </c>
      <c r="F63" s="539">
        <f t="shared" si="8"/>
        <v>3682</v>
      </c>
      <c r="G63" s="100">
        <f t="shared" si="8"/>
        <v>3926</v>
      </c>
      <c r="H63" s="100">
        <f t="shared" si="8"/>
        <v>3859.3599999999997</v>
      </c>
      <c r="I63" s="100">
        <f t="shared" si="8"/>
        <v>3859.3599999999997</v>
      </c>
      <c r="J63" s="101">
        <f t="shared" si="8"/>
        <v>3859.3599999999997</v>
      </c>
      <c r="K63" s="104">
        <f t="shared" si="8"/>
        <v>3896.6</v>
      </c>
      <c r="L63" s="540">
        <f t="shared" si="8"/>
        <v>3896.6</v>
      </c>
      <c r="M63" s="100">
        <f t="shared" si="8"/>
        <v>3896.6</v>
      </c>
      <c r="N63" s="100">
        <f t="shared" si="8"/>
        <v>3896.6</v>
      </c>
      <c r="O63" s="100">
        <f t="shared" si="8"/>
        <v>3896.6</v>
      </c>
      <c r="P63" s="100">
        <f t="shared" si="8"/>
        <v>3896.6</v>
      </c>
      <c r="Q63" s="103">
        <f t="shared" si="8"/>
        <v>3897</v>
      </c>
      <c r="R63" s="576">
        <f t="shared" si="0"/>
        <v>0.2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81441.570000000007</v>
      </c>
      <c r="E64" s="543">
        <f t="shared" ref="E64:Q64" si="9">E48+E49+E51+E53+E55+E56+E59+E63</f>
        <v>82197.76999999999</v>
      </c>
      <c r="F64" s="543">
        <f t="shared" si="9"/>
        <v>81160.77</v>
      </c>
      <c r="G64" s="544">
        <f t="shared" si="9"/>
        <v>86436.095000000001</v>
      </c>
      <c r="H64" s="544">
        <f t="shared" si="9"/>
        <v>90013.535731085925</v>
      </c>
      <c r="I64" s="544">
        <f t="shared" si="9"/>
        <v>94836.129590562516</v>
      </c>
      <c r="J64" s="545">
        <f t="shared" si="9"/>
        <v>99444.000220360147</v>
      </c>
      <c r="K64" s="546">
        <f t="shared" si="9"/>
        <v>102592.89906300358</v>
      </c>
      <c r="L64" s="547">
        <f t="shared" si="9"/>
        <v>105896.80680821741</v>
      </c>
      <c r="M64" s="544">
        <f t="shared" si="9"/>
        <v>109902.94848555182</v>
      </c>
      <c r="N64" s="544">
        <f t="shared" si="9"/>
        <v>116287.34664714269</v>
      </c>
      <c r="O64" s="544">
        <f t="shared" si="9"/>
        <v>122226.20318748354</v>
      </c>
      <c r="P64" s="544">
        <f t="shared" si="9"/>
        <v>125875.00519870233</v>
      </c>
      <c r="Q64" s="577">
        <f t="shared" si="9"/>
        <v>129121.3651115649</v>
      </c>
      <c r="R64" s="579">
        <f t="shared" si="0"/>
        <v>3.4</v>
      </c>
      <c r="S64" s="558">
        <f t="shared" si="1"/>
        <v>4</v>
      </c>
    </row>
    <row r="65" spans="1:33" ht="15" customHeight="1">
      <c r="A65" s="616" t="s">
        <v>327</v>
      </c>
      <c r="B65" s="666" t="s">
        <v>433</v>
      </c>
      <c r="C65" s="667"/>
      <c r="D65" s="495">
        <v>5389</v>
      </c>
      <c r="E65" s="496">
        <v>5414</v>
      </c>
      <c r="F65" s="497">
        <v>5750</v>
      </c>
      <c r="G65" s="497">
        <v>6134</v>
      </c>
      <c r="H65" s="496">
        <v>6287</v>
      </c>
      <c r="I65" s="497">
        <v>6227</v>
      </c>
      <c r="J65" s="497">
        <v>6594</v>
      </c>
      <c r="K65" s="502">
        <v>6805</v>
      </c>
      <c r="L65" s="503">
        <v>7040</v>
      </c>
      <c r="M65" s="496">
        <v>7900</v>
      </c>
      <c r="N65" s="496">
        <v>8300</v>
      </c>
      <c r="O65" s="496">
        <v>8700</v>
      </c>
      <c r="P65" s="279">
        <v>9050</v>
      </c>
      <c r="Q65" s="502">
        <v>9300</v>
      </c>
      <c r="R65" s="573">
        <f t="shared" si="0"/>
        <v>3.4</v>
      </c>
      <c r="S65" s="256">
        <f t="shared" si="1"/>
        <v>5.7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2831</v>
      </c>
      <c r="E66" s="496">
        <v>2583</v>
      </c>
      <c r="F66" s="497">
        <v>2625</v>
      </c>
      <c r="G66" s="497">
        <v>2771</v>
      </c>
      <c r="H66" s="496">
        <v>2550</v>
      </c>
      <c r="I66" s="497">
        <v>2725</v>
      </c>
      <c r="J66" s="497">
        <v>2859</v>
      </c>
      <c r="K66" s="502">
        <v>2974</v>
      </c>
      <c r="L66" s="503">
        <v>2950</v>
      </c>
      <c r="M66" s="496">
        <v>2950</v>
      </c>
      <c r="N66" s="496">
        <v>2950</v>
      </c>
      <c r="O66" s="496">
        <v>3000</v>
      </c>
      <c r="P66" s="279">
        <v>3000</v>
      </c>
      <c r="Q66" s="502">
        <v>3000</v>
      </c>
      <c r="R66" s="573">
        <f t="shared" si="0"/>
        <v>0.7</v>
      </c>
      <c r="S66" s="256">
        <f t="shared" si="1"/>
        <v>0.3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1606</v>
      </c>
      <c r="E67" s="496">
        <v>1642.6990000000001</v>
      </c>
      <c r="F67" s="497">
        <v>1671.6225000000002</v>
      </c>
      <c r="G67" s="497">
        <v>2347.4325000000003</v>
      </c>
      <c r="H67" s="496">
        <v>2316.2426800859189</v>
      </c>
      <c r="I67" s="497">
        <v>2492.9579025625235</v>
      </c>
      <c r="J67" s="497">
        <v>2126</v>
      </c>
      <c r="K67" s="502">
        <v>2405</v>
      </c>
      <c r="L67" s="503">
        <v>2396</v>
      </c>
      <c r="M67" s="496">
        <v>2494</v>
      </c>
      <c r="N67" s="496">
        <v>2512</v>
      </c>
      <c r="O67" s="496">
        <v>2483</v>
      </c>
      <c r="P67" s="497">
        <v>2467</v>
      </c>
      <c r="Q67" s="502">
        <v>2442</v>
      </c>
      <c r="R67" s="573">
        <f t="shared" si="0"/>
        <v>5.9</v>
      </c>
      <c r="S67" s="256">
        <f t="shared" si="1"/>
        <v>0.4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14349</v>
      </c>
      <c r="E68" s="496">
        <v>16319</v>
      </c>
      <c r="F68" s="497">
        <v>16919</v>
      </c>
      <c r="G68" s="497">
        <v>19421</v>
      </c>
      <c r="H68" s="496">
        <v>22072</v>
      </c>
      <c r="I68" s="497">
        <v>25413</v>
      </c>
      <c r="J68" s="497">
        <v>28515</v>
      </c>
      <c r="K68" s="502">
        <v>29483.379999999997</v>
      </c>
      <c r="L68" s="503">
        <v>31526.18</v>
      </c>
      <c r="M68" s="496">
        <v>33501.360000000001</v>
      </c>
      <c r="N68" s="496">
        <v>36856.61</v>
      </c>
      <c r="O68" s="496">
        <v>39047.1</v>
      </c>
      <c r="P68" s="279">
        <v>41004.839999999997</v>
      </c>
      <c r="Q68" s="502">
        <v>43118.100000000006</v>
      </c>
      <c r="R68" s="573">
        <f t="shared" si="0"/>
        <v>10.8</v>
      </c>
      <c r="S68" s="256">
        <f t="shared" si="1"/>
        <v>6.5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1556</v>
      </c>
      <c r="E69" s="496">
        <v>1855</v>
      </c>
      <c r="F69" s="497">
        <v>2092</v>
      </c>
      <c r="G69" s="497">
        <v>2220</v>
      </c>
      <c r="H69" s="496">
        <v>2191.4286699999998</v>
      </c>
      <c r="I69" s="497">
        <v>2192.440748</v>
      </c>
      <c r="J69" s="497">
        <v>2206.3651463601582</v>
      </c>
      <c r="K69" s="502">
        <v>2345.430302113572</v>
      </c>
      <c r="L69" s="503">
        <v>2697.3143884285705</v>
      </c>
      <c r="M69" s="496">
        <v>2697.3143884285705</v>
      </c>
      <c r="N69" s="496">
        <v>2759.625</v>
      </c>
      <c r="O69" s="496">
        <v>2822.625</v>
      </c>
      <c r="P69" s="279">
        <v>2822.625</v>
      </c>
      <c r="Q69" s="502">
        <v>2822.625</v>
      </c>
      <c r="R69" s="573">
        <f t="shared" si="0"/>
        <v>6</v>
      </c>
      <c r="S69" s="256">
        <f t="shared" si="1"/>
        <v>0.9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795.67500000000007</v>
      </c>
      <c r="E70" s="496">
        <v>819.54525000000012</v>
      </c>
      <c r="F70" s="497">
        <v>844.1316075000002</v>
      </c>
      <c r="G70" s="497">
        <v>869.45555572500018</v>
      </c>
      <c r="H70" s="496">
        <v>895.53922239675023</v>
      </c>
      <c r="I70" s="497">
        <v>922.40539906865274</v>
      </c>
      <c r="J70" s="497">
        <v>950.07756104071234</v>
      </c>
      <c r="K70" s="502">
        <v>800</v>
      </c>
      <c r="L70" s="503">
        <v>1030</v>
      </c>
      <c r="M70" s="496">
        <v>1080</v>
      </c>
      <c r="N70" s="496">
        <v>1135</v>
      </c>
      <c r="O70" s="496">
        <v>1190</v>
      </c>
      <c r="P70" s="279">
        <v>1250</v>
      </c>
      <c r="Q70" s="502">
        <v>1310</v>
      </c>
      <c r="R70" s="573">
        <f t="shared" si="0"/>
        <v>0.1</v>
      </c>
      <c r="S70" s="256">
        <f t="shared" si="1"/>
        <v>4.9000000000000004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3108</v>
      </c>
      <c r="E71" s="49">
        <v>3388</v>
      </c>
      <c r="F71" s="45">
        <v>3480</v>
      </c>
      <c r="G71" s="49">
        <v>4140</v>
      </c>
      <c r="H71" s="49">
        <v>4500</v>
      </c>
      <c r="I71" s="45">
        <v>4690</v>
      </c>
      <c r="J71" s="49">
        <v>4446</v>
      </c>
      <c r="K71" s="50">
        <v>4600</v>
      </c>
      <c r="L71" s="140">
        <v>4800</v>
      </c>
      <c r="M71" s="45">
        <v>4900</v>
      </c>
      <c r="N71" s="45">
        <v>5300</v>
      </c>
      <c r="O71" s="45">
        <v>5700</v>
      </c>
      <c r="P71" s="45">
        <v>5800</v>
      </c>
      <c r="Q71" s="50">
        <v>5800</v>
      </c>
      <c r="R71" s="573">
        <f t="shared" si="0"/>
        <v>5.8</v>
      </c>
      <c r="S71" s="256">
        <f t="shared" si="1"/>
        <v>3.9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2.7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90</v>
      </c>
      <c r="E73" s="49">
        <v>42</v>
      </c>
      <c r="F73" s="45">
        <v>13</v>
      </c>
      <c r="G73" s="49">
        <v>14</v>
      </c>
      <c r="H73" s="49">
        <v>29.37</v>
      </c>
      <c r="I73" s="45">
        <v>197.27099999999999</v>
      </c>
      <c r="J73" s="49">
        <v>208.82</v>
      </c>
      <c r="K73" s="50">
        <v>221.34</v>
      </c>
      <c r="L73" s="140">
        <v>234.63</v>
      </c>
      <c r="M73" s="45">
        <v>248.7</v>
      </c>
      <c r="N73" s="45">
        <v>263.63</v>
      </c>
      <c r="O73" s="45">
        <v>280</v>
      </c>
      <c r="P73" s="45">
        <v>297</v>
      </c>
      <c r="Q73" s="50">
        <v>315</v>
      </c>
      <c r="R73" s="573">
        <f t="shared" si="10"/>
        <v>13.7</v>
      </c>
      <c r="S73" s="256">
        <f t="shared" si="11"/>
        <v>6.1</v>
      </c>
      <c r="U73" s="43"/>
      <c r="V73" s="43"/>
      <c r="W73" s="280"/>
      <c r="X73" s="280"/>
      <c r="Y73" s="280"/>
      <c r="Z73" s="280"/>
      <c r="AA73" s="280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780.64106358381514</v>
      </c>
      <c r="E74" s="496">
        <v>917</v>
      </c>
      <c r="F74" s="497">
        <v>922</v>
      </c>
      <c r="G74" s="497">
        <v>775</v>
      </c>
      <c r="H74" s="496">
        <v>774.84847999999988</v>
      </c>
      <c r="I74" s="497">
        <v>774.93294000000003</v>
      </c>
      <c r="J74" s="497">
        <v>774.84847999999988</v>
      </c>
      <c r="K74" s="502">
        <v>747.58640188999993</v>
      </c>
      <c r="L74" s="503">
        <v>880.68910078883005</v>
      </c>
      <c r="M74" s="496">
        <v>988.06659942511624</v>
      </c>
      <c r="N74" s="496">
        <v>1818.7289961975221</v>
      </c>
      <c r="O74" s="496">
        <v>1847.5380796134818</v>
      </c>
      <c r="P74" s="279">
        <v>1877.7415226667745</v>
      </c>
      <c r="Q74" s="502">
        <v>1909.4068123638463</v>
      </c>
      <c r="R74" s="573">
        <f t="shared" si="10"/>
        <v>-0.6</v>
      </c>
      <c r="S74" s="256">
        <f t="shared" si="11"/>
        <v>16.7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495">
        <v>150</v>
      </c>
      <c r="E75" s="496">
        <v>150</v>
      </c>
      <c r="F75" s="497">
        <v>150</v>
      </c>
      <c r="G75" s="497">
        <v>150</v>
      </c>
      <c r="H75" s="496">
        <v>150</v>
      </c>
      <c r="I75" s="497">
        <v>150</v>
      </c>
      <c r="J75" s="497">
        <v>150</v>
      </c>
      <c r="K75" s="502">
        <v>150</v>
      </c>
      <c r="L75" s="503">
        <v>520</v>
      </c>
      <c r="M75" s="496">
        <v>520</v>
      </c>
      <c r="N75" s="496">
        <v>520</v>
      </c>
      <c r="O75" s="496">
        <v>520</v>
      </c>
      <c r="P75" s="279">
        <v>520</v>
      </c>
      <c r="Q75" s="502">
        <v>970</v>
      </c>
      <c r="R75" s="573">
        <f t="shared" si="10"/>
        <v>0</v>
      </c>
      <c r="S75" s="256">
        <f t="shared" si="11"/>
        <v>13.3</v>
      </c>
      <c r="T75" s="427"/>
      <c r="U75" s="43"/>
      <c r="V75" s="43"/>
      <c r="W75" s="280"/>
      <c r="X75" s="280"/>
      <c r="Y75" s="280"/>
      <c r="Z75" s="280"/>
      <c r="AA75" s="280"/>
      <c r="AB75" s="280"/>
      <c r="AC75" s="280"/>
      <c r="AD75" s="280"/>
      <c r="AE75" s="280"/>
      <c r="AF75" s="280"/>
      <c r="AG75" s="280"/>
    </row>
    <row r="76" spans="1:33" ht="15" customHeight="1">
      <c r="A76" s="16"/>
      <c r="B76" s="670" t="s">
        <v>443</v>
      </c>
      <c r="C76" s="671"/>
      <c r="D76" s="138">
        <v>5264</v>
      </c>
      <c r="E76" s="40">
        <v>4919.6000000000004</v>
      </c>
      <c r="F76" s="40">
        <v>4459.8999999999996</v>
      </c>
      <c r="G76" s="40">
        <v>4189.8999999999996</v>
      </c>
      <c r="H76" s="505">
        <v>4351.2999999999993</v>
      </c>
      <c r="I76" s="505">
        <v>4409</v>
      </c>
      <c r="J76" s="506">
        <v>4394</v>
      </c>
      <c r="K76" s="507">
        <v>4729.2</v>
      </c>
      <c r="L76" s="508">
        <v>4607.3</v>
      </c>
      <c r="M76" s="505">
        <v>4803.5669936981294</v>
      </c>
      <c r="N76" s="505">
        <v>4957.025127945144</v>
      </c>
      <c r="O76" s="505">
        <v>4964.9307218700415</v>
      </c>
      <c r="P76" s="505">
        <v>4973.9520150355511</v>
      </c>
      <c r="Q76" s="509">
        <v>4980.7933082010613</v>
      </c>
      <c r="R76" s="573">
        <f t="shared" si="10"/>
        <v>-1.5</v>
      </c>
      <c r="S76" s="256">
        <f t="shared" si="11"/>
        <v>1.6</v>
      </c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  <c r="AF76" s="280"/>
      <c r="AG76" s="280"/>
    </row>
    <row r="77" spans="1:33" ht="15.75" customHeight="1">
      <c r="A77" s="16"/>
      <c r="B77" s="674" t="s">
        <v>307</v>
      </c>
      <c r="C77" s="675"/>
      <c r="D77" s="95">
        <f>SUM(D65:D76)</f>
        <v>35919.316063583814</v>
      </c>
      <c r="E77" s="93">
        <f t="shared" ref="E77:Q77" si="12">SUM(E65:E76)</f>
        <v>38049.844250000002</v>
      </c>
      <c r="F77" s="93">
        <f t="shared" si="12"/>
        <v>38926.654107499999</v>
      </c>
      <c r="G77" s="93">
        <f t="shared" si="12"/>
        <v>43031.788055725003</v>
      </c>
      <c r="H77" s="93">
        <f t="shared" si="12"/>
        <v>46117.729052482668</v>
      </c>
      <c r="I77" s="93">
        <f t="shared" si="12"/>
        <v>50194.00798963118</v>
      </c>
      <c r="J77" s="93">
        <f t="shared" si="12"/>
        <v>53224.111187400871</v>
      </c>
      <c r="K77" s="96">
        <f t="shared" si="12"/>
        <v>55260.936704003565</v>
      </c>
      <c r="L77" s="95">
        <f t="shared" si="12"/>
        <v>58682.113489217401</v>
      </c>
      <c r="M77" s="93">
        <f t="shared" si="12"/>
        <v>62083.007981551811</v>
      </c>
      <c r="N77" s="93">
        <f t="shared" si="12"/>
        <v>67372.619124142671</v>
      </c>
      <c r="O77" s="93">
        <f t="shared" si="12"/>
        <v>70555.193801483518</v>
      </c>
      <c r="P77" s="93">
        <f t="shared" si="12"/>
        <v>73063.158537702329</v>
      </c>
      <c r="Q77" s="96">
        <f t="shared" si="12"/>
        <v>75967.925120564905</v>
      </c>
      <c r="R77" s="574">
        <f t="shared" si="10"/>
        <v>6.3</v>
      </c>
      <c r="S77" s="510">
        <f t="shared" si="11"/>
        <v>5.3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284</v>
      </c>
      <c r="E78" s="512">
        <v>298</v>
      </c>
      <c r="F78" s="512">
        <v>240</v>
      </c>
      <c r="G78" s="512">
        <v>200</v>
      </c>
      <c r="H78" s="512">
        <v>130</v>
      </c>
      <c r="I78" s="512">
        <v>125</v>
      </c>
      <c r="J78" s="513">
        <v>125</v>
      </c>
      <c r="K78" s="514">
        <v>125</v>
      </c>
      <c r="L78" s="511">
        <v>125</v>
      </c>
      <c r="M78" s="512">
        <v>125</v>
      </c>
      <c r="N78" s="512">
        <v>125</v>
      </c>
      <c r="O78" s="512">
        <v>125</v>
      </c>
      <c r="P78" s="513">
        <v>125</v>
      </c>
      <c r="Q78" s="514">
        <v>125</v>
      </c>
      <c r="R78" s="574">
        <f t="shared" si="10"/>
        <v>-11.1</v>
      </c>
      <c r="S78" s="510">
        <f t="shared" si="11"/>
        <v>0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284</v>
      </c>
      <c r="E79" s="512">
        <v>298</v>
      </c>
      <c r="F79" s="512">
        <v>240</v>
      </c>
      <c r="G79" s="512">
        <v>200</v>
      </c>
      <c r="H79" s="512">
        <v>130</v>
      </c>
      <c r="I79" s="512">
        <v>125</v>
      </c>
      <c r="J79" s="513">
        <v>125</v>
      </c>
      <c r="K79" s="514">
        <v>125</v>
      </c>
      <c r="L79" s="511">
        <v>125</v>
      </c>
      <c r="M79" s="512">
        <v>125</v>
      </c>
      <c r="N79" s="512">
        <v>125</v>
      </c>
      <c r="O79" s="512">
        <v>125</v>
      </c>
      <c r="P79" s="513">
        <v>125</v>
      </c>
      <c r="Q79" s="514">
        <v>125</v>
      </c>
      <c r="R79" s="574">
        <f t="shared" si="10"/>
        <v>-11.1</v>
      </c>
      <c r="S79" s="510">
        <f t="shared" si="11"/>
        <v>0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16236</v>
      </c>
      <c r="E80" s="538">
        <v>15720</v>
      </c>
      <c r="F80" s="538">
        <v>14938</v>
      </c>
      <c r="G80" s="538">
        <v>15070</v>
      </c>
      <c r="H80" s="538">
        <v>15024.388548000001</v>
      </c>
      <c r="I80" s="538">
        <v>15067.05</v>
      </c>
      <c r="J80" s="515">
        <v>15290.291235999999</v>
      </c>
      <c r="K80" s="536">
        <v>15399.312700999999</v>
      </c>
      <c r="L80" s="537">
        <v>15235.36073</v>
      </c>
      <c r="M80" s="538">
        <v>15457.669045000001</v>
      </c>
      <c r="N80" s="538">
        <v>15593.545091</v>
      </c>
      <c r="O80" s="538">
        <v>15662.308437000002</v>
      </c>
      <c r="P80" s="515">
        <v>15812.358842</v>
      </c>
      <c r="Q80" s="536">
        <v>16143.104076</v>
      </c>
      <c r="R80" s="575">
        <f t="shared" si="10"/>
        <v>-0.8</v>
      </c>
      <c r="S80" s="517">
        <f t="shared" si="11"/>
        <v>1.2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14490</v>
      </c>
      <c r="E81" s="512">
        <v>13838</v>
      </c>
      <c r="F81" s="512">
        <v>13460</v>
      </c>
      <c r="G81" s="512">
        <v>13569</v>
      </c>
      <c r="H81" s="512">
        <v>13536.348512</v>
      </c>
      <c r="I81" s="512">
        <v>13608.73</v>
      </c>
      <c r="J81" s="513">
        <v>13917.41462</v>
      </c>
      <c r="K81" s="514">
        <v>13936.302984</v>
      </c>
      <c r="L81" s="511">
        <v>13787.785996000001</v>
      </c>
      <c r="M81" s="512">
        <v>14021.884516</v>
      </c>
      <c r="N81" s="512">
        <v>14153.656913999999</v>
      </c>
      <c r="O81" s="512">
        <v>14214.925037000001</v>
      </c>
      <c r="P81" s="513">
        <v>14360.817863</v>
      </c>
      <c r="Q81" s="514">
        <v>14697.907870999999</v>
      </c>
      <c r="R81" s="574">
        <f t="shared" si="10"/>
        <v>-0.6</v>
      </c>
      <c r="S81" s="510">
        <f t="shared" si="11"/>
        <v>1.3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5861</v>
      </c>
      <c r="E82" s="496">
        <v>6490</v>
      </c>
      <c r="F82" s="496">
        <v>6947</v>
      </c>
      <c r="G82" s="496">
        <v>7159</v>
      </c>
      <c r="H82" s="496">
        <v>7570</v>
      </c>
      <c r="I82" s="496">
        <v>7889</v>
      </c>
      <c r="J82" s="497">
        <v>8421</v>
      </c>
      <c r="K82" s="502">
        <v>9458</v>
      </c>
      <c r="L82" s="503">
        <v>9551</v>
      </c>
      <c r="M82" s="496">
        <v>9773</v>
      </c>
      <c r="N82" s="496">
        <v>10081</v>
      </c>
      <c r="O82" s="496">
        <v>10440</v>
      </c>
      <c r="P82" s="497">
        <v>10822</v>
      </c>
      <c r="Q82" s="502">
        <v>11116</v>
      </c>
      <c r="R82" s="573">
        <f t="shared" si="10"/>
        <v>7.1</v>
      </c>
      <c r="S82" s="256">
        <f t="shared" si="11"/>
        <v>3.1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4183</v>
      </c>
      <c r="F83" s="518">
        <v>4619</v>
      </c>
      <c r="G83" s="518">
        <v>4967</v>
      </c>
      <c r="H83" s="518">
        <v>5097</v>
      </c>
      <c r="I83" s="518">
        <v>5198</v>
      </c>
      <c r="J83" s="519">
        <v>5386</v>
      </c>
      <c r="K83" s="514">
        <v>5581</v>
      </c>
      <c r="L83" s="511">
        <v>5842</v>
      </c>
      <c r="M83" s="518">
        <v>5927</v>
      </c>
      <c r="N83" s="518">
        <v>6043</v>
      </c>
      <c r="O83" s="518">
        <v>6112</v>
      </c>
      <c r="P83" s="519">
        <v>6205</v>
      </c>
      <c r="Q83" s="514">
        <v>6310</v>
      </c>
      <c r="R83" s="574" t="str">
        <f t="shared" si="10"/>
        <v xml:space="preserve">     -</v>
      </c>
      <c r="S83" s="510">
        <f t="shared" si="11"/>
        <v>1.6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1040</v>
      </c>
      <c r="E84" s="518">
        <v>1055</v>
      </c>
      <c r="F84" s="518">
        <v>1046</v>
      </c>
      <c r="G84" s="518">
        <v>1123</v>
      </c>
      <c r="H84" s="518">
        <v>1151</v>
      </c>
      <c r="I84" s="518">
        <v>1140</v>
      </c>
      <c r="J84" s="519">
        <v>1145</v>
      </c>
      <c r="K84" s="514">
        <v>1175</v>
      </c>
      <c r="L84" s="511">
        <v>1178</v>
      </c>
      <c r="M84" s="518">
        <v>1183</v>
      </c>
      <c r="N84" s="518">
        <v>1186</v>
      </c>
      <c r="O84" s="518">
        <v>1190</v>
      </c>
      <c r="P84" s="519">
        <v>1195</v>
      </c>
      <c r="Q84" s="514">
        <v>1200</v>
      </c>
      <c r="R84" s="574">
        <f t="shared" si="10"/>
        <v>1.8</v>
      </c>
      <c r="S84" s="510">
        <f t="shared" si="11"/>
        <v>0.4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1783</v>
      </c>
      <c r="E85" s="521">
        <v>1748</v>
      </c>
      <c r="F85" s="521">
        <v>1232.5999999999999</v>
      </c>
      <c r="G85" s="521">
        <v>1747</v>
      </c>
      <c r="H85" s="521">
        <v>1955</v>
      </c>
      <c r="I85" s="521">
        <v>2166</v>
      </c>
      <c r="J85" s="522">
        <v>2222</v>
      </c>
      <c r="K85" s="523">
        <v>2213</v>
      </c>
      <c r="L85" s="520">
        <v>2400</v>
      </c>
      <c r="M85" s="521">
        <v>2555</v>
      </c>
      <c r="N85" s="521">
        <v>2765</v>
      </c>
      <c r="O85" s="521">
        <v>2841</v>
      </c>
      <c r="P85" s="522">
        <v>3082</v>
      </c>
      <c r="Q85" s="523">
        <v>3370</v>
      </c>
      <c r="R85" s="574">
        <f t="shared" si="10"/>
        <v>3.1</v>
      </c>
      <c r="S85" s="510">
        <f t="shared" si="11"/>
        <v>7</v>
      </c>
      <c r="U85" s="280"/>
      <c r="V85" s="43"/>
      <c r="W85" s="43"/>
      <c r="X85" s="43"/>
      <c r="Y85" s="43"/>
      <c r="Z85" s="361"/>
      <c r="AA85" s="361"/>
      <c r="AB85" s="361"/>
      <c r="AC85" s="361"/>
      <c r="AD85" s="361"/>
      <c r="AE85" s="361"/>
      <c r="AF85" s="361"/>
      <c r="AG85" s="361"/>
    </row>
    <row r="86" spans="1:33" ht="15" customHeight="1">
      <c r="A86" s="16"/>
      <c r="B86" s="672" t="s">
        <v>316</v>
      </c>
      <c r="C86" s="673"/>
      <c r="D86" s="529">
        <v>13393</v>
      </c>
      <c r="E86" s="525">
        <v>13528</v>
      </c>
      <c r="F86" s="530">
        <v>13665</v>
      </c>
      <c r="G86" s="530">
        <v>13803</v>
      </c>
      <c r="H86" s="525">
        <v>13942</v>
      </c>
      <c r="I86" s="530">
        <v>14280</v>
      </c>
      <c r="J86" s="530">
        <v>14505</v>
      </c>
      <c r="K86" s="564">
        <v>14711</v>
      </c>
      <c r="L86" s="524">
        <v>15083</v>
      </c>
      <c r="M86" s="525">
        <v>15775</v>
      </c>
      <c r="N86" s="525">
        <v>15964</v>
      </c>
      <c r="O86" s="525">
        <v>16239</v>
      </c>
      <c r="P86" s="530">
        <v>16480</v>
      </c>
      <c r="Q86" s="564">
        <v>16707</v>
      </c>
      <c r="R86" s="573">
        <f t="shared" si="10"/>
        <v>1.3</v>
      </c>
      <c r="S86" s="256">
        <f t="shared" si="11"/>
        <v>2.1</v>
      </c>
      <c r="U86" s="280"/>
      <c r="V86" s="338"/>
      <c r="W86" s="338"/>
      <c r="X86" s="338"/>
      <c r="Y86" s="338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45</v>
      </c>
      <c r="E87" s="525">
        <v>45</v>
      </c>
      <c r="F87" s="530">
        <v>45</v>
      </c>
      <c r="G87" s="530">
        <v>45</v>
      </c>
      <c r="H87" s="525">
        <v>46</v>
      </c>
      <c r="I87" s="530">
        <v>47</v>
      </c>
      <c r="J87" s="530">
        <v>48</v>
      </c>
      <c r="K87" s="564">
        <v>49</v>
      </c>
      <c r="L87" s="524">
        <v>50</v>
      </c>
      <c r="M87" s="525">
        <v>51</v>
      </c>
      <c r="N87" s="525">
        <v>52</v>
      </c>
      <c r="O87" s="525">
        <v>53</v>
      </c>
      <c r="P87" s="530">
        <v>54</v>
      </c>
      <c r="Q87" s="564">
        <v>55</v>
      </c>
      <c r="R87" s="573">
        <f t="shared" si="10"/>
        <v>1.2</v>
      </c>
      <c r="S87" s="256">
        <f t="shared" si="11"/>
        <v>1.9</v>
      </c>
      <c r="U87" s="280"/>
      <c r="V87" s="338"/>
      <c r="W87" s="338"/>
      <c r="X87" s="281"/>
      <c r="Y87" s="281"/>
      <c r="Z87" s="280"/>
      <c r="AA87" s="280"/>
      <c r="AB87" s="280"/>
      <c r="AC87" s="280"/>
      <c r="AD87" s="280"/>
      <c r="AE87" s="280"/>
      <c r="AF87" s="280"/>
      <c r="AG87" s="280"/>
    </row>
    <row r="88" spans="1:33" ht="15.75" customHeight="1">
      <c r="A88" s="16"/>
      <c r="B88" s="674" t="s">
        <v>318</v>
      </c>
      <c r="C88" s="675"/>
      <c r="D88" s="95">
        <f>SUM(D86:D87)</f>
        <v>13438</v>
      </c>
      <c r="E88" s="92">
        <f t="shared" ref="E88:Q88" si="13">SUM(E86:E87)</f>
        <v>13573</v>
      </c>
      <c r="F88" s="92">
        <f t="shared" si="13"/>
        <v>13710</v>
      </c>
      <c r="G88" s="93">
        <f t="shared" si="13"/>
        <v>13848</v>
      </c>
      <c r="H88" s="93">
        <f t="shared" si="13"/>
        <v>13988</v>
      </c>
      <c r="I88" s="94">
        <f t="shared" si="13"/>
        <v>14327</v>
      </c>
      <c r="J88" s="94">
        <f t="shared" si="13"/>
        <v>14553</v>
      </c>
      <c r="K88" s="96">
        <f t="shared" si="13"/>
        <v>14760</v>
      </c>
      <c r="L88" s="95">
        <f t="shared" si="13"/>
        <v>15133</v>
      </c>
      <c r="M88" s="93">
        <f t="shared" si="13"/>
        <v>15826</v>
      </c>
      <c r="N88" s="93">
        <f t="shared" si="13"/>
        <v>16016</v>
      </c>
      <c r="O88" s="93">
        <f t="shared" si="13"/>
        <v>16292</v>
      </c>
      <c r="P88" s="93">
        <f t="shared" si="13"/>
        <v>16534</v>
      </c>
      <c r="Q88" s="96">
        <f t="shared" si="13"/>
        <v>16762</v>
      </c>
      <c r="R88" s="574">
        <f t="shared" si="10"/>
        <v>1.3</v>
      </c>
      <c r="S88" s="510">
        <f t="shared" si="11"/>
        <v>2.1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754</v>
      </c>
      <c r="E89" s="525">
        <v>327</v>
      </c>
      <c r="F89" s="530">
        <v>472</v>
      </c>
      <c r="G89" s="530">
        <v>495</v>
      </c>
      <c r="H89" s="525">
        <v>517</v>
      </c>
      <c r="I89" s="530">
        <v>517</v>
      </c>
      <c r="J89" s="530">
        <v>517</v>
      </c>
      <c r="K89" s="564">
        <v>517</v>
      </c>
      <c r="L89" s="565">
        <v>582</v>
      </c>
      <c r="M89" s="566">
        <v>605</v>
      </c>
      <c r="N89" s="566">
        <v>605</v>
      </c>
      <c r="O89" s="566">
        <v>605</v>
      </c>
      <c r="P89" s="566">
        <v>605</v>
      </c>
      <c r="Q89" s="567">
        <v>605</v>
      </c>
      <c r="R89" s="573">
        <f t="shared" si="10"/>
        <v>-5.2</v>
      </c>
      <c r="S89" s="256">
        <f t="shared" si="11"/>
        <v>0.8</v>
      </c>
      <c r="U89" s="280"/>
      <c r="V89" s="338"/>
      <c r="W89" s="338"/>
      <c r="X89" s="338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1991</v>
      </c>
      <c r="E90" s="525">
        <v>1587</v>
      </c>
      <c r="F90" s="530">
        <v>1700</v>
      </c>
      <c r="G90" s="530">
        <v>1690</v>
      </c>
      <c r="H90" s="525">
        <v>1690</v>
      </c>
      <c r="I90" s="530">
        <v>1556</v>
      </c>
      <c r="J90" s="530">
        <v>1638</v>
      </c>
      <c r="K90" s="564">
        <v>1708</v>
      </c>
      <c r="L90" s="524">
        <v>1708</v>
      </c>
      <c r="M90" s="525">
        <v>1708</v>
      </c>
      <c r="N90" s="525">
        <v>1708</v>
      </c>
      <c r="O90" s="525">
        <v>1708</v>
      </c>
      <c r="P90" s="530">
        <v>1708</v>
      </c>
      <c r="Q90" s="564">
        <v>1708</v>
      </c>
      <c r="R90" s="573">
        <f t="shared" si="10"/>
        <v>-2.2000000000000002</v>
      </c>
      <c r="S90" s="256">
        <f t="shared" si="11"/>
        <v>0</v>
      </c>
      <c r="U90" s="280"/>
      <c r="V90" s="338"/>
      <c r="W90" s="338"/>
      <c r="X90" s="338"/>
      <c r="Y90" s="338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894</v>
      </c>
      <c r="E91" s="525">
        <v>903</v>
      </c>
      <c r="F91" s="530">
        <v>912</v>
      </c>
      <c r="G91" s="530">
        <v>921</v>
      </c>
      <c r="H91" s="525">
        <v>930</v>
      </c>
      <c r="I91" s="530">
        <v>940</v>
      </c>
      <c r="J91" s="530">
        <v>940</v>
      </c>
      <c r="K91" s="568">
        <v>940</v>
      </c>
      <c r="L91" s="569">
        <v>940</v>
      </c>
      <c r="M91" s="570">
        <v>940</v>
      </c>
      <c r="N91" s="570">
        <v>940</v>
      </c>
      <c r="O91" s="570">
        <v>940</v>
      </c>
      <c r="P91" s="571">
        <v>940</v>
      </c>
      <c r="Q91" s="568">
        <v>940</v>
      </c>
      <c r="R91" s="573">
        <f t="shared" si="10"/>
        <v>0.7</v>
      </c>
      <c r="S91" s="256">
        <f t="shared" si="11"/>
        <v>0</v>
      </c>
      <c r="U91" s="43"/>
      <c r="V91" s="340"/>
      <c r="W91" s="340"/>
      <c r="X91" s="43"/>
      <c r="Y91" s="280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3639</v>
      </c>
      <c r="E92" s="539">
        <f t="shared" ref="E92:Q92" si="14">SUM(E89:E91)</f>
        <v>2817</v>
      </c>
      <c r="F92" s="539">
        <f t="shared" si="14"/>
        <v>3084</v>
      </c>
      <c r="G92" s="100">
        <f t="shared" si="14"/>
        <v>3106</v>
      </c>
      <c r="H92" s="100">
        <f t="shared" si="14"/>
        <v>3137</v>
      </c>
      <c r="I92" s="100">
        <f t="shared" si="14"/>
        <v>3013</v>
      </c>
      <c r="J92" s="101">
        <f t="shared" si="14"/>
        <v>3095</v>
      </c>
      <c r="K92" s="104">
        <f t="shared" si="14"/>
        <v>3165</v>
      </c>
      <c r="L92" s="540">
        <f t="shared" si="14"/>
        <v>3230</v>
      </c>
      <c r="M92" s="100">
        <f t="shared" si="14"/>
        <v>3253</v>
      </c>
      <c r="N92" s="100">
        <f t="shared" si="14"/>
        <v>3253</v>
      </c>
      <c r="O92" s="100">
        <f t="shared" si="14"/>
        <v>3253</v>
      </c>
      <c r="P92" s="100">
        <f t="shared" si="14"/>
        <v>3253</v>
      </c>
      <c r="Q92" s="103">
        <f t="shared" si="14"/>
        <v>3253</v>
      </c>
      <c r="R92" s="576">
        <f t="shared" si="10"/>
        <v>-2</v>
      </c>
      <c r="S92" s="541">
        <f t="shared" si="11"/>
        <v>0.1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78200.316063583814</v>
      </c>
      <c r="E93" s="543">
        <f t="shared" ref="E93:Q93" si="15">E77+E78+E80+E82+E84+E85+E88+E92</f>
        <v>79750.844249999995</v>
      </c>
      <c r="F93" s="543">
        <f t="shared" si="15"/>
        <v>80124.25410749999</v>
      </c>
      <c r="G93" s="544">
        <f t="shared" si="15"/>
        <v>85284.788055725003</v>
      </c>
      <c r="H93" s="544">
        <f t="shared" si="15"/>
        <v>89073.11760048267</v>
      </c>
      <c r="I93" s="544">
        <f t="shared" si="15"/>
        <v>93921.057989631183</v>
      </c>
      <c r="J93" s="545">
        <f t="shared" si="15"/>
        <v>98075.402423400868</v>
      </c>
      <c r="K93" s="546">
        <f t="shared" si="15"/>
        <v>101556.24940500356</v>
      </c>
      <c r="L93" s="547">
        <f t="shared" si="15"/>
        <v>105534.4742192174</v>
      </c>
      <c r="M93" s="544">
        <f t="shared" si="15"/>
        <v>110255.67702655181</v>
      </c>
      <c r="N93" s="544">
        <f t="shared" si="15"/>
        <v>116392.16421514266</v>
      </c>
      <c r="O93" s="544">
        <f t="shared" si="15"/>
        <v>120358.50223848352</v>
      </c>
      <c r="P93" s="544">
        <f t="shared" si="15"/>
        <v>123886.51737970233</v>
      </c>
      <c r="Q93" s="577">
        <f t="shared" si="15"/>
        <v>127937.02919656491</v>
      </c>
      <c r="R93" s="578">
        <f t="shared" si="10"/>
        <v>3.8</v>
      </c>
      <c r="S93" s="549">
        <f t="shared" si="11"/>
        <v>3.9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22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22" ht="13.5" customHeight="1">
      <c r="C98" s="617" t="s">
        <v>333</v>
      </c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T98" s="283"/>
      <c r="U98" s="425"/>
      <c r="V98" s="425"/>
    </row>
    <row r="99" spans="3:22"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T99" s="283"/>
      <c r="U99" s="425"/>
      <c r="V99" s="425"/>
    </row>
    <row r="100" spans="3:22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22">
      <c r="D101" s="283"/>
      <c r="E101" s="283"/>
      <c r="F101" s="283"/>
      <c r="G101" s="283"/>
      <c r="H101" s="283"/>
      <c r="I101" s="283"/>
      <c r="J101" s="283"/>
      <c r="K101" s="283"/>
      <c r="L101" s="283"/>
      <c r="M101" s="283"/>
      <c r="N101" s="283"/>
      <c r="O101" s="283"/>
      <c r="P101" s="283"/>
      <c r="Q101" s="283"/>
    </row>
    <row r="102" spans="3:22">
      <c r="D102" s="283"/>
      <c r="E102" s="283"/>
      <c r="F102" s="283"/>
      <c r="G102" s="283"/>
      <c r="H102" s="283"/>
      <c r="I102" s="283"/>
      <c r="J102" s="283"/>
      <c r="K102" s="283"/>
      <c r="L102" s="283"/>
      <c r="M102" s="283"/>
      <c r="N102" s="283"/>
      <c r="O102" s="283"/>
      <c r="P102" s="283"/>
      <c r="Q102" s="283"/>
    </row>
    <row r="103" spans="3:22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22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22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22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22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22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22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22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22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22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2"/>
      <c r="M146" s="22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4"/>
      <c r="K162" s="24"/>
      <c r="L162" s="24"/>
      <c r="M162" s="24"/>
      <c r="N162" s="24"/>
      <c r="O162" s="24"/>
      <c r="P162" s="24"/>
      <c r="Q162" s="24"/>
    </row>
    <row r="163" spans="5:17">
      <c r="E163" s="27"/>
      <c r="F163" s="27"/>
      <c r="G163" s="27"/>
      <c r="H163" s="27"/>
      <c r="I163" s="27"/>
      <c r="J163" s="24"/>
      <c r="K163" s="24"/>
      <c r="L163" s="24"/>
      <c r="M163" s="24"/>
      <c r="N163" s="24"/>
      <c r="O163" s="24"/>
      <c r="P163" s="24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4"/>
      <c r="K165" s="24"/>
      <c r="L165" s="24"/>
      <c r="M165" s="24"/>
      <c r="N165" s="24"/>
      <c r="O165" s="24"/>
      <c r="P165" s="24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4"/>
      <c r="K168" s="24"/>
      <c r="L168" s="24"/>
      <c r="M168" s="24"/>
      <c r="N168" s="24"/>
      <c r="O168" s="24"/>
      <c r="P168" s="24"/>
      <c r="Q168" s="24"/>
    </row>
    <row r="169" spans="5:17">
      <c r="E169" s="27"/>
      <c r="F169" s="27"/>
      <c r="G169" s="27"/>
      <c r="H169" s="27"/>
      <c r="I169" s="27"/>
      <c r="J169" s="24"/>
      <c r="K169" s="24"/>
      <c r="L169" s="24"/>
      <c r="M169" s="24"/>
      <c r="N169" s="24"/>
      <c r="O169" s="24"/>
      <c r="P169" s="24"/>
      <c r="Q169" s="24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81" priority="5">
      <formula>CELL("protect",C97)=0</formula>
    </cfRule>
    <cfRule type="expression" dxfId="280" priority="6">
      <formula>CELL("protect",C97)=0</formula>
    </cfRule>
  </conditionalFormatting>
  <conditionalFormatting sqref="C95">
    <cfRule type="expression" dxfId="279" priority="3">
      <formula>CELL("protect",C95)=0</formula>
    </cfRule>
    <cfRule type="expression" dxfId="278" priority="4">
      <formula>CELL("protect",C95)=0</formula>
    </cfRule>
  </conditionalFormatting>
  <conditionalFormatting sqref="C97">
    <cfRule type="expression" dxfId="277" priority="1">
      <formula>CELL("protect",C97)=0</formula>
    </cfRule>
    <cfRule type="expression" dxfId="27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00B0F0"/>
    <pageSetUpPr fitToPage="1"/>
  </sheetPr>
  <dimension ref="A1:AG182"/>
  <sheetViews>
    <sheetView showGridLines="0" view="pageBreakPreview" zoomScale="80" zoomScaleNormal="4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12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3840</v>
      </c>
      <c r="E7" s="488">
        <v>3918</v>
      </c>
      <c r="F7" s="489">
        <v>4190</v>
      </c>
      <c r="G7" s="489">
        <v>4287</v>
      </c>
      <c r="H7" s="488">
        <v>4287</v>
      </c>
      <c r="I7" s="489">
        <v>4287</v>
      </c>
      <c r="J7" s="489">
        <v>4287</v>
      </c>
      <c r="K7" s="490">
        <v>4487</v>
      </c>
      <c r="L7" s="491">
        <v>4892</v>
      </c>
      <c r="M7" s="492">
        <v>4892</v>
      </c>
      <c r="N7" s="492">
        <v>5292</v>
      </c>
      <c r="O7" s="492">
        <v>6092</v>
      </c>
      <c r="P7" s="493">
        <v>6092</v>
      </c>
      <c r="Q7" s="490">
        <v>6592</v>
      </c>
      <c r="R7" s="572">
        <f>IF(D7=0,"     -",IF(K7=0,"     -",ROUND(((K7/D7)^(1/7)-1)*100,1)))</f>
        <v>2.2000000000000002</v>
      </c>
      <c r="S7" s="494">
        <f>IF(L7=0,"     -",IF(Q7=0,"     -",ROUND(((Q7/L7)^(1/5)-1)*100,1)))</f>
        <v>6.1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1310</v>
      </c>
      <c r="E8" s="496">
        <v>1310</v>
      </c>
      <c r="F8" s="497">
        <v>1310</v>
      </c>
      <c r="G8" s="497">
        <v>1310</v>
      </c>
      <c r="H8" s="496">
        <v>1310</v>
      </c>
      <c r="I8" s="497">
        <v>1310</v>
      </c>
      <c r="J8" s="497">
        <v>1400</v>
      </c>
      <c r="K8" s="498">
        <v>1400</v>
      </c>
      <c r="L8" s="499">
        <v>1400</v>
      </c>
      <c r="M8" s="500">
        <v>1400</v>
      </c>
      <c r="N8" s="500">
        <v>1400</v>
      </c>
      <c r="O8" s="500">
        <v>1400</v>
      </c>
      <c r="P8" s="501">
        <v>1400</v>
      </c>
      <c r="Q8" s="498">
        <v>1400</v>
      </c>
      <c r="R8" s="573">
        <f t="shared" ref="R8:R71" si="0">IF(D8=0,"     -",IF(K8=0,"     -",ROUND(((K8/D8)^(1/7)-1)*100,1)))</f>
        <v>1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1080</v>
      </c>
      <c r="E9" s="496">
        <v>1080</v>
      </c>
      <c r="F9" s="497">
        <v>1580</v>
      </c>
      <c r="G9" s="497">
        <v>1580</v>
      </c>
      <c r="H9" s="496">
        <v>1580</v>
      </c>
      <c r="I9" s="497">
        <v>1580</v>
      </c>
      <c r="J9" s="497">
        <v>1580</v>
      </c>
      <c r="K9" s="502">
        <v>1580</v>
      </c>
      <c r="L9" s="503">
        <v>1580</v>
      </c>
      <c r="M9" s="496">
        <v>1580</v>
      </c>
      <c r="N9" s="496">
        <v>1580</v>
      </c>
      <c r="O9" s="496">
        <v>1580</v>
      </c>
      <c r="P9" s="279">
        <v>1580</v>
      </c>
      <c r="Q9" s="502">
        <v>1580</v>
      </c>
      <c r="R9" s="573">
        <f t="shared" si="0"/>
        <v>5.6</v>
      </c>
      <c r="S9" s="256">
        <f t="shared" si="1"/>
        <v>0</v>
      </c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11293</v>
      </c>
      <c r="E10" s="496">
        <v>12960</v>
      </c>
      <c r="F10" s="497">
        <v>14395</v>
      </c>
      <c r="G10" s="497">
        <v>16037</v>
      </c>
      <c r="H10" s="496">
        <v>18066</v>
      </c>
      <c r="I10" s="497">
        <v>20789</v>
      </c>
      <c r="J10" s="497">
        <v>22504</v>
      </c>
      <c r="K10" s="502">
        <v>25124</v>
      </c>
      <c r="L10" s="503">
        <v>26599</v>
      </c>
      <c r="M10" s="496">
        <v>28579</v>
      </c>
      <c r="N10" s="496">
        <v>32776</v>
      </c>
      <c r="O10" s="496">
        <v>35976</v>
      </c>
      <c r="P10" s="279">
        <v>37256</v>
      </c>
      <c r="Q10" s="502">
        <v>38256</v>
      </c>
      <c r="R10" s="573">
        <f t="shared" si="0"/>
        <v>12.1</v>
      </c>
      <c r="S10" s="256">
        <f t="shared" si="1"/>
        <v>7.5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1950</v>
      </c>
      <c r="E11" s="496">
        <v>1950</v>
      </c>
      <c r="F11" s="497">
        <v>1950</v>
      </c>
      <c r="G11" s="497">
        <v>1950</v>
      </c>
      <c r="H11" s="496">
        <v>1950</v>
      </c>
      <c r="I11" s="497">
        <v>1950</v>
      </c>
      <c r="J11" s="497">
        <v>1950</v>
      </c>
      <c r="K11" s="502">
        <v>2025</v>
      </c>
      <c r="L11" s="503">
        <v>2250</v>
      </c>
      <c r="M11" s="496">
        <v>2250</v>
      </c>
      <c r="N11" s="496">
        <v>2250</v>
      </c>
      <c r="O11" s="496">
        <v>2250</v>
      </c>
      <c r="P11" s="279">
        <v>2250</v>
      </c>
      <c r="Q11" s="502">
        <v>2250</v>
      </c>
      <c r="R11" s="573">
        <f t="shared" si="0"/>
        <v>0.5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425</v>
      </c>
      <c r="E12" s="496">
        <v>905</v>
      </c>
      <c r="F12" s="497">
        <v>905</v>
      </c>
      <c r="G12" s="497">
        <v>905</v>
      </c>
      <c r="H12" s="496">
        <v>905</v>
      </c>
      <c r="I12" s="497">
        <v>905</v>
      </c>
      <c r="J12" s="497">
        <v>905</v>
      </c>
      <c r="K12" s="502">
        <v>905</v>
      </c>
      <c r="L12" s="503">
        <v>905</v>
      </c>
      <c r="M12" s="496">
        <v>1015</v>
      </c>
      <c r="N12" s="496">
        <v>1015</v>
      </c>
      <c r="O12" s="496">
        <v>1015</v>
      </c>
      <c r="P12" s="279">
        <v>1175</v>
      </c>
      <c r="Q12" s="502">
        <v>1235</v>
      </c>
      <c r="R12" s="573">
        <f t="shared" si="0"/>
        <v>11.4</v>
      </c>
      <c r="S12" s="256">
        <f t="shared" si="1"/>
        <v>6.4</v>
      </c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3700</v>
      </c>
      <c r="E13" s="49">
        <v>3700</v>
      </c>
      <c r="F13" s="45">
        <v>4300</v>
      </c>
      <c r="G13" s="49">
        <v>4345</v>
      </c>
      <c r="H13" s="49">
        <v>4290</v>
      </c>
      <c r="I13" s="45">
        <v>4630</v>
      </c>
      <c r="J13" s="49">
        <v>4630</v>
      </c>
      <c r="K13" s="50">
        <v>4870</v>
      </c>
      <c r="L13" s="140">
        <v>4870</v>
      </c>
      <c r="M13" s="45">
        <v>5570</v>
      </c>
      <c r="N13" s="45">
        <v>5800</v>
      </c>
      <c r="O13" s="45">
        <v>5800</v>
      </c>
      <c r="P13" s="45">
        <v>5800</v>
      </c>
      <c r="Q13" s="50">
        <v>5800</v>
      </c>
      <c r="R13" s="573">
        <f t="shared" si="0"/>
        <v>4</v>
      </c>
      <c r="S13" s="256">
        <f t="shared" si="1"/>
        <v>3.6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340</v>
      </c>
      <c r="E15" s="49">
        <v>350</v>
      </c>
      <c r="F15" s="45">
        <v>350</v>
      </c>
      <c r="G15" s="49">
        <v>350</v>
      </c>
      <c r="H15" s="49">
        <v>525</v>
      </c>
      <c r="I15" s="45">
        <v>525</v>
      </c>
      <c r="J15" s="49">
        <v>525</v>
      </c>
      <c r="K15" s="50">
        <v>525</v>
      </c>
      <c r="L15" s="140">
        <v>525</v>
      </c>
      <c r="M15" s="45">
        <v>525</v>
      </c>
      <c r="N15" s="45">
        <v>525</v>
      </c>
      <c r="O15" s="45">
        <v>575</v>
      </c>
      <c r="P15" s="45">
        <v>575</v>
      </c>
      <c r="Q15" s="50">
        <v>575</v>
      </c>
      <c r="R15" s="573">
        <f t="shared" si="0"/>
        <v>6.4</v>
      </c>
      <c r="S15" s="256">
        <f t="shared" si="1"/>
        <v>1.8</v>
      </c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550</v>
      </c>
      <c r="E16" s="496">
        <v>550</v>
      </c>
      <c r="F16" s="497">
        <v>550</v>
      </c>
      <c r="G16" s="497">
        <v>470</v>
      </c>
      <c r="H16" s="496">
        <v>470</v>
      </c>
      <c r="I16" s="497">
        <v>470</v>
      </c>
      <c r="J16" s="497">
        <v>470</v>
      </c>
      <c r="K16" s="502">
        <v>470</v>
      </c>
      <c r="L16" s="503">
        <v>520</v>
      </c>
      <c r="M16" s="496">
        <v>770</v>
      </c>
      <c r="N16" s="496">
        <v>1570</v>
      </c>
      <c r="O16" s="496">
        <v>1570</v>
      </c>
      <c r="P16" s="279">
        <v>1570</v>
      </c>
      <c r="Q16" s="502">
        <v>1570</v>
      </c>
      <c r="R16" s="573">
        <f t="shared" si="0"/>
        <v>-2.2000000000000002</v>
      </c>
      <c r="S16" s="256">
        <f t="shared" si="1"/>
        <v>24.7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495">
        <v>150</v>
      </c>
      <c r="E17" s="496">
        <v>150</v>
      </c>
      <c r="F17" s="497">
        <v>150</v>
      </c>
      <c r="G17" s="497">
        <v>150</v>
      </c>
      <c r="H17" s="496">
        <v>150</v>
      </c>
      <c r="I17" s="497">
        <v>150</v>
      </c>
      <c r="J17" s="497">
        <v>150</v>
      </c>
      <c r="K17" s="502">
        <v>150</v>
      </c>
      <c r="L17" s="503">
        <v>520</v>
      </c>
      <c r="M17" s="496">
        <v>520</v>
      </c>
      <c r="N17" s="496">
        <v>820</v>
      </c>
      <c r="O17" s="496">
        <v>820</v>
      </c>
      <c r="P17" s="279">
        <v>820</v>
      </c>
      <c r="Q17" s="502">
        <v>1270</v>
      </c>
      <c r="R17" s="573">
        <f t="shared" si="0"/>
        <v>0</v>
      </c>
      <c r="S17" s="256">
        <f t="shared" si="1"/>
        <v>19.600000000000001</v>
      </c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3298</v>
      </c>
      <c r="E18" s="40">
        <v>3176</v>
      </c>
      <c r="F18" s="40">
        <v>3070</v>
      </c>
      <c r="G18" s="40">
        <v>2972</v>
      </c>
      <c r="H18" s="40">
        <v>2883</v>
      </c>
      <c r="I18" s="505">
        <v>2875</v>
      </c>
      <c r="J18" s="506">
        <v>2874</v>
      </c>
      <c r="K18" s="507">
        <v>2759</v>
      </c>
      <c r="L18" s="508">
        <v>2759</v>
      </c>
      <c r="M18" s="505">
        <v>2763</v>
      </c>
      <c r="N18" s="505">
        <v>2909</v>
      </c>
      <c r="O18" s="505">
        <v>2909</v>
      </c>
      <c r="P18" s="505">
        <v>2909</v>
      </c>
      <c r="Q18" s="509">
        <v>2909</v>
      </c>
      <c r="R18" s="573">
        <f t="shared" si="0"/>
        <v>-2.5</v>
      </c>
      <c r="S18" s="256">
        <f t="shared" si="1"/>
        <v>1.1000000000000001</v>
      </c>
      <c r="U18" s="318"/>
      <c r="V18" s="318"/>
      <c r="W18" s="318"/>
      <c r="X18" s="318"/>
      <c r="Y18" s="318"/>
      <c r="Z18" s="318"/>
      <c r="AA18" s="318"/>
      <c r="AB18" s="318"/>
      <c r="AC18" s="318"/>
      <c r="AD18" s="318"/>
      <c r="AE18" s="318"/>
      <c r="AF18" s="318"/>
      <c r="AG18" s="318"/>
    </row>
    <row r="19" spans="1:33" ht="15.75" customHeight="1">
      <c r="A19" s="16"/>
      <c r="B19" s="674" t="s">
        <v>307</v>
      </c>
      <c r="C19" s="675"/>
      <c r="D19" s="95">
        <f>SUM(D7:D18)</f>
        <v>27936</v>
      </c>
      <c r="E19" s="93">
        <f t="shared" ref="E19:Q19" si="2">SUM(E7:E18)</f>
        <v>30049</v>
      </c>
      <c r="F19" s="93">
        <f t="shared" si="2"/>
        <v>32750</v>
      </c>
      <c r="G19" s="93">
        <f t="shared" si="2"/>
        <v>34356</v>
      </c>
      <c r="H19" s="93">
        <f t="shared" si="2"/>
        <v>36416</v>
      </c>
      <c r="I19" s="93">
        <f t="shared" si="2"/>
        <v>39471</v>
      </c>
      <c r="J19" s="93">
        <f t="shared" si="2"/>
        <v>41275</v>
      </c>
      <c r="K19" s="96">
        <f t="shared" si="2"/>
        <v>44295</v>
      </c>
      <c r="L19" s="95">
        <f t="shared" si="2"/>
        <v>46820</v>
      </c>
      <c r="M19" s="93">
        <f t="shared" si="2"/>
        <v>49864</v>
      </c>
      <c r="N19" s="93">
        <f t="shared" si="2"/>
        <v>55937</v>
      </c>
      <c r="O19" s="93">
        <f t="shared" si="2"/>
        <v>59987</v>
      </c>
      <c r="P19" s="93">
        <f t="shared" si="2"/>
        <v>61427</v>
      </c>
      <c r="Q19" s="96">
        <f t="shared" si="2"/>
        <v>63437</v>
      </c>
      <c r="R19" s="574">
        <f t="shared" si="0"/>
        <v>6.8</v>
      </c>
      <c r="S19" s="510">
        <f t="shared" si="1"/>
        <v>6.3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345</v>
      </c>
      <c r="E20" s="512">
        <v>345</v>
      </c>
      <c r="F20" s="512">
        <v>310</v>
      </c>
      <c r="G20" s="512">
        <v>300</v>
      </c>
      <c r="H20" s="512">
        <v>130</v>
      </c>
      <c r="I20" s="512">
        <v>130</v>
      </c>
      <c r="J20" s="513">
        <v>130</v>
      </c>
      <c r="K20" s="514">
        <v>130</v>
      </c>
      <c r="L20" s="511">
        <v>130</v>
      </c>
      <c r="M20" s="512">
        <v>130</v>
      </c>
      <c r="N20" s="512">
        <v>130</v>
      </c>
      <c r="O20" s="512">
        <v>130</v>
      </c>
      <c r="P20" s="513">
        <v>130</v>
      </c>
      <c r="Q20" s="514">
        <v>130</v>
      </c>
      <c r="R20" s="574">
        <f t="shared" si="0"/>
        <v>-13</v>
      </c>
      <c r="S20" s="510">
        <f t="shared" si="1"/>
        <v>0</v>
      </c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345</v>
      </c>
      <c r="E21" s="512">
        <v>345</v>
      </c>
      <c r="F21" s="512">
        <v>310</v>
      </c>
      <c r="G21" s="512">
        <v>300</v>
      </c>
      <c r="H21" s="512">
        <v>130</v>
      </c>
      <c r="I21" s="512">
        <v>130</v>
      </c>
      <c r="J21" s="513">
        <v>130</v>
      </c>
      <c r="K21" s="514">
        <v>130</v>
      </c>
      <c r="L21" s="511">
        <v>130</v>
      </c>
      <c r="M21" s="512">
        <v>130</v>
      </c>
      <c r="N21" s="512">
        <v>130</v>
      </c>
      <c r="O21" s="512">
        <v>130</v>
      </c>
      <c r="P21" s="513">
        <v>130</v>
      </c>
      <c r="Q21" s="514">
        <v>130</v>
      </c>
      <c r="R21" s="574">
        <f t="shared" si="0"/>
        <v>-13</v>
      </c>
      <c r="S21" s="510">
        <f t="shared" si="1"/>
        <v>0</v>
      </c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10899</v>
      </c>
      <c r="E22" s="496">
        <v>10957</v>
      </c>
      <c r="F22" s="496">
        <v>10930</v>
      </c>
      <c r="G22" s="496">
        <v>10930</v>
      </c>
      <c r="H22" s="496">
        <v>10930</v>
      </c>
      <c r="I22" s="496">
        <v>10930</v>
      </c>
      <c r="J22" s="515">
        <v>10985</v>
      </c>
      <c r="K22" s="502">
        <v>10985</v>
      </c>
      <c r="L22" s="503">
        <v>10985</v>
      </c>
      <c r="M22" s="496">
        <v>11085</v>
      </c>
      <c r="N22" s="496">
        <v>11085</v>
      </c>
      <c r="O22" s="512">
        <v>11085</v>
      </c>
      <c r="P22" s="512">
        <v>11085</v>
      </c>
      <c r="Q22" s="514">
        <v>11085</v>
      </c>
      <c r="R22" s="575">
        <f t="shared" si="0"/>
        <v>0.1</v>
      </c>
      <c r="S22" s="517">
        <f t="shared" si="1"/>
        <v>0.2</v>
      </c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9549</v>
      </c>
      <c r="E23" s="512">
        <v>9577</v>
      </c>
      <c r="F23" s="512">
        <v>9510</v>
      </c>
      <c r="G23" s="512">
        <v>9510</v>
      </c>
      <c r="H23" s="512">
        <v>9510</v>
      </c>
      <c r="I23" s="512">
        <v>9510</v>
      </c>
      <c r="J23" s="513">
        <v>9565</v>
      </c>
      <c r="K23" s="514">
        <v>9565</v>
      </c>
      <c r="L23" s="511">
        <v>9565</v>
      </c>
      <c r="M23" s="512">
        <v>9565</v>
      </c>
      <c r="N23" s="512">
        <v>9565</v>
      </c>
      <c r="O23" s="512">
        <v>9565</v>
      </c>
      <c r="P23" s="512">
        <v>9565</v>
      </c>
      <c r="Q23" s="514">
        <v>9565</v>
      </c>
      <c r="R23" s="574">
        <f t="shared" si="0"/>
        <v>0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6572</v>
      </c>
      <c r="E24" s="496">
        <v>7422</v>
      </c>
      <c r="F24" s="496">
        <v>8520</v>
      </c>
      <c r="G24" s="496">
        <v>8520</v>
      </c>
      <c r="H24" s="496">
        <v>9060</v>
      </c>
      <c r="I24" s="496">
        <v>9060</v>
      </c>
      <c r="J24" s="497">
        <v>9410</v>
      </c>
      <c r="K24" s="502">
        <v>9590</v>
      </c>
      <c r="L24" s="503">
        <v>10170</v>
      </c>
      <c r="M24" s="496">
        <v>10294</v>
      </c>
      <c r="N24" s="496">
        <v>10594</v>
      </c>
      <c r="O24" s="496">
        <v>10594</v>
      </c>
      <c r="P24" s="497">
        <v>10594</v>
      </c>
      <c r="Q24" s="502">
        <v>10594</v>
      </c>
      <c r="R24" s="574">
        <f t="shared" si="0"/>
        <v>5.5</v>
      </c>
      <c r="S24" s="510">
        <f t="shared" si="1"/>
        <v>0.8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4040</v>
      </c>
      <c r="F25" s="518">
        <v>5140</v>
      </c>
      <c r="G25" s="518">
        <v>5140</v>
      </c>
      <c r="H25" s="518">
        <v>5140</v>
      </c>
      <c r="I25" s="518">
        <v>5140</v>
      </c>
      <c r="J25" s="519">
        <v>5490</v>
      </c>
      <c r="K25" s="514">
        <v>5490</v>
      </c>
      <c r="L25" s="511">
        <v>5490</v>
      </c>
      <c r="M25" s="518">
        <v>5490</v>
      </c>
      <c r="N25" s="518">
        <v>5490</v>
      </c>
      <c r="O25" s="518">
        <v>5490</v>
      </c>
      <c r="P25" s="519">
        <v>5490</v>
      </c>
      <c r="Q25" s="514">
        <v>5490</v>
      </c>
      <c r="R25" s="573" t="str">
        <f t="shared" si="0"/>
        <v xml:space="preserve">     -</v>
      </c>
      <c r="S25" s="256">
        <f t="shared" si="1"/>
        <v>0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1377</v>
      </c>
      <c r="E26" s="518">
        <v>1377</v>
      </c>
      <c r="F26" s="518">
        <v>1377</v>
      </c>
      <c r="G26" s="518">
        <v>1377</v>
      </c>
      <c r="H26" s="518">
        <v>1377</v>
      </c>
      <c r="I26" s="518">
        <v>1377</v>
      </c>
      <c r="J26" s="519">
        <v>1377</v>
      </c>
      <c r="K26" s="514">
        <v>1377</v>
      </c>
      <c r="L26" s="511">
        <v>1377</v>
      </c>
      <c r="M26" s="518">
        <v>1377</v>
      </c>
      <c r="N26" s="518">
        <v>1377</v>
      </c>
      <c r="O26" s="518">
        <v>1377</v>
      </c>
      <c r="P26" s="519">
        <v>1377</v>
      </c>
      <c r="Q26" s="514">
        <v>1377</v>
      </c>
      <c r="R26" s="574">
        <f t="shared" si="0"/>
        <v>0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860</v>
      </c>
      <c r="E27" s="521">
        <v>860</v>
      </c>
      <c r="F27" s="521">
        <v>860</v>
      </c>
      <c r="G27" s="521">
        <v>1540</v>
      </c>
      <c r="H27" s="521">
        <v>1590</v>
      </c>
      <c r="I27" s="521">
        <v>1700</v>
      </c>
      <c r="J27" s="522">
        <v>1650</v>
      </c>
      <c r="K27" s="523">
        <v>1650</v>
      </c>
      <c r="L27" s="520">
        <v>2330</v>
      </c>
      <c r="M27" s="521">
        <v>2660</v>
      </c>
      <c r="N27" s="521">
        <v>2660</v>
      </c>
      <c r="O27" s="521">
        <v>3160</v>
      </c>
      <c r="P27" s="522">
        <v>3860</v>
      </c>
      <c r="Q27" s="523">
        <v>3860</v>
      </c>
      <c r="R27" s="574">
        <f t="shared" si="0"/>
        <v>9.8000000000000007</v>
      </c>
      <c r="S27" s="510">
        <f t="shared" si="1"/>
        <v>10.6</v>
      </c>
      <c r="U27" s="280"/>
      <c r="V27" s="43"/>
      <c r="W27" s="43"/>
      <c r="X27" s="43"/>
      <c r="Y27" s="43"/>
      <c r="Z27" s="356"/>
      <c r="AA27" s="356"/>
      <c r="AB27" s="356"/>
      <c r="AC27" s="356"/>
      <c r="AD27" s="356"/>
      <c r="AE27" s="356"/>
      <c r="AF27" s="356"/>
      <c r="AG27" s="356"/>
    </row>
    <row r="28" spans="1:33" ht="15" customHeight="1">
      <c r="A28" s="16"/>
      <c r="B28" s="672" t="s">
        <v>316</v>
      </c>
      <c r="C28" s="673"/>
      <c r="D28" s="524">
        <v>8083</v>
      </c>
      <c r="E28" s="525">
        <v>8083</v>
      </c>
      <c r="F28" s="525">
        <v>7857</v>
      </c>
      <c r="G28" s="526">
        <v>7857</v>
      </c>
      <c r="H28" s="526">
        <v>7991</v>
      </c>
      <c r="I28" s="496">
        <v>7950</v>
      </c>
      <c r="J28" s="497">
        <v>8057</v>
      </c>
      <c r="K28" s="498">
        <v>8340</v>
      </c>
      <c r="L28" s="527">
        <v>8493</v>
      </c>
      <c r="M28" s="528">
        <v>8493</v>
      </c>
      <c r="N28" s="528">
        <v>9193</v>
      </c>
      <c r="O28" s="528">
        <v>9193</v>
      </c>
      <c r="P28" s="528">
        <v>9643</v>
      </c>
      <c r="Q28" s="498">
        <v>9643</v>
      </c>
      <c r="R28" s="573">
        <f t="shared" si="0"/>
        <v>0.4</v>
      </c>
      <c r="S28" s="256">
        <f t="shared" si="1"/>
        <v>2.6</v>
      </c>
      <c r="U28" s="43"/>
      <c r="V28" s="43"/>
      <c r="W28" s="43"/>
      <c r="X28" s="357"/>
      <c r="Y28" s="357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0</v>
      </c>
      <c r="E29" s="525">
        <v>0</v>
      </c>
      <c r="F29" s="530">
        <v>0</v>
      </c>
      <c r="G29" s="531">
        <v>0</v>
      </c>
      <c r="H29" s="526">
        <v>0</v>
      </c>
      <c r="I29" s="497">
        <v>0</v>
      </c>
      <c r="J29" s="497">
        <v>0</v>
      </c>
      <c r="K29" s="498">
        <v>0</v>
      </c>
      <c r="L29" s="499">
        <v>0</v>
      </c>
      <c r="M29" s="532">
        <v>0</v>
      </c>
      <c r="N29" s="532">
        <v>0</v>
      </c>
      <c r="O29" s="532">
        <v>525</v>
      </c>
      <c r="P29" s="532">
        <v>1050</v>
      </c>
      <c r="Q29" s="498">
        <v>1050</v>
      </c>
      <c r="R29" s="573" t="str">
        <f t="shared" si="0"/>
        <v xml:space="preserve">     -</v>
      </c>
      <c r="S29" s="256" t="str">
        <f t="shared" si="1"/>
        <v xml:space="preserve">     -</v>
      </c>
      <c r="U29" s="43"/>
      <c r="V29" s="43"/>
      <c r="W29" s="43"/>
      <c r="X29" s="358"/>
      <c r="Y29" s="358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8083</v>
      </c>
      <c r="E30" s="92">
        <f t="shared" ref="E30:Q30" si="3">SUM(E28:E29)</f>
        <v>8083</v>
      </c>
      <c r="F30" s="92">
        <f t="shared" si="3"/>
        <v>7857</v>
      </c>
      <c r="G30" s="93">
        <f t="shared" si="3"/>
        <v>7857</v>
      </c>
      <c r="H30" s="93">
        <f t="shared" si="3"/>
        <v>7991</v>
      </c>
      <c r="I30" s="94">
        <f t="shared" si="3"/>
        <v>7950</v>
      </c>
      <c r="J30" s="94">
        <f t="shared" si="3"/>
        <v>8057</v>
      </c>
      <c r="K30" s="96">
        <f t="shared" si="3"/>
        <v>8340</v>
      </c>
      <c r="L30" s="95">
        <f t="shared" si="3"/>
        <v>8493</v>
      </c>
      <c r="M30" s="93">
        <f t="shared" si="3"/>
        <v>8493</v>
      </c>
      <c r="N30" s="93">
        <f t="shared" si="3"/>
        <v>9193</v>
      </c>
      <c r="O30" s="93">
        <f t="shared" si="3"/>
        <v>9718</v>
      </c>
      <c r="P30" s="93">
        <f t="shared" si="3"/>
        <v>10693</v>
      </c>
      <c r="Q30" s="96">
        <f t="shared" si="3"/>
        <v>10693</v>
      </c>
      <c r="R30" s="574">
        <f t="shared" si="0"/>
        <v>0.4</v>
      </c>
      <c r="S30" s="510">
        <f t="shared" si="1"/>
        <v>4.7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590</v>
      </c>
      <c r="E31" s="525">
        <v>590</v>
      </c>
      <c r="F31" s="530">
        <v>590</v>
      </c>
      <c r="G31" s="531">
        <v>590</v>
      </c>
      <c r="H31" s="526">
        <v>590</v>
      </c>
      <c r="I31" s="497">
        <v>590</v>
      </c>
      <c r="J31" s="497">
        <v>590</v>
      </c>
      <c r="K31" s="498">
        <v>590</v>
      </c>
      <c r="L31" s="533">
        <v>665</v>
      </c>
      <c r="M31" s="534">
        <v>690</v>
      </c>
      <c r="N31" s="534">
        <v>690</v>
      </c>
      <c r="O31" s="534">
        <v>690</v>
      </c>
      <c r="P31" s="534">
        <v>690</v>
      </c>
      <c r="Q31" s="535">
        <v>690</v>
      </c>
      <c r="R31" s="573">
        <f t="shared" si="0"/>
        <v>0</v>
      </c>
      <c r="S31" s="256">
        <f t="shared" si="1"/>
        <v>0.7</v>
      </c>
      <c r="U31" s="43"/>
      <c r="V31" s="43"/>
      <c r="W31" s="43"/>
      <c r="X31" s="358"/>
      <c r="Y31" s="35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1850</v>
      </c>
      <c r="E32" s="525">
        <v>1850</v>
      </c>
      <c r="F32" s="530">
        <v>1850</v>
      </c>
      <c r="G32" s="531">
        <v>1850</v>
      </c>
      <c r="H32" s="526">
        <v>1850</v>
      </c>
      <c r="I32" s="497">
        <v>1850</v>
      </c>
      <c r="J32" s="497">
        <v>1850</v>
      </c>
      <c r="K32" s="502">
        <v>1850</v>
      </c>
      <c r="L32" s="503">
        <v>1850</v>
      </c>
      <c r="M32" s="496">
        <v>1850</v>
      </c>
      <c r="N32" s="496">
        <v>1850</v>
      </c>
      <c r="O32" s="496">
        <v>1850</v>
      </c>
      <c r="P32" s="497">
        <v>1850</v>
      </c>
      <c r="Q32" s="502">
        <v>1850</v>
      </c>
      <c r="R32" s="573">
        <f t="shared" si="0"/>
        <v>0</v>
      </c>
      <c r="S32" s="256">
        <f t="shared" si="1"/>
        <v>0</v>
      </c>
      <c r="U32" s="43"/>
      <c r="V32" s="43"/>
      <c r="W32" s="43"/>
      <c r="X32" s="358"/>
      <c r="Y32" s="358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969</v>
      </c>
      <c r="E33" s="525">
        <v>1080</v>
      </c>
      <c r="F33" s="530">
        <v>1083</v>
      </c>
      <c r="G33" s="531">
        <v>1074</v>
      </c>
      <c r="H33" s="526">
        <v>1074</v>
      </c>
      <c r="I33" s="497">
        <v>1074</v>
      </c>
      <c r="J33" s="497">
        <v>1074</v>
      </c>
      <c r="K33" s="536">
        <v>1074</v>
      </c>
      <c r="L33" s="537">
        <v>1074</v>
      </c>
      <c r="M33" s="538">
        <v>1074</v>
      </c>
      <c r="N33" s="538">
        <v>1074</v>
      </c>
      <c r="O33" s="538">
        <v>1074</v>
      </c>
      <c r="P33" s="515">
        <v>1074</v>
      </c>
      <c r="Q33" s="502">
        <v>1074</v>
      </c>
      <c r="R33" s="573">
        <f t="shared" si="0"/>
        <v>1.5</v>
      </c>
      <c r="S33" s="256">
        <f t="shared" si="1"/>
        <v>0</v>
      </c>
      <c r="U33" s="43"/>
      <c r="V33" s="43"/>
      <c r="W33" s="43"/>
      <c r="X33" s="357"/>
      <c r="Y33" s="357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3409</v>
      </c>
      <c r="E34" s="539">
        <f t="shared" ref="E34:Q34" si="4">SUM(E31:E33)</f>
        <v>3520</v>
      </c>
      <c r="F34" s="539">
        <f t="shared" si="4"/>
        <v>3523</v>
      </c>
      <c r="G34" s="100">
        <f t="shared" si="4"/>
        <v>3514</v>
      </c>
      <c r="H34" s="100">
        <f t="shared" si="4"/>
        <v>3514</v>
      </c>
      <c r="I34" s="100">
        <f t="shared" si="4"/>
        <v>3514</v>
      </c>
      <c r="J34" s="101">
        <f t="shared" si="4"/>
        <v>3514</v>
      </c>
      <c r="K34" s="104">
        <f t="shared" si="4"/>
        <v>3514</v>
      </c>
      <c r="L34" s="540">
        <f t="shared" si="4"/>
        <v>3589</v>
      </c>
      <c r="M34" s="100">
        <f t="shared" si="4"/>
        <v>3614</v>
      </c>
      <c r="N34" s="100">
        <f t="shared" si="4"/>
        <v>3614</v>
      </c>
      <c r="O34" s="100">
        <f t="shared" si="4"/>
        <v>3614</v>
      </c>
      <c r="P34" s="100">
        <f t="shared" si="4"/>
        <v>3614</v>
      </c>
      <c r="Q34" s="103">
        <f t="shared" si="4"/>
        <v>3614</v>
      </c>
      <c r="R34" s="576">
        <f t="shared" si="0"/>
        <v>0.4</v>
      </c>
      <c r="S34" s="541">
        <f t="shared" si="1"/>
        <v>0.1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59481</v>
      </c>
      <c r="E35" s="543">
        <f t="shared" ref="E35:Q35" si="5">E19+E20+E22+E24+E26+E27+E30+E34</f>
        <v>62613</v>
      </c>
      <c r="F35" s="543">
        <f t="shared" si="5"/>
        <v>66127</v>
      </c>
      <c r="G35" s="544">
        <f t="shared" si="5"/>
        <v>68394</v>
      </c>
      <c r="H35" s="544">
        <f t="shared" si="5"/>
        <v>71008</v>
      </c>
      <c r="I35" s="544">
        <f t="shared" si="5"/>
        <v>74132</v>
      </c>
      <c r="J35" s="545">
        <f t="shared" si="5"/>
        <v>76398</v>
      </c>
      <c r="K35" s="546">
        <f t="shared" si="5"/>
        <v>79881</v>
      </c>
      <c r="L35" s="547">
        <f t="shared" si="5"/>
        <v>83894</v>
      </c>
      <c r="M35" s="544">
        <f t="shared" si="5"/>
        <v>87517</v>
      </c>
      <c r="N35" s="544">
        <f t="shared" si="5"/>
        <v>94590</v>
      </c>
      <c r="O35" s="544">
        <f t="shared" si="5"/>
        <v>99665</v>
      </c>
      <c r="P35" s="544">
        <f t="shared" si="5"/>
        <v>102780</v>
      </c>
      <c r="Q35" s="577">
        <f t="shared" si="5"/>
        <v>104790</v>
      </c>
      <c r="R35" s="578">
        <f t="shared" si="0"/>
        <v>4.3</v>
      </c>
      <c r="S35" s="549">
        <f t="shared" si="1"/>
        <v>4.5</v>
      </c>
    </row>
    <row r="36" spans="1:33" ht="15" customHeight="1">
      <c r="A36" s="613" t="s">
        <v>324</v>
      </c>
      <c r="B36" s="666" t="s">
        <v>433</v>
      </c>
      <c r="C36" s="667"/>
      <c r="D36" s="487">
        <v>3806</v>
      </c>
      <c r="E36" s="488">
        <v>3739</v>
      </c>
      <c r="F36" s="489">
        <v>3850</v>
      </c>
      <c r="G36" s="489">
        <v>4038</v>
      </c>
      <c r="H36" s="488">
        <v>4129</v>
      </c>
      <c r="I36" s="489">
        <v>4026</v>
      </c>
      <c r="J36" s="550">
        <v>4088</v>
      </c>
      <c r="K36" s="490">
        <v>4303</v>
      </c>
      <c r="L36" s="491">
        <v>4640</v>
      </c>
      <c r="M36" s="492">
        <v>4650</v>
      </c>
      <c r="N36" s="492">
        <v>5030</v>
      </c>
      <c r="O36" s="492">
        <v>5780</v>
      </c>
      <c r="P36" s="493">
        <v>5780</v>
      </c>
      <c r="Q36" s="498">
        <v>6000</v>
      </c>
      <c r="R36" s="573">
        <f t="shared" si="0"/>
        <v>1.8</v>
      </c>
      <c r="S36" s="256">
        <f t="shared" si="1"/>
        <v>5.3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1215</v>
      </c>
      <c r="E37" s="496">
        <v>1080</v>
      </c>
      <c r="F37" s="497">
        <v>1020</v>
      </c>
      <c r="G37" s="497">
        <v>1209</v>
      </c>
      <c r="H37" s="496">
        <v>1042</v>
      </c>
      <c r="I37" s="497">
        <v>1128</v>
      </c>
      <c r="J37" s="551">
        <v>1217</v>
      </c>
      <c r="K37" s="498">
        <v>1339</v>
      </c>
      <c r="L37" s="499">
        <v>1350</v>
      </c>
      <c r="M37" s="500">
        <v>1350</v>
      </c>
      <c r="N37" s="500">
        <v>1350</v>
      </c>
      <c r="O37" s="500">
        <v>1400</v>
      </c>
      <c r="P37" s="501">
        <v>1400</v>
      </c>
      <c r="Q37" s="498">
        <v>1400</v>
      </c>
      <c r="R37" s="573">
        <f t="shared" si="0"/>
        <v>1.4</v>
      </c>
      <c r="S37" s="256">
        <f t="shared" si="1"/>
        <v>0.7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933</v>
      </c>
      <c r="E38" s="496">
        <v>952.25</v>
      </c>
      <c r="F38" s="497">
        <v>1122.75</v>
      </c>
      <c r="G38" s="497">
        <v>1344.25</v>
      </c>
      <c r="H38" s="496">
        <v>1378.435752665896</v>
      </c>
      <c r="I38" s="497">
        <v>1579.9889877192145</v>
      </c>
      <c r="J38" s="497">
        <v>1449</v>
      </c>
      <c r="K38" s="502">
        <v>1455</v>
      </c>
      <c r="L38" s="503">
        <v>1425</v>
      </c>
      <c r="M38" s="496">
        <v>1501</v>
      </c>
      <c r="N38" s="496">
        <v>1501</v>
      </c>
      <c r="O38" s="496">
        <v>1478</v>
      </c>
      <c r="P38" s="279">
        <v>1455</v>
      </c>
      <c r="Q38" s="502">
        <v>1425</v>
      </c>
      <c r="R38" s="573">
        <f t="shared" si="0"/>
        <v>6.6</v>
      </c>
      <c r="S38" s="256">
        <f t="shared" si="1"/>
        <v>0</v>
      </c>
      <c r="U38" s="329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10431</v>
      </c>
      <c r="E39" s="496">
        <v>11575</v>
      </c>
      <c r="F39" s="497">
        <v>11794</v>
      </c>
      <c r="G39" s="497">
        <v>13532</v>
      </c>
      <c r="H39" s="496">
        <v>15187</v>
      </c>
      <c r="I39" s="497">
        <v>17855</v>
      </c>
      <c r="J39" s="497">
        <v>20163</v>
      </c>
      <c r="K39" s="502">
        <v>21824</v>
      </c>
      <c r="L39" s="503">
        <v>23690</v>
      </c>
      <c r="M39" s="496">
        <v>25465</v>
      </c>
      <c r="N39" s="496">
        <v>28065</v>
      </c>
      <c r="O39" s="496">
        <v>29995</v>
      </c>
      <c r="P39" s="279">
        <v>31835</v>
      </c>
      <c r="Q39" s="502">
        <v>33365</v>
      </c>
      <c r="R39" s="573">
        <f t="shared" si="0"/>
        <v>11.1</v>
      </c>
      <c r="S39" s="256">
        <f t="shared" si="1"/>
        <v>7.1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1370</v>
      </c>
      <c r="E40" s="496">
        <v>1611</v>
      </c>
      <c r="F40" s="497">
        <v>1590</v>
      </c>
      <c r="G40" s="497">
        <v>1763</v>
      </c>
      <c r="H40" s="496">
        <v>1732.52</v>
      </c>
      <c r="I40" s="497">
        <v>1733.5026</v>
      </c>
      <c r="J40" s="497">
        <v>1721.3623038400001</v>
      </c>
      <c r="K40" s="502">
        <v>1795.8649647427198</v>
      </c>
      <c r="L40" s="503">
        <v>2137.5</v>
      </c>
      <c r="M40" s="496">
        <v>2137.5</v>
      </c>
      <c r="N40" s="496">
        <v>2137.5</v>
      </c>
      <c r="O40" s="496">
        <v>2137.5</v>
      </c>
      <c r="P40" s="279">
        <v>2137.5</v>
      </c>
      <c r="Q40" s="502">
        <v>2137.5</v>
      </c>
      <c r="R40" s="573">
        <f t="shared" si="0"/>
        <v>3.9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384.3</v>
      </c>
      <c r="E41" s="496">
        <v>274</v>
      </c>
      <c r="F41" s="497">
        <v>418</v>
      </c>
      <c r="G41" s="497">
        <v>504</v>
      </c>
      <c r="H41" s="496">
        <v>776</v>
      </c>
      <c r="I41" s="497">
        <v>800</v>
      </c>
      <c r="J41" s="497">
        <v>800</v>
      </c>
      <c r="K41" s="502">
        <v>800</v>
      </c>
      <c r="L41" s="503">
        <v>800</v>
      </c>
      <c r="M41" s="496">
        <v>800</v>
      </c>
      <c r="N41" s="496">
        <v>800</v>
      </c>
      <c r="O41" s="496">
        <v>900</v>
      </c>
      <c r="P41" s="279">
        <v>900</v>
      </c>
      <c r="Q41" s="502">
        <v>900</v>
      </c>
      <c r="R41" s="573">
        <f t="shared" si="0"/>
        <v>11</v>
      </c>
      <c r="S41" s="256">
        <f t="shared" si="1"/>
        <v>2.4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2900</v>
      </c>
      <c r="E42" s="49">
        <v>3158</v>
      </c>
      <c r="F42" s="45">
        <v>3692</v>
      </c>
      <c r="G42" s="49">
        <v>4180</v>
      </c>
      <c r="H42" s="49">
        <v>4100</v>
      </c>
      <c r="I42" s="45">
        <v>4200</v>
      </c>
      <c r="J42" s="49">
        <v>4284</v>
      </c>
      <c r="K42" s="50">
        <v>4400</v>
      </c>
      <c r="L42" s="504">
        <v>4800</v>
      </c>
      <c r="M42" s="45">
        <v>5100</v>
      </c>
      <c r="N42" s="45">
        <v>5300</v>
      </c>
      <c r="O42" s="45">
        <v>5800</v>
      </c>
      <c r="P42" s="49">
        <v>5800</v>
      </c>
      <c r="Q42" s="50">
        <v>5800</v>
      </c>
      <c r="R42" s="573">
        <f t="shared" si="0"/>
        <v>6.1</v>
      </c>
      <c r="S42" s="256">
        <f t="shared" si="1"/>
        <v>3.9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46</v>
      </c>
      <c r="E44" s="49">
        <v>42.067999999999998</v>
      </c>
      <c r="F44" s="45">
        <v>12.945</v>
      </c>
      <c r="G44" s="49">
        <v>13</v>
      </c>
      <c r="H44" s="49">
        <v>12.565</v>
      </c>
      <c r="I44" s="45">
        <v>55</v>
      </c>
      <c r="J44" s="49">
        <v>80</v>
      </c>
      <c r="K44" s="50">
        <v>120</v>
      </c>
      <c r="L44" s="504">
        <v>140</v>
      </c>
      <c r="M44" s="45">
        <v>170</v>
      </c>
      <c r="N44" s="45">
        <v>200</v>
      </c>
      <c r="O44" s="45">
        <v>230</v>
      </c>
      <c r="P44" s="45">
        <v>260</v>
      </c>
      <c r="Q44" s="51">
        <v>290</v>
      </c>
      <c r="R44" s="573">
        <f t="shared" si="0"/>
        <v>14.7</v>
      </c>
      <c r="S44" s="256">
        <f t="shared" si="1"/>
        <v>15.7</v>
      </c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480</v>
      </c>
      <c r="E45" s="496">
        <v>495</v>
      </c>
      <c r="F45" s="497">
        <v>473</v>
      </c>
      <c r="G45" s="497">
        <v>384.41599999999994</v>
      </c>
      <c r="H45" s="496">
        <v>384.41599999999994</v>
      </c>
      <c r="I45" s="497">
        <v>384.49800000000005</v>
      </c>
      <c r="J45" s="497">
        <v>384.41599999999988</v>
      </c>
      <c r="K45" s="502">
        <v>357.94796300000002</v>
      </c>
      <c r="L45" s="503">
        <v>487.17388426100001</v>
      </c>
      <c r="M45" s="496">
        <v>591.42388293700606</v>
      </c>
      <c r="N45" s="496">
        <v>1397.8922293179824</v>
      </c>
      <c r="O45" s="496">
        <v>1425.8622132169726</v>
      </c>
      <c r="P45" s="279">
        <v>1455.1859443366743</v>
      </c>
      <c r="Q45" s="502">
        <v>1485.9289440425691</v>
      </c>
      <c r="R45" s="573">
        <f t="shared" si="0"/>
        <v>-4.0999999999999996</v>
      </c>
      <c r="S45" s="256">
        <f t="shared" si="1"/>
        <v>25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495">
        <v>150</v>
      </c>
      <c r="E46" s="496">
        <v>150</v>
      </c>
      <c r="F46" s="497">
        <v>150</v>
      </c>
      <c r="G46" s="497">
        <v>150</v>
      </c>
      <c r="H46" s="496">
        <v>150</v>
      </c>
      <c r="I46" s="497">
        <v>150</v>
      </c>
      <c r="J46" s="497">
        <v>150</v>
      </c>
      <c r="K46" s="502">
        <v>150</v>
      </c>
      <c r="L46" s="503">
        <v>520</v>
      </c>
      <c r="M46" s="496">
        <v>520</v>
      </c>
      <c r="N46" s="496">
        <v>820</v>
      </c>
      <c r="O46" s="496">
        <v>820</v>
      </c>
      <c r="P46" s="279">
        <v>820</v>
      </c>
      <c r="Q46" s="502">
        <v>1270</v>
      </c>
      <c r="R46" s="573">
        <f t="shared" si="0"/>
        <v>0</v>
      </c>
      <c r="S46" s="256">
        <f t="shared" si="1"/>
        <v>19.600000000000001</v>
      </c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2709</v>
      </c>
      <c r="E47" s="496">
        <v>2448.4</v>
      </c>
      <c r="F47" s="497">
        <v>2390.3000000000002</v>
      </c>
      <c r="G47" s="497">
        <v>2248.1999999999998</v>
      </c>
      <c r="H47" s="496">
        <v>2348.6</v>
      </c>
      <c r="I47" s="497">
        <v>2500.5</v>
      </c>
      <c r="J47" s="497">
        <v>2466.3000000000002</v>
      </c>
      <c r="K47" s="502">
        <v>2505.5</v>
      </c>
      <c r="L47" s="503">
        <v>2357.8000000000002</v>
      </c>
      <c r="M47" s="496">
        <v>2567</v>
      </c>
      <c r="N47" s="496">
        <v>2706</v>
      </c>
      <c r="O47" s="496">
        <v>2707</v>
      </c>
      <c r="P47" s="497">
        <v>2706</v>
      </c>
      <c r="Q47" s="502">
        <v>2705</v>
      </c>
      <c r="R47" s="573">
        <f t="shared" si="0"/>
        <v>-1.1000000000000001</v>
      </c>
      <c r="S47" s="256">
        <f t="shared" si="1"/>
        <v>2.8</v>
      </c>
      <c r="U47" s="318"/>
      <c r="V47" s="318"/>
      <c r="W47" s="318"/>
      <c r="X47" s="318"/>
      <c r="Y47" s="318"/>
      <c r="Z47" s="318"/>
      <c r="AA47" s="318"/>
      <c r="AB47" s="318"/>
      <c r="AC47" s="318"/>
      <c r="AD47" s="318"/>
      <c r="AE47" s="318"/>
      <c r="AF47" s="318"/>
      <c r="AG47" s="318"/>
    </row>
    <row r="48" spans="1:33" ht="15.75" customHeight="1">
      <c r="A48" s="16"/>
      <c r="B48" s="674" t="s">
        <v>307</v>
      </c>
      <c r="C48" s="675"/>
      <c r="D48" s="95">
        <f>SUM(D36:D47)</f>
        <v>24424.3</v>
      </c>
      <c r="E48" s="93">
        <f t="shared" ref="E48:Q48" si="6">SUM(E36:E47)</f>
        <v>25524.718000000001</v>
      </c>
      <c r="F48" s="93">
        <f t="shared" si="6"/>
        <v>26512.994999999999</v>
      </c>
      <c r="G48" s="93">
        <f t="shared" si="6"/>
        <v>29365.866000000002</v>
      </c>
      <c r="H48" s="93">
        <f t="shared" si="6"/>
        <v>31240.536752665896</v>
      </c>
      <c r="I48" s="93">
        <f t="shared" si="6"/>
        <v>34412.489587719218</v>
      </c>
      <c r="J48" s="93">
        <f t="shared" si="6"/>
        <v>36803.078303839997</v>
      </c>
      <c r="K48" s="96">
        <f t="shared" si="6"/>
        <v>39050.312927742722</v>
      </c>
      <c r="L48" s="95">
        <f t="shared" si="6"/>
        <v>42347.473884261002</v>
      </c>
      <c r="M48" s="93">
        <f t="shared" si="6"/>
        <v>44851.923882937008</v>
      </c>
      <c r="N48" s="93">
        <f t="shared" si="6"/>
        <v>49307.392229317986</v>
      </c>
      <c r="O48" s="93">
        <f t="shared" si="6"/>
        <v>52673.362213216969</v>
      </c>
      <c r="P48" s="93">
        <f t="shared" si="6"/>
        <v>54548.685944336677</v>
      </c>
      <c r="Q48" s="96">
        <f t="shared" si="6"/>
        <v>56778.428944042571</v>
      </c>
      <c r="R48" s="574">
        <f t="shared" si="0"/>
        <v>6.9</v>
      </c>
      <c r="S48" s="510">
        <f t="shared" si="1"/>
        <v>6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257</v>
      </c>
      <c r="E49" s="512">
        <v>255</v>
      </c>
      <c r="F49" s="512">
        <v>240</v>
      </c>
      <c r="G49" s="512">
        <v>275</v>
      </c>
      <c r="H49" s="512">
        <v>120</v>
      </c>
      <c r="I49" s="512">
        <v>120</v>
      </c>
      <c r="J49" s="513">
        <v>120</v>
      </c>
      <c r="K49" s="514">
        <v>115</v>
      </c>
      <c r="L49" s="511">
        <v>115</v>
      </c>
      <c r="M49" s="512">
        <v>115</v>
      </c>
      <c r="N49" s="512">
        <v>115</v>
      </c>
      <c r="O49" s="512">
        <v>115</v>
      </c>
      <c r="P49" s="513">
        <v>115</v>
      </c>
      <c r="Q49" s="514">
        <v>115</v>
      </c>
      <c r="R49" s="574">
        <f t="shared" si="0"/>
        <v>-10.9</v>
      </c>
      <c r="S49" s="510">
        <f t="shared" si="1"/>
        <v>0</v>
      </c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257</v>
      </c>
      <c r="E50" s="512">
        <v>255</v>
      </c>
      <c r="F50" s="512">
        <v>240</v>
      </c>
      <c r="G50" s="512">
        <v>275</v>
      </c>
      <c r="H50" s="512">
        <v>120</v>
      </c>
      <c r="I50" s="512">
        <v>120</v>
      </c>
      <c r="J50" s="513">
        <v>120</v>
      </c>
      <c r="K50" s="514">
        <v>115</v>
      </c>
      <c r="L50" s="511">
        <v>115</v>
      </c>
      <c r="M50" s="512">
        <v>115</v>
      </c>
      <c r="N50" s="512">
        <v>115</v>
      </c>
      <c r="O50" s="512">
        <v>115</v>
      </c>
      <c r="P50" s="513">
        <v>115</v>
      </c>
      <c r="Q50" s="514">
        <v>115</v>
      </c>
      <c r="R50" s="574">
        <f t="shared" si="0"/>
        <v>-10.9</v>
      </c>
      <c r="S50" s="510">
        <f t="shared" si="1"/>
        <v>0</v>
      </c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9848</v>
      </c>
      <c r="E51" s="512">
        <v>9872.3727091842084</v>
      </c>
      <c r="F51" s="512">
        <v>9448</v>
      </c>
      <c r="G51" s="512">
        <v>9455</v>
      </c>
      <c r="H51" s="512">
        <v>9626</v>
      </c>
      <c r="I51" s="512">
        <v>9827.24</v>
      </c>
      <c r="J51" s="513">
        <v>10008.37768</v>
      </c>
      <c r="K51" s="514">
        <v>11085</v>
      </c>
      <c r="L51" s="511">
        <v>11085</v>
      </c>
      <c r="M51" s="512">
        <v>11185</v>
      </c>
      <c r="N51" s="512">
        <v>11185</v>
      </c>
      <c r="O51" s="512">
        <v>11185</v>
      </c>
      <c r="P51" s="513">
        <v>11185</v>
      </c>
      <c r="Q51" s="514">
        <v>11185</v>
      </c>
      <c r="R51" s="574">
        <f t="shared" si="0"/>
        <v>1.7</v>
      </c>
      <c r="S51" s="510">
        <f t="shared" si="1"/>
        <v>0.2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8653</v>
      </c>
      <c r="E52" s="512">
        <v>8678.3727091842084</v>
      </c>
      <c r="F52" s="512">
        <v>8276</v>
      </c>
      <c r="G52" s="512">
        <v>8286</v>
      </c>
      <c r="H52" s="512">
        <v>8450</v>
      </c>
      <c r="I52" s="512">
        <v>8650</v>
      </c>
      <c r="J52" s="513">
        <v>8900</v>
      </c>
      <c r="K52" s="514">
        <v>9565</v>
      </c>
      <c r="L52" s="511">
        <v>9565</v>
      </c>
      <c r="M52" s="512">
        <v>9565</v>
      </c>
      <c r="N52" s="512">
        <v>9565</v>
      </c>
      <c r="O52" s="512">
        <v>9565</v>
      </c>
      <c r="P52" s="513">
        <v>9565</v>
      </c>
      <c r="Q52" s="514">
        <v>9565</v>
      </c>
      <c r="R52" s="574">
        <f t="shared" si="0"/>
        <v>1.4</v>
      </c>
      <c r="S52" s="510">
        <f t="shared" si="1"/>
        <v>0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5818</v>
      </c>
      <c r="E53" s="496">
        <v>6376</v>
      </c>
      <c r="F53" s="496">
        <v>7024.038461538461</v>
      </c>
      <c r="G53" s="496">
        <v>7565.3846153846152</v>
      </c>
      <c r="H53" s="496">
        <v>8243</v>
      </c>
      <c r="I53" s="496">
        <v>8368</v>
      </c>
      <c r="J53" s="497">
        <v>8780</v>
      </c>
      <c r="K53" s="502">
        <v>8801</v>
      </c>
      <c r="L53" s="503">
        <v>9168</v>
      </c>
      <c r="M53" s="496">
        <v>9332</v>
      </c>
      <c r="N53" s="496">
        <v>9526</v>
      </c>
      <c r="O53" s="496">
        <v>9654</v>
      </c>
      <c r="P53" s="497">
        <v>9681</v>
      </c>
      <c r="Q53" s="502">
        <v>9725</v>
      </c>
      <c r="R53" s="573">
        <f t="shared" si="0"/>
        <v>6.1</v>
      </c>
      <c r="S53" s="256">
        <f t="shared" si="1"/>
        <v>1.2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3221.1538461538462</v>
      </c>
      <c r="F54" s="518">
        <v>3659.6153846153843</v>
      </c>
      <c r="G54" s="518">
        <v>3991.3461538461538</v>
      </c>
      <c r="H54" s="518">
        <v>4487</v>
      </c>
      <c r="I54" s="518">
        <v>4575</v>
      </c>
      <c r="J54" s="519">
        <v>4629</v>
      </c>
      <c r="K54" s="514">
        <v>4643</v>
      </c>
      <c r="L54" s="511">
        <v>4671</v>
      </c>
      <c r="M54" s="518">
        <v>4730</v>
      </c>
      <c r="N54" s="518">
        <v>4780</v>
      </c>
      <c r="O54" s="518">
        <v>4808</v>
      </c>
      <c r="P54" s="519">
        <v>4853</v>
      </c>
      <c r="Q54" s="514">
        <v>4910</v>
      </c>
      <c r="R54" s="574" t="str">
        <f t="shared" si="0"/>
        <v xml:space="preserve">     -</v>
      </c>
      <c r="S54" s="510">
        <f t="shared" si="1"/>
        <v>1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535</v>
      </c>
      <c r="E55" s="518">
        <v>442</v>
      </c>
      <c r="F55" s="518">
        <v>396.15384615384613</v>
      </c>
      <c r="G55" s="518">
        <v>365</v>
      </c>
      <c r="H55" s="518">
        <v>387</v>
      </c>
      <c r="I55" s="518">
        <v>541</v>
      </c>
      <c r="J55" s="519">
        <v>594</v>
      </c>
      <c r="K55" s="514">
        <v>980</v>
      </c>
      <c r="L55" s="511">
        <v>990</v>
      </c>
      <c r="M55" s="518">
        <v>1002</v>
      </c>
      <c r="N55" s="518">
        <v>1010</v>
      </c>
      <c r="O55" s="518">
        <v>1020</v>
      </c>
      <c r="P55" s="519">
        <v>1025</v>
      </c>
      <c r="Q55" s="514">
        <v>1030</v>
      </c>
      <c r="R55" s="574">
        <f t="shared" si="0"/>
        <v>9</v>
      </c>
      <c r="S55" s="510">
        <f t="shared" si="1"/>
        <v>0.8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799</v>
      </c>
      <c r="E56" s="521">
        <v>859</v>
      </c>
      <c r="F56" s="521">
        <v>717.5</v>
      </c>
      <c r="G56" s="521">
        <v>717.5</v>
      </c>
      <c r="H56" s="521">
        <v>1043</v>
      </c>
      <c r="I56" s="521">
        <v>1306</v>
      </c>
      <c r="J56" s="522">
        <v>1556.7</v>
      </c>
      <c r="K56" s="523">
        <v>1586.9</v>
      </c>
      <c r="L56" s="520">
        <v>1879</v>
      </c>
      <c r="M56" s="521">
        <v>2085</v>
      </c>
      <c r="N56" s="521">
        <v>2085</v>
      </c>
      <c r="O56" s="521">
        <v>2785</v>
      </c>
      <c r="P56" s="522">
        <v>3063</v>
      </c>
      <c r="Q56" s="523">
        <v>3281</v>
      </c>
      <c r="R56" s="574">
        <f t="shared" si="0"/>
        <v>10.3</v>
      </c>
      <c r="S56" s="510">
        <f t="shared" si="1"/>
        <v>11.8</v>
      </c>
      <c r="U56" s="43"/>
      <c r="V56" s="43"/>
      <c r="W56" s="43"/>
      <c r="X56" s="43"/>
      <c r="Y56" s="43"/>
      <c r="Z56" s="359"/>
      <c r="AA56" s="359"/>
      <c r="AB56" s="359"/>
      <c r="AC56" s="359"/>
      <c r="AD56" s="359"/>
      <c r="AE56" s="359"/>
      <c r="AF56" s="359"/>
      <c r="AG56" s="359"/>
    </row>
    <row r="57" spans="1:33" ht="15" customHeight="1">
      <c r="A57" s="16"/>
      <c r="B57" s="672" t="s">
        <v>316</v>
      </c>
      <c r="C57" s="673"/>
      <c r="D57" s="553">
        <v>7460</v>
      </c>
      <c r="E57" s="526">
        <v>6028</v>
      </c>
      <c r="F57" s="530">
        <v>6802</v>
      </c>
      <c r="G57" s="497">
        <v>7022</v>
      </c>
      <c r="H57" s="496">
        <v>7192</v>
      </c>
      <c r="I57" s="497">
        <v>7277</v>
      </c>
      <c r="J57" s="551">
        <v>7259</v>
      </c>
      <c r="K57" s="554">
        <v>7506</v>
      </c>
      <c r="L57" s="527">
        <v>7644</v>
      </c>
      <c r="M57" s="528">
        <v>7644</v>
      </c>
      <c r="N57" s="528">
        <v>8274</v>
      </c>
      <c r="O57" s="528">
        <v>8274</v>
      </c>
      <c r="P57" s="500">
        <v>8679</v>
      </c>
      <c r="Q57" s="554">
        <v>8679</v>
      </c>
      <c r="R57" s="573">
        <f t="shared" si="0"/>
        <v>0.1</v>
      </c>
      <c r="S57" s="256">
        <f t="shared" si="1"/>
        <v>2.6</v>
      </c>
      <c r="U57" s="280"/>
      <c r="V57" s="280"/>
      <c r="W57" s="280"/>
      <c r="X57" s="358"/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0</v>
      </c>
      <c r="E58" s="526">
        <v>0</v>
      </c>
      <c r="F58" s="530">
        <v>0</v>
      </c>
      <c r="G58" s="497">
        <v>0</v>
      </c>
      <c r="H58" s="496">
        <v>0</v>
      </c>
      <c r="I58" s="497">
        <v>0</v>
      </c>
      <c r="J58" s="551">
        <v>0</v>
      </c>
      <c r="K58" s="498">
        <v>0</v>
      </c>
      <c r="L58" s="499">
        <v>0</v>
      </c>
      <c r="M58" s="532">
        <v>0</v>
      </c>
      <c r="N58" s="532">
        <v>0</v>
      </c>
      <c r="O58" s="532">
        <v>0</v>
      </c>
      <c r="P58" s="532">
        <v>0</v>
      </c>
      <c r="Q58" s="498">
        <v>0</v>
      </c>
      <c r="R58" s="573" t="str">
        <f t="shared" si="0"/>
        <v xml:space="preserve">     -</v>
      </c>
      <c r="S58" s="256" t="str">
        <f t="shared" si="1"/>
        <v xml:space="preserve">     -</v>
      </c>
      <c r="U58" s="280"/>
      <c r="V58" s="280"/>
      <c r="W58" s="280"/>
      <c r="X58" s="358"/>
      <c r="Y58" s="358"/>
      <c r="Z58" s="280"/>
      <c r="AA58" s="280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7460</v>
      </c>
      <c r="E59" s="92">
        <f t="shared" ref="E59:Q59" si="7">SUM(E57:E58)</f>
        <v>6028</v>
      </c>
      <c r="F59" s="92">
        <f t="shared" si="7"/>
        <v>6802</v>
      </c>
      <c r="G59" s="93">
        <f t="shared" si="7"/>
        <v>7022</v>
      </c>
      <c r="H59" s="93">
        <f t="shared" si="7"/>
        <v>7192</v>
      </c>
      <c r="I59" s="94">
        <f t="shared" si="7"/>
        <v>7277</v>
      </c>
      <c r="J59" s="94">
        <f t="shared" si="7"/>
        <v>7259</v>
      </c>
      <c r="K59" s="96">
        <f t="shared" si="7"/>
        <v>7506</v>
      </c>
      <c r="L59" s="555">
        <f t="shared" si="7"/>
        <v>7644</v>
      </c>
      <c r="M59" s="556">
        <f t="shared" si="7"/>
        <v>7644</v>
      </c>
      <c r="N59" s="556">
        <f t="shared" si="7"/>
        <v>8274</v>
      </c>
      <c r="O59" s="556">
        <f t="shared" si="7"/>
        <v>8274</v>
      </c>
      <c r="P59" s="556">
        <f t="shared" si="7"/>
        <v>8679</v>
      </c>
      <c r="Q59" s="227">
        <f t="shared" si="7"/>
        <v>8679</v>
      </c>
      <c r="R59" s="574">
        <f t="shared" si="0"/>
        <v>0.1</v>
      </c>
      <c r="S59" s="510">
        <f t="shared" si="1"/>
        <v>2.6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317</v>
      </c>
      <c r="E60" s="526">
        <v>460</v>
      </c>
      <c r="F60" s="530">
        <v>458</v>
      </c>
      <c r="G60" s="497">
        <v>481</v>
      </c>
      <c r="H60" s="496">
        <v>501</v>
      </c>
      <c r="I60" s="497">
        <v>500</v>
      </c>
      <c r="J60" s="551">
        <v>521</v>
      </c>
      <c r="K60" s="498">
        <v>501.5</v>
      </c>
      <c r="L60" s="533">
        <v>565.25</v>
      </c>
      <c r="M60" s="534">
        <v>586.5</v>
      </c>
      <c r="N60" s="534">
        <v>586.5</v>
      </c>
      <c r="O60" s="534">
        <v>586.5</v>
      </c>
      <c r="P60" s="534">
        <v>586.5</v>
      </c>
      <c r="Q60" s="535">
        <v>586.5</v>
      </c>
      <c r="R60" s="573">
        <f t="shared" si="0"/>
        <v>6.8</v>
      </c>
      <c r="S60" s="256">
        <f t="shared" si="1"/>
        <v>0.7</v>
      </c>
      <c r="U60" s="280"/>
      <c r="V60" s="280"/>
      <c r="W60" s="280"/>
      <c r="X60" s="358"/>
      <c r="Y60" s="358"/>
      <c r="Z60" s="280"/>
      <c r="AA60" s="280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1440</v>
      </c>
      <c r="E61" s="526">
        <v>1541</v>
      </c>
      <c r="F61" s="530">
        <v>1650</v>
      </c>
      <c r="G61" s="497">
        <v>1641</v>
      </c>
      <c r="H61" s="496">
        <v>1641</v>
      </c>
      <c r="I61" s="497">
        <v>1511</v>
      </c>
      <c r="J61" s="497">
        <v>1590</v>
      </c>
      <c r="K61" s="502">
        <v>1572.5</v>
      </c>
      <c r="L61" s="503">
        <v>1572.5</v>
      </c>
      <c r="M61" s="496">
        <v>1572.5</v>
      </c>
      <c r="N61" s="496">
        <v>1572.5</v>
      </c>
      <c r="O61" s="496">
        <v>1572.5</v>
      </c>
      <c r="P61" s="497">
        <v>1572.5</v>
      </c>
      <c r="Q61" s="502">
        <v>1572.5</v>
      </c>
      <c r="R61" s="573">
        <f t="shared" si="0"/>
        <v>1.3</v>
      </c>
      <c r="S61" s="256">
        <f t="shared" si="1"/>
        <v>0</v>
      </c>
      <c r="U61" s="280"/>
      <c r="V61" s="280"/>
      <c r="W61" s="280"/>
      <c r="X61" s="358"/>
      <c r="Y61" s="358"/>
      <c r="Z61" s="280"/>
      <c r="AA61" s="280"/>
      <c r="AB61" s="280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764</v>
      </c>
      <c r="E62" s="525">
        <v>850</v>
      </c>
      <c r="F62" s="530">
        <v>876</v>
      </c>
      <c r="G62" s="497">
        <v>913</v>
      </c>
      <c r="H62" s="496">
        <v>913</v>
      </c>
      <c r="I62" s="497">
        <v>913</v>
      </c>
      <c r="J62" s="497">
        <v>913</v>
      </c>
      <c r="K62" s="536">
        <v>912.9</v>
      </c>
      <c r="L62" s="537">
        <v>912.9</v>
      </c>
      <c r="M62" s="538">
        <v>912.9</v>
      </c>
      <c r="N62" s="538">
        <v>912.9</v>
      </c>
      <c r="O62" s="538">
        <v>912.9</v>
      </c>
      <c r="P62" s="515">
        <v>912.9</v>
      </c>
      <c r="Q62" s="536">
        <v>912.9</v>
      </c>
      <c r="R62" s="573">
        <f t="shared" si="0"/>
        <v>2.6</v>
      </c>
      <c r="S62" s="256">
        <f t="shared" si="1"/>
        <v>0</v>
      </c>
      <c r="U62" s="43"/>
      <c r="V62" s="43"/>
      <c r="W62" s="43"/>
      <c r="X62" s="283"/>
      <c r="Y62" s="28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2521</v>
      </c>
      <c r="E63" s="539">
        <f t="shared" ref="E63:Q63" si="8">SUM(E60:E62)</f>
        <v>2851</v>
      </c>
      <c r="F63" s="539">
        <f t="shared" si="8"/>
        <v>2984</v>
      </c>
      <c r="G63" s="100">
        <f t="shared" si="8"/>
        <v>3035</v>
      </c>
      <c r="H63" s="100">
        <f t="shared" si="8"/>
        <v>3055</v>
      </c>
      <c r="I63" s="100">
        <f t="shared" si="8"/>
        <v>2924</v>
      </c>
      <c r="J63" s="101">
        <f t="shared" si="8"/>
        <v>3024</v>
      </c>
      <c r="K63" s="104">
        <f t="shared" si="8"/>
        <v>2986.9</v>
      </c>
      <c r="L63" s="540">
        <f t="shared" si="8"/>
        <v>3050.65</v>
      </c>
      <c r="M63" s="100">
        <f t="shared" si="8"/>
        <v>3071.9</v>
      </c>
      <c r="N63" s="100">
        <f t="shared" si="8"/>
        <v>3071.9</v>
      </c>
      <c r="O63" s="100">
        <f t="shared" si="8"/>
        <v>3071.9</v>
      </c>
      <c r="P63" s="100">
        <f t="shared" si="8"/>
        <v>3071.9</v>
      </c>
      <c r="Q63" s="103">
        <f t="shared" si="8"/>
        <v>3071.9</v>
      </c>
      <c r="R63" s="576">
        <f t="shared" si="0"/>
        <v>2.5</v>
      </c>
      <c r="S63" s="541">
        <f t="shared" si="1"/>
        <v>0.1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51662.3</v>
      </c>
      <c r="E64" s="543">
        <f t="shared" ref="E64:Q64" si="9">E48+E49+E51+E53+E55+E56+E59+E63</f>
        <v>52208.090709184209</v>
      </c>
      <c r="F64" s="543">
        <f t="shared" si="9"/>
        <v>54124.6873076923</v>
      </c>
      <c r="G64" s="544">
        <f t="shared" si="9"/>
        <v>57800.750615384619</v>
      </c>
      <c r="H64" s="544">
        <f t="shared" si="9"/>
        <v>60906.536752665896</v>
      </c>
      <c r="I64" s="544">
        <f t="shared" si="9"/>
        <v>64775.729587719215</v>
      </c>
      <c r="J64" s="545">
        <f t="shared" si="9"/>
        <v>68145.155983839999</v>
      </c>
      <c r="K64" s="546">
        <f t="shared" si="9"/>
        <v>72111.11292774271</v>
      </c>
      <c r="L64" s="547">
        <f t="shared" si="9"/>
        <v>76279.123884261004</v>
      </c>
      <c r="M64" s="544">
        <f t="shared" si="9"/>
        <v>79286.823882936995</v>
      </c>
      <c r="N64" s="544">
        <f t="shared" si="9"/>
        <v>84574.292229317973</v>
      </c>
      <c r="O64" s="544">
        <f t="shared" si="9"/>
        <v>88778.262213216964</v>
      </c>
      <c r="P64" s="544">
        <f t="shared" si="9"/>
        <v>91368.585944336664</v>
      </c>
      <c r="Q64" s="577">
        <f t="shared" si="9"/>
        <v>93865.328944042558</v>
      </c>
      <c r="R64" s="579">
        <f t="shared" si="0"/>
        <v>4.9000000000000004</v>
      </c>
      <c r="S64" s="558">
        <f t="shared" si="1"/>
        <v>4.2</v>
      </c>
    </row>
    <row r="65" spans="1:33" ht="15" customHeight="1">
      <c r="A65" s="616" t="s">
        <v>327</v>
      </c>
      <c r="B65" s="666" t="s">
        <v>433</v>
      </c>
      <c r="C65" s="667"/>
      <c r="D65" s="495">
        <v>1410</v>
      </c>
      <c r="E65" s="496">
        <v>1543</v>
      </c>
      <c r="F65" s="497">
        <v>1521</v>
      </c>
      <c r="G65" s="497">
        <v>1555</v>
      </c>
      <c r="H65" s="496">
        <v>1608</v>
      </c>
      <c r="I65" s="497">
        <v>1537</v>
      </c>
      <c r="J65" s="497">
        <v>1571</v>
      </c>
      <c r="K65" s="502">
        <v>1554</v>
      </c>
      <c r="L65" s="503">
        <v>1570</v>
      </c>
      <c r="M65" s="496">
        <v>1600</v>
      </c>
      <c r="N65" s="496">
        <v>1620</v>
      </c>
      <c r="O65" s="496">
        <v>1650</v>
      </c>
      <c r="P65" s="279">
        <v>1670</v>
      </c>
      <c r="Q65" s="502">
        <v>1700</v>
      </c>
      <c r="R65" s="573">
        <f t="shared" si="0"/>
        <v>1.4</v>
      </c>
      <c r="S65" s="256">
        <f t="shared" si="1"/>
        <v>1.6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548</v>
      </c>
      <c r="E66" s="496">
        <v>554</v>
      </c>
      <c r="F66" s="497">
        <v>580</v>
      </c>
      <c r="G66" s="497">
        <v>573</v>
      </c>
      <c r="H66" s="496">
        <v>570</v>
      </c>
      <c r="I66" s="497">
        <v>638</v>
      </c>
      <c r="J66" s="497">
        <v>623</v>
      </c>
      <c r="K66" s="502">
        <v>579</v>
      </c>
      <c r="L66" s="503">
        <v>600</v>
      </c>
      <c r="M66" s="496">
        <v>620</v>
      </c>
      <c r="N66" s="496">
        <v>620</v>
      </c>
      <c r="O66" s="496">
        <v>630</v>
      </c>
      <c r="P66" s="279">
        <v>630</v>
      </c>
      <c r="Q66" s="502">
        <v>640</v>
      </c>
      <c r="R66" s="573">
        <f t="shared" si="0"/>
        <v>0.8</v>
      </c>
      <c r="S66" s="256">
        <f t="shared" si="1"/>
        <v>1.3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20</v>
      </c>
      <c r="E67" s="496">
        <v>25.19600000000014</v>
      </c>
      <c r="F67" s="497">
        <v>25.52354800000014</v>
      </c>
      <c r="G67" s="497">
        <v>26.493442824000144</v>
      </c>
      <c r="H67" s="496">
        <v>27.26175266589615</v>
      </c>
      <c r="I67" s="497">
        <v>27.806987719214071</v>
      </c>
      <c r="J67" s="497">
        <v>28</v>
      </c>
      <c r="K67" s="502">
        <v>29</v>
      </c>
      <c r="L67" s="503">
        <v>30</v>
      </c>
      <c r="M67" s="496">
        <v>31</v>
      </c>
      <c r="N67" s="496">
        <v>32</v>
      </c>
      <c r="O67" s="496">
        <v>33</v>
      </c>
      <c r="P67" s="497">
        <v>34</v>
      </c>
      <c r="Q67" s="502">
        <v>34</v>
      </c>
      <c r="R67" s="573">
        <f t="shared" si="0"/>
        <v>5.5</v>
      </c>
      <c r="S67" s="256">
        <f t="shared" si="1"/>
        <v>2.5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15139</v>
      </c>
      <c r="E68" s="496">
        <v>16232</v>
      </c>
      <c r="F68" s="497">
        <v>16780</v>
      </c>
      <c r="G68" s="497">
        <v>18359</v>
      </c>
      <c r="H68" s="496">
        <v>20056</v>
      </c>
      <c r="I68" s="497">
        <v>22537</v>
      </c>
      <c r="J68" s="497">
        <v>24454</v>
      </c>
      <c r="K68" s="502">
        <v>26228</v>
      </c>
      <c r="L68" s="503">
        <v>27585</v>
      </c>
      <c r="M68" s="496">
        <v>29250</v>
      </c>
      <c r="N68" s="496">
        <v>30880</v>
      </c>
      <c r="O68" s="496">
        <v>32465</v>
      </c>
      <c r="P68" s="279">
        <v>33985</v>
      </c>
      <c r="Q68" s="502">
        <v>35465</v>
      </c>
      <c r="R68" s="573">
        <f t="shared" si="0"/>
        <v>8.1999999999999993</v>
      </c>
      <c r="S68" s="256">
        <f t="shared" si="1"/>
        <v>5.2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1141</v>
      </c>
      <c r="E69" s="496">
        <v>1104</v>
      </c>
      <c r="F69" s="497">
        <v>1266</v>
      </c>
      <c r="G69" s="497">
        <v>1400</v>
      </c>
      <c r="H69" s="496">
        <v>1338</v>
      </c>
      <c r="I69" s="497">
        <v>1375.7316000000001</v>
      </c>
      <c r="J69" s="497">
        <v>1420.3053038400001</v>
      </c>
      <c r="K69" s="502">
        <v>1476.2689647427198</v>
      </c>
      <c r="L69" s="503">
        <v>1544.1773371208851</v>
      </c>
      <c r="M69" s="496">
        <v>1603.7825823337512</v>
      </c>
      <c r="N69" s="496">
        <v>1662.9621596218665</v>
      </c>
      <c r="O69" s="496">
        <v>1662.9621596218665</v>
      </c>
      <c r="P69" s="279">
        <v>1662.9621596218665</v>
      </c>
      <c r="Q69" s="502">
        <v>1662.9621596218665</v>
      </c>
      <c r="R69" s="573">
        <f t="shared" si="0"/>
        <v>3.7</v>
      </c>
      <c r="S69" s="256">
        <f t="shared" si="1"/>
        <v>1.5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782.65464849335842</v>
      </c>
      <c r="E70" s="496">
        <v>900.0528457673621</v>
      </c>
      <c r="F70" s="497">
        <v>1000</v>
      </c>
      <c r="G70" s="497">
        <v>1120</v>
      </c>
      <c r="H70" s="496">
        <v>1145</v>
      </c>
      <c r="I70" s="497">
        <v>1186</v>
      </c>
      <c r="J70" s="497">
        <v>1259</v>
      </c>
      <c r="K70" s="502">
        <v>1500</v>
      </c>
      <c r="L70" s="503">
        <v>1418.28</v>
      </c>
      <c r="M70" s="496">
        <v>1490</v>
      </c>
      <c r="N70" s="496">
        <v>1560</v>
      </c>
      <c r="O70" s="496">
        <v>1640</v>
      </c>
      <c r="P70" s="279">
        <v>1720</v>
      </c>
      <c r="Q70" s="502">
        <v>1800</v>
      </c>
      <c r="R70" s="573">
        <f t="shared" si="0"/>
        <v>9.6999999999999993</v>
      </c>
      <c r="S70" s="256">
        <f t="shared" si="1"/>
        <v>4.9000000000000004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2610</v>
      </c>
      <c r="E71" s="49">
        <v>2682</v>
      </c>
      <c r="F71" s="45">
        <v>3072</v>
      </c>
      <c r="G71" s="49">
        <v>3782</v>
      </c>
      <c r="H71" s="49">
        <v>4270</v>
      </c>
      <c r="I71" s="45">
        <v>4100</v>
      </c>
      <c r="J71" s="49">
        <v>4250</v>
      </c>
      <c r="K71" s="50">
        <v>4300</v>
      </c>
      <c r="L71" s="140">
        <v>4400</v>
      </c>
      <c r="M71" s="45">
        <v>4600</v>
      </c>
      <c r="N71" s="45">
        <v>4800</v>
      </c>
      <c r="O71" s="45">
        <v>5000</v>
      </c>
      <c r="P71" s="45">
        <v>5200</v>
      </c>
      <c r="Q71" s="50">
        <v>5200</v>
      </c>
      <c r="R71" s="573">
        <f t="shared" si="0"/>
        <v>7.4</v>
      </c>
      <c r="S71" s="256">
        <f t="shared" si="1"/>
        <v>3.4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153</v>
      </c>
      <c r="E73" s="49">
        <v>141</v>
      </c>
      <c r="F73" s="45">
        <v>189.595</v>
      </c>
      <c r="G73" s="49">
        <v>170</v>
      </c>
      <c r="H73" s="49">
        <v>199.32599999999999</v>
      </c>
      <c r="I73" s="45">
        <v>210.94</v>
      </c>
      <c r="J73" s="49">
        <v>223.59</v>
      </c>
      <c r="K73" s="50">
        <v>237.01</v>
      </c>
      <c r="L73" s="140">
        <v>251.23</v>
      </c>
      <c r="M73" s="45">
        <v>266.3</v>
      </c>
      <c r="N73" s="45">
        <v>282.27999999999997</v>
      </c>
      <c r="O73" s="45">
        <v>299</v>
      </c>
      <c r="P73" s="45">
        <v>317</v>
      </c>
      <c r="Q73" s="50">
        <v>336</v>
      </c>
      <c r="R73" s="573">
        <f t="shared" si="10"/>
        <v>6.5</v>
      </c>
      <c r="S73" s="256">
        <f t="shared" si="11"/>
        <v>6</v>
      </c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394.90909090909088</v>
      </c>
      <c r="E74" s="496">
        <v>416.62909090909091</v>
      </c>
      <c r="F74" s="497">
        <v>400</v>
      </c>
      <c r="G74" s="497">
        <v>400</v>
      </c>
      <c r="H74" s="496">
        <v>586.58999999999992</v>
      </c>
      <c r="I74" s="497">
        <v>480</v>
      </c>
      <c r="J74" s="497">
        <v>476.19899999999984</v>
      </c>
      <c r="K74" s="502">
        <v>503.50896300000005</v>
      </c>
      <c r="L74" s="503">
        <v>527.17388426100001</v>
      </c>
      <c r="M74" s="496">
        <v>551.42388293700606</v>
      </c>
      <c r="N74" s="496">
        <v>577.89222931798236</v>
      </c>
      <c r="O74" s="496">
        <v>605.86221321697269</v>
      </c>
      <c r="P74" s="279">
        <v>635.1859443366742</v>
      </c>
      <c r="Q74" s="502">
        <v>665.92894404256924</v>
      </c>
      <c r="R74" s="573">
        <f t="shared" si="10"/>
        <v>3.5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43"/>
      <c r="AB74" s="43"/>
      <c r="AC74" s="43"/>
      <c r="AD74" s="280"/>
      <c r="AE74" s="280"/>
      <c r="AF74" s="280"/>
      <c r="AG74" s="280"/>
    </row>
    <row r="75" spans="1:33" ht="15" customHeight="1">
      <c r="A75" s="16"/>
      <c r="B75" s="668" t="s">
        <v>442</v>
      </c>
      <c r="C75" s="669"/>
      <c r="D75" s="495">
        <v>320</v>
      </c>
      <c r="E75" s="496">
        <v>342</v>
      </c>
      <c r="F75" s="497">
        <v>365</v>
      </c>
      <c r="G75" s="497">
        <v>390</v>
      </c>
      <c r="H75" s="496">
        <v>417</v>
      </c>
      <c r="I75" s="497">
        <v>445</v>
      </c>
      <c r="J75" s="497">
        <v>473</v>
      </c>
      <c r="K75" s="502">
        <v>1297</v>
      </c>
      <c r="L75" s="503">
        <v>1546</v>
      </c>
      <c r="M75" s="496">
        <v>1638</v>
      </c>
      <c r="N75" s="496">
        <v>1736</v>
      </c>
      <c r="O75" s="496">
        <v>1840</v>
      </c>
      <c r="P75" s="279">
        <v>1950</v>
      </c>
      <c r="Q75" s="502">
        <v>2067</v>
      </c>
      <c r="R75" s="573">
        <f t="shared" si="10"/>
        <v>22.1</v>
      </c>
      <c r="S75" s="256">
        <f t="shared" si="11"/>
        <v>6</v>
      </c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2401.1</v>
      </c>
      <c r="E76" s="40">
        <v>2259.4</v>
      </c>
      <c r="F76" s="40">
        <v>2396.4</v>
      </c>
      <c r="G76" s="40">
        <v>2209.9</v>
      </c>
      <c r="H76" s="505">
        <v>2449.8000000000002</v>
      </c>
      <c r="I76" s="505">
        <v>2505.5</v>
      </c>
      <c r="J76" s="506">
        <v>2527.4</v>
      </c>
      <c r="K76" s="507">
        <v>2599.8000000000002</v>
      </c>
      <c r="L76" s="508">
        <v>2599</v>
      </c>
      <c r="M76" s="505">
        <v>2786</v>
      </c>
      <c r="N76" s="505">
        <v>2814</v>
      </c>
      <c r="O76" s="505">
        <v>2830</v>
      </c>
      <c r="P76" s="505">
        <v>2848</v>
      </c>
      <c r="Q76" s="509">
        <v>2866</v>
      </c>
      <c r="R76" s="573">
        <f t="shared" si="10"/>
        <v>1.1000000000000001</v>
      </c>
      <c r="S76" s="256">
        <f t="shared" si="11"/>
        <v>2</v>
      </c>
      <c r="U76" s="318"/>
      <c r="V76" s="318"/>
      <c r="W76" s="318"/>
      <c r="X76" s="318"/>
      <c r="Y76" s="318"/>
      <c r="Z76" s="318"/>
      <c r="AA76" s="318"/>
      <c r="AB76" s="318"/>
      <c r="AC76" s="318"/>
      <c r="AD76" s="318"/>
      <c r="AE76" s="318"/>
      <c r="AF76" s="318"/>
      <c r="AG76" s="318"/>
    </row>
    <row r="77" spans="1:33" ht="15.75" customHeight="1">
      <c r="A77" s="16"/>
      <c r="B77" s="674" t="s">
        <v>307</v>
      </c>
      <c r="C77" s="675"/>
      <c r="D77" s="95">
        <f>SUM(D65:D76)</f>
        <v>24919.663739402447</v>
      </c>
      <c r="E77" s="93">
        <f t="shared" ref="E77:Q77" si="12">SUM(E65:E76)</f>
        <v>26199.277936676452</v>
      </c>
      <c r="F77" s="93">
        <f t="shared" si="12"/>
        <v>27595.518548000004</v>
      </c>
      <c r="G77" s="93">
        <f t="shared" si="12"/>
        <v>29985.393442824003</v>
      </c>
      <c r="H77" s="93">
        <f t="shared" si="12"/>
        <v>32666.977752665895</v>
      </c>
      <c r="I77" s="93">
        <f t="shared" si="12"/>
        <v>35042.978587719212</v>
      </c>
      <c r="J77" s="93">
        <f t="shared" si="12"/>
        <v>37305.494303839994</v>
      </c>
      <c r="K77" s="96">
        <f t="shared" si="12"/>
        <v>40303.587927742723</v>
      </c>
      <c r="L77" s="95">
        <f t="shared" si="12"/>
        <v>42070.861221381885</v>
      </c>
      <c r="M77" s="93">
        <f t="shared" si="12"/>
        <v>44436.506465270759</v>
      </c>
      <c r="N77" s="93">
        <f t="shared" si="12"/>
        <v>46585.134388939849</v>
      </c>
      <c r="O77" s="93">
        <f t="shared" si="12"/>
        <v>48655.824372838833</v>
      </c>
      <c r="P77" s="93">
        <f t="shared" si="12"/>
        <v>50652.148103958541</v>
      </c>
      <c r="Q77" s="96">
        <f t="shared" si="12"/>
        <v>52436.891103664435</v>
      </c>
      <c r="R77" s="574">
        <f t="shared" si="10"/>
        <v>7.1</v>
      </c>
      <c r="S77" s="510">
        <f t="shared" si="11"/>
        <v>4.5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367</v>
      </c>
      <c r="E78" s="512">
        <v>332</v>
      </c>
      <c r="F78" s="512">
        <v>300</v>
      </c>
      <c r="G78" s="512">
        <v>250</v>
      </c>
      <c r="H78" s="512">
        <v>139</v>
      </c>
      <c r="I78" s="512">
        <v>79.599999999999994</v>
      </c>
      <c r="J78" s="513">
        <v>99.7</v>
      </c>
      <c r="K78" s="514">
        <v>80</v>
      </c>
      <c r="L78" s="511">
        <v>80</v>
      </c>
      <c r="M78" s="512">
        <v>82</v>
      </c>
      <c r="N78" s="512">
        <v>82</v>
      </c>
      <c r="O78" s="512">
        <v>84</v>
      </c>
      <c r="P78" s="513">
        <v>84</v>
      </c>
      <c r="Q78" s="514">
        <v>84</v>
      </c>
      <c r="R78" s="574">
        <f t="shared" si="10"/>
        <v>-19.600000000000001</v>
      </c>
      <c r="S78" s="510">
        <f t="shared" si="11"/>
        <v>1</v>
      </c>
      <c r="U78" s="280"/>
      <c r="V78" s="280"/>
      <c r="W78" s="280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316</v>
      </c>
      <c r="E79" s="512">
        <v>332</v>
      </c>
      <c r="F79" s="512">
        <v>300</v>
      </c>
      <c r="G79" s="512">
        <v>250</v>
      </c>
      <c r="H79" s="512">
        <v>139</v>
      </c>
      <c r="I79" s="512">
        <v>79.599999999999994</v>
      </c>
      <c r="J79" s="513">
        <v>99.7</v>
      </c>
      <c r="K79" s="514">
        <v>80</v>
      </c>
      <c r="L79" s="511">
        <v>80</v>
      </c>
      <c r="M79" s="512">
        <v>82</v>
      </c>
      <c r="N79" s="512">
        <v>82</v>
      </c>
      <c r="O79" s="512">
        <v>84</v>
      </c>
      <c r="P79" s="513">
        <v>84</v>
      </c>
      <c r="Q79" s="514">
        <v>84</v>
      </c>
      <c r="R79" s="574">
        <f t="shared" si="10"/>
        <v>-17.8</v>
      </c>
      <c r="S79" s="510">
        <f t="shared" si="11"/>
        <v>1</v>
      </c>
      <c r="U79" s="280"/>
      <c r="V79" s="280"/>
      <c r="W79" s="280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11304</v>
      </c>
      <c r="E80" s="538">
        <v>10650</v>
      </c>
      <c r="F80" s="538">
        <v>8875</v>
      </c>
      <c r="G80" s="538">
        <v>8901</v>
      </c>
      <c r="H80" s="538">
        <v>9080.5864160000001</v>
      </c>
      <c r="I80" s="538">
        <v>9496.0300000000007</v>
      </c>
      <c r="J80" s="515">
        <v>9839.9945590000007</v>
      </c>
      <c r="K80" s="536">
        <v>9967.7828599999993</v>
      </c>
      <c r="L80" s="537">
        <v>10178.921246</v>
      </c>
      <c r="M80" s="538">
        <v>10374.389626</v>
      </c>
      <c r="N80" s="538">
        <v>10538.446862000001</v>
      </c>
      <c r="O80" s="538">
        <v>10684.099602</v>
      </c>
      <c r="P80" s="515">
        <v>10826.622654000001</v>
      </c>
      <c r="Q80" s="536">
        <v>10968.420126000001</v>
      </c>
      <c r="R80" s="575">
        <f t="shared" si="10"/>
        <v>-1.8</v>
      </c>
      <c r="S80" s="517">
        <f t="shared" si="11"/>
        <v>1.5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8988</v>
      </c>
      <c r="E81" s="512">
        <v>9214.9414598387266</v>
      </c>
      <c r="F81" s="512">
        <v>7361</v>
      </c>
      <c r="G81" s="512">
        <v>7364</v>
      </c>
      <c r="H81" s="512">
        <v>7497.26944</v>
      </c>
      <c r="I81" s="512">
        <v>7864</v>
      </c>
      <c r="J81" s="513">
        <v>8157.6168600000001</v>
      </c>
      <c r="K81" s="514">
        <v>8239.193029</v>
      </c>
      <c r="L81" s="511">
        <v>8401.9703669999999</v>
      </c>
      <c r="M81" s="512">
        <v>8549.1572329999999</v>
      </c>
      <c r="N81" s="512">
        <v>8670.1650640000007</v>
      </c>
      <c r="O81" s="512">
        <v>8773.6942049999998</v>
      </c>
      <c r="P81" s="513">
        <v>8873.2379660000006</v>
      </c>
      <c r="Q81" s="514">
        <v>8971.8510760000008</v>
      </c>
      <c r="R81" s="574">
        <f t="shared" si="10"/>
        <v>-1.2</v>
      </c>
      <c r="S81" s="510">
        <f t="shared" si="11"/>
        <v>1.3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1683</v>
      </c>
      <c r="E82" s="496">
        <v>2418</v>
      </c>
      <c r="F82" s="496">
        <v>2516</v>
      </c>
      <c r="G82" s="496">
        <v>2565</v>
      </c>
      <c r="H82" s="496">
        <v>2546</v>
      </c>
      <c r="I82" s="496">
        <v>2595</v>
      </c>
      <c r="J82" s="497">
        <v>2689</v>
      </c>
      <c r="K82" s="502">
        <v>2793</v>
      </c>
      <c r="L82" s="503">
        <v>2885</v>
      </c>
      <c r="M82" s="496">
        <v>3039</v>
      </c>
      <c r="N82" s="496">
        <v>3167</v>
      </c>
      <c r="O82" s="496">
        <v>3257</v>
      </c>
      <c r="P82" s="497">
        <v>3330</v>
      </c>
      <c r="Q82" s="502">
        <v>3405</v>
      </c>
      <c r="R82" s="573">
        <f t="shared" si="10"/>
        <v>7.5</v>
      </c>
      <c r="S82" s="256">
        <f t="shared" si="11"/>
        <v>3.4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493</v>
      </c>
      <c r="F83" s="518">
        <v>515</v>
      </c>
      <c r="G83" s="518">
        <v>520</v>
      </c>
      <c r="H83" s="518">
        <v>532</v>
      </c>
      <c r="I83" s="518">
        <v>545</v>
      </c>
      <c r="J83" s="519">
        <v>555</v>
      </c>
      <c r="K83" s="514">
        <v>563</v>
      </c>
      <c r="L83" s="511">
        <v>582</v>
      </c>
      <c r="M83" s="518">
        <v>600</v>
      </c>
      <c r="N83" s="518">
        <v>619</v>
      </c>
      <c r="O83" s="518">
        <v>638</v>
      </c>
      <c r="P83" s="519">
        <v>656</v>
      </c>
      <c r="Q83" s="514">
        <v>670</v>
      </c>
      <c r="R83" s="574" t="str">
        <f t="shared" si="10"/>
        <v xml:space="preserve">     -</v>
      </c>
      <c r="S83" s="510">
        <f t="shared" si="11"/>
        <v>2.9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1116</v>
      </c>
      <c r="E84" s="518">
        <v>1199</v>
      </c>
      <c r="F84" s="518">
        <v>1199</v>
      </c>
      <c r="G84" s="518">
        <v>1300.915</v>
      </c>
      <c r="H84" s="518">
        <v>1455</v>
      </c>
      <c r="I84" s="518">
        <v>1779</v>
      </c>
      <c r="J84" s="519">
        <v>1826</v>
      </c>
      <c r="K84" s="514">
        <v>1942</v>
      </c>
      <c r="L84" s="511">
        <v>2068</v>
      </c>
      <c r="M84" s="518">
        <v>2200</v>
      </c>
      <c r="N84" s="518">
        <v>2338</v>
      </c>
      <c r="O84" s="518">
        <v>2480</v>
      </c>
      <c r="P84" s="519">
        <v>2630</v>
      </c>
      <c r="Q84" s="514">
        <v>2730</v>
      </c>
      <c r="R84" s="574">
        <f t="shared" si="10"/>
        <v>8.1999999999999993</v>
      </c>
      <c r="S84" s="510">
        <f t="shared" si="11"/>
        <v>5.7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990</v>
      </c>
      <c r="E85" s="521">
        <v>1001</v>
      </c>
      <c r="F85" s="521">
        <v>956.7</v>
      </c>
      <c r="G85" s="521">
        <v>956.69999999999993</v>
      </c>
      <c r="H85" s="521">
        <v>1174</v>
      </c>
      <c r="I85" s="521">
        <v>1209</v>
      </c>
      <c r="J85" s="522">
        <v>1572.1</v>
      </c>
      <c r="K85" s="523">
        <v>1361</v>
      </c>
      <c r="L85" s="520">
        <v>1500</v>
      </c>
      <c r="M85" s="521">
        <v>1756</v>
      </c>
      <c r="N85" s="521">
        <v>1856</v>
      </c>
      <c r="O85" s="521">
        <v>1921</v>
      </c>
      <c r="P85" s="522">
        <v>1978</v>
      </c>
      <c r="Q85" s="523">
        <v>2087</v>
      </c>
      <c r="R85" s="574">
        <f t="shared" si="10"/>
        <v>4.7</v>
      </c>
      <c r="S85" s="510">
        <f t="shared" si="11"/>
        <v>6.8</v>
      </c>
      <c r="U85" s="43"/>
      <c r="V85" s="43"/>
      <c r="W85" s="43"/>
      <c r="X85" s="43"/>
      <c r="Y85" s="43"/>
      <c r="Z85" s="359"/>
      <c r="AA85" s="359"/>
      <c r="AB85" s="359"/>
      <c r="AC85" s="359"/>
      <c r="AD85" s="359"/>
      <c r="AE85" s="359"/>
      <c r="AF85" s="359"/>
      <c r="AG85" s="359"/>
    </row>
    <row r="86" spans="1:33" ht="15" customHeight="1">
      <c r="A86" s="16"/>
      <c r="B86" s="672" t="s">
        <v>316</v>
      </c>
      <c r="C86" s="673"/>
      <c r="D86" s="529">
        <v>5815</v>
      </c>
      <c r="E86" s="525">
        <v>5934</v>
      </c>
      <c r="F86" s="530">
        <v>6075</v>
      </c>
      <c r="G86" s="530">
        <v>6199</v>
      </c>
      <c r="H86" s="525">
        <v>6326</v>
      </c>
      <c r="I86" s="530">
        <v>6480</v>
      </c>
      <c r="J86" s="530">
        <v>6582</v>
      </c>
      <c r="K86" s="564">
        <v>6733</v>
      </c>
      <c r="L86" s="524">
        <v>6927</v>
      </c>
      <c r="M86" s="525">
        <v>7103</v>
      </c>
      <c r="N86" s="525">
        <v>7232</v>
      </c>
      <c r="O86" s="525">
        <v>7357</v>
      </c>
      <c r="P86" s="530">
        <v>7466</v>
      </c>
      <c r="Q86" s="564">
        <v>7569</v>
      </c>
      <c r="R86" s="573">
        <f t="shared" si="10"/>
        <v>2.1</v>
      </c>
      <c r="S86" s="256">
        <f t="shared" si="11"/>
        <v>1.8</v>
      </c>
      <c r="U86" s="280"/>
      <c r="V86" s="280"/>
      <c r="W86" s="280"/>
      <c r="X86" s="358"/>
      <c r="Y86" s="358"/>
      <c r="Z86" s="281"/>
      <c r="AA86" s="420"/>
      <c r="AB86" s="281"/>
      <c r="AC86" s="281"/>
      <c r="AD86" s="281"/>
      <c r="AE86" s="281"/>
      <c r="AF86" s="281"/>
      <c r="AG86" s="281"/>
    </row>
    <row r="87" spans="1:33" ht="15" customHeight="1">
      <c r="A87" s="16"/>
      <c r="B87" s="670" t="s">
        <v>317</v>
      </c>
      <c r="C87" s="671"/>
      <c r="D87" s="553">
        <v>210</v>
      </c>
      <c r="E87" s="525">
        <v>214</v>
      </c>
      <c r="F87" s="530">
        <v>218</v>
      </c>
      <c r="G87" s="530">
        <v>222</v>
      </c>
      <c r="H87" s="525">
        <v>228</v>
      </c>
      <c r="I87" s="530">
        <v>230</v>
      </c>
      <c r="J87" s="530">
        <v>233</v>
      </c>
      <c r="K87" s="564">
        <v>240</v>
      </c>
      <c r="L87" s="524">
        <v>245</v>
      </c>
      <c r="M87" s="525">
        <v>250</v>
      </c>
      <c r="N87" s="525">
        <v>255</v>
      </c>
      <c r="O87" s="525">
        <v>260</v>
      </c>
      <c r="P87" s="530">
        <v>264</v>
      </c>
      <c r="Q87" s="564">
        <v>268</v>
      </c>
      <c r="R87" s="573">
        <f t="shared" si="10"/>
        <v>1.9</v>
      </c>
      <c r="S87" s="256">
        <f t="shared" si="11"/>
        <v>1.8</v>
      </c>
      <c r="U87" s="280"/>
      <c r="V87" s="280"/>
      <c r="W87" s="280"/>
      <c r="X87" s="358"/>
      <c r="Y87" s="358"/>
      <c r="Z87" s="280"/>
      <c r="AA87" s="280"/>
      <c r="AB87" s="280"/>
      <c r="AC87" s="280"/>
      <c r="AD87" s="280"/>
      <c r="AE87" s="280"/>
      <c r="AF87" s="280"/>
      <c r="AG87" s="280"/>
    </row>
    <row r="88" spans="1:33" ht="15.75" customHeight="1">
      <c r="A88" s="16"/>
      <c r="B88" s="674" t="s">
        <v>318</v>
      </c>
      <c r="C88" s="675"/>
      <c r="D88" s="95">
        <f>SUM(D86:D87)</f>
        <v>6025</v>
      </c>
      <c r="E88" s="92">
        <f t="shared" ref="E88:Q88" si="13">SUM(E86:E87)</f>
        <v>6148</v>
      </c>
      <c r="F88" s="92">
        <f t="shared" si="13"/>
        <v>6293</v>
      </c>
      <c r="G88" s="93">
        <f t="shared" si="13"/>
        <v>6421</v>
      </c>
      <c r="H88" s="93">
        <f t="shared" si="13"/>
        <v>6554</v>
      </c>
      <c r="I88" s="94">
        <f t="shared" si="13"/>
        <v>6710</v>
      </c>
      <c r="J88" s="94">
        <f t="shared" si="13"/>
        <v>6815</v>
      </c>
      <c r="K88" s="96">
        <f t="shared" si="13"/>
        <v>6973</v>
      </c>
      <c r="L88" s="95">
        <f t="shared" si="13"/>
        <v>7172</v>
      </c>
      <c r="M88" s="93">
        <f t="shared" si="13"/>
        <v>7353</v>
      </c>
      <c r="N88" s="93">
        <f t="shared" si="13"/>
        <v>7487</v>
      </c>
      <c r="O88" s="93">
        <f t="shared" si="13"/>
        <v>7617</v>
      </c>
      <c r="P88" s="93">
        <f t="shared" si="13"/>
        <v>7730</v>
      </c>
      <c r="Q88" s="96">
        <f t="shared" si="13"/>
        <v>7837</v>
      </c>
      <c r="R88" s="574">
        <f t="shared" si="10"/>
        <v>2.1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861</v>
      </c>
      <c r="E89" s="525">
        <v>879</v>
      </c>
      <c r="F89" s="530">
        <v>897</v>
      </c>
      <c r="G89" s="530">
        <v>915</v>
      </c>
      <c r="H89" s="525">
        <v>936</v>
      </c>
      <c r="I89" s="530">
        <v>960</v>
      </c>
      <c r="J89" s="530">
        <v>980</v>
      </c>
      <c r="K89" s="564">
        <v>1000</v>
      </c>
      <c r="L89" s="565">
        <v>1022</v>
      </c>
      <c r="M89" s="566">
        <v>1048</v>
      </c>
      <c r="N89" s="566">
        <v>1077</v>
      </c>
      <c r="O89" s="566">
        <v>1108</v>
      </c>
      <c r="P89" s="566">
        <v>1141</v>
      </c>
      <c r="Q89" s="567">
        <v>1175</v>
      </c>
      <c r="R89" s="573">
        <f t="shared" si="10"/>
        <v>2.2000000000000002</v>
      </c>
      <c r="S89" s="256">
        <f t="shared" si="11"/>
        <v>2.8</v>
      </c>
      <c r="U89" s="280"/>
      <c r="V89" s="280"/>
      <c r="W89" s="280"/>
      <c r="X89" s="358"/>
      <c r="Y89" s="358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1369</v>
      </c>
      <c r="E90" s="525">
        <v>1393</v>
      </c>
      <c r="F90" s="530">
        <v>1431</v>
      </c>
      <c r="G90" s="530">
        <v>1500</v>
      </c>
      <c r="H90" s="525">
        <v>1489</v>
      </c>
      <c r="I90" s="530">
        <v>1388</v>
      </c>
      <c r="J90" s="530">
        <v>1330</v>
      </c>
      <c r="K90" s="564">
        <v>1345</v>
      </c>
      <c r="L90" s="524">
        <v>1364</v>
      </c>
      <c r="M90" s="525">
        <v>1396</v>
      </c>
      <c r="N90" s="525">
        <v>1428</v>
      </c>
      <c r="O90" s="525">
        <v>1460</v>
      </c>
      <c r="P90" s="530">
        <v>1492</v>
      </c>
      <c r="Q90" s="564">
        <v>1525</v>
      </c>
      <c r="R90" s="573">
        <f t="shared" si="10"/>
        <v>-0.3</v>
      </c>
      <c r="S90" s="256">
        <f t="shared" si="11"/>
        <v>2.2999999999999998</v>
      </c>
      <c r="U90" s="280"/>
      <c r="V90" s="280"/>
      <c r="W90" s="280"/>
      <c r="X90" s="358"/>
      <c r="Y90" s="358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980</v>
      </c>
      <c r="E91" s="525">
        <v>1028</v>
      </c>
      <c r="F91" s="530">
        <v>1108</v>
      </c>
      <c r="G91" s="530">
        <v>1196</v>
      </c>
      <c r="H91" s="525">
        <v>1212</v>
      </c>
      <c r="I91" s="530">
        <v>1209</v>
      </c>
      <c r="J91" s="530">
        <v>1202</v>
      </c>
      <c r="K91" s="568">
        <v>1231</v>
      </c>
      <c r="L91" s="569">
        <v>1260</v>
      </c>
      <c r="M91" s="570">
        <v>1288</v>
      </c>
      <c r="N91" s="570">
        <v>1322</v>
      </c>
      <c r="O91" s="570">
        <v>1358</v>
      </c>
      <c r="P91" s="571">
        <v>1396</v>
      </c>
      <c r="Q91" s="568">
        <v>1436</v>
      </c>
      <c r="R91" s="573">
        <f t="shared" si="10"/>
        <v>3.3</v>
      </c>
      <c r="S91" s="256">
        <f t="shared" si="11"/>
        <v>2.6</v>
      </c>
      <c r="U91" s="43"/>
      <c r="V91" s="43"/>
      <c r="W91" s="43"/>
      <c r="X91" s="357"/>
      <c r="Y91" s="357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3210</v>
      </c>
      <c r="E92" s="539">
        <f t="shared" ref="E92:Q92" si="14">SUM(E89:E91)</f>
        <v>3300</v>
      </c>
      <c r="F92" s="539">
        <f t="shared" si="14"/>
        <v>3436</v>
      </c>
      <c r="G92" s="100">
        <f t="shared" si="14"/>
        <v>3611</v>
      </c>
      <c r="H92" s="100">
        <f t="shared" si="14"/>
        <v>3637</v>
      </c>
      <c r="I92" s="100">
        <f t="shared" si="14"/>
        <v>3557</v>
      </c>
      <c r="J92" s="101">
        <f t="shared" si="14"/>
        <v>3512</v>
      </c>
      <c r="K92" s="104">
        <f t="shared" si="14"/>
        <v>3576</v>
      </c>
      <c r="L92" s="540">
        <f t="shared" si="14"/>
        <v>3646</v>
      </c>
      <c r="M92" s="100">
        <f t="shared" si="14"/>
        <v>3732</v>
      </c>
      <c r="N92" s="100">
        <f t="shared" si="14"/>
        <v>3827</v>
      </c>
      <c r="O92" s="100">
        <f t="shared" si="14"/>
        <v>3926</v>
      </c>
      <c r="P92" s="100">
        <f t="shared" si="14"/>
        <v>4029</v>
      </c>
      <c r="Q92" s="103">
        <f t="shared" si="14"/>
        <v>4136</v>
      </c>
      <c r="R92" s="576">
        <f t="shared" si="10"/>
        <v>1.6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49614.663739402444</v>
      </c>
      <c r="E93" s="543">
        <f t="shared" ref="E93:Q93" si="15">E77+E78+E80+E82+E84+E85+E88+E92</f>
        <v>51247.277936676452</v>
      </c>
      <c r="F93" s="543">
        <f t="shared" si="15"/>
        <v>51171.218548000004</v>
      </c>
      <c r="G93" s="544">
        <f t="shared" si="15"/>
        <v>53991.008442824001</v>
      </c>
      <c r="H93" s="544">
        <f t="shared" si="15"/>
        <v>57252.564168665893</v>
      </c>
      <c r="I93" s="544">
        <f t="shared" si="15"/>
        <v>60468.608587719209</v>
      </c>
      <c r="J93" s="545">
        <f t="shared" si="15"/>
        <v>63659.288862839989</v>
      </c>
      <c r="K93" s="546">
        <f t="shared" si="15"/>
        <v>66996.370787742722</v>
      </c>
      <c r="L93" s="547">
        <f t="shared" si="15"/>
        <v>69600.782467381883</v>
      </c>
      <c r="M93" s="544">
        <f t="shared" si="15"/>
        <v>72972.896091270755</v>
      </c>
      <c r="N93" s="544">
        <f t="shared" si="15"/>
        <v>75880.581250939853</v>
      </c>
      <c r="O93" s="544">
        <f t="shared" si="15"/>
        <v>78624.923974838835</v>
      </c>
      <c r="P93" s="544">
        <f t="shared" si="15"/>
        <v>81259.77075795854</v>
      </c>
      <c r="Q93" s="577">
        <f t="shared" si="15"/>
        <v>83684.311229664439</v>
      </c>
      <c r="R93" s="578">
        <f t="shared" si="10"/>
        <v>4.4000000000000004</v>
      </c>
      <c r="S93" s="549">
        <f t="shared" si="11"/>
        <v>3.8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 ht="15.75" customHeight="1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13"/>
      <c r="L127" s="13"/>
      <c r="M127" s="13"/>
      <c r="N127" s="13"/>
      <c r="O127" s="13"/>
      <c r="P127" s="13"/>
      <c r="Q127" s="13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7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60"/>
      <c r="K147" s="27"/>
      <c r="L147" s="27"/>
      <c r="M147" s="27"/>
      <c r="N147" s="27"/>
      <c r="O147" s="27"/>
      <c r="P147" s="27"/>
      <c r="Q147" s="27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75" priority="5">
      <formula>CELL("protect",C97)=0</formula>
    </cfRule>
    <cfRule type="expression" dxfId="274" priority="6">
      <formula>CELL("protect",C97)=0</formula>
    </cfRule>
  </conditionalFormatting>
  <conditionalFormatting sqref="C95">
    <cfRule type="expression" dxfId="273" priority="3">
      <formula>CELL("protect",C95)=0</formula>
    </cfRule>
    <cfRule type="expression" dxfId="272" priority="4">
      <formula>CELL("protect",C95)=0</formula>
    </cfRule>
  </conditionalFormatting>
  <conditionalFormatting sqref="C97">
    <cfRule type="expression" dxfId="271" priority="1">
      <formula>CELL("protect",C97)=0</formula>
    </cfRule>
    <cfRule type="expression" dxfId="27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&amp;C153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rgb="FF00B0F0"/>
    <pageSetUpPr fitToPage="1"/>
  </sheetPr>
  <dimension ref="A1:AG182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2.87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13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570</v>
      </c>
      <c r="E7" s="488">
        <v>570</v>
      </c>
      <c r="F7" s="489">
        <v>605</v>
      </c>
      <c r="G7" s="489">
        <v>850</v>
      </c>
      <c r="H7" s="488">
        <v>850</v>
      </c>
      <c r="I7" s="489">
        <v>850</v>
      </c>
      <c r="J7" s="489">
        <v>850</v>
      </c>
      <c r="K7" s="490">
        <v>850</v>
      </c>
      <c r="L7" s="491">
        <v>850</v>
      </c>
      <c r="M7" s="492">
        <v>850</v>
      </c>
      <c r="N7" s="492">
        <v>900</v>
      </c>
      <c r="O7" s="492">
        <v>900</v>
      </c>
      <c r="P7" s="493">
        <v>900</v>
      </c>
      <c r="Q7" s="490">
        <v>900</v>
      </c>
      <c r="R7" s="572">
        <f>IF(D7=0,"     -",IF(K7=0,"     -",ROUND(((K7/D7)^(1/7)-1)*100,1)))</f>
        <v>5.9</v>
      </c>
      <c r="S7" s="494">
        <f>IF(L7=0,"     -",IF(Q7=0,"     -",ROUND(((Q7/L7)^(1/5)-1)*100,1)))</f>
        <v>1.1000000000000001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470</v>
      </c>
      <c r="E8" s="496">
        <v>520</v>
      </c>
      <c r="F8" s="497">
        <v>520</v>
      </c>
      <c r="G8" s="497">
        <v>520</v>
      </c>
      <c r="H8" s="496">
        <v>520</v>
      </c>
      <c r="I8" s="497">
        <v>520</v>
      </c>
      <c r="J8" s="497">
        <v>520</v>
      </c>
      <c r="K8" s="498">
        <v>520</v>
      </c>
      <c r="L8" s="499">
        <v>520</v>
      </c>
      <c r="M8" s="500">
        <v>520</v>
      </c>
      <c r="N8" s="500">
        <v>520</v>
      </c>
      <c r="O8" s="500">
        <v>520</v>
      </c>
      <c r="P8" s="501">
        <v>520</v>
      </c>
      <c r="Q8" s="498">
        <v>520</v>
      </c>
      <c r="R8" s="573">
        <f t="shared" ref="R8:R71" si="0">IF(D8=0,"     -",IF(K8=0,"     -",ROUND(((K8/D8)^(1/7)-1)*100,1)))</f>
        <v>1.5</v>
      </c>
      <c r="S8" s="256">
        <f t="shared" ref="S8:S71" si="1">IF(L8=0,"     -",IF(Q8=0,"     -",ROUND(((Q8/L8)^(1/5)-1)*100,1)))</f>
        <v>0</v>
      </c>
      <c r="U8" s="43"/>
      <c r="V8" s="43"/>
      <c r="W8" s="283"/>
      <c r="X8" s="283"/>
      <c r="Y8" s="283"/>
      <c r="Z8" s="283"/>
      <c r="AA8" s="283"/>
      <c r="AB8" s="283"/>
      <c r="AC8" s="283"/>
      <c r="AD8" s="283"/>
      <c r="AE8" s="283"/>
      <c r="AF8" s="283"/>
      <c r="AG8" s="283"/>
    </row>
    <row r="9" spans="1:33" ht="15" customHeight="1">
      <c r="A9" s="16"/>
      <c r="B9" s="668" t="s">
        <v>435</v>
      </c>
      <c r="C9" s="669"/>
      <c r="D9" s="495">
        <v>0</v>
      </c>
      <c r="E9" s="496">
        <v>0</v>
      </c>
      <c r="F9" s="497">
        <v>0</v>
      </c>
      <c r="G9" s="497">
        <v>0</v>
      </c>
      <c r="H9" s="496">
        <v>0</v>
      </c>
      <c r="I9" s="497">
        <v>0</v>
      </c>
      <c r="J9" s="497">
        <v>0</v>
      </c>
      <c r="K9" s="502">
        <v>0</v>
      </c>
      <c r="L9" s="503">
        <v>0</v>
      </c>
      <c r="M9" s="496">
        <v>0</v>
      </c>
      <c r="N9" s="496">
        <v>0</v>
      </c>
      <c r="O9" s="496">
        <v>0</v>
      </c>
      <c r="P9" s="279">
        <v>0</v>
      </c>
      <c r="Q9" s="502">
        <v>0</v>
      </c>
      <c r="R9" s="573" t="str">
        <f t="shared" si="0"/>
        <v xml:space="preserve">     -</v>
      </c>
      <c r="S9" s="256" t="str">
        <f t="shared" si="1"/>
        <v xml:space="preserve">     -</v>
      </c>
      <c r="U9" s="280"/>
      <c r="V9" s="280"/>
      <c r="W9" s="280"/>
      <c r="X9" s="318"/>
      <c r="Y9" s="318"/>
      <c r="Z9" s="318"/>
      <c r="AA9" s="318"/>
      <c r="AB9" s="318"/>
      <c r="AC9" s="318"/>
      <c r="AD9" s="318"/>
      <c r="AE9" s="318"/>
      <c r="AF9" s="318"/>
      <c r="AG9" s="318"/>
    </row>
    <row r="10" spans="1:33" ht="15" customHeight="1">
      <c r="A10" s="16"/>
      <c r="B10" s="668" t="s">
        <v>436</v>
      </c>
      <c r="C10" s="669"/>
      <c r="D10" s="495">
        <v>1033</v>
      </c>
      <c r="E10" s="496">
        <v>1133</v>
      </c>
      <c r="F10" s="497">
        <v>1153</v>
      </c>
      <c r="G10" s="497">
        <v>1308</v>
      </c>
      <c r="H10" s="496">
        <v>1398</v>
      </c>
      <c r="I10" s="497">
        <v>1734</v>
      </c>
      <c r="J10" s="497">
        <v>2014</v>
      </c>
      <c r="K10" s="502">
        <v>1900</v>
      </c>
      <c r="L10" s="503">
        <v>1906</v>
      </c>
      <c r="M10" s="496">
        <v>2336</v>
      </c>
      <c r="N10" s="496">
        <v>2936</v>
      </c>
      <c r="O10" s="496">
        <v>3036</v>
      </c>
      <c r="P10" s="279">
        <v>3316</v>
      </c>
      <c r="Q10" s="502">
        <v>3596</v>
      </c>
      <c r="R10" s="573">
        <f t="shared" si="0"/>
        <v>9.1</v>
      </c>
      <c r="S10" s="256">
        <f t="shared" si="1"/>
        <v>13.5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200</v>
      </c>
      <c r="E11" s="496">
        <v>200</v>
      </c>
      <c r="F11" s="497">
        <v>200</v>
      </c>
      <c r="G11" s="497">
        <v>200</v>
      </c>
      <c r="H11" s="496">
        <v>200</v>
      </c>
      <c r="I11" s="497">
        <v>200</v>
      </c>
      <c r="J11" s="497">
        <v>200</v>
      </c>
      <c r="K11" s="502">
        <v>200</v>
      </c>
      <c r="L11" s="503">
        <v>200</v>
      </c>
      <c r="M11" s="496">
        <v>200</v>
      </c>
      <c r="N11" s="496">
        <v>200</v>
      </c>
      <c r="O11" s="496">
        <v>200</v>
      </c>
      <c r="P11" s="279">
        <v>200</v>
      </c>
      <c r="Q11" s="502">
        <v>200</v>
      </c>
      <c r="R11" s="573">
        <f t="shared" si="0"/>
        <v>0</v>
      </c>
      <c r="S11" s="256">
        <f t="shared" si="1"/>
        <v>0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0</v>
      </c>
      <c r="E12" s="45">
        <v>0</v>
      </c>
      <c r="F12" s="49">
        <v>0</v>
      </c>
      <c r="G12" s="45">
        <v>0</v>
      </c>
      <c r="H12" s="49">
        <v>0</v>
      </c>
      <c r="I12" s="45">
        <v>0</v>
      </c>
      <c r="J12" s="49">
        <v>0</v>
      </c>
      <c r="K12" s="50">
        <v>0</v>
      </c>
      <c r="L12" s="504">
        <v>0</v>
      </c>
      <c r="M12" s="45">
        <v>0</v>
      </c>
      <c r="N12" s="45">
        <v>0</v>
      </c>
      <c r="O12" s="45">
        <v>0</v>
      </c>
      <c r="P12" s="45">
        <v>0</v>
      </c>
      <c r="Q12" s="51">
        <v>0</v>
      </c>
      <c r="R12" s="573" t="str">
        <f t="shared" si="0"/>
        <v xml:space="preserve">     -</v>
      </c>
      <c r="S12" s="256" t="str">
        <f t="shared" si="1"/>
        <v xml:space="preserve">     -</v>
      </c>
      <c r="U12" s="280"/>
      <c r="V12" s="280"/>
      <c r="W12" s="280"/>
      <c r="X12" s="280"/>
      <c r="Y12" s="280"/>
      <c r="Z12" s="280"/>
      <c r="AA12" s="280"/>
      <c r="AB12" s="280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38</v>
      </c>
      <c r="E13" s="49">
        <v>38</v>
      </c>
      <c r="F13" s="45">
        <v>38</v>
      </c>
      <c r="G13" s="49">
        <v>40</v>
      </c>
      <c r="H13" s="49">
        <v>40</v>
      </c>
      <c r="I13" s="45">
        <v>40</v>
      </c>
      <c r="J13" s="49">
        <v>40</v>
      </c>
      <c r="K13" s="50">
        <v>40</v>
      </c>
      <c r="L13" s="140">
        <v>40</v>
      </c>
      <c r="M13" s="45">
        <v>40</v>
      </c>
      <c r="N13" s="45">
        <v>40</v>
      </c>
      <c r="O13" s="45">
        <v>40</v>
      </c>
      <c r="P13" s="45">
        <v>40</v>
      </c>
      <c r="Q13" s="50">
        <v>40</v>
      </c>
      <c r="R13" s="573">
        <f t="shared" si="0"/>
        <v>0.7</v>
      </c>
      <c r="S13" s="256">
        <f t="shared" si="1"/>
        <v>0</v>
      </c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  <c r="AF15" s="280"/>
      <c r="AG15" s="280"/>
    </row>
    <row r="16" spans="1:33" ht="15" customHeight="1">
      <c r="A16" s="16"/>
      <c r="B16" s="668" t="s">
        <v>441</v>
      </c>
      <c r="C16" s="669"/>
      <c r="D16" s="495">
        <v>0</v>
      </c>
      <c r="E16" s="496">
        <v>0</v>
      </c>
      <c r="F16" s="497">
        <v>0</v>
      </c>
      <c r="G16" s="497">
        <v>0</v>
      </c>
      <c r="H16" s="496">
        <v>0</v>
      </c>
      <c r="I16" s="497">
        <v>0</v>
      </c>
      <c r="J16" s="497">
        <v>0</v>
      </c>
      <c r="K16" s="502">
        <v>0</v>
      </c>
      <c r="L16" s="503">
        <v>0</v>
      </c>
      <c r="M16" s="496">
        <v>0</v>
      </c>
      <c r="N16" s="496">
        <v>0</v>
      </c>
      <c r="O16" s="496">
        <v>0</v>
      </c>
      <c r="P16" s="497">
        <v>0</v>
      </c>
      <c r="Q16" s="502">
        <v>0</v>
      </c>
      <c r="R16" s="573" t="str">
        <f t="shared" si="0"/>
        <v xml:space="preserve">     -</v>
      </c>
      <c r="S16" s="256" t="str">
        <f t="shared" si="1"/>
        <v xml:space="preserve">     -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  <c r="AF17" s="280"/>
      <c r="AG17" s="280"/>
    </row>
    <row r="18" spans="1:33" ht="15" customHeight="1">
      <c r="A18" s="16"/>
      <c r="B18" s="670" t="s">
        <v>443</v>
      </c>
      <c r="C18" s="671"/>
      <c r="D18" s="138">
        <v>722</v>
      </c>
      <c r="E18" s="40">
        <v>726</v>
      </c>
      <c r="F18" s="40">
        <v>723</v>
      </c>
      <c r="G18" s="40">
        <v>724</v>
      </c>
      <c r="H18" s="40">
        <v>496</v>
      </c>
      <c r="I18" s="505">
        <v>496</v>
      </c>
      <c r="J18" s="506">
        <v>496</v>
      </c>
      <c r="K18" s="507">
        <v>498</v>
      </c>
      <c r="L18" s="508">
        <v>505</v>
      </c>
      <c r="M18" s="505">
        <v>505</v>
      </c>
      <c r="N18" s="505">
        <v>505</v>
      </c>
      <c r="O18" s="505">
        <v>505</v>
      </c>
      <c r="P18" s="505">
        <v>505</v>
      </c>
      <c r="Q18" s="509">
        <v>505</v>
      </c>
      <c r="R18" s="573">
        <f t="shared" si="0"/>
        <v>-5.2</v>
      </c>
      <c r="S18" s="256">
        <f t="shared" si="1"/>
        <v>0</v>
      </c>
      <c r="U18" s="280"/>
      <c r="V18" s="280"/>
      <c r="W18" s="280"/>
      <c r="X18" s="280"/>
      <c r="Y18" s="280"/>
      <c r="Z18" s="280"/>
      <c r="AA18" s="43"/>
      <c r="AB18" s="43"/>
      <c r="AC18" s="43"/>
      <c r="AD18" s="43"/>
      <c r="AE18" s="43"/>
      <c r="AF18" s="43"/>
      <c r="AG18" s="43"/>
    </row>
    <row r="19" spans="1:33" ht="15.75" customHeight="1">
      <c r="A19" s="16"/>
      <c r="B19" s="674" t="s">
        <v>307</v>
      </c>
      <c r="C19" s="675"/>
      <c r="D19" s="95">
        <f>SUM(D7:D18)</f>
        <v>3033</v>
      </c>
      <c r="E19" s="93">
        <f t="shared" ref="E19:Q19" si="2">SUM(E7:E18)</f>
        <v>3187</v>
      </c>
      <c r="F19" s="93">
        <f t="shared" si="2"/>
        <v>3239</v>
      </c>
      <c r="G19" s="93">
        <f t="shared" si="2"/>
        <v>3642</v>
      </c>
      <c r="H19" s="93">
        <f t="shared" si="2"/>
        <v>3504</v>
      </c>
      <c r="I19" s="93">
        <f t="shared" si="2"/>
        <v>3840</v>
      </c>
      <c r="J19" s="93">
        <f t="shared" si="2"/>
        <v>4120</v>
      </c>
      <c r="K19" s="96">
        <f t="shared" si="2"/>
        <v>4008</v>
      </c>
      <c r="L19" s="95">
        <f t="shared" si="2"/>
        <v>4021</v>
      </c>
      <c r="M19" s="93">
        <f t="shared" si="2"/>
        <v>4451</v>
      </c>
      <c r="N19" s="93">
        <f t="shared" si="2"/>
        <v>5101</v>
      </c>
      <c r="O19" s="93">
        <f t="shared" si="2"/>
        <v>5201</v>
      </c>
      <c r="P19" s="93">
        <f t="shared" si="2"/>
        <v>5481</v>
      </c>
      <c r="Q19" s="96">
        <f t="shared" si="2"/>
        <v>5761</v>
      </c>
      <c r="R19" s="574">
        <f t="shared" si="0"/>
        <v>4.0999999999999996</v>
      </c>
      <c r="S19" s="510">
        <f t="shared" si="1"/>
        <v>7.5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0.45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0.45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980</v>
      </c>
      <c r="E22" s="496">
        <v>860</v>
      </c>
      <c r="F22" s="496">
        <v>855</v>
      </c>
      <c r="G22" s="496">
        <v>855</v>
      </c>
      <c r="H22" s="496">
        <v>855</v>
      </c>
      <c r="I22" s="496">
        <v>880</v>
      </c>
      <c r="J22" s="515">
        <v>880</v>
      </c>
      <c r="K22" s="502">
        <v>880</v>
      </c>
      <c r="L22" s="503">
        <v>880</v>
      </c>
      <c r="M22" s="496">
        <v>880</v>
      </c>
      <c r="N22" s="496">
        <v>880</v>
      </c>
      <c r="O22" s="512">
        <v>880</v>
      </c>
      <c r="P22" s="512">
        <v>880</v>
      </c>
      <c r="Q22" s="514">
        <v>880</v>
      </c>
      <c r="R22" s="575">
        <f t="shared" si="0"/>
        <v>-1.5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975</v>
      </c>
      <c r="E23" s="512">
        <v>860</v>
      </c>
      <c r="F23" s="512">
        <v>855</v>
      </c>
      <c r="G23" s="512">
        <v>855</v>
      </c>
      <c r="H23" s="512">
        <v>855</v>
      </c>
      <c r="I23" s="512">
        <v>880</v>
      </c>
      <c r="J23" s="513">
        <v>880</v>
      </c>
      <c r="K23" s="514">
        <v>880</v>
      </c>
      <c r="L23" s="511">
        <v>880</v>
      </c>
      <c r="M23" s="512">
        <v>880</v>
      </c>
      <c r="N23" s="512">
        <v>880</v>
      </c>
      <c r="O23" s="512">
        <v>880</v>
      </c>
      <c r="P23" s="512">
        <v>880</v>
      </c>
      <c r="Q23" s="514">
        <v>880</v>
      </c>
      <c r="R23" s="574">
        <f t="shared" si="0"/>
        <v>-1.5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0</v>
      </c>
      <c r="E24" s="496">
        <v>100</v>
      </c>
      <c r="F24" s="496">
        <v>100</v>
      </c>
      <c r="G24" s="496">
        <v>100</v>
      </c>
      <c r="H24" s="496">
        <v>100</v>
      </c>
      <c r="I24" s="496">
        <v>100</v>
      </c>
      <c r="J24" s="497">
        <v>100</v>
      </c>
      <c r="K24" s="502">
        <v>100</v>
      </c>
      <c r="L24" s="503">
        <v>100</v>
      </c>
      <c r="M24" s="496">
        <v>100</v>
      </c>
      <c r="N24" s="496">
        <v>100</v>
      </c>
      <c r="O24" s="496">
        <v>100</v>
      </c>
      <c r="P24" s="497">
        <v>100</v>
      </c>
      <c r="Q24" s="502">
        <v>100</v>
      </c>
      <c r="R24" s="574" t="str">
        <f t="shared" si="0"/>
        <v xml:space="preserve">     -</v>
      </c>
      <c r="S24" s="510">
        <f t="shared" si="1"/>
        <v>0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0</v>
      </c>
      <c r="F25" s="518">
        <v>0</v>
      </c>
      <c r="G25" s="518">
        <v>0</v>
      </c>
      <c r="H25" s="518">
        <v>0</v>
      </c>
      <c r="I25" s="518">
        <v>0</v>
      </c>
      <c r="J25" s="519">
        <v>0</v>
      </c>
      <c r="K25" s="514">
        <v>0</v>
      </c>
      <c r="L25" s="511">
        <v>0</v>
      </c>
      <c r="M25" s="518">
        <v>0</v>
      </c>
      <c r="N25" s="518">
        <v>0</v>
      </c>
      <c r="O25" s="518">
        <v>0</v>
      </c>
      <c r="P25" s="519">
        <v>0</v>
      </c>
      <c r="Q25" s="514">
        <v>0</v>
      </c>
      <c r="R25" s="573" t="str">
        <f t="shared" si="0"/>
        <v xml:space="preserve">     -</v>
      </c>
      <c r="S25" s="256" t="str">
        <f t="shared" si="1"/>
        <v xml:space="preserve">     -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0</v>
      </c>
      <c r="E26" s="518">
        <v>0</v>
      </c>
      <c r="F26" s="518">
        <v>0</v>
      </c>
      <c r="G26" s="518">
        <v>0</v>
      </c>
      <c r="H26" s="518">
        <v>0</v>
      </c>
      <c r="I26" s="518">
        <v>0</v>
      </c>
      <c r="J26" s="519">
        <v>0</v>
      </c>
      <c r="K26" s="514">
        <v>0</v>
      </c>
      <c r="L26" s="511">
        <v>0</v>
      </c>
      <c r="M26" s="518">
        <v>0</v>
      </c>
      <c r="N26" s="518">
        <v>0</v>
      </c>
      <c r="O26" s="518">
        <v>0</v>
      </c>
      <c r="P26" s="519">
        <v>0</v>
      </c>
      <c r="Q26" s="514">
        <v>0</v>
      </c>
      <c r="R26" s="574" t="str">
        <f t="shared" si="0"/>
        <v xml:space="preserve">     -</v>
      </c>
      <c r="S26" s="510" t="str">
        <f t="shared" si="1"/>
        <v xml:space="preserve">     -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235</v>
      </c>
      <c r="E27" s="521">
        <v>235</v>
      </c>
      <c r="F27" s="521">
        <v>235</v>
      </c>
      <c r="G27" s="521">
        <v>235</v>
      </c>
      <c r="H27" s="521">
        <v>235</v>
      </c>
      <c r="I27" s="521">
        <v>235</v>
      </c>
      <c r="J27" s="522">
        <v>235</v>
      </c>
      <c r="K27" s="523">
        <v>285</v>
      </c>
      <c r="L27" s="520">
        <v>325</v>
      </c>
      <c r="M27" s="521">
        <v>325</v>
      </c>
      <c r="N27" s="521">
        <v>325</v>
      </c>
      <c r="O27" s="521">
        <v>325</v>
      </c>
      <c r="P27" s="522">
        <v>325</v>
      </c>
      <c r="Q27" s="523">
        <v>325</v>
      </c>
      <c r="R27" s="574">
        <f t="shared" si="0"/>
        <v>2.8</v>
      </c>
      <c r="S27" s="510">
        <f t="shared" si="1"/>
        <v>0</v>
      </c>
      <c r="U27" s="280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" customHeight="1">
      <c r="A28" s="16"/>
      <c r="B28" s="672" t="s">
        <v>316</v>
      </c>
      <c r="C28" s="673"/>
      <c r="D28" s="524">
        <v>1471</v>
      </c>
      <c r="E28" s="525">
        <v>1471</v>
      </c>
      <c r="F28" s="525">
        <v>1575</v>
      </c>
      <c r="G28" s="526">
        <v>1575</v>
      </c>
      <c r="H28" s="526">
        <v>1575</v>
      </c>
      <c r="I28" s="496">
        <v>1575</v>
      </c>
      <c r="J28" s="497">
        <v>1575</v>
      </c>
      <c r="K28" s="498">
        <v>1575</v>
      </c>
      <c r="L28" s="527">
        <v>1575</v>
      </c>
      <c r="M28" s="528">
        <v>1575</v>
      </c>
      <c r="N28" s="528">
        <v>1575</v>
      </c>
      <c r="O28" s="528">
        <v>1575</v>
      </c>
      <c r="P28" s="528">
        <v>1575</v>
      </c>
      <c r="Q28" s="498">
        <v>1575</v>
      </c>
      <c r="R28" s="573">
        <f t="shared" si="0"/>
        <v>1</v>
      </c>
      <c r="S28" s="256">
        <f t="shared" si="1"/>
        <v>0</v>
      </c>
      <c r="U28" s="43"/>
      <c r="V28" s="43"/>
      <c r="W28" s="43"/>
      <c r="X28" s="338"/>
      <c r="Y28" s="338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0</v>
      </c>
      <c r="E29" s="525">
        <v>0</v>
      </c>
      <c r="F29" s="530">
        <v>0</v>
      </c>
      <c r="G29" s="531">
        <v>0</v>
      </c>
      <c r="H29" s="526">
        <v>0</v>
      </c>
      <c r="I29" s="497">
        <v>0</v>
      </c>
      <c r="J29" s="497">
        <v>0</v>
      </c>
      <c r="K29" s="498">
        <v>0</v>
      </c>
      <c r="L29" s="499">
        <v>0</v>
      </c>
      <c r="M29" s="532">
        <v>0</v>
      </c>
      <c r="N29" s="532">
        <v>0</v>
      </c>
      <c r="O29" s="532">
        <v>0</v>
      </c>
      <c r="P29" s="532">
        <v>0</v>
      </c>
      <c r="Q29" s="498">
        <v>0</v>
      </c>
      <c r="R29" s="573" t="str">
        <f t="shared" si="0"/>
        <v xml:space="preserve">     -</v>
      </c>
      <c r="S29" s="256" t="str">
        <f t="shared" si="1"/>
        <v xml:space="preserve">     -</v>
      </c>
      <c r="U29" s="43"/>
      <c r="V29" s="43"/>
      <c r="W29" s="43"/>
      <c r="X29" s="338"/>
      <c r="Y29" s="338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1471</v>
      </c>
      <c r="E30" s="92">
        <f t="shared" ref="E30:Q30" si="3">SUM(E28:E29)</f>
        <v>1471</v>
      </c>
      <c r="F30" s="92">
        <f t="shared" si="3"/>
        <v>1575</v>
      </c>
      <c r="G30" s="93">
        <f t="shared" si="3"/>
        <v>1575</v>
      </c>
      <c r="H30" s="93">
        <f t="shared" si="3"/>
        <v>1575</v>
      </c>
      <c r="I30" s="94">
        <f t="shared" si="3"/>
        <v>1575</v>
      </c>
      <c r="J30" s="94">
        <f t="shared" si="3"/>
        <v>1575</v>
      </c>
      <c r="K30" s="96">
        <f t="shared" si="3"/>
        <v>1575</v>
      </c>
      <c r="L30" s="95">
        <f t="shared" si="3"/>
        <v>1575</v>
      </c>
      <c r="M30" s="93">
        <f t="shared" si="3"/>
        <v>1575</v>
      </c>
      <c r="N30" s="93">
        <f t="shared" si="3"/>
        <v>1575</v>
      </c>
      <c r="O30" s="93">
        <f t="shared" si="3"/>
        <v>1575</v>
      </c>
      <c r="P30" s="93">
        <f t="shared" si="3"/>
        <v>1575</v>
      </c>
      <c r="Q30" s="96">
        <f t="shared" si="3"/>
        <v>1575</v>
      </c>
      <c r="R30" s="574">
        <f t="shared" si="0"/>
        <v>1</v>
      </c>
      <c r="S30" s="510">
        <f t="shared" si="1"/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65</v>
      </c>
      <c r="E31" s="525">
        <v>65</v>
      </c>
      <c r="F31" s="530">
        <v>65</v>
      </c>
      <c r="G31" s="531">
        <v>65</v>
      </c>
      <c r="H31" s="526">
        <v>65</v>
      </c>
      <c r="I31" s="497">
        <v>65</v>
      </c>
      <c r="J31" s="497">
        <v>40</v>
      </c>
      <c r="K31" s="498">
        <v>0</v>
      </c>
      <c r="L31" s="533">
        <v>0</v>
      </c>
      <c r="M31" s="534">
        <v>0</v>
      </c>
      <c r="N31" s="534">
        <v>0</v>
      </c>
      <c r="O31" s="534">
        <v>0</v>
      </c>
      <c r="P31" s="534">
        <v>0</v>
      </c>
      <c r="Q31" s="535">
        <v>0</v>
      </c>
      <c r="R31" s="573" t="str">
        <f t="shared" si="0"/>
        <v xml:space="preserve">     -</v>
      </c>
      <c r="S31" s="256" t="str">
        <f t="shared" si="1"/>
        <v xml:space="preserve">     -</v>
      </c>
      <c r="U31" s="43"/>
      <c r="V31" s="338"/>
      <c r="W31" s="338"/>
      <c r="X31" s="338"/>
      <c r="Y31" s="338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100</v>
      </c>
      <c r="E32" s="525">
        <v>100</v>
      </c>
      <c r="F32" s="530">
        <v>100</v>
      </c>
      <c r="G32" s="531">
        <v>100</v>
      </c>
      <c r="H32" s="526">
        <v>100</v>
      </c>
      <c r="I32" s="497">
        <v>100</v>
      </c>
      <c r="J32" s="497">
        <v>100</v>
      </c>
      <c r="K32" s="502">
        <v>100</v>
      </c>
      <c r="L32" s="503">
        <v>100</v>
      </c>
      <c r="M32" s="496">
        <v>100</v>
      </c>
      <c r="N32" s="496">
        <v>100</v>
      </c>
      <c r="O32" s="496">
        <v>100</v>
      </c>
      <c r="P32" s="497">
        <v>100</v>
      </c>
      <c r="Q32" s="502">
        <v>100</v>
      </c>
      <c r="R32" s="573">
        <f t="shared" si="0"/>
        <v>0</v>
      </c>
      <c r="S32" s="256">
        <f t="shared" si="1"/>
        <v>0</v>
      </c>
      <c r="U32" s="43"/>
      <c r="V32" s="338"/>
      <c r="W32" s="338"/>
      <c r="X32" s="338"/>
      <c r="Y32" s="338"/>
      <c r="Z32" s="280"/>
      <c r="AA32" s="280"/>
      <c r="AB32" s="280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0</v>
      </c>
      <c r="E33" s="525">
        <v>0</v>
      </c>
      <c r="F33" s="530">
        <v>0</v>
      </c>
      <c r="G33" s="531">
        <v>0</v>
      </c>
      <c r="H33" s="526">
        <v>0</v>
      </c>
      <c r="I33" s="497">
        <v>0</v>
      </c>
      <c r="J33" s="497">
        <v>0</v>
      </c>
      <c r="K33" s="536">
        <v>0</v>
      </c>
      <c r="L33" s="537">
        <v>0</v>
      </c>
      <c r="M33" s="538">
        <v>0</v>
      </c>
      <c r="N33" s="538">
        <v>0</v>
      </c>
      <c r="O33" s="538">
        <v>0</v>
      </c>
      <c r="P33" s="515">
        <v>0</v>
      </c>
      <c r="Q33" s="502">
        <v>0</v>
      </c>
      <c r="R33" s="573" t="str">
        <f t="shared" si="0"/>
        <v xml:space="preserve">     -</v>
      </c>
      <c r="S33" s="256" t="str">
        <f t="shared" si="1"/>
        <v xml:space="preserve">     -</v>
      </c>
      <c r="U33" s="43"/>
      <c r="V33" s="340"/>
      <c r="W33" s="340"/>
      <c r="X33" s="340"/>
      <c r="Y33" s="340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165</v>
      </c>
      <c r="E34" s="539">
        <f t="shared" ref="E34:Q34" si="4">SUM(E31:E33)</f>
        <v>165</v>
      </c>
      <c r="F34" s="539">
        <f t="shared" si="4"/>
        <v>165</v>
      </c>
      <c r="G34" s="100">
        <f t="shared" si="4"/>
        <v>165</v>
      </c>
      <c r="H34" s="100">
        <f t="shared" si="4"/>
        <v>165</v>
      </c>
      <c r="I34" s="100">
        <f t="shared" si="4"/>
        <v>165</v>
      </c>
      <c r="J34" s="101">
        <f t="shared" si="4"/>
        <v>140</v>
      </c>
      <c r="K34" s="104">
        <f t="shared" si="4"/>
        <v>100</v>
      </c>
      <c r="L34" s="540">
        <f t="shared" si="4"/>
        <v>100</v>
      </c>
      <c r="M34" s="100">
        <f t="shared" si="4"/>
        <v>100</v>
      </c>
      <c r="N34" s="100">
        <f t="shared" si="4"/>
        <v>100</v>
      </c>
      <c r="O34" s="100">
        <f t="shared" si="4"/>
        <v>100</v>
      </c>
      <c r="P34" s="100">
        <f t="shared" si="4"/>
        <v>100</v>
      </c>
      <c r="Q34" s="103">
        <f t="shared" si="4"/>
        <v>100</v>
      </c>
      <c r="R34" s="576">
        <f t="shared" si="0"/>
        <v>-6.9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5884</v>
      </c>
      <c r="E35" s="543">
        <f t="shared" ref="E35:Q35" si="5">E19+E20+E22+E24+E26+E27+E30+E34</f>
        <v>6018</v>
      </c>
      <c r="F35" s="543">
        <f t="shared" si="5"/>
        <v>6169</v>
      </c>
      <c r="G35" s="544">
        <f t="shared" si="5"/>
        <v>6572</v>
      </c>
      <c r="H35" s="544">
        <f t="shared" si="5"/>
        <v>6434</v>
      </c>
      <c r="I35" s="544">
        <f t="shared" si="5"/>
        <v>6795</v>
      </c>
      <c r="J35" s="545">
        <f t="shared" si="5"/>
        <v>7050</v>
      </c>
      <c r="K35" s="546">
        <f t="shared" si="5"/>
        <v>6948</v>
      </c>
      <c r="L35" s="547">
        <f t="shared" si="5"/>
        <v>7001</v>
      </c>
      <c r="M35" s="544">
        <f t="shared" si="5"/>
        <v>7431</v>
      </c>
      <c r="N35" s="544">
        <f t="shared" si="5"/>
        <v>8081</v>
      </c>
      <c r="O35" s="544">
        <f t="shared" si="5"/>
        <v>8181</v>
      </c>
      <c r="P35" s="544">
        <f t="shared" si="5"/>
        <v>8461.4500000000007</v>
      </c>
      <c r="Q35" s="577">
        <f t="shared" si="5"/>
        <v>8741</v>
      </c>
      <c r="R35" s="578">
        <f t="shared" si="0"/>
        <v>2.4</v>
      </c>
      <c r="S35" s="549">
        <f t="shared" si="1"/>
        <v>4.5</v>
      </c>
    </row>
    <row r="36" spans="1:33" ht="15" customHeight="1">
      <c r="A36" s="613" t="s">
        <v>324</v>
      </c>
      <c r="B36" s="666" t="s">
        <v>433</v>
      </c>
      <c r="C36" s="667"/>
      <c r="D36" s="495">
        <v>595</v>
      </c>
      <c r="E36" s="496">
        <v>572</v>
      </c>
      <c r="F36" s="497">
        <v>567</v>
      </c>
      <c r="G36" s="497">
        <v>703</v>
      </c>
      <c r="H36" s="496">
        <v>700</v>
      </c>
      <c r="I36" s="497">
        <v>650</v>
      </c>
      <c r="J36" s="497">
        <v>683</v>
      </c>
      <c r="K36" s="502">
        <v>776</v>
      </c>
      <c r="L36" s="503">
        <v>760</v>
      </c>
      <c r="M36" s="496">
        <v>780</v>
      </c>
      <c r="N36" s="496">
        <v>800</v>
      </c>
      <c r="O36" s="496">
        <v>800</v>
      </c>
      <c r="P36" s="279">
        <v>800</v>
      </c>
      <c r="Q36" s="502">
        <v>800</v>
      </c>
      <c r="R36" s="573">
        <f t="shared" si="0"/>
        <v>3.9</v>
      </c>
      <c r="S36" s="256">
        <f t="shared" si="1"/>
        <v>1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458</v>
      </c>
      <c r="E37" s="496">
        <v>416</v>
      </c>
      <c r="F37" s="497">
        <v>420</v>
      </c>
      <c r="G37" s="497">
        <v>458</v>
      </c>
      <c r="H37" s="496">
        <v>465</v>
      </c>
      <c r="I37" s="497">
        <v>470</v>
      </c>
      <c r="J37" s="497">
        <v>470</v>
      </c>
      <c r="K37" s="502">
        <v>482</v>
      </c>
      <c r="L37" s="503">
        <v>470</v>
      </c>
      <c r="M37" s="496">
        <v>470</v>
      </c>
      <c r="N37" s="496">
        <v>475</v>
      </c>
      <c r="O37" s="496">
        <v>475</v>
      </c>
      <c r="P37" s="279">
        <v>475</v>
      </c>
      <c r="Q37" s="502">
        <v>475</v>
      </c>
      <c r="R37" s="573">
        <f t="shared" si="0"/>
        <v>0.7</v>
      </c>
      <c r="S37" s="256">
        <f t="shared" si="1"/>
        <v>0.2</v>
      </c>
      <c r="U37" s="283"/>
      <c r="V37" s="283"/>
      <c r="W37" s="283"/>
      <c r="X37" s="28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0</v>
      </c>
      <c r="E38" s="496">
        <v>0</v>
      </c>
      <c r="F38" s="497">
        <v>0</v>
      </c>
      <c r="G38" s="497">
        <v>0</v>
      </c>
      <c r="H38" s="496">
        <v>0</v>
      </c>
      <c r="I38" s="497">
        <v>0</v>
      </c>
      <c r="J38" s="497">
        <v>0</v>
      </c>
      <c r="K38" s="502">
        <v>0</v>
      </c>
      <c r="L38" s="503">
        <v>0</v>
      </c>
      <c r="M38" s="496">
        <v>0</v>
      </c>
      <c r="N38" s="496">
        <v>0</v>
      </c>
      <c r="O38" s="496">
        <v>0</v>
      </c>
      <c r="P38" s="279">
        <v>0</v>
      </c>
      <c r="Q38" s="502">
        <v>0</v>
      </c>
      <c r="R38" s="573" t="str">
        <f t="shared" si="0"/>
        <v xml:space="preserve">     -</v>
      </c>
      <c r="S38" s="256" t="str">
        <f t="shared" si="1"/>
        <v xml:space="preserve">     -</v>
      </c>
      <c r="U38" s="280"/>
      <c r="V38" s="280"/>
      <c r="W38" s="280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</row>
    <row r="39" spans="1:33" ht="15" customHeight="1">
      <c r="A39" s="16"/>
      <c r="B39" s="668" t="s">
        <v>436</v>
      </c>
      <c r="C39" s="669"/>
      <c r="D39" s="495">
        <v>1010</v>
      </c>
      <c r="E39" s="496">
        <v>1100</v>
      </c>
      <c r="F39" s="497">
        <v>1090</v>
      </c>
      <c r="G39" s="497">
        <v>1262</v>
      </c>
      <c r="H39" s="496">
        <v>1320</v>
      </c>
      <c r="I39" s="497">
        <v>1563</v>
      </c>
      <c r="J39" s="497">
        <v>1760</v>
      </c>
      <c r="K39" s="502">
        <v>1840</v>
      </c>
      <c r="L39" s="503">
        <v>1950</v>
      </c>
      <c r="M39" s="496">
        <v>2085</v>
      </c>
      <c r="N39" s="496">
        <v>2250</v>
      </c>
      <c r="O39" s="496">
        <v>2410</v>
      </c>
      <c r="P39" s="279">
        <v>2490</v>
      </c>
      <c r="Q39" s="502">
        <v>2525</v>
      </c>
      <c r="R39" s="573">
        <f t="shared" si="0"/>
        <v>8.9</v>
      </c>
      <c r="S39" s="256">
        <f t="shared" si="1"/>
        <v>5.3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0</v>
      </c>
      <c r="E40" s="496">
        <v>0</v>
      </c>
      <c r="F40" s="497">
        <v>84</v>
      </c>
      <c r="G40" s="497">
        <v>98.108000000000018</v>
      </c>
      <c r="H40" s="496">
        <v>139</v>
      </c>
      <c r="I40" s="497">
        <v>172.1172</v>
      </c>
      <c r="J40" s="497">
        <v>183</v>
      </c>
      <c r="K40" s="502">
        <v>187.37300000000002</v>
      </c>
      <c r="L40" s="503">
        <v>187.37300000000002</v>
      </c>
      <c r="M40" s="496">
        <v>187.37300000000002</v>
      </c>
      <c r="N40" s="496">
        <v>187.37300000000002</v>
      </c>
      <c r="O40" s="496">
        <v>187.37300000000002</v>
      </c>
      <c r="P40" s="279">
        <v>187.37300000000002</v>
      </c>
      <c r="Q40" s="502">
        <v>187.37300000000002</v>
      </c>
      <c r="R40" s="573" t="str">
        <f t="shared" si="0"/>
        <v xml:space="preserve">     -</v>
      </c>
      <c r="S40" s="256">
        <f t="shared" si="1"/>
        <v>0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0</v>
      </c>
      <c r="E41" s="45">
        <v>0</v>
      </c>
      <c r="F41" s="49">
        <v>0</v>
      </c>
      <c r="G41" s="45">
        <v>0</v>
      </c>
      <c r="H41" s="49">
        <v>0</v>
      </c>
      <c r="I41" s="45">
        <v>0</v>
      </c>
      <c r="J41" s="49">
        <v>0</v>
      </c>
      <c r="K41" s="50">
        <v>0</v>
      </c>
      <c r="L41" s="504">
        <v>0</v>
      </c>
      <c r="M41" s="45">
        <v>0</v>
      </c>
      <c r="N41" s="45">
        <v>0</v>
      </c>
      <c r="O41" s="45">
        <v>0</v>
      </c>
      <c r="P41" s="45">
        <v>0</v>
      </c>
      <c r="Q41" s="51">
        <v>0</v>
      </c>
      <c r="R41" s="573" t="str">
        <f t="shared" si="0"/>
        <v xml:space="preserve">     -</v>
      </c>
      <c r="S41" s="256" t="str">
        <f t="shared" si="1"/>
        <v xml:space="preserve">     -</v>
      </c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38</v>
      </c>
      <c r="E42" s="49">
        <v>38</v>
      </c>
      <c r="F42" s="45">
        <v>38</v>
      </c>
      <c r="G42" s="49">
        <v>37</v>
      </c>
      <c r="H42" s="49">
        <v>34</v>
      </c>
      <c r="I42" s="45">
        <v>39</v>
      </c>
      <c r="J42" s="49">
        <v>2</v>
      </c>
      <c r="K42" s="50">
        <v>30</v>
      </c>
      <c r="L42" s="504">
        <v>35</v>
      </c>
      <c r="M42" s="45">
        <v>38</v>
      </c>
      <c r="N42" s="45">
        <v>38</v>
      </c>
      <c r="O42" s="45">
        <v>38</v>
      </c>
      <c r="P42" s="49">
        <v>38</v>
      </c>
      <c r="Q42" s="50">
        <v>38</v>
      </c>
      <c r="R42" s="573">
        <f t="shared" si="0"/>
        <v>-3.3</v>
      </c>
      <c r="S42" s="256">
        <f t="shared" si="1"/>
        <v>1.7</v>
      </c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  <c r="AE44" s="280"/>
      <c r="AF44" s="280"/>
      <c r="AG44" s="280"/>
    </row>
    <row r="45" spans="1:33" ht="15" customHeight="1">
      <c r="A45" s="16"/>
      <c r="B45" s="668" t="s">
        <v>441</v>
      </c>
      <c r="C45" s="669"/>
      <c r="D45" s="495">
        <v>0</v>
      </c>
      <c r="E45" s="496">
        <v>0</v>
      </c>
      <c r="F45" s="497">
        <v>0</v>
      </c>
      <c r="G45" s="497">
        <v>0</v>
      </c>
      <c r="H45" s="496">
        <v>0</v>
      </c>
      <c r="I45" s="497">
        <v>0</v>
      </c>
      <c r="J45" s="497">
        <v>0</v>
      </c>
      <c r="K45" s="502">
        <v>0</v>
      </c>
      <c r="L45" s="503">
        <v>0</v>
      </c>
      <c r="M45" s="496">
        <v>0</v>
      </c>
      <c r="N45" s="496">
        <v>0</v>
      </c>
      <c r="O45" s="496">
        <v>0</v>
      </c>
      <c r="P45" s="497">
        <v>0</v>
      </c>
      <c r="Q45" s="502">
        <v>0</v>
      </c>
      <c r="R45" s="573" t="str">
        <f t="shared" si="0"/>
        <v xml:space="preserve">     -</v>
      </c>
      <c r="S45" s="256" t="str">
        <f t="shared" si="1"/>
        <v xml:space="preserve">     -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  <c r="AE46" s="280"/>
      <c r="AF46" s="280"/>
      <c r="AG46" s="280"/>
    </row>
    <row r="47" spans="1:33" ht="15" customHeight="1">
      <c r="A47" s="16"/>
      <c r="B47" s="670" t="s">
        <v>443</v>
      </c>
      <c r="C47" s="671"/>
      <c r="D47" s="495">
        <v>663</v>
      </c>
      <c r="E47" s="496">
        <v>732.8</v>
      </c>
      <c r="F47" s="497">
        <v>553.9</v>
      </c>
      <c r="G47" s="497">
        <v>517.9</v>
      </c>
      <c r="H47" s="496">
        <v>471.5</v>
      </c>
      <c r="I47" s="497">
        <v>439.9</v>
      </c>
      <c r="J47" s="497">
        <v>419.7</v>
      </c>
      <c r="K47" s="502">
        <v>434.9</v>
      </c>
      <c r="L47" s="503">
        <v>476.8</v>
      </c>
      <c r="M47" s="496">
        <v>452</v>
      </c>
      <c r="N47" s="496">
        <v>453</v>
      </c>
      <c r="O47" s="496">
        <v>452</v>
      </c>
      <c r="P47" s="497">
        <v>453</v>
      </c>
      <c r="Q47" s="502">
        <v>452</v>
      </c>
      <c r="R47" s="573">
        <f t="shared" si="0"/>
        <v>-5.8</v>
      </c>
      <c r="S47" s="256">
        <f t="shared" si="1"/>
        <v>-1.1000000000000001</v>
      </c>
      <c r="U47" s="280"/>
      <c r="V47" s="280"/>
      <c r="W47" s="280"/>
      <c r="X47" s="280"/>
      <c r="Y47" s="280"/>
      <c r="Z47" s="280"/>
      <c r="AA47" s="43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2764</v>
      </c>
      <c r="E48" s="93">
        <f t="shared" ref="E48:Q48" si="6">SUM(E36:E47)</f>
        <v>2858.8</v>
      </c>
      <c r="F48" s="93">
        <f t="shared" si="6"/>
        <v>2752.9</v>
      </c>
      <c r="G48" s="93">
        <f t="shared" si="6"/>
        <v>3076.0080000000003</v>
      </c>
      <c r="H48" s="93">
        <f t="shared" si="6"/>
        <v>3129.5</v>
      </c>
      <c r="I48" s="93">
        <f t="shared" si="6"/>
        <v>3334.0172000000002</v>
      </c>
      <c r="J48" s="93">
        <f t="shared" si="6"/>
        <v>3517.7</v>
      </c>
      <c r="K48" s="96">
        <f t="shared" si="6"/>
        <v>3750.2730000000001</v>
      </c>
      <c r="L48" s="95">
        <f t="shared" si="6"/>
        <v>3879.1730000000002</v>
      </c>
      <c r="M48" s="93">
        <f t="shared" si="6"/>
        <v>4012.373</v>
      </c>
      <c r="N48" s="93">
        <f t="shared" si="6"/>
        <v>4203.3729999999996</v>
      </c>
      <c r="O48" s="93">
        <f t="shared" si="6"/>
        <v>4362.3729999999996</v>
      </c>
      <c r="P48" s="93">
        <f t="shared" si="6"/>
        <v>4443.3729999999996</v>
      </c>
      <c r="Q48" s="96">
        <f t="shared" si="6"/>
        <v>4477.3729999999996</v>
      </c>
      <c r="R48" s="574">
        <f t="shared" si="0"/>
        <v>4.5</v>
      </c>
      <c r="S48" s="510">
        <f t="shared" si="1"/>
        <v>2.9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0.45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0.45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790</v>
      </c>
      <c r="E51" s="512">
        <v>679.52307692307693</v>
      </c>
      <c r="F51" s="512">
        <v>710</v>
      </c>
      <c r="G51" s="512">
        <v>680</v>
      </c>
      <c r="H51" s="512">
        <v>680</v>
      </c>
      <c r="I51" s="512">
        <v>677</v>
      </c>
      <c r="J51" s="513">
        <v>760</v>
      </c>
      <c r="K51" s="514">
        <v>760</v>
      </c>
      <c r="L51" s="511">
        <v>765</v>
      </c>
      <c r="M51" s="512">
        <v>770</v>
      </c>
      <c r="N51" s="512">
        <v>775</v>
      </c>
      <c r="O51" s="512">
        <v>780</v>
      </c>
      <c r="P51" s="513">
        <v>780</v>
      </c>
      <c r="Q51" s="514">
        <v>780</v>
      </c>
      <c r="R51" s="574">
        <f t="shared" si="0"/>
        <v>-0.6</v>
      </c>
      <c r="S51" s="510">
        <f t="shared" si="1"/>
        <v>0.4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780</v>
      </c>
      <c r="E52" s="512">
        <v>675</v>
      </c>
      <c r="F52" s="512">
        <v>710</v>
      </c>
      <c r="G52" s="512">
        <v>680</v>
      </c>
      <c r="H52" s="512">
        <v>680</v>
      </c>
      <c r="I52" s="512">
        <v>677</v>
      </c>
      <c r="J52" s="513">
        <v>760</v>
      </c>
      <c r="K52" s="514">
        <v>760</v>
      </c>
      <c r="L52" s="511">
        <v>765</v>
      </c>
      <c r="M52" s="512">
        <v>770</v>
      </c>
      <c r="N52" s="512">
        <v>775</v>
      </c>
      <c r="O52" s="512">
        <v>780</v>
      </c>
      <c r="P52" s="513">
        <v>780</v>
      </c>
      <c r="Q52" s="514">
        <v>780</v>
      </c>
      <c r="R52" s="574">
        <f t="shared" si="0"/>
        <v>-0.4</v>
      </c>
      <c r="S52" s="510">
        <f t="shared" si="1"/>
        <v>0.4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0</v>
      </c>
      <c r="E53" s="496">
        <v>86</v>
      </c>
      <c r="F53" s="496">
        <v>86</v>
      </c>
      <c r="G53" s="496">
        <v>86</v>
      </c>
      <c r="H53" s="496">
        <v>86</v>
      </c>
      <c r="I53" s="496">
        <v>86</v>
      </c>
      <c r="J53" s="497">
        <v>90</v>
      </c>
      <c r="K53" s="502">
        <v>90</v>
      </c>
      <c r="L53" s="503">
        <v>90</v>
      </c>
      <c r="M53" s="496">
        <v>90</v>
      </c>
      <c r="N53" s="496">
        <v>90</v>
      </c>
      <c r="O53" s="496">
        <v>90</v>
      </c>
      <c r="P53" s="497">
        <v>90</v>
      </c>
      <c r="Q53" s="502">
        <v>90</v>
      </c>
      <c r="R53" s="573" t="str">
        <f t="shared" si="0"/>
        <v xml:space="preserve">     -</v>
      </c>
      <c r="S53" s="256">
        <f t="shared" si="1"/>
        <v>0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0</v>
      </c>
      <c r="F54" s="518">
        <v>0</v>
      </c>
      <c r="G54" s="518">
        <v>0</v>
      </c>
      <c r="H54" s="518">
        <v>0</v>
      </c>
      <c r="I54" s="518">
        <v>0</v>
      </c>
      <c r="J54" s="519">
        <v>0</v>
      </c>
      <c r="K54" s="514">
        <v>0</v>
      </c>
      <c r="L54" s="511">
        <v>0</v>
      </c>
      <c r="M54" s="518">
        <v>0</v>
      </c>
      <c r="N54" s="518">
        <v>0</v>
      </c>
      <c r="O54" s="518">
        <v>0</v>
      </c>
      <c r="P54" s="519">
        <v>0</v>
      </c>
      <c r="Q54" s="514">
        <v>0</v>
      </c>
      <c r="R54" s="574" t="str">
        <f t="shared" si="0"/>
        <v xml:space="preserve">     -</v>
      </c>
      <c r="S54" s="510" t="str">
        <f t="shared" si="1"/>
        <v xml:space="preserve">     -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0</v>
      </c>
      <c r="E55" s="518">
        <v>0</v>
      </c>
      <c r="F55" s="518">
        <v>0</v>
      </c>
      <c r="G55" s="518">
        <v>0</v>
      </c>
      <c r="H55" s="518">
        <v>0</v>
      </c>
      <c r="I55" s="518">
        <v>0</v>
      </c>
      <c r="J55" s="519">
        <v>0</v>
      </c>
      <c r="K55" s="514">
        <v>0</v>
      </c>
      <c r="L55" s="511">
        <v>0</v>
      </c>
      <c r="M55" s="518">
        <v>0</v>
      </c>
      <c r="N55" s="518">
        <v>0</v>
      </c>
      <c r="O55" s="518">
        <v>0</v>
      </c>
      <c r="P55" s="519">
        <v>0</v>
      </c>
      <c r="Q55" s="514">
        <v>0</v>
      </c>
      <c r="R55" s="574" t="str">
        <f t="shared" si="0"/>
        <v xml:space="preserve">     -</v>
      </c>
      <c r="S55" s="510" t="str">
        <f t="shared" si="1"/>
        <v xml:space="preserve">     -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200</v>
      </c>
      <c r="E56" s="521">
        <v>230</v>
      </c>
      <c r="F56" s="521">
        <v>237.82</v>
      </c>
      <c r="G56" s="521">
        <v>240.91165999999998</v>
      </c>
      <c r="H56" s="521">
        <v>242.59804161999995</v>
      </c>
      <c r="I56" s="521">
        <v>232</v>
      </c>
      <c r="J56" s="522">
        <v>218</v>
      </c>
      <c r="K56" s="523">
        <v>285</v>
      </c>
      <c r="L56" s="520">
        <v>325</v>
      </c>
      <c r="M56" s="521">
        <v>325</v>
      </c>
      <c r="N56" s="521">
        <v>325</v>
      </c>
      <c r="O56" s="521">
        <v>325</v>
      </c>
      <c r="P56" s="522">
        <v>325</v>
      </c>
      <c r="Q56" s="523">
        <v>325</v>
      </c>
      <c r="R56" s="574">
        <f t="shared" si="0"/>
        <v>5.2</v>
      </c>
      <c r="S56" s="510">
        <f t="shared" si="1"/>
        <v>0</v>
      </c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" customHeight="1">
      <c r="A57" s="16"/>
      <c r="B57" s="672" t="s">
        <v>316</v>
      </c>
      <c r="C57" s="673"/>
      <c r="D57" s="553">
        <v>883</v>
      </c>
      <c r="E57" s="526">
        <v>883</v>
      </c>
      <c r="F57" s="530">
        <v>945</v>
      </c>
      <c r="G57" s="497">
        <v>945</v>
      </c>
      <c r="H57" s="496">
        <v>945</v>
      </c>
      <c r="I57" s="497">
        <v>945</v>
      </c>
      <c r="J57" s="551">
        <v>995</v>
      </c>
      <c r="K57" s="554">
        <v>1103</v>
      </c>
      <c r="L57" s="527">
        <v>1103</v>
      </c>
      <c r="M57" s="528">
        <v>1103</v>
      </c>
      <c r="N57" s="528">
        <v>1103</v>
      </c>
      <c r="O57" s="528">
        <v>1103</v>
      </c>
      <c r="P57" s="500">
        <v>1103</v>
      </c>
      <c r="Q57" s="554">
        <v>1103</v>
      </c>
      <c r="R57" s="573">
        <f t="shared" si="0"/>
        <v>3.2</v>
      </c>
      <c r="S57" s="256">
        <f t="shared" si="1"/>
        <v>0</v>
      </c>
      <c r="U57" s="280"/>
      <c r="V57" s="280"/>
      <c r="W57" s="280"/>
      <c r="X57" s="281"/>
      <c r="Y57" s="281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0</v>
      </c>
      <c r="E58" s="526">
        <v>0</v>
      </c>
      <c r="F58" s="530">
        <v>0</v>
      </c>
      <c r="G58" s="497">
        <v>0</v>
      </c>
      <c r="H58" s="496">
        <v>0</v>
      </c>
      <c r="I58" s="497">
        <v>0</v>
      </c>
      <c r="J58" s="551">
        <v>0</v>
      </c>
      <c r="K58" s="498">
        <v>0</v>
      </c>
      <c r="L58" s="499">
        <v>0</v>
      </c>
      <c r="M58" s="532">
        <v>0</v>
      </c>
      <c r="N58" s="532">
        <v>0</v>
      </c>
      <c r="O58" s="532">
        <v>0</v>
      </c>
      <c r="P58" s="532">
        <v>0</v>
      </c>
      <c r="Q58" s="498">
        <v>0</v>
      </c>
      <c r="R58" s="573" t="str">
        <f t="shared" si="0"/>
        <v xml:space="preserve">     -</v>
      </c>
      <c r="S58" s="256" t="str">
        <f t="shared" si="1"/>
        <v xml:space="preserve">     -</v>
      </c>
      <c r="U58" s="43"/>
      <c r="V58" s="43"/>
      <c r="W58" s="43"/>
      <c r="X58" s="281"/>
      <c r="Y58" s="281"/>
      <c r="Z58" s="280"/>
      <c r="AA58" s="280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883</v>
      </c>
      <c r="E59" s="92">
        <f t="shared" ref="E59:Q59" si="7">SUM(E57:E58)</f>
        <v>883</v>
      </c>
      <c r="F59" s="92">
        <f t="shared" si="7"/>
        <v>945</v>
      </c>
      <c r="G59" s="93">
        <f t="shared" si="7"/>
        <v>945</v>
      </c>
      <c r="H59" s="93">
        <f t="shared" si="7"/>
        <v>945</v>
      </c>
      <c r="I59" s="94">
        <f t="shared" si="7"/>
        <v>945</v>
      </c>
      <c r="J59" s="94">
        <f t="shared" si="7"/>
        <v>995</v>
      </c>
      <c r="K59" s="96">
        <f t="shared" si="7"/>
        <v>1103</v>
      </c>
      <c r="L59" s="555">
        <f t="shared" si="7"/>
        <v>1103</v>
      </c>
      <c r="M59" s="556">
        <f t="shared" si="7"/>
        <v>1103</v>
      </c>
      <c r="N59" s="556">
        <f t="shared" si="7"/>
        <v>1103</v>
      </c>
      <c r="O59" s="556">
        <f t="shared" si="7"/>
        <v>1103</v>
      </c>
      <c r="P59" s="556">
        <f t="shared" si="7"/>
        <v>1103</v>
      </c>
      <c r="Q59" s="227">
        <f t="shared" si="7"/>
        <v>1103</v>
      </c>
      <c r="R59" s="574">
        <f t="shared" si="0"/>
        <v>3.2</v>
      </c>
      <c r="S59" s="510">
        <f t="shared" si="1"/>
        <v>0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55</v>
      </c>
      <c r="E60" s="526">
        <v>55</v>
      </c>
      <c r="F60" s="530">
        <v>55</v>
      </c>
      <c r="G60" s="497">
        <v>55</v>
      </c>
      <c r="H60" s="496">
        <v>55</v>
      </c>
      <c r="I60" s="497">
        <v>55</v>
      </c>
      <c r="J60" s="551">
        <v>34</v>
      </c>
      <c r="K60" s="498">
        <v>0</v>
      </c>
      <c r="L60" s="533">
        <v>0</v>
      </c>
      <c r="M60" s="534">
        <v>0</v>
      </c>
      <c r="N60" s="534">
        <v>0</v>
      </c>
      <c r="O60" s="534">
        <v>0</v>
      </c>
      <c r="P60" s="534">
        <v>0</v>
      </c>
      <c r="Q60" s="535">
        <v>0</v>
      </c>
      <c r="R60" s="573" t="str">
        <f t="shared" si="0"/>
        <v xml:space="preserve">     -</v>
      </c>
      <c r="S60" s="256" t="str">
        <f t="shared" si="1"/>
        <v xml:space="preserve">     -</v>
      </c>
      <c r="U60" s="280"/>
      <c r="V60" s="280"/>
      <c r="W60" s="280"/>
      <c r="X60" s="281"/>
      <c r="Y60" s="281"/>
      <c r="Z60" s="280"/>
      <c r="AA60" s="280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88</v>
      </c>
      <c r="E61" s="526">
        <v>85</v>
      </c>
      <c r="F61" s="530">
        <v>85</v>
      </c>
      <c r="G61" s="497">
        <v>85</v>
      </c>
      <c r="H61" s="496">
        <v>85</v>
      </c>
      <c r="I61" s="497">
        <v>85</v>
      </c>
      <c r="J61" s="497">
        <v>85</v>
      </c>
      <c r="K61" s="502">
        <v>85</v>
      </c>
      <c r="L61" s="503">
        <v>85</v>
      </c>
      <c r="M61" s="496">
        <v>85</v>
      </c>
      <c r="N61" s="496">
        <v>85</v>
      </c>
      <c r="O61" s="496">
        <v>85</v>
      </c>
      <c r="P61" s="497">
        <v>85</v>
      </c>
      <c r="Q61" s="502">
        <v>85</v>
      </c>
      <c r="R61" s="573">
        <f t="shared" si="0"/>
        <v>-0.5</v>
      </c>
      <c r="S61" s="256">
        <f t="shared" si="1"/>
        <v>0</v>
      </c>
      <c r="U61" s="280"/>
      <c r="V61" s="280"/>
      <c r="W61" s="280"/>
      <c r="X61" s="281"/>
      <c r="Y61" s="281"/>
      <c r="Z61" s="280"/>
      <c r="AA61" s="280"/>
      <c r="AB61" s="280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0</v>
      </c>
      <c r="E62" s="525">
        <v>0</v>
      </c>
      <c r="F62" s="530">
        <v>0</v>
      </c>
      <c r="G62" s="497">
        <v>0</v>
      </c>
      <c r="H62" s="496">
        <v>0</v>
      </c>
      <c r="I62" s="497">
        <v>0</v>
      </c>
      <c r="J62" s="497">
        <v>0</v>
      </c>
      <c r="K62" s="536">
        <v>0</v>
      </c>
      <c r="L62" s="537">
        <v>0</v>
      </c>
      <c r="M62" s="538">
        <v>0</v>
      </c>
      <c r="N62" s="538">
        <v>0</v>
      </c>
      <c r="O62" s="538">
        <v>0</v>
      </c>
      <c r="P62" s="515">
        <v>0</v>
      </c>
      <c r="Q62" s="536">
        <v>0</v>
      </c>
      <c r="R62" s="573" t="str">
        <f t="shared" si="0"/>
        <v xml:space="preserve">     -</v>
      </c>
      <c r="S62" s="256" t="str">
        <f t="shared" si="1"/>
        <v xml:space="preserve">     -</v>
      </c>
      <c r="U62" s="43"/>
      <c r="V62" s="43"/>
      <c r="W62" s="43"/>
      <c r="X62" s="355"/>
      <c r="Y62" s="355"/>
      <c r="Z62" s="280"/>
      <c r="AA62" s="280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143</v>
      </c>
      <c r="E63" s="539">
        <f t="shared" ref="E63:Q63" si="8">SUM(E60:E62)</f>
        <v>140</v>
      </c>
      <c r="F63" s="539">
        <f t="shared" si="8"/>
        <v>140</v>
      </c>
      <c r="G63" s="100">
        <f t="shared" si="8"/>
        <v>140</v>
      </c>
      <c r="H63" s="100">
        <f t="shared" si="8"/>
        <v>140</v>
      </c>
      <c r="I63" s="100">
        <f t="shared" si="8"/>
        <v>140</v>
      </c>
      <c r="J63" s="101">
        <f t="shared" si="8"/>
        <v>119</v>
      </c>
      <c r="K63" s="104">
        <f t="shared" si="8"/>
        <v>85</v>
      </c>
      <c r="L63" s="540">
        <f t="shared" si="8"/>
        <v>85</v>
      </c>
      <c r="M63" s="100">
        <f t="shared" si="8"/>
        <v>85</v>
      </c>
      <c r="N63" s="100">
        <f t="shared" si="8"/>
        <v>85</v>
      </c>
      <c r="O63" s="100">
        <f t="shared" si="8"/>
        <v>85</v>
      </c>
      <c r="P63" s="100">
        <f t="shared" si="8"/>
        <v>85</v>
      </c>
      <c r="Q63" s="103">
        <f t="shared" si="8"/>
        <v>85</v>
      </c>
      <c r="R63" s="576">
        <f t="shared" si="0"/>
        <v>-7.2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4780</v>
      </c>
      <c r="E64" s="543">
        <f t="shared" ref="E64:Q64" si="9">E48+E49+E51+E53+E55+E56+E59+E63</f>
        <v>4877.3230769230777</v>
      </c>
      <c r="F64" s="543">
        <f t="shared" si="9"/>
        <v>4871.72</v>
      </c>
      <c r="G64" s="544">
        <f t="shared" si="9"/>
        <v>5167.9196600000005</v>
      </c>
      <c r="H64" s="544">
        <f t="shared" si="9"/>
        <v>5223.09804162</v>
      </c>
      <c r="I64" s="544">
        <f t="shared" si="9"/>
        <v>5414.0172000000002</v>
      </c>
      <c r="J64" s="545">
        <f t="shared" si="9"/>
        <v>5699.7</v>
      </c>
      <c r="K64" s="546">
        <f t="shared" si="9"/>
        <v>6073.2730000000001</v>
      </c>
      <c r="L64" s="547">
        <f t="shared" si="9"/>
        <v>6247.1730000000007</v>
      </c>
      <c r="M64" s="544">
        <f t="shared" si="9"/>
        <v>6385.3729999999996</v>
      </c>
      <c r="N64" s="544">
        <f t="shared" si="9"/>
        <v>6581.3729999999996</v>
      </c>
      <c r="O64" s="544">
        <f t="shared" si="9"/>
        <v>6745.3729999999996</v>
      </c>
      <c r="P64" s="544">
        <f t="shared" si="9"/>
        <v>6826.8229999999994</v>
      </c>
      <c r="Q64" s="577">
        <f t="shared" si="9"/>
        <v>6860.3729999999996</v>
      </c>
      <c r="R64" s="579">
        <f t="shared" si="0"/>
        <v>3.5</v>
      </c>
      <c r="S64" s="558">
        <f t="shared" si="1"/>
        <v>1.9</v>
      </c>
    </row>
    <row r="65" spans="1:33" ht="15" customHeight="1">
      <c r="A65" s="616" t="s">
        <v>327</v>
      </c>
      <c r="B65" s="666" t="s">
        <v>433</v>
      </c>
      <c r="C65" s="667"/>
      <c r="D65" s="495">
        <v>501</v>
      </c>
      <c r="E65" s="496">
        <v>474</v>
      </c>
      <c r="F65" s="497">
        <v>498</v>
      </c>
      <c r="G65" s="497">
        <v>497</v>
      </c>
      <c r="H65" s="496">
        <v>513</v>
      </c>
      <c r="I65" s="497">
        <v>512</v>
      </c>
      <c r="J65" s="497">
        <v>576</v>
      </c>
      <c r="K65" s="502">
        <v>656</v>
      </c>
      <c r="L65" s="503">
        <v>650</v>
      </c>
      <c r="M65" s="496">
        <v>650</v>
      </c>
      <c r="N65" s="496">
        <v>650</v>
      </c>
      <c r="O65" s="496">
        <v>660</v>
      </c>
      <c r="P65" s="279">
        <v>660</v>
      </c>
      <c r="Q65" s="502">
        <v>660</v>
      </c>
      <c r="R65" s="573">
        <f t="shared" si="0"/>
        <v>3.9</v>
      </c>
      <c r="S65" s="256">
        <f t="shared" si="1"/>
        <v>0.3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469</v>
      </c>
      <c r="E66" s="496">
        <v>410</v>
      </c>
      <c r="F66" s="497">
        <v>395</v>
      </c>
      <c r="G66" s="497">
        <v>380</v>
      </c>
      <c r="H66" s="496">
        <v>390</v>
      </c>
      <c r="I66" s="497">
        <v>375</v>
      </c>
      <c r="J66" s="497">
        <v>375</v>
      </c>
      <c r="K66" s="502">
        <v>415</v>
      </c>
      <c r="L66" s="503">
        <v>415</v>
      </c>
      <c r="M66" s="496">
        <v>410</v>
      </c>
      <c r="N66" s="496">
        <v>410</v>
      </c>
      <c r="O66" s="496">
        <v>420</v>
      </c>
      <c r="P66" s="279">
        <v>420</v>
      </c>
      <c r="Q66" s="502">
        <v>420</v>
      </c>
      <c r="R66" s="573">
        <f t="shared" si="0"/>
        <v>-1.7</v>
      </c>
      <c r="S66" s="256">
        <f t="shared" si="1"/>
        <v>0.2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U67" s="280"/>
      <c r="V67" s="280"/>
      <c r="W67" s="280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3" ht="15" customHeight="1">
      <c r="A68" s="16"/>
      <c r="B68" s="668" t="s">
        <v>436</v>
      </c>
      <c r="C68" s="669"/>
      <c r="D68" s="495">
        <v>1503</v>
      </c>
      <c r="E68" s="496">
        <v>1642</v>
      </c>
      <c r="F68" s="497">
        <v>1645</v>
      </c>
      <c r="G68" s="497">
        <v>1809</v>
      </c>
      <c r="H68" s="496">
        <v>1838</v>
      </c>
      <c r="I68" s="497">
        <v>1961</v>
      </c>
      <c r="J68" s="497">
        <v>2064</v>
      </c>
      <c r="K68" s="502">
        <v>2101</v>
      </c>
      <c r="L68" s="503">
        <v>2273</v>
      </c>
      <c r="M68" s="496">
        <v>2366</v>
      </c>
      <c r="N68" s="496">
        <v>2466</v>
      </c>
      <c r="O68" s="496">
        <v>2555</v>
      </c>
      <c r="P68" s="279">
        <v>2620</v>
      </c>
      <c r="Q68" s="502">
        <v>2701</v>
      </c>
      <c r="R68" s="573">
        <f t="shared" si="0"/>
        <v>4.9000000000000004</v>
      </c>
      <c r="S68" s="256">
        <f t="shared" si="1"/>
        <v>3.5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141</v>
      </c>
      <c r="E69" s="496">
        <v>123</v>
      </c>
      <c r="F69" s="497">
        <v>124</v>
      </c>
      <c r="G69" s="497">
        <v>120</v>
      </c>
      <c r="H69" s="496">
        <v>146</v>
      </c>
      <c r="I69" s="497">
        <v>150.1172</v>
      </c>
      <c r="J69" s="497">
        <v>156</v>
      </c>
      <c r="K69" s="502">
        <v>156</v>
      </c>
      <c r="L69" s="503">
        <v>163.17600000000002</v>
      </c>
      <c r="M69" s="496">
        <v>169.47459360000002</v>
      </c>
      <c r="N69" s="496">
        <v>175.72820610384002</v>
      </c>
      <c r="O69" s="496">
        <v>181.96655742052636</v>
      </c>
      <c r="P69" s="279">
        <v>181.96655742052636</v>
      </c>
      <c r="Q69" s="502">
        <v>181.96655742052636</v>
      </c>
      <c r="R69" s="573">
        <f t="shared" si="0"/>
        <v>1.5</v>
      </c>
      <c r="S69" s="256">
        <f t="shared" si="1"/>
        <v>2.2000000000000002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8.9469999999999992</v>
      </c>
      <c r="E70" s="496">
        <v>7.8767999999999994</v>
      </c>
      <c r="F70" s="497">
        <v>8.3651616000000004</v>
      </c>
      <c r="G70" s="497">
        <v>7</v>
      </c>
      <c r="H70" s="496">
        <v>7</v>
      </c>
      <c r="I70" s="497">
        <v>7</v>
      </c>
      <c r="J70" s="497">
        <v>5</v>
      </c>
      <c r="K70" s="502">
        <v>8</v>
      </c>
      <c r="L70" s="503">
        <v>9</v>
      </c>
      <c r="M70" s="496">
        <v>9</v>
      </c>
      <c r="N70" s="496">
        <v>10</v>
      </c>
      <c r="O70" s="496">
        <v>10</v>
      </c>
      <c r="P70" s="279">
        <v>10</v>
      </c>
      <c r="Q70" s="502">
        <v>10</v>
      </c>
      <c r="R70" s="573">
        <f t="shared" si="0"/>
        <v>-1.6</v>
      </c>
      <c r="S70" s="256">
        <f t="shared" si="1"/>
        <v>2.1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125</v>
      </c>
      <c r="E71" s="49">
        <v>118</v>
      </c>
      <c r="F71" s="45">
        <v>123</v>
      </c>
      <c r="G71" s="49">
        <v>147</v>
      </c>
      <c r="H71" s="49">
        <v>160</v>
      </c>
      <c r="I71" s="45">
        <v>170</v>
      </c>
      <c r="J71" s="49">
        <v>160</v>
      </c>
      <c r="K71" s="50">
        <v>190</v>
      </c>
      <c r="L71" s="140">
        <v>175</v>
      </c>
      <c r="M71" s="45">
        <v>180</v>
      </c>
      <c r="N71" s="45">
        <v>185</v>
      </c>
      <c r="O71" s="45">
        <v>190</v>
      </c>
      <c r="P71" s="45">
        <v>195</v>
      </c>
      <c r="Q71" s="50">
        <v>195</v>
      </c>
      <c r="R71" s="573">
        <f t="shared" si="0"/>
        <v>6.2</v>
      </c>
      <c r="S71" s="256">
        <f t="shared" si="1"/>
        <v>2.2000000000000002</v>
      </c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>
        <v>0</v>
      </c>
      <c r="R73" s="573" t="str">
        <f t="shared" si="10"/>
        <v xml:space="preserve">     -</v>
      </c>
      <c r="S73" s="256" t="str">
        <f t="shared" si="11"/>
        <v xml:space="preserve">     -</v>
      </c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  <c r="AF73" s="280"/>
      <c r="AG73" s="280"/>
    </row>
    <row r="74" spans="1:33" ht="15" customHeight="1">
      <c r="A74" s="16"/>
      <c r="B74" s="668" t="s">
        <v>441</v>
      </c>
      <c r="C74" s="669"/>
      <c r="D74" s="495">
        <v>35</v>
      </c>
      <c r="E74" s="496">
        <v>35</v>
      </c>
      <c r="F74" s="497">
        <v>70</v>
      </c>
      <c r="G74" s="497">
        <v>87.998999999999995</v>
      </c>
      <c r="H74" s="496">
        <v>97</v>
      </c>
      <c r="I74" s="497">
        <v>101.82090000000001</v>
      </c>
      <c r="J74" s="497">
        <v>99</v>
      </c>
      <c r="K74" s="502">
        <v>95.93</v>
      </c>
      <c r="L74" s="503">
        <v>100.43871</v>
      </c>
      <c r="M74" s="496">
        <v>105.05889066</v>
      </c>
      <c r="N74" s="496">
        <v>110.10171741168001</v>
      </c>
      <c r="O74" s="496">
        <v>115.43064053440533</v>
      </c>
      <c r="P74" s="279">
        <v>121.01748353627055</v>
      </c>
      <c r="Q74" s="502">
        <v>126.87472973942604</v>
      </c>
      <c r="R74" s="573">
        <f t="shared" si="10"/>
        <v>15.5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0</v>
      </c>
      <c r="Q75" s="50">
        <v>0</v>
      </c>
      <c r="R75" s="573" t="str">
        <f t="shared" si="10"/>
        <v xml:space="preserve">     -</v>
      </c>
      <c r="S75" s="256" t="str">
        <f t="shared" si="11"/>
        <v xml:space="preserve">     -</v>
      </c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  <c r="AF75" s="280"/>
      <c r="AG75" s="280"/>
    </row>
    <row r="76" spans="1:33" ht="15" customHeight="1">
      <c r="A76" s="16"/>
      <c r="B76" s="670" t="s">
        <v>443</v>
      </c>
      <c r="C76" s="671"/>
      <c r="D76" s="138">
        <v>457.4</v>
      </c>
      <c r="E76" s="40">
        <v>451.5</v>
      </c>
      <c r="F76" s="40">
        <v>429</v>
      </c>
      <c r="G76" s="40">
        <v>425.6</v>
      </c>
      <c r="H76" s="505">
        <v>429</v>
      </c>
      <c r="I76" s="505">
        <v>453.7</v>
      </c>
      <c r="J76" s="506">
        <v>430.2</v>
      </c>
      <c r="K76" s="507">
        <v>429.1</v>
      </c>
      <c r="L76" s="508">
        <v>455.3</v>
      </c>
      <c r="M76" s="505">
        <v>442</v>
      </c>
      <c r="N76" s="505">
        <v>433</v>
      </c>
      <c r="O76" s="505">
        <v>433</v>
      </c>
      <c r="P76" s="505">
        <v>433</v>
      </c>
      <c r="Q76" s="509">
        <v>433</v>
      </c>
      <c r="R76" s="573">
        <f t="shared" si="10"/>
        <v>-0.9</v>
      </c>
      <c r="S76" s="256">
        <f t="shared" si="11"/>
        <v>-1</v>
      </c>
      <c r="U76" s="280"/>
      <c r="V76" s="280"/>
      <c r="W76" s="280"/>
      <c r="X76" s="280"/>
      <c r="Y76" s="280"/>
      <c r="Z76" s="280"/>
      <c r="AA76" s="43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3240.3470000000002</v>
      </c>
      <c r="E77" s="93">
        <f t="shared" ref="E77:Q77" si="12">SUM(E65:E76)</f>
        <v>3261.3768</v>
      </c>
      <c r="F77" s="93">
        <f t="shared" si="12"/>
        <v>3292.3651616000002</v>
      </c>
      <c r="G77" s="93">
        <f t="shared" si="12"/>
        <v>3473.5989999999997</v>
      </c>
      <c r="H77" s="93">
        <f t="shared" si="12"/>
        <v>3580</v>
      </c>
      <c r="I77" s="93">
        <f t="shared" si="12"/>
        <v>3730.6381000000001</v>
      </c>
      <c r="J77" s="93">
        <f t="shared" si="12"/>
        <v>3865.2</v>
      </c>
      <c r="K77" s="96">
        <f t="shared" si="12"/>
        <v>4051.0299999999997</v>
      </c>
      <c r="L77" s="95">
        <f t="shared" si="12"/>
        <v>4240.91471</v>
      </c>
      <c r="M77" s="93">
        <f t="shared" si="12"/>
        <v>4331.5334842600005</v>
      </c>
      <c r="N77" s="93">
        <f t="shared" si="12"/>
        <v>4439.82992351552</v>
      </c>
      <c r="O77" s="93">
        <f t="shared" si="12"/>
        <v>4565.3971979549315</v>
      </c>
      <c r="P77" s="93">
        <f t="shared" si="12"/>
        <v>4640.9840409567969</v>
      </c>
      <c r="Q77" s="96">
        <f t="shared" si="12"/>
        <v>4727.8412871599521</v>
      </c>
      <c r="R77" s="574">
        <f t="shared" si="10"/>
        <v>3.2</v>
      </c>
      <c r="S77" s="510">
        <f t="shared" si="11"/>
        <v>2.2000000000000002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0</v>
      </c>
      <c r="E78" s="512">
        <v>0</v>
      </c>
      <c r="F78" s="512">
        <v>0</v>
      </c>
      <c r="G78" s="512">
        <v>0</v>
      </c>
      <c r="H78" s="512">
        <v>0</v>
      </c>
      <c r="I78" s="512">
        <v>0.3</v>
      </c>
      <c r="J78" s="513">
        <v>0.4</v>
      </c>
      <c r="K78" s="514">
        <v>0.4</v>
      </c>
      <c r="L78" s="511">
        <v>0.4</v>
      </c>
      <c r="M78" s="512">
        <v>0.4</v>
      </c>
      <c r="N78" s="512">
        <v>0.4</v>
      </c>
      <c r="O78" s="512">
        <v>0.45</v>
      </c>
      <c r="P78" s="513">
        <v>0.45</v>
      </c>
      <c r="Q78" s="514">
        <v>0</v>
      </c>
      <c r="R78" s="574" t="str">
        <f t="shared" si="10"/>
        <v xml:space="preserve">     -</v>
      </c>
      <c r="S78" s="510" t="str">
        <f t="shared" si="11"/>
        <v xml:space="preserve">     -</v>
      </c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0</v>
      </c>
      <c r="E79" s="512">
        <v>0</v>
      </c>
      <c r="F79" s="512">
        <v>0</v>
      </c>
      <c r="G79" s="512">
        <v>0</v>
      </c>
      <c r="H79" s="512">
        <v>0</v>
      </c>
      <c r="I79" s="512">
        <v>0.3</v>
      </c>
      <c r="J79" s="513">
        <v>0.4</v>
      </c>
      <c r="K79" s="514">
        <v>0.4</v>
      </c>
      <c r="L79" s="511">
        <v>0.4</v>
      </c>
      <c r="M79" s="512">
        <v>0.4</v>
      </c>
      <c r="N79" s="512">
        <v>0.4</v>
      </c>
      <c r="O79" s="512">
        <v>0.45</v>
      </c>
      <c r="P79" s="513">
        <v>0.45</v>
      </c>
      <c r="Q79" s="514">
        <v>0</v>
      </c>
      <c r="R79" s="574" t="str">
        <f t="shared" si="10"/>
        <v xml:space="preserve">     -</v>
      </c>
      <c r="S79" s="510" t="str">
        <f t="shared" si="11"/>
        <v xml:space="preserve">     -</v>
      </c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886</v>
      </c>
      <c r="E80" s="538">
        <v>760</v>
      </c>
      <c r="F80" s="538">
        <v>755.58139534883719</v>
      </c>
      <c r="G80" s="538">
        <v>755.58139534883719</v>
      </c>
      <c r="H80" s="538">
        <v>755.58139534883719</v>
      </c>
      <c r="I80" s="538">
        <v>683</v>
      </c>
      <c r="J80" s="515">
        <v>689</v>
      </c>
      <c r="K80" s="536">
        <v>698</v>
      </c>
      <c r="L80" s="537">
        <v>713</v>
      </c>
      <c r="M80" s="538">
        <v>724</v>
      </c>
      <c r="N80" s="538">
        <v>757</v>
      </c>
      <c r="O80" s="538">
        <v>775</v>
      </c>
      <c r="P80" s="515">
        <v>775</v>
      </c>
      <c r="Q80" s="536">
        <v>775</v>
      </c>
      <c r="R80" s="575">
        <f t="shared" si="10"/>
        <v>-3.3</v>
      </c>
      <c r="S80" s="517">
        <f t="shared" si="11"/>
        <v>1.7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883</v>
      </c>
      <c r="E81" s="512">
        <v>755</v>
      </c>
      <c r="F81" s="512">
        <v>750.6104651162791</v>
      </c>
      <c r="G81" s="512">
        <v>750.6104651162791</v>
      </c>
      <c r="H81" s="512">
        <v>750.6104651162791</v>
      </c>
      <c r="I81" s="512">
        <v>657</v>
      </c>
      <c r="J81" s="513">
        <v>662</v>
      </c>
      <c r="K81" s="514">
        <v>671</v>
      </c>
      <c r="L81" s="511">
        <v>685</v>
      </c>
      <c r="M81" s="512">
        <v>695</v>
      </c>
      <c r="N81" s="512">
        <v>726</v>
      </c>
      <c r="O81" s="512">
        <v>741</v>
      </c>
      <c r="P81" s="513">
        <v>741</v>
      </c>
      <c r="Q81" s="514">
        <v>741</v>
      </c>
      <c r="R81" s="574">
        <f t="shared" si="10"/>
        <v>-3.8</v>
      </c>
      <c r="S81" s="510">
        <f t="shared" si="11"/>
        <v>1.6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58</v>
      </c>
      <c r="E82" s="496">
        <v>320</v>
      </c>
      <c r="F82" s="496">
        <v>331.2</v>
      </c>
      <c r="G82" s="496">
        <v>342.79199999999997</v>
      </c>
      <c r="H82" s="496">
        <v>354.78971999999993</v>
      </c>
      <c r="I82" s="496">
        <v>367.20736019999993</v>
      </c>
      <c r="J82" s="497">
        <v>380.05961780699988</v>
      </c>
      <c r="K82" s="502">
        <v>393.36170443024486</v>
      </c>
      <c r="L82" s="503">
        <v>407.12936408530339</v>
      </c>
      <c r="M82" s="496">
        <v>421.378891828289</v>
      </c>
      <c r="N82" s="496">
        <v>421.378891828289</v>
      </c>
      <c r="O82" s="496">
        <v>421.378891828289</v>
      </c>
      <c r="P82" s="497">
        <v>421</v>
      </c>
      <c r="Q82" s="502">
        <v>421</v>
      </c>
      <c r="R82" s="573">
        <f t="shared" si="10"/>
        <v>31.5</v>
      </c>
      <c r="S82" s="256">
        <f t="shared" si="11"/>
        <v>0.7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0</v>
      </c>
      <c r="F83" s="518">
        <v>0</v>
      </c>
      <c r="G83" s="518">
        <v>0</v>
      </c>
      <c r="H83" s="518">
        <v>0</v>
      </c>
      <c r="I83" s="518">
        <v>0</v>
      </c>
      <c r="J83" s="519">
        <v>0</v>
      </c>
      <c r="K83" s="514">
        <v>0</v>
      </c>
      <c r="L83" s="511">
        <v>0</v>
      </c>
      <c r="M83" s="518">
        <v>0</v>
      </c>
      <c r="N83" s="518">
        <v>0</v>
      </c>
      <c r="O83" s="518">
        <v>0</v>
      </c>
      <c r="P83" s="519">
        <v>0</v>
      </c>
      <c r="Q83" s="514">
        <v>0</v>
      </c>
      <c r="R83" s="574" t="str">
        <f t="shared" si="10"/>
        <v xml:space="preserve">     -</v>
      </c>
      <c r="S83" s="510" t="str">
        <f t="shared" si="11"/>
        <v xml:space="preserve">     -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20</v>
      </c>
      <c r="E84" s="518">
        <v>25</v>
      </c>
      <c r="F84" s="518">
        <v>28.249999999999996</v>
      </c>
      <c r="G84" s="518">
        <v>31.922499999999992</v>
      </c>
      <c r="H84" s="518">
        <v>36.072424999999988</v>
      </c>
      <c r="I84" s="518">
        <v>40.761840249999985</v>
      </c>
      <c r="J84" s="519">
        <v>46.060879482499978</v>
      </c>
      <c r="K84" s="514">
        <v>52.048793815224968</v>
      </c>
      <c r="L84" s="511">
        <v>58.815137011204207</v>
      </c>
      <c r="M84" s="518">
        <v>58.815137011204207</v>
      </c>
      <c r="N84" s="518">
        <v>58.815137011204207</v>
      </c>
      <c r="O84" s="518">
        <v>58.815137011204207</v>
      </c>
      <c r="P84" s="519">
        <v>59</v>
      </c>
      <c r="Q84" s="514">
        <v>59</v>
      </c>
      <c r="R84" s="574">
        <f t="shared" si="10"/>
        <v>14.6</v>
      </c>
      <c r="S84" s="510">
        <f t="shared" si="11"/>
        <v>0.1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101</v>
      </c>
      <c r="E85" s="521">
        <v>81</v>
      </c>
      <c r="F85" s="521">
        <v>98.4</v>
      </c>
      <c r="G85" s="521">
        <v>121.31165999999999</v>
      </c>
      <c r="H85" s="521">
        <v>122.16084161999997</v>
      </c>
      <c r="I85" s="521">
        <v>92</v>
      </c>
      <c r="J85" s="522">
        <v>91.355999999999995</v>
      </c>
      <c r="K85" s="523">
        <v>93.183120000000002</v>
      </c>
      <c r="L85" s="520">
        <v>94.674049920000002</v>
      </c>
      <c r="M85" s="521">
        <v>95.904812568959997</v>
      </c>
      <c r="N85" s="521">
        <v>97.343384757494391</v>
      </c>
      <c r="O85" s="521">
        <v>98.803535528856798</v>
      </c>
      <c r="P85" s="522">
        <v>100.28558856178964</v>
      </c>
      <c r="Q85" s="523">
        <v>101</v>
      </c>
      <c r="R85" s="574">
        <f t="shared" si="10"/>
        <v>-1.1000000000000001</v>
      </c>
      <c r="S85" s="510">
        <f t="shared" si="11"/>
        <v>1.3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v>458</v>
      </c>
      <c r="E86" s="525">
        <v>463</v>
      </c>
      <c r="F86" s="530">
        <v>468</v>
      </c>
      <c r="G86" s="530">
        <v>473</v>
      </c>
      <c r="H86" s="525">
        <v>478</v>
      </c>
      <c r="I86" s="530">
        <v>490</v>
      </c>
      <c r="J86" s="530">
        <v>498</v>
      </c>
      <c r="K86" s="564">
        <v>509</v>
      </c>
      <c r="L86" s="524">
        <v>524</v>
      </c>
      <c r="M86" s="525">
        <v>537</v>
      </c>
      <c r="N86" s="525">
        <v>547</v>
      </c>
      <c r="O86" s="525">
        <v>556</v>
      </c>
      <c r="P86" s="530">
        <v>564</v>
      </c>
      <c r="Q86" s="564">
        <v>572</v>
      </c>
      <c r="R86" s="573">
        <f t="shared" si="10"/>
        <v>1.5</v>
      </c>
      <c r="S86" s="256">
        <f t="shared" si="11"/>
        <v>1.8</v>
      </c>
      <c r="U86" s="280"/>
      <c r="V86" s="280"/>
      <c r="W86" s="280"/>
      <c r="X86" s="281"/>
      <c r="Y86" s="281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0</v>
      </c>
      <c r="E87" s="525">
        <v>0</v>
      </c>
      <c r="F87" s="530">
        <v>0</v>
      </c>
      <c r="G87" s="530">
        <v>0</v>
      </c>
      <c r="H87" s="525">
        <v>0</v>
      </c>
      <c r="I87" s="530">
        <v>0</v>
      </c>
      <c r="J87" s="530">
        <v>0</v>
      </c>
      <c r="K87" s="564">
        <v>0</v>
      </c>
      <c r="L87" s="524">
        <v>0</v>
      </c>
      <c r="M87" s="525">
        <v>0</v>
      </c>
      <c r="N87" s="525">
        <v>0</v>
      </c>
      <c r="O87" s="525">
        <v>0</v>
      </c>
      <c r="P87" s="530">
        <v>0</v>
      </c>
      <c r="Q87" s="564">
        <v>0</v>
      </c>
      <c r="R87" s="573" t="str">
        <f t="shared" si="10"/>
        <v xml:space="preserve">     -</v>
      </c>
      <c r="S87" s="256" t="str">
        <f t="shared" si="11"/>
        <v xml:space="preserve">     -</v>
      </c>
      <c r="U87" s="280"/>
      <c r="V87" s="280"/>
      <c r="W87" s="280"/>
      <c r="X87" s="281"/>
      <c r="Y87" s="281"/>
      <c r="Z87" s="318"/>
      <c r="AA87" s="318"/>
      <c r="AB87" s="318"/>
      <c r="AC87" s="318"/>
      <c r="AD87" s="318"/>
      <c r="AE87" s="318"/>
      <c r="AF87" s="318"/>
      <c r="AG87" s="318"/>
    </row>
    <row r="88" spans="1:33" ht="15.75" customHeight="1">
      <c r="A88" s="16"/>
      <c r="B88" s="674" t="s">
        <v>318</v>
      </c>
      <c r="C88" s="675"/>
      <c r="D88" s="95">
        <f>SUM(D86:D87)</f>
        <v>458</v>
      </c>
      <c r="E88" s="92">
        <f t="shared" ref="E88:Q88" si="13">SUM(E86:E87)</f>
        <v>463</v>
      </c>
      <c r="F88" s="92">
        <f t="shared" si="13"/>
        <v>468</v>
      </c>
      <c r="G88" s="93">
        <f t="shared" si="13"/>
        <v>473</v>
      </c>
      <c r="H88" s="93">
        <f t="shared" si="13"/>
        <v>478</v>
      </c>
      <c r="I88" s="94">
        <f t="shared" si="13"/>
        <v>490</v>
      </c>
      <c r="J88" s="94">
        <f t="shared" si="13"/>
        <v>498</v>
      </c>
      <c r="K88" s="96">
        <f t="shared" si="13"/>
        <v>509</v>
      </c>
      <c r="L88" s="95">
        <f t="shared" si="13"/>
        <v>524</v>
      </c>
      <c r="M88" s="93">
        <f t="shared" si="13"/>
        <v>537</v>
      </c>
      <c r="N88" s="93">
        <f t="shared" si="13"/>
        <v>547</v>
      </c>
      <c r="O88" s="93">
        <f t="shared" si="13"/>
        <v>556</v>
      </c>
      <c r="P88" s="93">
        <f t="shared" si="13"/>
        <v>564</v>
      </c>
      <c r="Q88" s="96">
        <f t="shared" si="13"/>
        <v>572</v>
      </c>
      <c r="R88" s="574">
        <f t="shared" si="10"/>
        <v>1.5</v>
      </c>
      <c r="S88" s="510">
        <f t="shared" si="11"/>
        <v>1.8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85</v>
      </c>
      <c r="E89" s="525">
        <v>85</v>
      </c>
      <c r="F89" s="530">
        <v>85</v>
      </c>
      <c r="G89" s="530">
        <v>86</v>
      </c>
      <c r="H89" s="525">
        <v>88</v>
      </c>
      <c r="I89" s="530">
        <v>90</v>
      </c>
      <c r="J89" s="530">
        <v>92</v>
      </c>
      <c r="K89" s="564">
        <v>94</v>
      </c>
      <c r="L89" s="565">
        <v>96</v>
      </c>
      <c r="M89" s="566">
        <v>98</v>
      </c>
      <c r="N89" s="566">
        <v>101</v>
      </c>
      <c r="O89" s="566">
        <v>104</v>
      </c>
      <c r="P89" s="566">
        <v>107</v>
      </c>
      <c r="Q89" s="567">
        <v>110</v>
      </c>
      <c r="R89" s="573">
        <f t="shared" si="10"/>
        <v>1.4</v>
      </c>
      <c r="S89" s="256">
        <f t="shared" si="11"/>
        <v>2.8</v>
      </c>
      <c r="U89" s="280"/>
      <c r="V89" s="280"/>
      <c r="W89" s="280"/>
      <c r="X89" s="281"/>
      <c r="Y89" s="281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10</v>
      </c>
      <c r="E90" s="525">
        <v>10</v>
      </c>
      <c r="F90" s="530">
        <v>10</v>
      </c>
      <c r="G90" s="530">
        <v>10</v>
      </c>
      <c r="H90" s="525">
        <v>10</v>
      </c>
      <c r="I90" s="530">
        <v>10</v>
      </c>
      <c r="J90" s="530">
        <v>10</v>
      </c>
      <c r="K90" s="564">
        <v>10</v>
      </c>
      <c r="L90" s="524">
        <v>10</v>
      </c>
      <c r="M90" s="525">
        <v>10</v>
      </c>
      <c r="N90" s="525">
        <v>10</v>
      </c>
      <c r="O90" s="525">
        <v>10</v>
      </c>
      <c r="P90" s="530">
        <v>10</v>
      </c>
      <c r="Q90" s="564">
        <v>10</v>
      </c>
      <c r="R90" s="573">
        <f t="shared" si="10"/>
        <v>0</v>
      </c>
      <c r="S90" s="256">
        <f t="shared" si="11"/>
        <v>0</v>
      </c>
      <c r="U90" s="280"/>
      <c r="V90" s="280"/>
      <c r="W90" s="280"/>
      <c r="X90" s="281"/>
      <c r="Y90" s="281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47</v>
      </c>
      <c r="E91" s="525">
        <v>49</v>
      </c>
      <c r="F91" s="530">
        <v>52</v>
      </c>
      <c r="G91" s="530">
        <v>56</v>
      </c>
      <c r="H91" s="525">
        <v>57</v>
      </c>
      <c r="I91" s="530">
        <v>57</v>
      </c>
      <c r="J91" s="530">
        <v>57</v>
      </c>
      <c r="K91" s="568">
        <v>58</v>
      </c>
      <c r="L91" s="569">
        <v>59</v>
      </c>
      <c r="M91" s="570">
        <v>60</v>
      </c>
      <c r="N91" s="570">
        <v>62</v>
      </c>
      <c r="O91" s="570">
        <v>64</v>
      </c>
      <c r="P91" s="571">
        <v>66</v>
      </c>
      <c r="Q91" s="568">
        <v>68</v>
      </c>
      <c r="R91" s="573">
        <f t="shared" si="10"/>
        <v>3</v>
      </c>
      <c r="S91" s="256">
        <f t="shared" si="11"/>
        <v>2.9</v>
      </c>
      <c r="U91" s="43"/>
      <c r="V91" s="43"/>
      <c r="W91" s="43"/>
      <c r="X91" s="340"/>
      <c r="Y91" s="340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142</v>
      </c>
      <c r="E92" s="539">
        <f t="shared" ref="E92:Q92" si="14">SUM(E89:E91)</f>
        <v>144</v>
      </c>
      <c r="F92" s="539">
        <f t="shared" si="14"/>
        <v>147</v>
      </c>
      <c r="G92" s="100">
        <f t="shared" si="14"/>
        <v>152</v>
      </c>
      <c r="H92" s="100">
        <f t="shared" si="14"/>
        <v>155</v>
      </c>
      <c r="I92" s="100">
        <f t="shared" si="14"/>
        <v>157</v>
      </c>
      <c r="J92" s="101">
        <f t="shared" si="14"/>
        <v>159</v>
      </c>
      <c r="K92" s="104">
        <f t="shared" si="14"/>
        <v>162</v>
      </c>
      <c r="L92" s="540">
        <f t="shared" si="14"/>
        <v>165</v>
      </c>
      <c r="M92" s="100">
        <f t="shared" si="14"/>
        <v>168</v>
      </c>
      <c r="N92" s="100">
        <f t="shared" si="14"/>
        <v>173</v>
      </c>
      <c r="O92" s="100">
        <f t="shared" si="14"/>
        <v>178</v>
      </c>
      <c r="P92" s="100">
        <f t="shared" si="14"/>
        <v>183</v>
      </c>
      <c r="Q92" s="103">
        <f t="shared" si="14"/>
        <v>188</v>
      </c>
      <c r="R92" s="576">
        <f t="shared" si="10"/>
        <v>1.9</v>
      </c>
      <c r="S92" s="541">
        <f t="shared" si="11"/>
        <v>2.6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4905.3469999999998</v>
      </c>
      <c r="E93" s="543">
        <f t="shared" ref="E93:Q93" si="15">E77+E78+E80+E82+E84+E85+E88+E92</f>
        <v>5054.3768</v>
      </c>
      <c r="F93" s="543">
        <f t="shared" si="15"/>
        <v>5120.796556948837</v>
      </c>
      <c r="G93" s="544">
        <f t="shared" si="15"/>
        <v>5350.2065553488374</v>
      </c>
      <c r="H93" s="544">
        <f t="shared" si="15"/>
        <v>5481.6043819688366</v>
      </c>
      <c r="I93" s="544">
        <f t="shared" si="15"/>
        <v>5560.9073004500005</v>
      </c>
      <c r="J93" s="545">
        <f t="shared" si="15"/>
        <v>5729.0764972895004</v>
      </c>
      <c r="K93" s="546">
        <f t="shared" si="15"/>
        <v>5959.0236182454692</v>
      </c>
      <c r="L93" s="547">
        <f t="shared" si="15"/>
        <v>6203.9332610165075</v>
      </c>
      <c r="M93" s="544">
        <f t="shared" si="15"/>
        <v>6337.0323256684533</v>
      </c>
      <c r="N93" s="544">
        <f t="shared" si="15"/>
        <v>6494.7673371125074</v>
      </c>
      <c r="O93" s="544">
        <f t="shared" si="15"/>
        <v>6653.8447623232814</v>
      </c>
      <c r="P93" s="544">
        <f t="shared" si="15"/>
        <v>6743.7196295185868</v>
      </c>
      <c r="Q93" s="577">
        <f t="shared" si="15"/>
        <v>6843.8412871599521</v>
      </c>
      <c r="R93" s="578">
        <f t="shared" si="10"/>
        <v>2.8</v>
      </c>
      <c r="S93" s="549">
        <f t="shared" si="11"/>
        <v>2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5:17">
      <c r="E113" s="27"/>
      <c r="F113" s="27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5:17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5:17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4"/>
    </row>
    <row r="116" spans="5:17"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5:17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4"/>
    </row>
    <row r="144" spans="5:17"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4"/>
    </row>
    <row r="145" spans="5:17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>
      <c r="E146" s="27"/>
      <c r="F146" s="27"/>
      <c r="G146" s="27"/>
      <c r="H146" s="24"/>
      <c r="I146" s="24"/>
      <c r="J146" s="24"/>
      <c r="K146" s="27"/>
      <c r="L146" s="27"/>
      <c r="M146" s="27"/>
      <c r="N146" s="27"/>
      <c r="O146" s="27"/>
      <c r="P146" s="27"/>
      <c r="Q146" s="27"/>
    </row>
    <row r="147" spans="5:17">
      <c r="E147" s="27"/>
      <c r="F147" s="27"/>
      <c r="G147" s="27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 spans="5:17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>
      <c r="E149" s="27"/>
      <c r="F149" s="27"/>
      <c r="G149" s="27"/>
      <c r="H149" s="27"/>
      <c r="I149" s="24"/>
      <c r="J149" s="24"/>
      <c r="K149" s="27"/>
      <c r="L149" s="27"/>
      <c r="M149" s="27"/>
      <c r="N149" s="27"/>
      <c r="O149" s="27"/>
      <c r="P149" s="27"/>
      <c r="Q149" s="27"/>
    </row>
    <row r="150" spans="5:17">
      <c r="E150" s="27"/>
      <c r="F150" s="27"/>
      <c r="G150" s="27"/>
      <c r="H150" s="24"/>
      <c r="I150" s="24"/>
      <c r="J150" s="24"/>
      <c r="K150" s="27"/>
      <c r="L150" s="27"/>
      <c r="M150" s="27"/>
      <c r="N150" s="27"/>
      <c r="O150" s="27"/>
      <c r="P150" s="27"/>
      <c r="Q150" s="27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</sheetData>
  <mergeCells count="97">
    <mergeCell ref="B2:C2"/>
    <mergeCell ref="F2:G2"/>
    <mergeCell ref="R3:S3"/>
    <mergeCell ref="D4:K4"/>
    <mergeCell ref="L4:Q4"/>
    <mergeCell ref="R4:S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S5:S6"/>
    <mergeCell ref="J5:J6"/>
    <mergeCell ref="K5:K6"/>
    <mergeCell ref="L5:L6"/>
    <mergeCell ref="M5:M6"/>
    <mergeCell ref="O5:O6"/>
    <mergeCell ref="P5:P6"/>
    <mergeCell ref="Q5:Q6"/>
    <mergeCell ref="N5:N6"/>
    <mergeCell ref="R5:R6"/>
    <mergeCell ref="E5:E6"/>
    <mergeCell ref="F5:F6"/>
    <mergeCell ref="G5:G6"/>
    <mergeCell ref="H5:H6"/>
    <mergeCell ref="I5:I6"/>
  </mergeCells>
  <phoneticPr fontId="6"/>
  <conditionalFormatting sqref="C97:C98">
    <cfRule type="expression" dxfId="269" priority="5">
      <formula>CELL("protect",C97)=0</formula>
    </cfRule>
    <cfRule type="expression" dxfId="268" priority="6">
      <formula>CELL("protect",C97)=0</formula>
    </cfRule>
  </conditionalFormatting>
  <conditionalFormatting sqref="C95">
    <cfRule type="expression" dxfId="267" priority="3">
      <formula>CELL("protect",C95)=0</formula>
    </cfRule>
    <cfRule type="expression" dxfId="266" priority="4">
      <formula>CELL("protect",C95)=0</formula>
    </cfRule>
  </conditionalFormatting>
  <conditionalFormatting sqref="C97">
    <cfRule type="expression" dxfId="265" priority="1">
      <formula>CELL("protect",C97)=0</formula>
    </cfRule>
    <cfRule type="expression" dxfId="26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&amp;C154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62">
    <tabColor rgb="FF00B0F0"/>
    <pageSetUpPr fitToPage="1"/>
  </sheetPr>
  <dimension ref="A1:AG182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58"/>
      <c r="E1" s="258"/>
      <c r="F1" s="258"/>
      <c r="G1" s="258"/>
      <c r="H1" s="258"/>
      <c r="I1" s="258"/>
      <c r="J1" s="258"/>
      <c r="L1" s="258"/>
      <c r="M1" s="258"/>
      <c r="N1" s="258"/>
      <c r="O1" s="258"/>
      <c r="P1" s="258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58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95">
        <v>1110</v>
      </c>
      <c r="E7" s="496">
        <v>1110</v>
      </c>
      <c r="F7" s="497">
        <v>1110</v>
      </c>
      <c r="G7" s="497">
        <v>1110</v>
      </c>
      <c r="H7" s="496">
        <v>1110</v>
      </c>
      <c r="I7" s="497">
        <v>1110</v>
      </c>
      <c r="J7" s="497">
        <v>1400</v>
      </c>
      <c r="K7" s="502">
        <v>1500</v>
      </c>
      <c r="L7" s="503">
        <v>1800</v>
      </c>
      <c r="M7" s="496">
        <v>2280</v>
      </c>
      <c r="N7" s="496">
        <v>2280</v>
      </c>
      <c r="O7" s="496">
        <v>2280</v>
      </c>
      <c r="P7" s="279">
        <v>2280</v>
      </c>
      <c r="Q7" s="502">
        <v>2280</v>
      </c>
      <c r="R7" s="572">
        <f>IF(D7=0,"     -",IF(K7=0,"     -",ROUND(((K7/D7)^(1/7)-1)*100,1)))</f>
        <v>4.4000000000000004</v>
      </c>
      <c r="S7" s="494">
        <f>IF(L7=0,"     -",IF(Q7=0,"     -",ROUND(((Q7/L7)^(1/5)-1)*100,1)))</f>
        <v>4.8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1221</v>
      </c>
      <c r="E8" s="496">
        <v>1221</v>
      </c>
      <c r="F8" s="497">
        <v>1221</v>
      </c>
      <c r="G8" s="497">
        <v>1221</v>
      </c>
      <c r="H8" s="496">
        <v>1221</v>
      </c>
      <c r="I8" s="497">
        <v>1221</v>
      </c>
      <c r="J8" s="497">
        <v>1221</v>
      </c>
      <c r="K8" s="502">
        <v>1221</v>
      </c>
      <c r="L8" s="503">
        <v>1221</v>
      </c>
      <c r="M8" s="496">
        <v>1221</v>
      </c>
      <c r="N8" s="496">
        <v>1221</v>
      </c>
      <c r="O8" s="496">
        <v>1221</v>
      </c>
      <c r="P8" s="279">
        <v>1221</v>
      </c>
      <c r="Q8" s="502">
        <v>1221</v>
      </c>
      <c r="R8" s="573">
        <f t="shared" ref="R8:R71" si="0">IF(D8=0,"     -",IF(K8=0,"     -",ROUND(((K8/D8)^(1/7)-1)*100,1)))</f>
        <v>0</v>
      </c>
      <c r="S8" s="256">
        <f t="shared" ref="S8:S71" si="1">IF(L8=0,"     -",IF(Q8=0,"     -",ROUND(((Q8/L8)^(1/5)-1)*100,1)))</f>
        <v>0</v>
      </c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647</v>
      </c>
      <c r="E9" s="496">
        <v>673.1</v>
      </c>
      <c r="F9" s="497">
        <v>673.1</v>
      </c>
      <c r="G9" s="497">
        <v>1013.1</v>
      </c>
      <c r="H9" s="496">
        <v>1063.0999999999999</v>
      </c>
      <c r="I9" s="497">
        <v>1063.0999999999999</v>
      </c>
      <c r="J9" s="497">
        <v>1063</v>
      </c>
      <c r="K9" s="502">
        <v>1063</v>
      </c>
      <c r="L9" s="503">
        <v>1063</v>
      </c>
      <c r="M9" s="496">
        <v>1113</v>
      </c>
      <c r="N9" s="496">
        <v>1113</v>
      </c>
      <c r="O9" s="496">
        <v>1116</v>
      </c>
      <c r="P9" s="279">
        <v>1116</v>
      </c>
      <c r="Q9" s="502">
        <v>1116</v>
      </c>
      <c r="R9" s="573">
        <f t="shared" si="0"/>
        <v>7.4</v>
      </c>
      <c r="S9" s="256">
        <f t="shared" si="1"/>
        <v>1</v>
      </c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3130.2124999999992</v>
      </c>
      <c r="E10" s="496">
        <v>3997.1875</v>
      </c>
      <c r="F10" s="497">
        <v>4478.8499999999995</v>
      </c>
      <c r="G10" s="497">
        <v>5134.3249999999989</v>
      </c>
      <c r="H10" s="496">
        <v>6238.2374999999984</v>
      </c>
      <c r="I10" s="497">
        <v>6648.3499999999976</v>
      </c>
      <c r="J10" s="497">
        <v>7285.8875000000007</v>
      </c>
      <c r="K10" s="502">
        <v>6248.8249999999971</v>
      </c>
      <c r="L10" s="503">
        <v>6249.9749999999995</v>
      </c>
      <c r="M10" s="496">
        <v>6249.699999999998</v>
      </c>
      <c r="N10" s="496">
        <v>6871.45</v>
      </c>
      <c r="O10" s="496">
        <v>6906.6874999999982</v>
      </c>
      <c r="P10" s="279">
        <v>6875.8624999999984</v>
      </c>
      <c r="Q10" s="502">
        <v>7499.8749999999973</v>
      </c>
      <c r="R10" s="573">
        <f t="shared" si="0"/>
        <v>10.4</v>
      </c>
      <c r="S10" s="256">
        <f t="shared" si="1"/>
        <v>3.7</v>
      </c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250</v>
      </c>
      <c r="E11" s="496">
        <v>250</v>
      </c>
      <c r="F11" s="497">
        <v>250</v>
      </c>
      <c r="G11" s="497">
        <v>450</v>
      </c>
      <c r="H11" s="496">
        <v>450</v>
      </c>
      <c r="I11" s="497">
        <v>450</v>
      </c>
      <c r="J11" s="497">
        <v>550</v>
      </c>
      <c r="K11" s="502">
        <v>550</v>
      </c>
      <c r="L11" s="503">
        <v>550</v>
      </c>
      <c r="M11" s="496">
        <v>550</v>
      </c>
      <c r="N11" s="496">
        <v>620</v>
      </c>
      <c r="O11" s="496">
        <v>690</v>
      </c>
      <c r="P11" s="279">
        <v>690</v>
      </c>
      <c r="Q11" s="502">
        <v>690</v>
      </c>
      <c r="R11" s="573">
        <f t="shared" si="0"/>
        <v>11.9</v>
      </c>
      <c r="S11" s="256">
        <f t="shared" si="1"/>
        <v>4.5999999999999996</v>
      </c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495">
        <v>119</v>
      </c>
      <c r="E12" s="496">
        <v>119</v>
      </c>
      <c r="F12" s="497">
        <v>119</v>
      </c>
      <c r="G12" s="497">
        <v>175</v>
      </c>
      <c r="H12" s="496">
        <v>175</v>
      </c>
      <c r="I12" s="497">
        <v>175</v>
      </c>
      <c r="J12" s="497">
        <v>175</v>
      </c>
      <c r="K12" s="502">
        <v>175</v>
      </c>
      <c r="L12" s="503">
        <v>175</v>
      </c>
      <c r="M12" s="496">
        <v>175</v>
      </c>
      <c r="N12" s="496">
        <v>175</v>
      </c>
      <c r="O12" s="496">
        <v>175</v>
      </c>
      <c r="P12" s="279">
        <v>175</v>
      </c>
      <c r="Q12" s="502">
        <v>175</v>
      </c>
      <c r="R12" s="573">
        <f t="shared" si="0"/>
        <v>5.7</v>
      </c>
      <c r="S12" s="256">
        <f t="shared" si="1"/>
        <v>0</v>
      </c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0</v>
      </c>
      <c r="E13" s="49">
        <v>0</v>
      </c>
      <c r="F13" s="45">
        <v>0</v>
      </c>
      <c r="G13" s="49">
        <v>0</v>
      </c>
      <c r="H13" s="49">
        <v>0</v>
      </c>
      <c r="I13" s="45">
        <v>0</v>
      </c>
      <c r="J13" s="49">
        <v>0</v>
      </c>
      <c r="K13" s="50">
        <v>0</v>
      </c>
      <c r="L13" s="140">
        <v>0</v>
      </c>
      <c r="M13" s="45">
        <v>0</v>
      </c>
      <c r="N13" s="45">
        <v>0</v>
      </c>
      <c r="O13" s="45">
        <v>0</v>
      </c>
      <c r="P13" s="45">
        <v>0</v>
      </c>
      <c r="Q13" s="50">
        <v>0</v>
      </c>
      <c r="R13" s="573" t="str">
        <f t="shared" si="0"/>
        <v xml:space="preserve">     -</v>
      </c>
      <c r="S13" s="256" t="str">
        <f t="shared" si="1"/>
        <v xml:space="preserve">     -</v>
      </c>
      <c r="U13" s="280"/>
      <c r="V13" s="280"/>
      <c r="W13" s="280"/>
      <c r="X13" s="280"/>
      <c r="Y13" s="280"/>
      <c r="Z13" s="280"/>
      <c r="AA13" s="280"/>
      <c r="AB13" s="280"/>
      <c r="AC13" s="280"/>
      <c r="AD13" s="280"/>
      <c r="AE13" s="280"/>
      <c r="AF13" s="280"/>
      <c r="AG13" s="280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U15" s="280"/>
      <c r="V15" s="280"/>
      <c r="W15" s="280"/>
      <c r="X15" s="280"/>
      <c r="Y15" s="280"/>
      <c r="Z15" s="280"/>
      <c r="AA15" s="280"/>
      <c r="AB15" s="280"/>
      <c r="AC15" s="280"/>
      <c r="AD15" s="280"/>
      <c r="AE15" s="280"/>
      <c r="AF15" s="280"/>
      <c r="AG15" s="280"/>
    </row>
    <row r="16" spans="1:33" ht="15" customHeight="1">
      <c r="A16" s="16"/>
      <c r="B16" s="668" t="s">
        <v>441</v>
      </c>
      <c r="C16" s="669"/>
      <c r="D16" s="495">
        <v>421</v>
      </c>
      <c r="E16" s="496">
        <v>421</v>
      </c>
      <c r="F16" s="497">
        <v>421</v>
      </c>
      <c r="G16" s="497">
        <v>421</v>
      </c>
      <c r="H16" s="496">
        <v>421</v>
      </c>
      <c r="I16" s="497">
        <v>421</v>
      </c>
      <c r="J16" s="497">
        <v>421</v>
      </c>
      <c r="K16" s="502">
        <v>421</v>
      </c>
      <c r="L16" s="503">
        <v>421</v>
      </c>
      <c r="M16" s="496">
        <v>421</v>
      </c>
      <c r="N16" s="496">
        <v>421</v>
      </c>
      <c r="O16" s="496">
        <v>421</v>
      </c>
      <c r="P16" s="279">
        <v>421</v>
      </c>
      <c r="Q16" s="502">
        <v>421</v>
      </c>
      <c r="R16" s="573">
        <f t="shared" si="0"/>
        <v>0</v>
      </c>
      <c r="S16" s="256">
        <f t="shared" si="1"/>
        <v>0</v>
      </c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  <c r="AF17" s="280"/>
      <c r="AG17" s="280"/>
    </row>
    <row r="18" spans="1:33" ht="15" customHeight="1">
      <c r="A18" s="16"/>
      <c r="B18" s="670" t="s">
        <v>443</v>
      </c>
      <c r="C18" s="671"/>
      <c r="D18" s="138">
        <v>1700</v>
      </c>
      <c r="E18" s="40">
        <v>1700</v>
      </c>
      <c r="F18" s="40">
        <v>1700</v>
      </c>
      <c r="G18" s="40">
        <v>1700</v>
      </c>
      <c r="H18" s="40">
        <v>1700</v>
      </c>
      <c r="I18" s="505">
        <v>1700</v>
      </c>
      <c r="J18" s="506">
        <v>1700</v>
      </c>
      <c r="K18" s="507">
        <v>1700</v>
      </c>
      <c r="L18" s="508">
        <v>1700</v>
      </c>
      <c r="M18" s="505">
        <v>1700</v>
      </c>
      <c r="N18" s="505">
        <v>1700</v>
      </c>
      <c r="O18" s="505">
        <v>1700</v>
      </c>
      <c r="P18" s="505">
        <v>1700</v>
      </c>
      <c r="Q18" s="509">
        <v>1700</v>
      </c>
      <c r="R18" s="573">
        <f t="shared" si="0"/>
        <v>0</v>
      </c>
      <c r="S18" s="256">
        <f t="shared" si="1"/>
        <v>0</v>
      </c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</row>
    <row r="19" spans="1:33" s="1" customFormat="1" ht="15.75" customHeight="1">
      <c r="A19" s="16"/>
      <c r="B19" s="674" t="s">
        <v>307</v>
      </c>
      <c r="C19" s="675"/>
      <c r="D19" s="95">
        <f>SUM(D7:D18)</f>
        <v>8598.2124999999996</v>
      </c>
      <c r="E19" s="93">
        <f t="shared" ref="E19:Q19" si="2">SUM(E7:E18)</f>
        <v>9491.2875000000004</v>
      </c>
      <c r="F19" s="93">
        <f t="shared" si="2"/>
        <v>9972.9499999999989</v>
      </c>
      <c r="G19" s="93">
        <f t="shared" si="2"/>
        <v>11224.424999999999</v>
      </c>
      <c r="H19" s="93">
        <f t="shared" si="2"/>
        <v>12378.337499999998</v>
      </c>
      <c r="I19" s="93">
        <f t="shared" si="2"/>
        <v>12788.449999999997</v>
      </c>
      <c r="J19" s="93">
        <f t="shared" si="2"/>
        <v>13815.887500000001</v>
      </c>
      <c r="K19" s="96">
        <f t="shared" si="2"/>
        <v>12878.824999999997</v>
      </c>
      <c r="L19" s="95">
        <f t="shared" si="2"/>
        <v>13179.974999999999</v>
      </c>
      <c r="M19" s="93">
        <f t="shared" si="2"/>
        <v>13709.699999999997</v>
      </c>
      <c r="N19" s="93">
        <f t="shared" si="2"/>
        <v>14401.45</v>
      </c>
      <c r="O19" s="93">
        <f t="shared" si="2"/>
        <v>14509.687499999998</v>
      </c>
      <c r="P19" s="93">
        <f t="shared" si="2"/>
        <v>14478.862499999999</v>
      </c>
      <c r="Q19" s="96">
        <f t="shared" si="2"/>
        <v>15102.874999999996</v>
      </c>
      <c r="R19" s="574">
        <f t="shared" si="0"/>
        <v>5.9</v>
      </c>
      <c r="S19" s="510">
        <f t="shared" si="1"/>
        <v>2.8</v>
      </c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4932.96</v>
      </c>
      <c r="E22" s="496">
        <v>5958.4000000000005</v>
      </c>
      <c r="F22" s="496">
        <v>4944</v>
      </c>
      <c r="G22" s="496">
        <v>4944</v>
      </c>
      <c r="H22" s="496">
        <v>4944</v>
      </c>
      <c r="I22" s="496">
        <v>5104</v>
      </c>
      <c r="J22" s="515">
        <v>5104</v>
      </c>
      <c r="K22" s="502">
        <v>5104</v>
      </c>
      <c r="L22" s="503">
        <v>5104</v>
      </c>
      <c r="M22" s="496">
        <v>5104</v>
      </c>
      <c r="N22" s="496">
        <v>5104</v>
      </c>
      <c r="O22" s="512">
        <v>5104</v>
      </c>
      <c r="P22" s="512">
        <v>5104</v>
      </c>
      <c r="Q22" s="514">
        <v>5104</v>
      </c>
      <c r="R22" s="575">
        <f t="shared" si="0"/>
        <v>0.5</v>
      </c>
      <c r="S22" s="517">
        <f t="shared" si="1"/>
        <v>0</v>
      </c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3781.76</v>
      </c>
      <c r="E23" s="512">
        <v>4727.2</v>
      </c>
      <c r="F23" s="512">
        <v>4727.2</v>
      </c>
      <c r="G23" s="512">
        <v>4727.2</v>
      </c>
      <c r="H23" s="512">
        <v>4727.2</v>
      </c>
      <c r="I23" s="512">
        <v>4887.2</v>
      </c>
      <c r="J23" s="513">
        <v>4887.2</v>
      </c>
      <c r="K23" s="514">
        <v>4887.2</v>
      </c>
      <c r="L23" s="511">
        <v>4887.2</v>
      </c>
      <c r="M23" s="512">
        <v>4887.2</v>
      </c>
      <c r="N23" s="512">
        <v>4887.2</v>
      </c>
      <c r="O23" s="512">
        <v>4887.2</v>
      </c>
      <c r="P23" s="512">
        <v>4887.2</v>
      </c>
      <c r="Q23" s="514">
        <v>4887.2</v>
      </c>
      <c r="R23" s="574">
        <f t="shared" si="0"/>
        <v>3.7</v>
      </c>
      <c r="S23" s="510">
        <f t="shared" si="1"/>
        <v>0</v>
      </c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332</v>
      </c>
      <c r="E24" s="496">
        <v>280</v>
      </c>
      <c r="F24" s="496">
        <v>300</v>
      </c>
      <c r="G24" s="496">
        <v>300</v>
      </c>
      <c r="H24" s="496">
        <v>300</v>
      </c>
      <c r="I24" s="496">
        <v>300</v>
      </c>
      <c r="J24" s="497">
        <v>300</v>
      </c>
      <c r="K24" s="502">
        <v>300</v>
      </c>
      <c r="L24" s="503">
        <v>400</v>
      </c>
      <c r="M24" s="496">
        <v>500</v>
      </c>
      <c r="N24" s="496">
        <v>600</v>
      </c>
      <c r="O24" s="496">
        <v>700</v>
      </c>
      <c r="P24" s="497">
        <v>850</v>
      </c>
      <c r="Q24" s="502">
        <v>1000</v>
      </c>
      <c r="R24" s="574">
        <f t="shared" si="0"/>
        <v>-1.4</v>
      </c>
      <c r="S24" s="510">
        <f t="shared" si="1"/>
        <v>20.100000000000001</v>
      </c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0</v>
      </c>
      <c r="F25" s="518">
        <v>0</v>
      </c>
      <c r="G25" s="518">
        <v>0</v>
      </c>
      <c r="H25" s="518">
        <v>0</v>
      </c>
      <c r="I25" s="518">
        <v>0</v>
      </c>
      <c r="J25" s="519">
        <v>0</v>
      </c>
      <c r="K25" s="514">
        <v>0</v>
      </c>
      <c r="L25" s="511">
        <v>0</v>
      </c>
      <c r="M25" s="518">
        <v>0</v>
      </c>
      <c r="N25" s="518">
        <v>0</v>
      </c>
      <c r="O25" s="518">
        <v>0</v>
      </c>
      <c r="P25" s="519">
        <v>0</v>
      </c>
      <c r="Q25" s="514">
        <v>0</v>
      </c>
      <c r="R25" s="573" t="str">
        <f t="shared" si="0"/>
        <v xml:space="preserve">     -</v>
      </c>
      <c r="S25" s="256" t="str">
        <f t="shared" si="1"/>
        <v xml:space="preserve">     -</v>
      </c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145</v>
      </c>
      <c r="E26" s="518">
        <v>150</v>
      </c>
      <c r="F26" s="518">
        <v>150</v>
      </c>
      <c r="G26" s="518">
        <v>120</v>
      </c>
      <c r="H26" s="518">
        <v>110</v>
      </c>
      <c r="I26" s="518">
        <v>100</v>
      </c>
      <c r="J26" s="519">
        <v>100</v>
      </c>
      <c r="K26" s="514">
        <v>150</v>
      </c>
      <c r="L26" s="511">
        <v>150</v>
      </c>
      <c r="M26" s="518">
        <v>150</v>
      </c>
      <c r="N26" s="518">
        <v>150</v>
      </c>
      <c r="O26" s="518">
        <v>150</v>
      </c>
      <c r="P26" s="519">
        <v>150</v>
      </c>
      <c r="Q26" s="514">
        <v>150</v>
      </c>
      <c r="R26" s="574">
        <f t="shared" si="0"/>
        <v>0.5</v>
      </c>
      <c r="S26" s="510">
        <f t="shared" si="1"/>
        <v>0</v>
      </c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s="1" customFormat="1" ht="15.75" customHeight="1">
      <c r="A27" s="16"/>
      <c r="B27" s="674" t="s">
        <v>315</v>
      </c>
      <c r="C27" s="675"/>
      <c r="D27" s="520">
        <v>609.6</v>
      </c>
      <c r="E27" s="521">
        <v>692.1</v>
      </c>
      <c r="F27" s="521">
        <v>692.1</v>
      </c>
      <c r="G27" s="521">
        <v>810</v>
      </c>
      <c r="H27" s="521">
        <v>800</v>
      </c>
      <c r="I27" s="521">
        <v>987.59999999999991</v>
      </c>
      <c r="J27" s="522">
        <v>548</v>
      </c>
      <c r="K27" s="523">
        <v>548</v>
      </c>
      <c r="L27" s="520">
        <v>548</v>
      </c>
      <c r="M27" s="521">
        <v>548</v>
      </c>
      <c r="N27" s="521">
        <v>548</v>
      </c>
      <c r="O27" s="521">
        <v>548</v>
      </c>
      <c r="P27" s="522">
        <v>548</v>
      </c>
      <c r="Q27" s="523">
        <v>548</v>
      </c>
      <c r="R27" s="574">
        <f t="shared" si="0"/>
        <v>-1.5</v>
      </c>
      <c r="S27" s="510">
        <f t="shared" si="1"/>
        <v>0</v>
      </c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24"/>
      <c r="AG27" s="24"/>
    </row>
    <row r="28" spans="1:33" ht="15" customHeight="1">
      <c r="A28" s="16"/>
      <c r="B28" s="672" t="s">
        <v>316</v>
      </c>
      <c r="C28" s="673"/>
      <c r="D28" s="524">
        <v>6665</v>
      </c>
      <c r="E28" s="525">
        <v>6665</v>
      </c>
      <c r="F28" s="525">
        <v>6665</v>
      </c>
      <c r="G28" s="526">
        <v>6665</v>
      </c>
      <c r="H28" s="526">
        <v>6665</v>
      </c>
      <c r="I28" s="496">
        <v>6665</v>
      </c>
      <c r="J28" s="497">
        <v>6665</v>
      </c>
      <c r="K28" s="498">
        <v>6665</v>
      </c>
      <c r="L28" s="527">
        <v>6665</v>
      </c>
      <c r="M28" s="528">
        <v>6665</v>
      </c>
      <c r="N28" s="528">
        <v>6665</v>
      </c>
      <c r="O28" s="528">
        <v>6665</v>
      </c>
      <c r="P28" s="528">
        <v>6665</v>
      </c>
      <c r="Q28" s="498">
        <v>6665</v>
      </c>
      <c r="R28" s="573">
        <f t="shared" si="0"/>
        <v>0</v>
      </c>
      <c r="S28" s="256">
        <f t="shared" si="1"/>
        <v>0</v>
      </c>
      <c r="U28" s="280"/>
      <c r="V28" s="280"/>
      <c r="W28" s="280"/>
      <c r="X28" s="280"/>
      <c r="Y28" s="280"/>
      <c r="Z28" s="280"/>
      <c r="AA28" s="280"/>
      <c r="AB28" s="280"/>
      <c r="AC28" s="280"/>
      <c r="AD28" s="280"/>
      <c r="AE28" s="280"/>
      <c r="AF28" s="280"/>
      <c r="AG28" s="280"/>
    </row>
    <row r="29" spans="1:33" ht="15" customHeight="1">
      <c r="A29" s="16"/>
      <c r="B29" s="670" t="s">
        <v>317</v>
      </c>
      <c r="C29" s="671"/>
      <c r="D29" s="529">
        <v>442</v>
      </c>
      <c r="E29" s="525">
        <v>442</v>
      </c>
      <c r="F29" s="530">
        <v>442</v>
      </c>
      <c r="G29" s="531">
        <v>442</v>
      </c>
      <c r="H29" s="526">
        <v>442</v>
      </c>
      <c r="I29" s="497">
        <v>442</v>
      </c>
      <c r="J29" s="497">
        <v>442</v>
      </c>
      <c r="K29" s="498">
        <v>442</v>
      </c>
      <c r="L29" s="499">
        <v>442</v>
      </c>
      <c r="M29" s="532">
        <v>442</v>
      </c>
      <c r="N29" s="532">
        <v>442</v>
      </c>
      <c r="O29" s="532">
        <v>442</v>
      </c>
      <c r="P29" s="532">
        <v>442</v>
      </c>
      <c r="Q29" s="498">
        <v>442</v>
      </c>
      <c r="R29" s="573">
        <f t="shared" si="0"/>
        <v>0</v>
      </c>
      <c r="S29" s="256">
        <f t="shared" si="1"/>
        <v>0</v>
      </c>
      <c r="U29" s="280"/>
      <c r="V29" s="280"/>
      <c r="W29" s="280"/>
      <c r="X29" s="280"/>
      <c r="Y29" s="280"/>
      <c r="Z29" s="280"/>
      <c r="AA29" s="280"/>
      <c r="AB29" s="280"/>
      <c r="AC29" s="280"/>
      <c r="AD29" s="280"/>
      <c r="AE29" s="280"/>
      <c r="AF29" s="280"/>
      <c r="AG29" s="280"/>
    </row>
    <row r="30" spans="1:33" s="1" customFormat="1" ht="15.75" customHeight="1">
      <c r="A30" s="16"/>
      <c r="B30" s="674" t="s">
        <v>318</v>
      </c>
      <c r="C30" s="675"/>
      <c r="D30" s="95">
        <f>SUM(D28:D29)</f>
        <v>7107</v>
      </c>
      <c r="E30" s="92">
        <f t="shared" ref="E30:Q30" si="3">SUM(E28:E29)</f>
        <v>7107</v>
      </c>
      <c r="F30" s="92">
        <f t="shared" si="3"/>
        <v>7107</v>
      </c>
      <c r="G30" s="93">
        <f t="shared" si="3"/>
        <v>7107</v>
      </c>
      <c r="H30" s="93">
        <f t="shared" si="3"/>
        <v>7107</v>
      </c>
      <c r="I30" s="94">
        <f t="shared" si="3"/>
        <v>7107</v>
      </c>
      <c r="J30" s="94">
        <f t="shared" si="3"/>
        <v>7107</v>
      </c>
      <c r="K30" s="96">
        <f t="shared" si="3"/>
        <v>7107</v>
      </c>
      <c r="L30" s="95">
        <f t="shared" si="3"/>
        <v>7107</v>
      </c>
      <c r="M30" s="93">
        <f t="shared" si="3"/>
        <v>7107</v>
      </c>
      <c r="N30" s="93">
        <f t="shared" si="3"/>
        <v>7107</v>
      </c>
      <c r="O30" s="93">
        <f t="shared" si="3"/>
        <v>7107</v>
      </c>
      <c r="P30" s="93">
        <f t="shared" si="3"/>
        <v>7107</v>
      </c>
      <c r="Q30" s="96">
        <f t="shared" si="3"/>
        <v>7107</v>
      </c>
      <c r="R30" s="574">
        <f t="shared" si="0"/>
        <v>0</v>
      </c>
      <c r="S30" s="510">
        <f t="shared" si="1"/>
        <v>0</v>
      </c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316.33092266666665</v>
      </c>
      <c r="E31" s="525">
        <v>324.23919573333325</v>
      </c>
      <c r="F31" s="530">
        <v>440</v>
      </c>
      <c r="G31" s="531">
        <v>340.98615019295988</v>
      </c>
      <c r="H31" s="526">
        <v>350</v>
      </c>
      <c r="I31" s="497">
        <v>350</v>
      </c>
      <c r="J31" s="497">
        <v>350</v>
      </c>
      <c r="K31" s="498">
        <v>350</v>
      </c>
      <c r="L31" s="533">
        <v>350</v>
      </c>
      <c r="M31" s="534">
        <v>350</v>
      </c>
      <c r="N31" s="534">
        <v>350</v>
      </c>
      <c r="O31" s="534">
        <v>350</v>
      </c>
      <c r="P31" s="534">
        <v>350</v>
      </c>
      <c r="Q31" s="535">
        <v>350</v>
      </c>
      <c r="R31" s="573">
        <f t="shared" si="0"/>
        <v>1.5</v>
      </c>
      <c r="S31" s="256">
        <f t="shared" si="1"/>
        <v>0</v>
      </c>
      <c r="U31" s="280"/>
      <c r="V31" s="280"/>
      <c r="W31" s="280"/>
      <c r="X31" s="280"/>
      <c r="Y31" s="280"/>
      <c r="Z31" s="280"/>
      <c r="AA31" s="280"/>
      <c r="AB31" s="280"/>
      <c r="AC31" s="280"/>
      <c r="AD31" s="280"/>
      <c r="AE31" s="280"/>
      <c r="AF31" s="280"/>
      <c r="AG31" s="280"/>
    </row>
    <row r="32" spans="1:33" ht="15" customHeight="1">
      <c r="A32" s="16"/>
      <c r="B32" s="668" t="s">
        <v>320</v>
      </c>
      <c r="C32" s="669"/>
      <c r="D32" s="529">
        <v>440</v>
      </c>
      <c r="E32" s="525">
        <v>440</v>
      </c>
      <c r="F32" s="530">
        <v>440</v>
      </c>
      <c r="G32" s="531">
        <v>520</v>
      </c>
      <c r="H32" s="526">
        <v>520</v>
      </c>
      <c r="I32" s="497">
        <v>570</v>
      </c>
      <c r="J32" s="497">
        <v>570</v>
      </c>
      <c r="K32" s="502">
        <v>570</v>
      </c>
      <c r="L32" s="503">
        <v>570</v>
      </c>
      <c r="M32" s="496">
        <v>570</v>
      </c>
      <c r="N32" s="496">
        <v>570</v>
      </c>
      <c r="O32" s="496">
        <v>570</v>
      </c>
      <c r="P32" s="497">
        <v>570</v>
      </c>
      <c r="Q32" s="502">
        <v>570</v>
      </c>
      <c r="R32" s="573">
        <f t="shared" si="0"/>
        <v>3.8</v>
      </c>
      <c r="S32" s="256">
        <f t="shared" si="1"/>
        <v>0</v>
      </c>
      <c r="U32" s="280"/>
      <c r="V32" s="280"/>
      <c r="W32" s="280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170</v>
      </c>
      <c r="E33" s="525">
        <v>175</v>
      </c>
      <c r="F33" s="530">
        <v>175</v>
      </c>
      <c r="G33" s="531">
        <v>180</v>
      </c>
      <c r="H33" s="526">
        <v>180</v>
      </c>
      <c r="I33" s="497">
        <v>180</v>
      </c>
      <c r="J33" s="497">
        <v>180</v>
      </c>
      <c r="K33" s="536">
        <v>180</v>
      </c>
      <c r="L33" s="537">
        <v>180</v>
      </c>
      <c r="M33" s="538">
        <v>180</v>
      </c>
      <c r="N33" s="538">
        <v>180</v>
      </c>
      <c r="O33" s="538">
        <v>180</v>
      </c>
      <c r="P33" s="515">
        <v>180</v>
      </c>
      <c r="Q33" s="502">
        <v>180</v>
      </c>
      <c r="R33" s="573">
        <f t="shared" si="0"/>
        <v>0.8</v>
      </c>
      <c r="S33" s="256">
        <f t="shared" si="1"/>
        <v>0</v>
      </c>
      <c r="U33" s="280"/>
      <c r="V33" s="280"/>
      <c r="W33" s="280"/>
      <c r="X33" s="280"/>
      <c r="Y33" s="280"/>
      <c r="Z33" s="280"/>
      <c r="AA33" s="280"/>
      <c r="AB33" s="280"/>
      <c r="AC33" s="280"/>
      <c r="AD33" s="280"/>
      <c r="AE33" s="280"/>
      <c r="AF33" s="280"/>
      <c r="AG33" s="280"/>
    </row>
    <row r="34" spans="1:33" s="1" customFormat="1" ht="15.75" customHeight="1" thickBot="1">
      <c r="A34" s="16"/>
      <c r="B34" s="678" t="s">
        <v>322</v>
      </c>
      <c r="C34" s="679"/>
      <c r="D34" s="102">
        <f>SUM(D31:D33)</f>
        <v>926.33092266666665</v>
      </c>
      <c r="E34" s="539">
        <f t="shared" ref="E34:Q34" si="4">SUM(E31:E33)</f>
        <v>939.23919573333319</v>
      </c>
      <c r="F34" s="539">
        <f t="shared" si="4"/>
        <v>1055</v>
      </c>
      <c r="G34" s="100">
        <f t="shared" si="4"/>
        <v>1040.9861501929599</v>
      </c>
      <c r="H34" s="100">
        <f t="shared" si="4"/>
        <v>1050</v>
      </c>
      <c r="I34" s="100">
        <f t="shared" si="4"/>
        <v>1100</v>
      </c>
      <c r="J34" s="101">
        <f t="shared" si="4"/>
        <v>1100</v>
      </c>
      <c r="K34" s="104">
        <f t="shared" si="4"/>
        <v>1100</v>
      </c>
      <c r="L34" s="540">
        <f t="shared" si="4"/>
        <v>1100</v>
      </c>
      <c r="M34" s="100">
        <f t="shared" si="4"/>
        <v>1100</v>
      </c>
      <c r="N34" s="100">
        <f t="shared" si="4"/>
        <v>1100</v>
      </c>
      <c r="O34" s="100">
        <f t="shared" si="4"/>
        <v>1100</v>
      </c>
      <c r="P34" s="100">
        <f t="shared" si="4"/>
        <v>1100</v>
      </c>
      <c r="Q34" s="103">
        <f t="shared" si="4"/>
        <v>1100</v>
      </c>
      <c r="R34" s="576">
        <f t="shared" si="0"/>
        <v>2.5</v>
      </c>
      <c r="S34" s="541">
        <f t="shared" si="1"/>
        <v>0</v>
      </c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s="1" customFormat="1" ht="18" customHeight="1" thickTop="1" thickBot="1">
      <c r="A35" s="21"/>
      <c r="B35" s="676" t="s">
        <v>323</v>
      </c>
      <c r="C35" s="677"/>
      <c r="D35" s="542">
        <f>D19+D20+D22+D24+D26+D27+D30+D34</f>
        <v>22651.103422666667</v>
      </c>
      <c r="E35" s="543">
        <f t="shared" ref="E35:Q35" si="5">E19+E20+E22+E24+E26+E27+E30+E34</f>
        <v>24618.026695733333</v>
      </c>
      <c r="F35" s="543">
        <f t="shared" si="5"/>
        <v>24221.05</v>
      </c>
      <c r="G35" s="544">
        <f t="shared" si="5"/>
        <v>25546.411150192958</v>
      </c>
      <c r="H35" s="544">
        <f t="shared" si="5"/>
        <v>26689.337499999998</v>
      </c>
      <c r="I35" s="544">
        <f t="shared" si="5"/>
        <v>27487.049999999996</v>
      </c>
      <c r="J35" s="545">
        <f t="shared" si="5"/>
        <v>28074.887500000001</v>
      </c>
      <c r="K35" s="546">
        <f t="shared" si="5"/>
        <v>27187.824999999997</v>
      </c>
      <c r="L35" s="547">
        <f t="shared" si="5"/>
        <v>27588.974999999999</v>
      </c>
      <c r="M35" s="544">
        <f t="shared" si="5"/>
        <v>28218.699999999997</v>
      </c>
      <c r="N35" s="544">
        <f t="shared" si="5"/>
        <v>29010.45</v>
      </c>
      <c r="O35" s="544">
        <f t="shared" si="5"/>
        <v>29218.6875</v>
      </c>
      <c r="P35" s="544">
        <f t="shared" si="5"/>
        <v>29337.862499999999</v>
      </c>
      <c r="Q35" s="577">
        <f t="shared" si="5"/>
        <v>30111.874999999996</v>
      </c>
      <c r="R35" s="578">
        <f t="shared" si="0"/>
        <v>2.6</v>
      </c>
      <c r="S35" s="549">
        <f t="shared" si="1"/>
        <v>1.8</v>
      </c>
    </row>
    <row r="36" spans="1:33" ht="15" customHeight="1">
      <c r="A36" s="613" t="s">
        <v>324</v>
      </c>
      <c r="B36" s="666" t="s">
        <v>433</v>
      </c>
      <c r="C36" s="667"/>
      <c r="D36" s="495">
        <v>800</v>
      </c>
      <c r="E36" s="496">
        <v>800</v>
      </c>
      <c r="F36" s="497">
        <v>800</v>
      </c>
      <c r="G36" s="497">
        <v>800</v>
      </c>
      <c r="H36" s="496">
        <v>1000</v>
      </c>
      <c r="I36" s="497">
        <v>1100</v>
      </c>
      <c r="J36" s="497">
        <v>1400</v>
      </c>
      <c r="K36" s="502">
        <v>1400</v>
      </c>
      <c r="L36" s="503">
        <v>1400</v>
      </c>
      <c r="M36" s="496">
        <v>1700</v>
      </c>
      <c r="N36" s="496">
        <v>1700</v>
      </c>
      <c r="O36" s="496">
        <v>2150</v>
      </c>
      <c r="P36" s="279">
        <v>2150</v>
      </c>
      <c r="Q36" s="502">
        <v>2150</v>
      </c>
      <c r="R36" s="573">
        <f t="shared" si="0"/>
        <v>8.3000000000000007</v>
      </c>
      <c r="S36" s="256">
        <f t="shared" si="1"/>
        <v>9</v>
      </c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1080</v>
      </c>
      <c r="E37" s="496">
        <v>1018</v>
      </c>
      <c r="F37" s="497">
        <v>1126</v>
      </c>
      <c r="G37" s="497">
        <v>1126</v>
      </c>
      <c r="H37" s="496">
        <v>1070</v>
      </c>
      <c r="I37" s="497">
        <v>1126</v>
      </c>
      <c r="J37" s="497">
        <v>1126</v>
      </c>
      <c r="K37" s="502">
        <v>1126</v>
      </c>
      <c r="L37" s="503">
        <v>1126</v>
      </c>
      <c r="M37" s="496">
        <v>1126</v>
      </c>
      <c r="N37" s="496">
        <v>1126</v>
      </c>
      <c r="O37" s="496">
        <v>1126</v>
      </c>
      <c r="P37" s="279">
        <v>1110</v>
      </c>
      <c r="Q37" s="502">
        <v>1110</v>
      </c>
      <c r="R37" s="573">
        <f t="shared" si="0"/>
        <v>0.6</v>
      </c>
      <c r="S37" s="256">
        <f t="shared" si="1"/>
        <v>-0.3</v>
      </c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619</v>
      </c>
      <c r="E38" s="496">
        <v>644.59</v>
      </c>
      <c r="F38" s="497">
        <v>660.19</v>
      </c>
      <c r="G38" s="497">
        <v>895.90499999999997</v>
      </c>
      <c r="H38" s="496">
        <v>979.16000000000008</v>
      </c>
      <c r="I38" s="497">
        <v>960.36858447488589</v>
      </c>
      <c r="J38" s="497">
        <v>720</v>
      </c>
      <c r="K38" s="502">
        <v>993</v>
      </c>
      <c r="L38" s="503">
        <v>1013</v>
      </c>
      <c r="M38" s="496">
        <v>1038</v>
      </c>
      <c r="N38" s="496">
        <v>1056</v>
      </c>
      <c r="O38" s="496">
        <v>1049</v>
      </c>
      <c r="P38" s="279">
        <v>1056</v>
      </c>
      <c r="Q38" s="502">
        <v>1059</v>
      </c>
      <c r="R38" s="573">
        <f t="shared" si="0"/>
        <v>7</v>
      </c>
      <c r="S38" s="256">
        <f t="shared" si="1"/>
        <v>0.9</v>
      </c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2504.1699999999996</v>
      </c>
      <c r="E39" s="496">
        <v>3197.75</v>
      </c>
      <c r="F39" s="497">
        <v>3583.08</v>
      </c>
      <c r="G39" s="497">
        <v>4107.4599999999991</v>
      </c>
      <c r="H39" s="496">
        <v>4990.5899999999992</v>
      </c>
      <c r="I39" s="497">
        <v>5318.6799999999985</v>
      </c>
      <c r="J39" s="497">
        <v>5828.7100000000009</v>
      </c>
      <c r="K39" s="502">
        <v>4999.0599999999977</v>
      </c>
      <c r="L39" s="503">
        <v>4999.9799999999996</v>
      </c>
      <c r="M39" s="496">
        <v>4999.7599999999984</v>
      </c>
      <c r="N39" s="496">
        <v>5497.16</v>
      </c>
      <c r="O39" s="496">
        <v>5525.3499999999985</v>
      </c>
      <c r="P39" s="279">
        <v>5500.6899999999987</v>
      </c>
      <c r="Q39" s="502">
        <v>5999.8999999999978</v>
      </c>
      <c r="R39" s="573">
        <f t="shared" si="0"/>
        <v>10.4</v>
      </c>
      <c r="S39" s="256">
        <f t="shared" si="1"/>
        <v>3.7</v>
      </c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225</v>
      </c>
      <c r="E40" s="496">
        <v>250</v>
      </c>
      <c r="F40" s="497">
        <v>250</v>
      </c>
      <c r="G40" s="497">
        <v>402</v>
      </c>
      <c r="H40" s="496">
        <v>406.93306999999999</v>
      </c>
      <c r="I40" s="497">
        <v>406.93306999999999</v>
      </c>
      <c r="J40" s="497">
        <v>433.36197340495789</v>
      </c>
      <c r="K40" s="502">
        <v>495.68938842857062</v>
      </c>
      <c r="L40" s="503">
        <v>495.68938842857062</v>
      </c>
      <c r="M40" s="496">
        <v>495.68938842857062</v>
      </c>
      <c r="N40" s="496">
        <v>558</v>
      </c>
      <c r="O40" s="496">
        <v>621</v>
      </c>
      <c r="P40" s="279">
        <v>621</v>
      </c>
      <c r="Q40" s="502">
        <v>621</v>
      </c>
      <c r="R40" s="573">
        <f t="shared" si="0"/>
        <v>11.9</v>
      </c>
      <c r="S40" s="256">
        <f t="shared" si="1"/>
        <v>4.5999999999999996</v>
      </c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495">
        <v>97.075811042685984</v>
      </c>
      <c r="E41" s="496">
        <v>97.075811042685984</v>
      </c>
      <c r="F41" s="497">
        <v>97.075811042685984</v>
      </c>
      <c r="G41" s="497">
        <v>123</v>
      </c>
      <c r="H41" s="496">
        <v>153.07581104268598</v>
      </c>
      <c r="I41" s="497">
        <v>153.07581104268598</v>
      </c>
      <c r="J41" s="497">
        <v>153.07581104268598</v>
      </c>
      <c r="K41" s="502">
        <v>153.07581104268598</v>
      </c>
      <c r="L41" s="503">
        <v>153</v>
      </c>
      <c r="M41" s="496">
        <v>153</v>
      </c>
      <c r="N41" s="496">
        <v>153</v>
      </c>
      <c r="O41" s="496">
        <v>153</v>
      </c>
      <c r="P41" s="279">
        <v>153</v>
      </c>
      <c r="Q41" s="502">
        <v>153</v>
      </c>
      <c r="R41" s="573">
        <f t="shared" si="0"/>
        <v>6.7</v>
      </c>
      <c r="S41" s="256">
        <f t="shared" si="1"/>
        <v>0</v>
      </c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</row>
    <row r="42" spans="1:33" ht="15" customHeight="1">
      <c r="A42" s="16"/>
      <c r="B42" s="668" t="s">
        <v>439</v>
      </c>
      <c r="C42" s="669"/>
      <c r="D42" s="140">
        <v>0</v>
      </c>
      <c r="E42" s="49">
        <v>0</v>
      </c>
      <c r="F42" s="45">
        <v>0</v>
      </c>
      <c r="G42" s="49">
        <v>0</v>
      </c>
      <c r="H42" s="49">
        <v>0</v>
      </c>
      <c r="I42" s="45">
        <v>0</v>
      </c>
      <c r="J42" s="49">
        <v>0</v>
      </c>
      <c r="K42" s="50">
        <v>0</v>
      </c>
      <c r="L42" s="504">
        <v>0</v>
      </c>
      <c r="M42" s="45">
        <v>0</v>
      </c>
      <c r="N42" s="45">
        <v>0</v>
      </c>
      <c r="O42" s="45">
        <v>0</v>
      </c>
      <c r="P42" s="49">
        <v>0</v>
      </c>
      <c r="Q42" s="50">
        <v>0</v>
      </c>
      <c r="R42" s="573" t="str">
        <f t="shared" si="0"/>
        <v xml:space="preserve">     -</v>
      </c>
      <c r="S42" s="256" t="str">
        <f t="shared" si="1"/>
        <v xml:space="preserve">     -</v>
      </c>
      <c r="U42" s="280"/>
      <c r="V42" s="280"/>
      <c r="W42" s="280"/>
      <c r="X42" s="280"/>
      <c r="Y42" s="280"/>
      <c r="Z42" s="280"/>
      <c r="AA42" s="280"/>
      <c r="AB42" s="280"/>
      <c r="AC42" s="280"/>
      <c r="AD42" s="280"/>
      <c r="AE42" s="280"/>
      <c r="AF42" s="280"/>
      <c r="AG42" s="280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U44" s="280"/>
      <c r="V44" s="280"/>
      <c r="W44" s="280"/>
      <c r="X44" s="280"/>
      <c r="Y44" s="280"/>
      <c r="Z44" s="280"/>
      <c r="AA44" s="280"/>
      <c r="AB44" s="280"/>
      <c r="AC44" s="280"/>
      <c r="AD44" s="280"/>
      <c r="AE44" s="280"/>
      <c r="AF44" s="280"/>
      <c r="AG44" s="280"/>
    </row>
    <row r="45" spans="1:33" ht="15" customHeight="1">
      <c r="A45" s="16"/>
      <c r="B45" s="668" t="s">
        <v>441</v>
      </c>
      <c r="C45" s="669"/>
      <c r="D45" s="495">
        <v>366.97572254335262</v>
      </c>
      <c r="E45" s="496">
        <v>378.9</v>
      </c>
      <c r="F45" s="497">
        <v>378.9</v>
      </c>
      <c r="G45" s="497">
        <v>378.9</v>
      </c>
      <c r="H45" s="496">
        <v>378.9</v>
      </c>
      <c r="I45" s="497">
        <v>378.9</v>
      </c>
      <c r="J45" s="497">
        <v>378.9</v>
      </c>
      <c r="K45" s="502">
        <v>378.9</v>
      </c>
      <c r="L45" s="503">
        <v>378.9</v>
      </c>
      <c r="M45" s="496">
        <v>378.9</v>
      </c>
      <c r="N45" s="496">
        <v>378.9</v>
      </c>
      <c r="O45" s="496">
        <v>378.9</v>
      </c>
      <c r="P45" s="279">
        <v>378.9</v>
      </c>
      <c r="Q45" s="502">
        <v>378.9</v>
      </c>
      <c r="R45" s="573">
        <f t="shared" si="0"/>
        <v>0.5</v>
      </c>
      <c r="S45" s="256">
        <f t="shared" si="1"/>
        <v>0</v>
      </c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U46" s="280"/>
      <c r="V46" s="280"/>
      <c r="W46" s="280"/>
      <c r="X46" s="280"/>
      <c r="Y46" s="280"/>
      <c r="Z46" s="280"/>
      <c r="AA46" s="280"/>
      <c r="AB46" s="280"/>
      <c r="AC46" s="280"/>
      <c r="AD46" s="280"/>
      <c r="AE46" s="280"/>
      <c r="AF46" s="280"/>
      <c r="AG46" s="280"/>
    </row>
    <row r="47" spans="1:33" ht="15" customHeight="1">
      <c r="A47" s="16"/>
      <c r="B47" s="670" t="s">
        <v>443</v>
      </c>
      <c r="C47" s="671"/>
      <c r="D47" s="495">
        <v>1751.06</v>
      </c>
      <c r="E47" s="496">
        <v>1598.9960000000001</v>
      </c>
      <c r="F47" s="497">
        <v>1394.1399999999994</v>
      </c>
      <c r="G47" s="497">
        <v>1309.7429999999999</v>
      </c>
      <c r="H47" s="496">
        <v>1418.3069999999993</v>
      </c>
      <c r="I47" s="497">
        <v>1353.9940000000001</v>
      </c>
      <c r="J47" s="497">
        <v>1396.2379999999998</v>
      </c>
      <c r="K47" s="502">
        <v>1674.4939999999997</v>
      </c>
      <c r="L47" s="503">
        <v>1659.0540000000001</v>
      </c>
      <c r="M47" s="496">
        <v>1666.8769936981291</v>
      </c>
      <c r="N47" s="496">
        <v>1676.075127945144</v>
      </c>
      <c r="O47" s="496">
        <v>1684.0407218700414</v>
      </c>
      <c r="P47" s="497">
        <v>1693.0020150355513</v>
      </c>
      <c r="Q47" s="502">
        <v>1701.9633082010612</v>
      </c>
      <c r="R47" s="573">
        <f t="shared" si="0"/>
        <v>-0.6</v>
      </c>
      <c r="S47" s="256">
        <f t="shared" si="1"/>
        <v>0.5</v>
      </c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1:33" s="1" customFormat="1" ht="15.75" customHeight="1">
      <c r="A48" s="16"/>
      <c r="B48" s="674" t="s">
        <v>307</v>
      </c>
      <c r="C48" s="675"/>
      <c r="D48" s="95">
        <f>SUM(D36:D47)</f>
        <v>7443.2815335860378</v>
      </c>
      <c r="E48" s="93">
        <f t="shared" ref="E48:Q48" si="6">SUM(E36:E47)</f>
        <v>7985.3118110426858</v>
      </c>
      <c r="F48" s="93">
        <f t="shared" si="6"/>
        <v>8289.3858110426845</v>
      </c>
      <c r="G48" s="93">
        <f t="shared" si="6"/>
        <v>9143.007999999998</v>
      </c>
      <c r="H48" s="93">
        <f t="shared" si="6"/>
        <v>10396.965881042684</v>
      </c>
      <c r="I48" s="93">
        <f t="shared" si="6"/>
        <v>10797.95146551757</v>
      </c>
      <c r="J48" s="93">
        <f t="shared" si="6"/>
        <v>11436.285784447644</v>
      </c>
      <c r="K48" s="96">
        <f t="shared" si="6"/>
        <v>11220.219199471256</v>
      </c>
      <c r="L48" s="95">
        <f t="shared" si="6"/>
        <v>11225.62338842857</v>
      </c>
      <c r="M48" s="93">
        <f t="shared" si="6"/>
        <v>11558.226382126699</v>
      </c>
      <c r="N48" s="93">
        <f t="shared" si="6"/>
        <v>12145.135127945143</v>
      </c>
      <c r="O48" s="93">
        <f t="shared" si="6"/>
        <v>12687.29072187004</v>
      </c>
      <c r="P48" s="93">
        <f t="shared" si="6"/>
        <v>12662.592015035549</v>
      </c>
      <c r="Q48" s="96">
        <f t="shared" si="6"/>
        <v>13173.763308201058</v>
      </c>
      <c r="R48" s="574">
        <f t="shared" si="0"/>
        <v>6</v>
      </c>
      <c r="S48" s="510">
        <f t="shared" si="1"/>
        <v>3.3</v>
      </c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4380.8768630559998</v>
      </c>
      <c r="E51" s="512">
        <v>5332.6248538864365</v>
      </c>
      <c r="F51" s="512">
        <v>4597.920000000001</v>
      </c>
      <c r="G51" s="512">
        <v>4597.920000000001</v>
      </c>
      <c r="H51" s="512">
        <v>4597.920000000001</v>
      </c>
      <c r="I51" s="512">
        <v>4597.920000000001</v>
      </c>
      <c r="J51" s="513">
        <v>4597.920000000001</v>
      </c>
      <c r="K51" s="514">
        <v>4597.920000000001</v>
      </c>
      <c r="L51" s="511">
        <v>4597.920000000001</v>
      </c>
      <c r="M51" s="512">
        <v>4597.920000000001</v>
      </c>
      <c r="N51" s="512">
        <v>4597.920000000001</v>
      </c>
      <c r="O51" s="512">
        <v>4597.920000000001</v>
      </c>
      <c r="P51" s="513">
        <v>4597.920000000001</v>
      </c>
      <c r="Q51" s="514">
        <v>4597.920000000001</v>
      </c>
      <c r="R51" s="574">
        <f t="shared" si="0"/>
        <v>0.7</v>
      </c>
      <c r="S51" s="510">
        <f t="shared" si="1"/>
        <v>0</v>
      </c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3781.76</v>
      </c>
      <c r="E52" s="512">
        <v>4727.2</v>
      </c>
      <c r="F52" s="512">
        <v>4443.5680000000002</v>
      </c>
      <c r="G52" s="512">
        <v>4443.5680000000002</v>
      </c>
      <c r="H52" s="512">
        <v>4443.5680000000002</v>
      </c>
      <c r="I52" s="512">
        <v>4541.3280000000004</v>
      </c>
      <c r="J52" s="513">
        <v>4541.3280000000004</v>
      </c>
      <c r="K52" s="514">
        <v>4541.3280000000004</v>
      </c>
      <c r="L52" s="511">
        <v>4541.3280000000004</v>
      </c>
      <c r="M52" s="512">
        <v>4541.3280000000004</v>
      </c>
      <c r="N52" s="512">
        <v>4541.3280000000004</v>
      </c>
      <c r="O52" s="512">
        <v>4541.3280000000004</v>
      </c>
      <c r="P52" s="513">
        <v>4541.3280000000004</v>
      </c>
      <c r="Q52" s="514">
        <v>4541.3280000000004</v>
      </c>
      <c r="R52" s="574">
        <f t="shared" si="0"/>
        <v>2.6</v>
      </c>
      <c r="S52" s="510">
        <f t="shared" si="1"/>
        <v>0</v>
      </c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332</v>
      </c>
      <c r="E53" s="496">
        <v>280</v>
      </c>
      <c r="F53" s="496">
        <v>300</v>
      </c>
      <c r="G53" s="496">
        <v>300</v>
      </c>
      <c r="H53" s="496">
        <v>300</v>
      </c>
      <c r="I53" s="496">
        <v>300</v>
      </c>
      <c r="J53" s="497">
        <v>300</v>
      </c>
      <c r="K53" s="502">
        <v>300</v>
      </c>
      <c r="L53" s="503">
        <v>400</v>
      </c>
      <c r="M53" s="496">
        <v>500</v>
      </c>
      <c r="N53" s="496">
        <v>600</v>
      </c>
      <c r="O53" s="496">
        <v>700</v>
      </c>
      <c r="P53" s="497">
        <v>850</v>
      </c>
      <c r="Q53" s="502">
        <v>1000</v>
      </c>
      <c r="R53" s="573">
        <f t="shared" si="0"/>
        <v>-1.4</v>
      </c>
      <c r="S53" s="256">
        <f t="shared" si="1"/>
        <v>20.100000000000001</v>
      </c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0</v>
      </c>
      <c r="F54" s="518">
        <v>0</v>
      </c>
      <c r="G54" s="518">
        <v>0</v>
      </c>
      <c r="H54" s="518">
        <v>0</v>
      </c>
      <c r="I54" s="518">
        <v>0</v>
      </c>
      <c r="J54" s="519">
        <v>0</v>
      </c>
      <c r="K54" s="514">
        <v>0</v>
      </c>
      <c r="L54" s="511">
        <v>0</v>
      </c>
      <c r="M54" s="518">
        <v>0</v>
      </c>
      <c r="N54" s="518">
        <v>0</v>
      </c>
      <c r="O54" s="518">
        <v>0</v>
      </c>
      <c r="P54" s="519">
        <v>0</v>
      </c>
      <c r="Q54" s="514">
        <v>0</v>
      </c>
      <c r="R54" s="574" t="str">
        <f t="shared" si="0"/>
        <v xml:space="preserve">     -</v>
      </c>
      <c r="S54" s="510" t="str">
        <f t="shared" si="1"/>
        <v xml:space="preserve">     -</v>
      </c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145</v>
      </c>
      <c r="E55" s="518">
        <v>150</v>
      </c>
      <c r="F55" s="518">
        <v>150</v>
      </c>
      <c r="G55" s="518">
        <v>160</v>
      </c>
      <c r="H55" s="518">
        <v>110</v>
      </c>
      <c r="I55" s="518">
        <v>100</v>
      </c>
      <c r="J55" s="519">
        <v>100</v>
      </c>
      <c r="K55" s="514">
        <v>150</v>
      </c>
      <c r="L55" s="511">
        <v>150</v>
      </c>
      <c r="M55" s="518">
        <v>150</v>
      </c>
      <c r="N55" s="518">
        <v>150</v>
      </c>
      <c r="O55" s="518">
        <v>150</v>
      </c>
      <c r="P55" s="519">
        <v>150</v>
      </c>
      <c r="Q55" s="514">
        <v>150</v>
      </c>
      <c r="R55" s="574">
        <f t="shared" si="0"/>
        <v>0.5</v>
      </c>
      <c r="S55" s="510">
        <f t="shared" si="1"/>
        <v>0</v>
      </c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s="1" customFormat="1" ht="15.75" customHeight="1">
      <c r="A56" s="16"/>
      <c r="B56" s="674" t="s">
        <v>315</v>
      </c>
      <c r="C56" s="675"/>
      <c r="D56" s="520">
        <v>521.4</v>
      </c>
      <c r="E56" s="521">
        <v>563.4</v>
      </c>
      <c r="F56" s="521">
        <v>390.42</v>
      </c>
      <c r="G56" s="521">
        <v>554</v>
      </c>
      <c r="H56" s="521">
        <v>310</v>
      </c>
      <c r="I56" s="521">
        <v>302</v>
      </c>
      <c r="J56" s="522">
        <v>400</v>
      </c>
      <c r="K56" s="523">
        <v>451</v>
      </c>
      <c r="L56" s="520">
        <v>458</v>
      </c>
      <c r="M56" s="521">
        <v>463</v>
      </c>
      <c r="N56" s="521">
        <v>470</v>
      </c>
      <c r="O56" s="521">
        <v>477</v>
      </c>
      <c r="P56" s="522">
        <v>485</v>
      </c>
      <c r="Q56" s="523">
        <v>492</v>
      </c>
      <c r="R56" s="574">
        <f t="shared" si="0"/>
        <v>-2.1</v>
      </c>
      <c r="S56" s="510">
        <f t="shared" si="1"/>
        <v>1.4</v>
      </c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</row>
    <row r="57" spans="1:33" ht="15" customHeight="1">
      <c r="A57" s="16"/>
      <c r="B57" s="672" t="s">
        <v>316</v>
      </c>
      <c r="C57" s="673"/>
      <c r="D57" s="553">
        <v>5400</v>
      </c>
      <c r="E57" s="526">
        <v>5400</v>
      </c>
      <c r="F57" s="530">
        <v>5400</v>
      </c>
      <c r="G57" s="497">
        <v>5400</v>
      </c>
      <c r="H57" s="496">
        <v>5400</v>
      </c>
      <c r="I57" s="497">
        <v>5400</v>
      </c>
      <c r="J57" s="551">
        <v>5400</v>
      </c>
      <c r="K57" s="554">
        <v>5400</v>
      </c>
      <c r="L57" s="527">
        <v>5400</v>
      </c>
      <c r="M57" s="528">
        <v>5400</v>
      </c>
      <c r="N57" s="528">
        <v>5400</v>
      </c>
      <c r="O57" s="528">
        <v>5400</v>
      </c>
      <c r="P57" s="500">
        <v>5400</v>
      </c>
      <c r="Q57" s="498">
        <v>5400</v>
      </c>
      <c r="R57" s="573">
        <f t="shared" si="0"/>
        <v>0</v>
      </c>
      <c r="S57" s="256">
        <f t="shared" si="1"/>
        <v>0</v>
      </c>
      <c r="U57" s="43"/>
      <c r="V57" s="326"/>
      <c r="W57" s="326"/>
      <c r="X57" s="326"/>
      <c r="Y57" s="326"/>
      <c r="Z57" s="326"/>
      <c r="AA57" s="326"/>
      <c r="AB57" s="326"/>
      <c r="AC57" s="326"/>
      <c r="AD57" s="326"/>
      <c r="AE57" s="326"/>
      <c r="AF57" s="326"/>
      <c r="AG57" s="326"/>
    </row>
    <row r="58" spans="1:33" ht="15" customHeight="1">
      <c r="A58" s="16"/>
      <c r="B58" s="670" t="s">
        <v>317</v>
      </c>
      <c r="C58" s="671"/>
      <c r="D58" s="553">
        <v>397.8</v>
      </c>
      <c r="E58" s="526">
        <v>397.8</v>
      </c>
      <c r="F58" s="530">
        <v>397.8</v>
      </c>
      <c r="G58" s="497">
        <v>397.8</v>
      </c>
      <c r="H58" s="496">
        <v>397.8</v>
      </c>
      <c r="I58" s="497">
        <v>397.8</v>
      </c>
      <c r="J58" s="551">
        <v>397.8</v>
      </c>
      <c r="K58" s="498">
        <v>397.8</v>
      </c>
      <c r="L58" s="499">
        <v>397.8</v>
      </c>
      <c r="M58" s="532">
        <v>397.8</v>
      </c>
      <c r="N58" s="532">
        <v>397.8</v>
      </c>
      <c r="O58" s="532">
        <v>397.8</v>
      </c>
      <c r="P58" s="532">
        <v>398</v>
      </c>
      <c r="Q58" s="498">
        <v>398</v>
      </c>
      <c r="R58" s="573">
        <f t="shared" si="0"/>
        <v>0</v>
      </c>
      <c r="S58" s="256">
        <f t="shared" si="1"/>
        <v>0</v>
      </c>
      <c r="U58" s="43"/>
      <c r="V58" s="326"/>
      <c r="W58" s="326"/>
      <c r="X58" s="326"/>
      <c r="Y58" s="326"/>
      <c r="Z58" s="326"/>
      <c r="AA58" s="326"/>
      <c r="AB58" s="326"/>
      <c r="AC58" s="326"/>
      <c r="AD58" s="326"/>
      <c r="AE58" s="326"/>
      <c r="AF58" s="326"/>
      <c r="AG58" s="326"/>
    </row>
    <row r="59" spans="1:33" s="1" customFormat="1" ht="15.75" customHeight="1">
      <c r="A59" s="16"/>
      <c r="B59" s="674" t="s">
        <v>318</v>
      </c>
      <c r="C59" s="675"/>
      <c r="D59" s="95">
        <f>SUM(D57:D58)</f>
        <v>5797.8</v>
      </c>
      <c r="E59" s="92">
        <f t="shared" ref="E59:Q59" si="7">SUM(E57:E58)</f>
        <v>5797.8</v>
      </c>
      <c r="F59" s="92">
        <f t="shared" si="7"/>
        <v>5797.8</v>
      </c>
      <c r="G59" s="93">
        <f t="shared" si="7"/>
        <v>5797.8</v>
      </c>
      <c r="H59" s="93">
        <f t="shared" si="7"/>
        <v>5797.8</v>
      </c>
      <c r="I59" s="94">
        <f t="shared" si="7"/>
        <v>5797.8</v>
      </c>
      <c r="J59" s="94">
        <f t="shared" si="7"/>
        <v>5797.8</v>
      </c>
      <c r="K59" s="96">
        <f t="shared" si="7"/>
        <v>5797.8</v>
      </c>
      <c r="L59" s="555">
        <f t="shared" si="7"/>
        <v>5797.8</v>
      </c>
      <c r="M59" s="556">
        <f t="shared" si="7"/>
        <v>5797.8</v>
      </c>
      <c r="N59" s="556">
        <f t="shared" si="7"/>
        <v>5797.8</v>
      </c>
      <c r="O59" s="556">
        <f t="shared" si="7"/>
        <v>5797.8</v>
      </c>
      <c r="P59" s="556">
        <f t="shared" si="7"/>
        <v>5798</v>
      </c>
      <c r="Q59" s="227">
        <f t="shared" si="7"/>
        <v>5798</v>
      </c>
      <c r="R59" s="574">
        <f t="shared" si="0"/>
        <v>0</v>
      </c>
      <c r="S59" s="510">
        <f t="shared" si="1"/>
        <v>0</v>
      </c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282</v>
      </c>
      <c r="E60" s="526">
        <v>267</v>
      </c>
      <c r="F60" s="530">
        <v>400</v>
      </c>
      <c r="G60" s="497">
        <v>278</v>
      </c>
      <c r="H60" s="496">
        <v>290</v>
      </c>
      <c r="I60" s="497">
        <v>293</v>
      </c>
      <c r="J60" s="551">
        <v>315</v>
      </c>
      <c r="K60" s="498">
        <v>315</v>
      </c>
      <c r="L60" s="533">
        <v>320</v>
      </c>
      <c r="M60" s="534">
        <v>320</v>
      </c>
      <c r="N60" s="534">
        <v>320</v>
      </c>
      <c r="O60" s="534">
        <v>320</v>
      </c>
      <c r="P60" s="534">
        <v>320</v>
      </c>
      <c r="Q60" s="535">
        <v>320</v>
      </c>
      <c r="R60" s="573">
        <f t="shared" si="0"/>
        <v>1.6</v>
      </c>
      <c r="S60" s="256">
        <f t="shared" si="1"/>
        <v>0</v>
      </c>
      <c r="U60" s="43"/>
      <c r="V60" s="43"/>
      <c r="W60" s="43"/>
      <c r="X60" s="326"/>
      <c r="Y60" s="326"/>
      <c r="Z60" s="326"/>
      <c r="AA60" s="326"/>
      <c r="AB60" s="326"/>
      <c r="AC60" s="326"/>
      <c r="AD60" s="326"/>
      <c r="AE60" s="326"/>
      <c r="AF60" s="326"/>
      <c r="AG60" s="326"/>
    </row>
    <row r="61" spans="1:33" ht="15" customHeight="1">
      <c r="A61" s="16"/>
      <c r="B61" s="668" t="s">
        <v>320</v>
      </c>
      <c r="C61" s="669"/>
      <c r="D61" s="553">
        <v>414</v>
      </c>
      <c r="E61" s="526">
        <v>396</v>
      </c>
      <c r="F61" s="530">
        <v>400</v>
      </c>
      <c r="G61" s="497">
        <v>437</v>
      </c>
      <c r="H61" s="496">
        <v>483</v>
      </c>
      <c r="I61" s="497">
        <v>515</v>
      </c>
      <c r="J61" s="497">
        <v>513</v>
      </c>
      <c r="K61" s="502">
        <v>513</v>
      </c>
      <c r="L61" s="503">
        <v>510</v>
      </c>
      <c r="M61" s="496">
        <v>510</v>
      </c>
      <c r="N61" s="496">
        <v>510</v>
      </c>
      <c r="O61" s="496">
        <v>510</v>
      </c>
      <c r="P61" s="497">
        <v>510</v>
      </c>
      <c r="Q61" s="502">
        <v>510</v>
      </c>
      <c r="R61" s="573">
        <f t="shared" si="0"/>
        <v>3.1</v>
      </c>
      <c r="S61" s="256">
        <f t="shared" si="1"/>
        <v>0</v>
      </c>
      <c r="U61" s="43"/>
      <c r="V61" s="43"/>
      <c r="W61" s="43"/>
      <c r="X61" s="326"/>
      <c r="Y61" s="326"/>
      <c r="Z61" s="326"/>
      <c r="AA61" s="326"/>
      <c r="AB61" s="326"/>
      <c r="AC61" s="326"/>
      <c r="AD61" s="326"/>
      <c r="AE61" s="326"/>
      <c r="AF61" s="326"/>
      <c r="AG61" s="326"/>
    </row>
    <row r="62" spans="1:33" ht="15" customHeight="1">
      <c r="A62" s="16"/>
      <c r="B62" s="670" t="s">
        <v>321</v>
      </c>
      <c r="C62" s="671"/>
      <c r="D62" s="553">
        <v>164</v>
      </c>
      <c r="E62" s="525">
        <v>179</v>
      </c>
      <c r="F62" s="530">
        <v>192</v>
      </c>
      <c r="G62" s="497">
        <v>207</v>
      </c>
      <c r="H62" s="496">
        <v>209</v>
      </c>
      <c r="I62" s="497">
        <v>214</v>
      </c>
      <c r="J62" s="497">
        <v>162</v>
      </c>
      <c r="K62" s="536">
        <v>162</v>
      </c>
      <c r="L62" s="537">
        <v>162</v>
      </c>
      <c r="M62" s="538">
        <v>162</v>
      </c>
      <c r="N62" s="538">
        <v>162</v>
      </c>
      <c r="O62" s="538">
        <v>162</v>
      </c>
      <c r="P62" s="515">
        <v>162</v>
      </c>
      <c r="Q62" s="536">
        <v>162</v>
      </c>
      <c r="R62" s="573">
        <f t="shared" si="0"/>
        <v>-0.2</v>
      </c>
      <c r="S62" s="256">
        <f t="shared" si="1"/>
        <v>0</v>
      </c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s="1" customFormat="1" ht="15.75" customHeight="1" thickBot="1">
      <c r="A63" s="16"/>
      <c r="B63" s="678" t="s">
        <v>322</v>
      </c>
      <c r="C63" s="679"/>
      <c r="D63" s="102">
        <f>SUM(D60:D62)</f>
        <v>860</v>
      </c>
      <c r="E63" s="539">
        <f t="shared" ref="E63:Q63" si="8">SUM(E60:E62)</f>
        <v>842</v>
      </c>
      <c r="F63" s="539">
        <f t="shared" si="8"/>
        <v>992</v>
      </c>
      <c r="G63" s="100">
        <f t="shared" si="8"/>
        <v>922</v>
      </c>
      <c r="H63" s="100">
        <f t="shared" si="8"/>
        <v>982</v>
      </c>
      <c r="I63" s="100">
        <f t="shared" si="8"/>
        <v>1022</v>
      </c>
      <c r="J63" s="101">
        <f t="shared" si="8"/>
        <v>990</v>
      </c>
      <c r="K63" s="104">
        <f t="shared" si="8"/>
        <v>990</v>
      </c>
      <c r="L63" s="540">
        <f t="shared" si="8"/>
        <v>992</v>
      </c>
      <c r="M63" s="100">
        <f t="shared" si="8"/>
        <v>992</v>
      </c>
      <c r="N63" s="100">
        <f t="shared" si="8"/>
        <v>992</v>
      </c>
      <c r="O63" s="100">
        <f t="shared" si="8"/>
        <v>992</v>
      </c>
      <c r="P63" s="100">
        <f t="shared" si="8"/>
        <v>992</v>
      </c>
      <c r="Q63" s="103">
        <f t="shared" si="8"/>
        <v>992</v>
      </c>
      <c r="R63" s="576">
        <f t="shared" si="0"/>
        <v>2</v>
      </c>
      <c r="S63" s="541">
        <f t="shared" si="1"/>
        <v>0</v>
      </c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s="1" customFormat="1" ht="18" customHeight="1" thickTop="1" thickBot="1">
      <c r="A64" s="16"/>
      <c r="B64" s="676" t="s">
        <v>326</v>
      </c>
      <c r="C64" s="677"/>
      <c r="D64" s="542">
        <f>D48+D49+D51+D53+D55+D56+D59+D63</f>
        <v>19480.358396642037</v>
      </c>
      <c r="E64" s="543">
        <f t="shared" ref="E64:Q64" si="9">E48+E49+E51+E53+E55+E56+E59+E63</f>
        <v>20951.136664929123</v>
      </c>
      <c r="F64" s="543">
        <f t="shared" si="9"/>
        <v>20517.525811042688</v>
      </c>
      <c r="G64" s="544">
        <f t="shared" si="9"/>
        <v>21474.727999999999</v>
      </c>
      <c r="H64" s="544">
        <f t="shared" si="9"/>
        <v>22494.685881042686</v>
      </c>
      <c r="I64" s="544">
        <f t="shared" si="9"/>
        <v>22917.671465517571</v>
      </c>
      <c r="J64" s="545">
        <f t="shared" si="9"/>
        <v>23622.005784447643</v>
      </c>
      <c r="K64" s="546">
        <f t="shared" si="9"/>
        <v>23506.939199471257</v>
      </c>
      <c r="L64" s="547">
        <f t="shared" si="9"/>
        <v>23621.34338842857</v>
      </c>
      <c r="M64" s="544">
        <f t="shared" si="9"/>
        <v>24058.946382126698</v>
      </c>
      <c r="N64" s="544">
        <f t="shared" si="9"/>
        <v>24752.855127945142</v>
      </c>
      <c r="O64" s="544">
        <f t="shared" si="9"/>
        <v>25402.01072187004</v>
      </c>
      <c r="P64" s="544">
        <f t="shared" si="9"/>
        <v>25535.512015035551</v>
      </c>
      <c r="Q64" s="577">
        <f t="shared" si="9"/>
        <v>26203.68330820106</v>
      </c>
      <c r="R64" s="579">
        <f t="shared" si="0"/>
        <v>2.7</v>
      </c>
      <c r="S64" s="558">
        <f t="shared" si="1"/>
        <v>2.1</v>
      </c>
    </row>
    <row r="65" spans="1:33" ht="15" customHeight="1">
      <c r="A65" s="616" t="s">
        <v>327</v>
      </c>
      <c r="B65" s="666" t="s">
        <v>433</v>
      </c>
      <c r="C65" s="667"/>
      <c r="D65" s="495">
        <v>800</v>
      </c>
      <c r="E65" s="496">
        <v>800</v>
      </c>
      <c r="F65" s="497">
        <v>800</v>
      </c>
      <c r="G65" s="497">
        <v>800</v>
      </c>
      <c r="H65" s="496">
        <v>1000</v>
      </c>
      <c r="I65" s="497">
        <v>1100</v>
      </c>
      <c r="J65" s="497">
        <v>1400</v>
      </c>
      <c r="K65" s="502">
        <v>1400</v>
      </c>
      <c r="L65" s="503">
        <v>1400</v>
      </c>
      <c r="M65" s="496">
        <v>1700</v>
      </c>
      <c r="N65" s="496">
        <v>1700</v>
      </c>
      <c r="O65" s="496">
        <v>2150</v>
      </c>
      <c r="P65" s="279">
        <v>2150</v>
      </c>
      <c r="Q65" s="502">
        <v>2150</v>
      </c>
      <c r="R65" s="573">
        <f t="shared" si="0"/>
        <v>8.3000000000000007</v>
      </c>
      <c r="S65" s="256">
        <f t="shared" si="1"/>
        <v>9</v>
      </c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495">
        <v>1080</v>
      </c>
      <c r="E66" s="496">
        <v>1018</v>
      </c>
      <c r="F66" s="497">
        <v>1126</v>
      </c>
      <c r="G66" s="497">
        <v>1126</v>
      </c>
      <c r="H66" s="496">
        <v>1070</v>
      </c>
      <c r="I66" s="497">
        <v>1126</v>
      </c>
      <c r="J66" s="497">
        <v>1126</v>
      </c>
      <c r="K66" s="502">
        <v>1126</v>
      </c>
      <c r="L66" s="503">
        <v>1126</v>
      </c>
      <c r="M66" s="496">
        <v>1126</v>
      </c>
      <c r="N66" s="496">
        <v>1126</v>
      </c>
      <c r="O66" s="496">
        <v>1126</v>
      </c>
      <c r="P66" s="279">
        <v>1110</v>
      </c>
      <c r="Q66" s="502">
        <v>1110</v>
      </c>
      <c r="R66" s="573">
        <f t="shared" si="0"/>
        <v>0.6</v>
      </c>
      <c r="S66" s="256">
        <f t="shared" si="1"/>
        <v>-0.3</v>
      </c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530</v>
      </c>
      <c r="E67" s="496">
        <v>566.24864000000002</v>
      </c>
      <c r="F67" s="497">
        <v>550.68926452000005</v>
      </c>
      <c r="G67" s="497">
        <v>548.01189497176006</v>
      </c>
      <c r="H67" s="496">
        <v>534.49263999999994</v>
      </c>
      <c r="I67" s="497">
        <v>528.07665999999995</v>
      </c>
      <c r="J67" s="497">
        <v>411</v>
      </c>
      <c r="K67" s="502">
        <v>483</v>
      </c>
      <c r="L67" s="503">
        <v>517</v>
      </c>
      <c r="M67" s="496">
        <v>517</v>
      </c>
      <c r="N67" s="496">
        <v>517</v>
      </c>
      <c r="O67" s="496">
        <v>521</v>
      </c>
      <c r="P67" s="497">
        <v>521</v>
      </c>
      <c r="Q67" s="502">
        <v>521</v>
      </c>
      <c r="R67" s="573">
        <f t="shared" si="0"/>
        <v>-1.3</v>
      </c>
      <c r="S67" s="256">
        <f t="shared" si="1"/>
        <v>0.2</v>
      </c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2504.1699999999996</v>
      </c>
      <c r="E68" s="496">
        <v>3197.75</v>
      </c>
      <c r="F68" s="497">
        <v>3583.08</v>
      </c>
      <c r="G68" s="497">
        <v>4107.4599999999991</v>
      </c>
      <c r="H68" s="496">
        <v>4990.5899999999992</v>
      </c>
      <c r="I68" s="497">
        <v>5318.6799999999985</v>
      </c>
      <c r="J68" s="497">
        <v>5828.7100000000009</v>
      </c>
      <c r="K68" s="502">
        <v>4999.0599999999977</v>
      </c>
      <c r="L68" s="503">
        <v>4999.9799999999996</v>
      </c>
      <c r="M68" s="496">
        <v>4999.7599999999984</v>
      </c>
      <c r="N68" s="496">
        <v>5497.16</v>
      </c>
      <c r="O68" s="496">
        <v>5525.3499999999985</v>
      </c>
      <c r="P68" s="279">
        <v>5500.6899999999987</v>
      </c>
      <c r="Q68" s="502">
        <v>5999.8999999999978</v>
      </c>
      <c r="R68" s="573">
        <f t="shared" si="0"/>
        <v>10.4</v>
      </c>
      <c r="S68" s="256">
        <f t="shared" si="1"/>
        <v>3.7</v>
      </c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237</v>
      </c>
      <c r="E69" s="496">
        <v>345</v>
      </c>
      <c r="F69" s="497">
        <v>345</v>
      </c>
      <c r="G69" s="497">
        <v>355</v>
      </c>
      <c r="H69" s="496">
        <v>355</v>
      </c>
      <c r="I69" s="497">
        <v>365.01100000000002</v>
      </c>
      <c r="J69" s="497">
        <v>389.17087636841018</v>
      </c>
      <c r="K69" s="502">
        <v>449.66845734748586</v>
      </c>
      <c r="L69" s="503">
        <v>470.35320638547023</v>
      </c>
      <c r="M69" s="496">
        <v>488.50884015194936</v>
      </c>
      <c r="N69" s="496">
        <v>506.53481635355627</v>
      </c>
      <c r="O69" s="496">
        <v>524.51680233410752</v>
      </c>
      <c r="P69" s="279">
        <v>542.87489041580125</v>
      </c>
      <c r="Q69" s="502">
        <v>562.20123651460381</v>
      </c>
      <c r="R69" s="573">
        <f t="shared" si="0"/>
        <v>9.6</v>
      </c>
      <c r="S69" s="256">
        <f t="shared" si="1"/>
        <v>3.6</v>
      </c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495">
        <v>88.409771042685989</v>
      </c>
      <c r="E70" s="496">
        <v>88.409771042685989</v>
      </c>
      <c r="F70" s="497">
        <v>88.409771042685989</v>
      </c>
      <c r="G70" s="497">
        <v>110</v>
      </c>
      <c r="H70" s="496">
        <v>144.409771042686</v>
      </c>
      <c r="I70" s="497">
        <v>144.409771042686</v>
      </c>
      <c r="J70" s="497">
        <v>144.409771042686</v>
      </c>
      <c r="K70" s="502">
        <v>170</v>
      </c>
      <c r="L70" s="503">
        <v>160</v>
      </c>
      <c r="M70" s="496">
        <v>170</v>
      </c>
      <c r="N70" s="496">
        <v>175</v>
      </c>
      <c r="O70" s="496">
        <v>180</v>
      </c>
      <c r="P70" s="279">
        <v>190</v>
      </c>
      <c r="Q70" s="502">
        <v>200</v>
      </c>
      <c r="R70" s="573">
        <f t="shared" si="0"/>
        <v>9.8000000000000007</v>
      </c>
      <c r="S70" s="256">
        <f t="shared" si="1"/>
        <v>4.5999999999999996</v>
      </c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0</v>
      </c>
      <c r="E71" s="49">
        <v>0</v>
      </c>
      <c r="F71" s="45">
        <v>0</v>
      </c>
      <c r="G71" s="49">
        <v>0</v>
      </c>
      <c r="H71" s="49">
        <v>0</v>
      </c>
      <c r="I71" s="45">
        <v>0</v>
      </c>
      <c r="J71" s="49">
        <v>0</v>
      </c>
      <c r="K71" s="50">
        <v>0</v>
      </c>
      <c r="L71" s="140">
        <v>0</v>
      </c>
      <c r="M71" s="45">
        <v>0</v>
      </c>
      <c r="N71" s="45">
        <v>0</v>
      </c>
      <c r="O71" s="45">
        <v>0</v>
      </c>
      <c r="P71" s="45">
        <v>0</v>
      </c>
      <c r="Q71" s="50">
        <v>0</v>
      </c>
      <c r="R71" s="573" t="str">
        <f t="shared" si="0"/>
        <v xml:space="preserve">     -</v>
      </c>
      <c r="S71" s="256" t="str">
        <f t="shared" si="1"/>
        <v xml:space="preserve">     -</v>
      </c>
      <c r="U71" s="280"/>
      <c r="V71" s="280"/>
      <c r="W71" s="280"/>
      <c r="X71" s="280"/>
      <c r="Y71" s="280"/>
      <c r="Z71" s="280"/>
      <c r="AA71" s="280"/>
      <c r="AB71" s="280"/>
      <c r="AC71" s="280"/>
      <c r="AD71" s="280"/>
      <c r="AE71" s="280"/>
      <c r="AF71" s="280"/>
      <c r="AG71" s="280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U72" s="280"/>
      <c r="V72" s="280"/>
      <c r="W72" s="280"/>
      <c r="X72" s="280"/>
      <c r="Y72" s="280"/>
      <c r="Z72" s="280"/>
      <c r="AA72" s="280"/>
      <c r="AB72" s="280"/>
      <c r="AC72" s="280"/>
      <c r="AD72" s="280"/>
      <c r="AE72" s="280"/>
      <c r="AF72" s="280"/>
      <c r="AG72" s="280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>
        <v>0</v>
      </c>
      <c r="R73" s="573" t="str">
        <f t="shared" si="10"/>
        <v xml:space="preserve">     -</v>
      </c>
      <c r="S73" s="256" t="str">
        <f t="shared" si="11"/>
        <v xml:space="preserve">     -</v>
      </c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  <c r="AF73" s="280"/>
      <c r="AG73" s="280"/>
    </row>
    <row r="74" spans="1:33" ht="15" customHeight="1">
      <c r="A74" s="16"/>
      <c r="B74" s="668" t="s">
        <v>441</v>
      </c>
      <c r="C74" s="669"/>
      <c r="D74" s="495">
        <v>222.39536855582429</v>
      </c>
      <c r="E74" s="496">
        <v>233.73903000575285</v>
      </c>
      <c r="F74" s="497">
        <v>234</v>
      </c>
      <c r="G74" s="497">
        <v>245</v>
      </c>
      <c r="H74" s="496">
        <v>259.6755</v>
      </c>
      <c r="I74" s="497">
        <v>272.63280765000007</v>
      </c>
      <c r="J74" s="497">
        <v>284.30032305717003</v>
      </c>
      <c r="K74" s="502">
        <v>301.2460352864191</v>
      </c>
      <c r="L74" s="503">
        <v>315.40459894488077</v>
      </c>
      <c r="M74" s="496">
        <v>329.9132104963453</v>
      </c>
      <c r="N74" s="496">
        <v>345.7490446001699</v>
      </c>
      <c r="O74" s="496">
        <v>362.4832983588181</v>
      </c>
      <c r="P74" s="279">
        <v>380.0274899993849</v>
      </c>
      <c r="Q74" s="502">
        <v>398.4208205153551</v>
      </c>
      <c r="R74" s="573">
        <f t="shared" si="10"/>
        <v>4.4000000000000004</v>
      </c>
      <c r="S74" s="256">
        <f t="shared" si="11"/>
        <v>4.8</v>
      </c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0</v>
      </c>
      <c r="Q75" s="50">
        <v>0</v>
      </c>
      <c r="R75" s="573" t="str">
        <f t="shared" si="10"/>
        <v xml:space="preserve">     -</v>
      </c>
      <c r="S75" s="256" t="str">
        <f t="shared" si="11"/>
        <v xml:space="preserve">     -</v>
      </c>
      <c r="U75" s="280"/>
      <c r="V75" s="280"/>
      <c r="W75" s="280"/>
      <c r="X75" s="280"/>
      <c r="Y75" s="280"/>
      <c r="Z75" s="280"/>
      <c r="AA75" s="280"/>
      <c r="AB75" s="280"/>
      <c r="AC75" s="280"/>
      <c r="AD75" s="280"/>
      <c r="AE75" s="280"/>
      <c r="AF75" s="280"/>
      <c r="AG75" s="280"/>
    </row>
    <row r="76" spans="1:33" ht="15" customHeight="1">
      <c r="A76" s="16"/>
      <c r="B76" s="670" t="s">
        <v>443</v>
      </c>
      <c r="C76" s="671"/>
      <c r="D76" s="138">
        <v>1425.71218</v>
      </c>
      <c r="E76" s="40">
        <v>1363.1620000000003</v>
      </c>
      <c r="F76" s="40">
        <v>1171.2539999999995</v>
      </c>
      <c r="G76" s="40">
        <v>1098.2629999999999</v>
      </c>
      <c r="H76" s="505">
        <v>1250.2859999999991</v>
      </c>
      <c r="I76" s="505">
        <v>1198.2010600000001</v>
      </c>
      <c r="J76" s="506">
        <v>1338.0747199999998</v>
      </c>
      <c r="K76" s="507">
        <v>1582.1101999999998</v>
      </c>
      <c r="L76" s="508">
        <v>1623.1869999999999</v>
      </c>
      <c r="M76" s="505">
        <v>1619.8769936981291</v>
      </c>
      <c r="N76" s="505">
        <v>1629.075127945144</v>
      </c>
      <c r="O76" s="505">
        <v>1637.0407218700414</v>
      </c>
      <c r="P76" s="505">
        <v>1646.0020150355513</v>
      </c>
      <c r="Q76" s="509">
        <v>1654.9633082010612</v>
      </c>
      <c r="R76" s="573">
        <f t="shared" si="10"/>
        <v>1.5</v>
      </c>
      <c r="S76" s="256">
        <f t="shared" si="11"/>
        <v>0.4</v>
      </c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</row>
    <row r="77" spans="1:33" s="1" customFormat="1" ht="15.75" customHeight="1">
      <c r="A77" s="16"/>
      <c r="B77" s="674" t="s">
        <v>307</v>
      </c>
      <c r="C77" s="675"/>
      <c r="D77" s="95">
        <f>SUM(D65:D76)</f>
        <v>6887.6873195985099</v>
      </c>
      <c r="E77" s="93">
        <f t="shared" ref="E77:Q77" si="12">SUM(E65:E76)</f>
        <v>7612.3094410484391</v>
      </c>
      <c r="F77" s="93">
        <f t="shared" si="12"/>
        <v>7898.4330355626862</v>
      </c>
      <c r="G77" s="93">
        <f t="shared" si="12"/>
        <v>8389.7348949717598</v>
      </c>
      <c r="H77" s="93">
        <f t="shared" si="12"/>
        <v>9604.4539110426849</v>
      </c>
      <c r="I77" s="93">
        <f t="shared" si="12"/>
        <v>10053.011298692683</v>
      </c>
      <c r="J77" s="93">
        <f t="shared" si="12"/>
        <v>10921.66569046827</v>
      </c>
      <c r="K77" s="96">
        <f t="shared" si="12"/>
        <v>10511.0846926339</v>
      </c>
      <c r="L77" s="95">
        <f t="shared" si="12"/>
        <v>10611.924805330351</v>
      </c>
      <c r="M77" s="93">
        <f t="shared" si="12"/>
        <v>10951.059044346423</v>
      </c>
      <c r="N77" s="93">
        <f t="shared" si="12"/>
        <v>11496.51898889887</v>
      </c>
      <c r="O77" s="93">
        <f t="shared" si="12"/>
        <v>12026.390822562966</v>
      </c>
      <c r="P77" s="93">
        <f t="shared" si="12"/>
        <v>12040.594395450738</v>
      </c>
      <c r="Q77" s="96">
        <f t="shared" si="12"/>
        <v>12596.485365231018</v>
      </c>
      <c r="R77" s="574">
        <f t="shared" si="10"/>
        <v>6.2</v>
      </c>
      <c r="S77" s="510">
        <f t="shared" si="11"/>
        <v>3.5</v>
      </c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18.817999999999998</v>
      </c>
      <c r="E78" s="512">
        <v>18.817999999999998</v>
      </c>
      <c r="F78" s="512">
        <v>18.817999999999998</v>
      </c>
      <c r="G78" s="512">
        <v>18.817999999999998</v>
      </c>
      <c r="H78" s="512">
        <v>18.817999999999998</v>
      </c>
      <c r="I78" s="512">
        <v>18.817999999999998</v>
      </c>
      <c r="J78" s="513">
        <v>18</v>
      </c>
      <c r="K78" s="514">
        <v>18</v>
      </c>
      <c r="L78" s="511">
        <v>18</v>
      </c>
      <c r="M78" s="512">
        <v>18</v>
      </c>
      <c r="N78" s="512">
        <v>18</v>
      </c>
      <c r="O78" s="512">
        <v>18</v>
      </c>
      <c r="P78" s="513">
        <v>18</v>
      </c>
      <c r="Q78" s="514">
        <v>18</v>
      </c>
      <c r="R78" s="574">
        <f t="shared" si="10"/>
        <v>-0.6</v>
      </c>
      <c r="S78" s="510">
        <f t="shared" si="11"/>
        <v>0</v>
      </c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18.817999999999998</v>
      </c>
      <c r="E79" s="512">
        <v>18.817999999999998</v>
      </c>
      <c r="F79" s="512">
        <v>18.817999999999998</v>
      </c>
      <c r="G79" s="512">
        <v>18.817999999999998</v>
      </c>
      <c r="H79" s="512">
        <v>18.817999999999998</v>
      </c>
      <c r="I79" s="512">
        <v>18.817999999999998</v>
      </c>
      <c r="J79" s="513">
        <v>18</v>
      </c>
      <c r="K79" s="514">
        <v>18</v>
      </c>
      <c r="L79" s="511">
        <v>18</v>
      </c>
      <c r="M79" s="512">
        <v>18</v>
      </c>
      <c r="N79" s="512">
        <v>18</v>
      </c>
      <c r="O79" s="512">
        <v>18</v>
      </c>
      <c r="P79" s="513">
        <v>18</v>
      </c>
      <c r="Q79" s="514">
        <v>18</v>
      </c>
      <c r="R79" s="574">
        <f t="shared" si="10"/>
        <v>-0.6</v>
      </c>
      <c r="S79" s="510">
        <f t="shared" si="11"/>
        <v>0</v>
      </c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4396.0153527914399</v>
      </c>
      <c r="E80" s="538">
        <v>5356.7924491308704</v>
      </c>
      <c r="F80" s="538">
        <v>4597.920000000001</v>
      </c>
      <c r="G80" s="538">
        <v>4597.920000000001</v>
      </c>
      <c r="H80" s="538">
        <v>4597.920000000001</v>
      </c>
      <c r="I80" s="538">
        <v>4597.920000000001</v>
      </c>
      <c r="J80" s="515">
        <v>4597.920000000001</v>
      </c>
      <c r="K80" s="536">
        <v>4597.920000000001</v>
      </c>
      <c r="L80" s="537">
        <v>4597.920000000001</v>
      </c>
      <c r="M80" s="538">
        <v>4597.920000000001</v>
      </c>
      <c r="N80" s="538">
        <v>4597.920000000001</v>
      </c>
      <c r="O80" s="538">
        <v>4597.920000000001</v>
      </c>
      <c r="P80" s="515">
        <v>4597.920000000001</v>
      </c>
      <c r="Q80" s="536">
        <v>4597.920000000001</v>
      </c>
      <c r="R80" s="575">
        <f t="shared" si="10"/>
        <v>0.6</v>
      </c>
      <c r="S80" s="517">
        <f t="shared" si="11"/>
        <v>0</v>
      </c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s="1" customFormat="1" ht="15" customHeight="1">
      <c r="A81" s="16"/>
      <c r="B81" s="105"/>
      <c r="C81" s="615" t="s">
        <v>311</v>
      </c>
      <c r="D81" s="511">
        <v>3781.76</v>
      </c>
      <c r="E81" s="512">
        <v>4727.2</v>
      </c>
      <c r="F81" s="512">
        <v>4396.2960000000003</v>
      </c>
      <c r="G81" s="512">
        <v>4396.2960000000003</v>
      </c>
      <c r="H81" s="512">
        <v>4396.2960000000003</v>
      </c>
      <c r="I81" s="512">
        <v>4396.2960000000003</v>
      </c>
      <c r="J81" s="513">
        <v>4396.2960000000003</v>
      </c>
      <c r="K81" s="514">
        <v>4396.2960000000003</v>
      </c>
      <c r="L81" s="511">
        <v>4396.2960000000003</v>
      </c>
      <c r="M81" s="512">
        <v>4396.2960000000003</v>
      </c>
      <c r="N81" s="512">
        <v>4396.2960000000003</v>
      </c>
      <c r="O81" s="512">
        <v>4396.2960000000003</v>
      </c>
      <c r="P81" s="513">
        <v>4396.2960000000003</v>
      </c>
      <c r="Q81" s="514">
        <v>4396.2960000000003</v>
      </c>
      <c r="R81" s="574">
        <f t="shared" si="10"/>
        <v>2.2000000000000002</v>
      </c>
      <c r="S81" s="510">
        <f t="shared" si="11"/>
        <v>0</v>
      </c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s="1" customFormat="1" ht="15.75" customHeight="1">
      <c r="A82" s="16"/>
      <c r="B82" s="672" t="s">
        <v>312</v>
      </c>
      <c r="C82" s="673"/>
      <c r="D82" s="503">
        <v>332</v>
      </c>
      <c r="E82" s="496">
        <v>280</v>
      </c>
      <c r="F82" s="496">
        <v>300</v>
      </c>
      <c r="G82" s="496">
        <v>300</v>
      </c>
      <c r="H82" s="496">
        <v>300</v>
      </c>
      <c r="I82" s="496">
        <v>300</v>
      </c>
      <c r="J82" s="497">
        <v>300</v>
      </c>
      <c r="K82" s="502">
        <v>300</v>
      </c>
      <c r="L82" s="503">
        <v>400</v>
      </c>
      <c r="M82" s="496">
        <v>500</v>
      </c>
      <c r="N82" s="496">
        <v>600</v>
      </c>
      <c r="O82" s="496">
        <v>700</v>
      </c>
      <c r="P82" s="497">
        <v>850</v>
      </c>
      <c r="Q82" s="502">
        <v>1000</v>
      </c>
      <c r="R82" s="573">
        <f t="shared" si="10"/>
        <v>-1.4</v>
      </c>
      <c r="S82" s="256">
        <f t="shared" si="11"/>
        <v>20.100000000000001</v>
      </c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s="1" customFormat="1" ht="15" customHeight="1">
      <c r="A83" s="16"/>
      <c r="B83" s="16"/>
      <c r="C83" s="615" t="s">
        <v>313</v>
      </c>
      <c r="D83" s="511">
        <v>0</v>
      </c>
      <c r="E83" s="518">
        <v>0</v>
      </c>
      <c r="F83" s="518">
        <v>0</v>
      </c>
      <c r="G83" s="518">
        <v>0</v>
      </c>
      <c r="H83" s="518">
        <v>0</v>
      </c>
      <c r="I83" s="518">
        <v>0</v>
      </c>
      <c r="J83" s="519">
        <v>0</v>
      </c>
      <c r="K83" s="514">
        <v>0</v>
      </c>
      <c r="L83" s="511">
        <v>0</v>
      </c>
      <c r="M83" s="518">
        <v>0</v>
      </c>
      <c r="N83" s="518">
        <v>0</v>
      </c>
      <c r="O83" s="518">
        <v>0</v>
      </c>
      <c r="P83" s="519">
        <v>0</v>
      </c>
      <c r="Q83" s="514">
        <v>0</v>
      </c>
      <c r="R83" s="574" t="str">
        <f t="shared" si="10"/>
        <v xml:space="preserve">     -</v>
      </c>
      <c r="S83" s="510" t="str">
        <f t="shared" si="11"/>
        <v xml:space="preserve">     -</v>
      </c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s="1" customFormat="1" ht="15.75" customHeight="1">
      <c r="A84" s="16"/>
      <c r="B84" s="674" t="s">
        <v>314</v>
      </c>
      <c r="C84" s="675"/>
      <c r="D84" s="511">
        <v>145</v>
      </c>
      <c r="E84" s="518">
        <v>150</v>
      </c>
      <c r="F84" s="518">
        <v>150</v>
      </c>
      <c r="G84" s="518">
        <v>100</v>
      </c>
      <c r="H84" s="518">
        <v>110</v>
      </c>
      <c r="I84" s="518">
        <v>100</v>
      </c>
      <c r="J84" s="519">
        <v>100</v>
      </c>
      <c r="K84" s="514">
        <v>150</v>
      </c>
      <c r="L84" s="511">
        <v>150</v>
      </c>
      <c r="M84" s="518">
        <v>150</v>
      </c>
      <c r="N84" s="518">
        <v>150</v>
      </c>
      <c r="O84" s="518">
        <v>150</v>
      </c>
      <c r="P84" s="519">
        <v>150</v>
      </c>
      <c r="Q84" s="514">
        <v>150</v>
      </c>
      <c r="R84" s="574">
        <f t="shared" si="10"/>
        <v>0.5</v>
      </c>
      <c r="S84" s="510">
        <f t="shared" si="11"/>
        <v>0</v>
      </c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s="1" customFormat="1" ht="15.75" customHeight="1">
      <c r="A85" s="16"/>
      <c r="B85" s="674" t="s">
        <v>315</v>
      </c>
      <c r="C85" s="675"/>
      <c r="D85" s="520">
        <v>521.4</v>
      </c>
      <c r="E85" s="521">
        <v>563.4</v>
      </c>
      <c r="F85" s="521">
        <v>390.42</v>
      </c>
      <c r="G85" s="521">
        <v>554</v>
      </c>
      <c r="H85" s="521">
        <v>310</v>
      </c>
      <c r="I85" s="521">
        <v>302</v>
      </c>
      <c r="J85" s="522">
        <v>399.70400000000001</v>
      </c>
      <c r="K85" s="523">
        <v>407.69808</v>
      </c>
      <c r="L85" s="520">
        <v>415</v>
      </c>
      <c r="M85" s="521">
        <v>420</v>
      </c>
      <c r="N85" s="521">
        <v>426</v>
      </c>
      <c r="O85" s="521">
        <v>432</v>
      </c>
      <c r="P85" s="522">
        <v>439</v>
      </c>
      <c r="Q85" s="523">
        <v>445</v>
      </c>
      <c r="R85" s="574">
        <f t="shared" si="10"/>
        <v>-3.5</v>
      </c>
      <c r="S85" s="510">
        <f t="shared" si="11"/>
        <v>1.4</v>
      </c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v>7090.95</v>
      </c>
      <c r="E86" s="525">
        <v>4884</v>
      </c>
      <c r="F86" s="530">
        <v>4884</v>
      </c>
      <c r="G86" s="530">
        <v>5185</v>
      </c>
      <c r="H86" s="525">
        <v>5299</v>
      </c>
      <c r="I86" s="530">
        <v>5463</v>
      </c>
      <c r="J86" s="530">
        <v>5632</v>
      </c>
      <c r="K86" s="564">
        <v>5801</v>
      </c>
      <c r="L86" s="524">
        <v>5958</v>
      </c>
      <c r="M86" s="525">
        <v>6113</v>
      </c>
      <c r="N86" s="525">
        <v>6113</v>
      </c>
      <c r="O86" s="525">
        <v>6113</v>
      </c>
      <c r="P86" s="530">
        <v>6113</v>
      </c>
      <c r="Q86" s="564">
        <v>6113</v>
      </c>
      <c r="R86" s="573">
        <f t="shared" si="10"/>
        <v>-2.8</v>
      </c>
      <c r="S86" s="256">
        <f t="shared" si="11"/>
        <v>0.5</v>
      </c>
      <c r="U86" s="43"/>
      <c r="V86" s="43"/>
      <c r="W86" s="43"/>
      <c r="X86" s="326"/>
      <c r="Y86" s="326"/>
      <c r="Z86" s="326"/>
      <c r="AA86" s="326"/>
      <c r="AB86" s="326"/>
      <c r="AC86" s="326"/>
      <c r="AD86" s="326"/>
      <c r="AE86" s="326"/>
      <c r="AF86" s="326"/>
      <c r="AG86" s="326"/>
    </row>
    <row r="87" spans="1:33" ht="15" customHeight="1">
      <c r="A87" s="16"/>
      <c r="B87" s="670" t="s">
        <v>317</v>
      </c>
      <c r="C87" s="671"/>
      <c r="D87" s="553">
        <v>324</v>
      </c>
      <c r="E87" s="525">
        <v>324</v>
      </c>
      <c r="F87" s="530">
        <v>320</v>
      </c>
      <c r="G87" s="530">
        <v>349</v>
      </c>
      <c r="H87" s="525">
        <v>362</v>
      </c>
      <c r="I87" s="530">
        <v>379</v>
      </c>
      <c r="J87" s="530">
        <v>401</v>
      </c>
      <c r="K87" s="564">
        <v>418</v>
      </c>
      <c r="L87" s="524">
        <v>418</v>
      </c>
      <c r="M87" s="525">
        <v>418</v>
      </c>
      <c r="N87" s="525">
        <v>418</v>
      </c>
      <c r="O87" s="525">
        <v>418</v>
      </c>
      <c r="P87" s="530">
        <v>418</v>
      </c>
      <c r="Q87" s="564">
        <v>418</v>
      </c>
      <c r="R87" s="573">
        <f t="shared" si="10"/>
        <v>3.7</v>
      </c>
      <c r="S87" s="256">
        <f t="shared" si="11"/>
        <v>0</v>
      </c>
      <c r="U87" s="43"/>
      <c r="V87" s="43"/>
      <c r="W87" s="43"/>
      <c r="X87" s="326"/>
      <c r="Y87" s="326"/>
      <c r="Z87" s="326"/>
      <c r="AA87" s="326"/>
      <c r="AB87" s="326"/>
      <c r="AC87" s="326"/>
      <c r="AD87" s="326"/>
      <c r="AE87" s="326"/>
      <c r="AF87" s="326"/>
      <c r="AG87" s="326"/>
    </row>
    <row r="88" spans="1:33" s="1" customFormat="1" ht="15.75" customHeight="1">
      <c r="A88" s="16"/>
      <c r="B88" s="674" t="s">
        <v>318</v>
      </c>
      <c r="C88" s="675"/>
      <c r="D88" s="95">
        <f>SUM(D86:D87)</f>
        <v>7414.95</v>
      </c>
      <c r="E88" s="92">
        <f t="shared" ref="E88:Q88" si="13">SUM(E86:E87)</f>
        <v>5208</v>
      </c>
      <c r="F88" s="92">
        <f t="shared" si="13"/>
        <v>5204</v>
      </c>
      <c r="G88" s="93">
        <f t="shared" si="13"/>
        <v>5534</v>
      </c>
      <c r="H88" s="93">
        <f t="shared" si="13"/>
        <v>5661</v>
      </c>
      <c r="I88" s="94">
        <f t="shared" si="13"/>
        <v>5842</v>
      </c>
      <c r="J88" s="94">
        <f t="shared" si="13"/>
        <v>6033</v>
      </c>
      <c r="K88" s="96">
        <f t="shared" si="13"/>
        <v>6219</v>
      </c>
      <c r="L88" s="95">
        <f t="shared" si="13"/>
        <v>6376</v>
      </c>
      <c r="M88" s="93">
        <f t="shared" si="13"/>
        <v>6531</v>
      </c>
      <c r="N88" s="93">
        <f t="shared" si="13"/>
        <v>6531</v>
      </c>
      <c r="O88" s="93">
        <f t="shared" si="13"/>
        <v>6531</v>
      </c>
      <c r="P88" s="93">
        <f t="shared" si="13"/>
        <v>6531</v>
      </c>
      <c r="Q88" s="96">
        <f t="shared" si="13"/>
        <v>6531</v>
      </c>
      <c r="R88" s="574">
        <f t="shared" si="10"/>
        <v>-2.5</v>
      </c>
      <c r="S88" s="510">
        <f t="shared" si="11"/>
        <v>0.5</v>
      </c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282</v>
      </c>
      <c r="E89" s="525">
        <v>267</v>
      </c>
      <c r="F89" s="530">
        <v>400</v>
      </c>
      <c r="G89" s="530">
        <v>400</v>
      </c>
      <c r="H89" s="525">
        <v>400</v>
      </c>
      <c r="I89" s="530">
        <v>400</v>
      </c>
      <c r="J89" s="530">
        <v>320</v>
      </c>
      <c r="K89" s="564">
        <v>320</v>
      </c>
      <c r="L89" s="565">
        <v>320</v>
      </c>
      <c r="M89" s="566">
        <v>320</v>
      </c>
      <c r="N89" s="566">
        <v>320</v>
      </c>
      <c r="O89" s="566">
        <v>320</v>
      </c>
      <c r="P89" s="566">
        <v>320</v>
      </c>
      <c r="Q89" s="567">
        <v>320</v>
      </c>
      <c r="R89" s="573">
        <f t="shared" si="10"/>
        <v>1.8</v>
      </c>
      <c r="S89" s="256">
        <f t="shared" si="11"/>
        <v>0</v>
      </c>
      <c r="U89" s="43"/>
      <c r="V89" s="43"/>
      <c r="W89" s="43"/>
      <c r="X89" s="326"/>
      <c r="Y89" s="326"/>
      <c r="Z89" s="326"/>
      <c r="AA89" s="326"/>
      <c r="AB89" s="326"/>
      <c r="AC89" s="326"/>
      <c r="AD89" s="326"/>
      <c r="AE89" s="326"/>
      <c r="AF89" s="326"/>
      <c r="AG89" s="326"/>
    </row>
    <row r="90" spans="1:33" ht="15" customHeight="1">
      <c r="A90" s="16"/>
      <c r="B90" s="668" t="s">
        <v>320</v>
      </c>
      <c r="C90" s="669"/>
      <c r="D90" s="553">
        <v>414</v>
      </c>
      <c r="E90" s="525">
        <v>396</v>
      </c>
      <c r="F90" s="530">
        <v>400</v>
      </c>
      <c r="G90" s="530">
        <v>431</v>
      </c>
      <c r="H90" s="525">
        <v>432</v>
      </c>
      <c r="I90" s="530">
        <v>438</v>
      </c>
      <c r="J90" s="530">
        <v>448</v>
      </c>
      <c r="K90" s="564">
        <v>460</v>
      </c>
      <c r="L90" s="524">
        <v>473</v>
      </c>
      <c r="M90" s="525">
        <v>488</v>
      </c>
      <c r="N90" s="525">
        <v>488</v>
      </c>
      <c r="O90" s="525">
        <v>488</v>
      </c>
      <c r="P90" s="530">
        <v>488</v>
      </c>
      <c r="Q90" s="564">
        <v>488</v>
      </c>
      <c r="R90" s="573">
        <f t="shared" si="10"/>
        <v>1.5</v>
      </c>
      <c r="S90" s="256">
        <f t="shared" si="11"/>
        <v>0.6</v>
      </c>
      <c r="U90" s="43"/>
      <c r="V90" s="43"/>
      <c r="W90" s="43"/>
      <c r="X90" s="326"/>
      <c r="Y90" s="326"/>
      <c r="Z90" s="326"/>
      <c r="AA90" s="326"/>
      <c r="AB90" s="326"/>
      <c r="AC90" s="326"/>
      <c r="AD90" s="326"/>
      <c r="AE90" s="326"/>
      <c r="AF90" s="326"/>
      <c r="AG90" s="326"/>
    </row>
    <row r="91" spans="1:33" ht="15" customHeight="1">
      <c r="A91" s="16"/>
      <c r="B91" s="670" t="s">
        <v>321</v>
      </c>
      <c r="C91" s="671"/>
      <c r="D91" s="553">
        <v>164</v>
      </c>
      <c r="E91" s="525">
        <v>179</v>
      </c>
      <c r="F91" s="530">
        <v>192</v>
      </c>
      <c r="G91" s="530">
        <v>207</v>
      </c>
      <c r="H91" s="525">
        <v>209</v>
      </c>
      <c r="I91" s="530">
        <v>214</v>
      </c>
      <c r="J91" s="530">
        <v>224.7</v>
      </c>
      <c r="K91" s="568">
        <v>235.935</v>
      </c>
      <c r="L91" s="569">
        <v>236</v>
      </c>
      <c r="M91" s="570">
        <v>236</v>
      </c>
      <c r="N91" s="570">
        <v>236</v>
      </c>
      <c r="O91" s="570">
        <v>236</v>
      </c>
      <c r="P91" s="571">
        <v>236</v>
      </c>
      <c r="Q91" s="568">
        <v>236</v>
      </c>
      <c r="R91" s="573">
        <f t="shared" si="10"/>
        <v>5.3</v>
      </c>
      <c r="S91" s="256">
        <f t="shared" si="11"/>
        <v>0</v>
      </c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s="1" customFormat="1" ht="15.75" customHeight="1" thickBot="1">
      <c r="A92" s="16"/>
      <c r="B92" s="678" t="s">
        <v>322</v>
      </c>
      <c r="C92" s="679"/>
      <c r="D92" s="102">
        <f>SUM(D89:D91)</f>
        <v>860</v>
      </c>
      <c r="E92" s="539">
        <f t="shared" ref="E92:Q92" si="14">SUM(E89:E91)</f>
        <v>842</v>
      </c>
      <c r="F92" s="539">
        <f t="shared" si="14"/>
        <v>992</v>
      </c>
      <c r="G92" s="100">
        <f t="shared" si="14"/>
        <v>1038</v>
      </c>
      <c r="H92" s="100">
        <f t="shared" si="14"/>
        <v>1041</v>
      </c>
      <c r="I92" s="100">
        <f t="shared" si="14"/>
        <v>1052</v>
      </c>
      <c r="J92" s="101">
        <f t="shared" si="14"/>
        <v>992.7</v>
      </c>
      <c r="K92" s="104">
        <f t="shared" si="14"/>
        <v>1015.9349999999999</v>
      </c>
      <c r="L92" s="540">
        <f t="shared" si="14"/>
        <v>1029</v>
      </c>
      <c r="M92" s="100">
        <f t="shared" si="14"/>
        <v>1044</v>
      </c>
      <c r="N92" s="100">
        <f t="shared" si="14"/>
        <v>1044</v>
      </c>
      <c r="O92" s="100">
        <f t="shared" si="14"/>
        <v>1044</v>
      </c>
      <c r="P92" s="100">
        <f t="shared" si="14"/>
        <v>1044</v>
      </c>
      <c r="Q92" s="103">
        <f t="shared" si="14"/>
        <v>1044</v>
      </c>
      <c r="R92" s="576">
        <f t="shared" si="10"/>
        <v>2.4</v>
      </c>
      <c r="S92" s="541">
        <f t="shared" si="11"/>
        <v>0.3</v>
      </c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s="1" customFormat="1" ht="18" customHeight="1" thickTop="1" thickBot="1">
      <c r="A93" s="21"/>
      <c r="B93" s="676" t="s">
        <v>329</v>
      </c>
      <c r="C93" s="677"/>
      <c r="D93" s="542">
        <f>D77+D78+D80+D82+D84+D85+D88+D92</f>
        <v>20575.870672389949</v>
      </c>
      <c r="E93" s="543">
        <f t="shared" ref="E93:Q93" si="15">E77+E78+E80+E82+E84+E85+E88+E92</f>
        <v>20031.319890179308</v>
      </c>
      <c r="F93" s="543">
        <f t="shared" si="15"/>
        <v>19551.591035562687</v>
      </c>
      <c r="G93" s="544">
        <f t="shared" si="15"/>
        <v>20532.472894971761</v>
      </c>
      <c r="H93" s="544">
        <f t="shared" si="15"/>
        <v>21643.191911042686</v>
      </c>
      <c r="I93" s="544">
        <f t="shared" si="15"/>
        <v>22265.749298692685</v>
      </c>
      <c r="J93" s="545">
        <f t="shared" si="15"/>
        <v>23362.989690468272</v>
      </c>
      <c r="K93" s="546">
        <f t="shared" si="15"/>
        <v>23219.637772633901</v>
      </c>
      <c r="L93" s="547">
        <f t="shared" si="15"/>
        <v>23597.844805330351</v>
      </c>
      <c r="M93" s="544">
        <f t="shared" si="15"/>
        <v>24211.979044346423</v>
      </c>
      <c r="N93" s="544">
        <f t="shared" si="15"/>
        <v>24863.43898889887</v>
      </c>
      <c r="O93" s="544">
        <f t="shared" si="15"/>
        <v>25499.310822562966</v>
      </c>
      <c r="P93" s="544">
        <f t="shared" si="15"/>
        <v>25670.51439545074</v>
      </c>
      <c r="Q93" s="577">
        <f t="shared" si="15"/>
        <v>26382.405365231018</v>
      </c>
      <c r="R93" s="578">
        <f t="shared" si="10"/>
        <v>1.7</v>
      </c>
      <c r="S93" s="549">
        <f t="shared" si="11"/>
        <v>2.2999999999999998</v>
      </c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17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17" ht="13.5" customHeight="1">
      <c r="C98" s="617" t="s">
        <v>333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</row>
    <row r="99" spans="3:17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17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4"/>
    </row>
    <row r="101" spans="3:17"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4"/>
    </row>
    <row r="102" spans="3:17"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4"/>
    </row>
    <row r="103" spans="3:17"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4"/>
    </row>
    <row r="104" spans="3:17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17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17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17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17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17"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258"/>
      <c r="P109" s="258"/>
      <c r="Q109" s="258"/>
    </row>
    <row r="110" spans="3:17"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4"/>
    </row>
    <row r="111" spans="3:17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17"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258"/>
      <c r="P112" s="258"/>
      <c r="Q112" s="258"/>
    </row>
    <row r="113" spans="5:17">
      <c r="E113" s="259"/>
      <c r="F113" s="259"/>
      <c r="G113" s="258"/>
      <c r="H113" s="258"/>
      <c r="I113" s="258"/>
      <c r="J113" s="258"/>
      <c r="K113" s="258"/>
      <c r="L113" s="258"/>
      <c r="M113" s="258"/>
      <c r="N113" s="258"/>
      <c r="O113" s="258"/>
      <c r="P113" s="258"/>
      <c r="Q113" s="258"/>
    </row>
    <row r="114" spans="5:17">
      <c r="E114" s="259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8"/>
    </row>
    <row r="115" spans="5:17">
      <c r="E115" s="259"/>
      <c r="F115" s="259"/>
      <c r="G115" s="259"/>
      <c r="H115" s="259"/>
      <c r="I115" s="259"/>
      <c r="J115" s="259"/>
      <c r="K115" s="259"/>
      <c r="L115" s="259"/>
      <c r="M115" s="259"/>
      <c r="N115" s="259"/>
      <c r="O115" s="259"/>
      <c r="P115" s="259"/>
      <c r="Q115" s="258"/>
    </row>
    <row r="116" spans="5:17"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258"/>
      <c r="P116" s="258"/>
      <c r="Q116" s="258"/>
    </row>
    <row r="117" spans="5:17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5:17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5:17"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258"/>
      <c r="P119" s="258"/>
      <c r="Q119" s="258"/>
    </row>
    <row r="120" spans="5:17">
      <c r="E120" s="27"/>
      <c r="F120" s="27"/>
      <c r="G120" s="27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5:17">
      <c r="E121" s="27"/>
      <c r="F121" s="27"/>
      <c r="G121" s="27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5:17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5:17"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258"/>
      <c r="P123" s="258"/>
      <c r="Q123" s="258"/>
    </row>
    <row r="124" spans="5:17"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258"/>
      <c r="P124" s="258"/>
      <c r="Q124" s="258"/>
    </row>
    <row r="125" spans="5:17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5:17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5:17"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5:17">
      <c r="E128" s="27"/>
      <c r="F128" s="27"/>
      <c r="G128" s="27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4"/>
    </row>
    <row r="130" spans="5:17"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4"/>
    </row>
    <row r="131" spans="5:17"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4"/>
    </row>
    <row r="132" spans="5:17"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4"/>
    </row>
    <row r="133" spans="5:17"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4"/>
    </row>
    <row r="134" spans="5:17"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4"/>
    </row>
    <row r="135" spans="5:17"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4"/>
    </row>
    <row r="136" spans="5:17"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4"/>
    </row>
    <row r="137" spans="5:17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258"/>
      <c r="P138" s="258"/>
      <c r="Q138" s="258"/>
    </row>
    <row r="139" spans="5:17"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4"/>
    </row>
    <row r="140" spans="5:17"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4"/>
    </row>
    <row r="141" spans="5:17"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258"/>
      <c r="P141" s="258"/>
      <c r="Q141" s="258"/>
    </row>
    <row r="142" spans="5:17">
      <c r="E142" s="259"/>
      <c r="F142" s="259"/>
      <c r="G142" s="258"/>
      <c r="H142" s="258"/>
      <c r="I142" s="258"/>
      <c r="J142" s="258"/>
      <c r="K142" s="258"/>
      <c r="L142" s="258"/>
      <c r="M142" s="258"/>
      <c r="N142" s="258"/>
      <c r="O142" s="258"/>
      <c r="P142" s="258"/>
      <c r="Q142" s="258"/>
    </row>
    <row r="143" spans="5:17">
      <c r="E143" s="259"/>
      <c r="F143" s="259"/>
      <c r="G143" s="259"/>
      <c r="H143" s="259"/>
      <c r="I143" s="259"/>
      <c r="J143" s="259"/>
      <c r="K143" s="259"/>
      <c r="L143" s="259"/>
      <c r="M143" s="259"/>
      <c r="N143" s="259"/>
      <c r="O143" s="259"/>
      <c r="P143" s="259"/>
      <c r="Q143" s="258"/>
    </row>
    <row r="144" spans="5:17">
      <c r="E144" s="259"/>
      <c r="F144" s="259"/>
      <c r="G144" s="259"/>
      <c r="H144" s="259"/>
      <c r="I144" s="259"/>
      <c r="J144" s="259"/>
      <c r="K144" s="259"/>
      <c r="L144" s="259"/>
      <c r="M144" s="259"/>
      <c r="N144" s="259"/>
      <c r="O144" s="259"/>
      <c r="P144" s="259"/>
      <c r="Q144" s="258"/>
    </row>
    <row r="145" spans="5:17">
      <c r="E145" s="258"/>
      <c r="F145" s="258"/>
      <c r="G145" s="258"/>
      <c r="H145" s="258"/>
      <c r="I145" s="258"/>
      <c r="J145" s="258"/>
      <c r="K145" s="258"/>
      <c r="L145" s="258"/>
      <c r="M145" s="258"/>
      <c r="N145" s="258"/>
      <c r="O145" s="258"/>
      <c r="P145" s="258"/>
      <c r="Q145" s="258"/>
    </row>
    <row r="146" spans="5:17">
      <c r="E146" s="27"/>
      <c r="F146" s="27"/>
      <c r="G146" s="27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 spans="5:17">
      <c r="E147" s="27"/>
      <c r="F147" s="27"/>
      <c r="G147" s="27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 spans="5:17">
      <c r="E148" s="258"/>
      <c r="F148" s="258"/>
      <c r="G148" s="258"/>
      <c r="H148" s="258"/>
      <c r="I148" s="258"/>
      <c r="J148" s="258"/>
      <c r="K148" s="258"/>
      <c r="L148" s="258"/>
      <c r="M148" s="258"/>
      <c r="N148" s="258"/>
      <c r="O148" s="258"/>
      <c r="P148" s="258"/>
      <c r="Q148" s="258"/>
    </row>
    <row r="149" spans="5:17"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24"/>
    </row>
    <row r="150" spans="5:17">
      <c r="E150" s="27"/>
      <c r="F150" s="27"/>
      <c r="G150" s="27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 spans="5:17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258"/>
      <c r="P152" s="258"/>
      <c r="Q152" s="258"/>
    </row>
    <row r="153" spans="5:17"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8"/>
      <c r="P153" s="258"/>
      <c r="Q153" s="258"/>
    </row>
    <row r="154" spans="5:17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>
      <c r="E161" s="27"/>
      <c r="F161" s="27"/>
      <c r="G161" s="27"/>
      <c r="H161" s="27"/>
      <c r="I161" s="24"/>
      <c r="J161" s="27"/>
      <c r="K161" s="27"/>
      <c r="L161" s="27"/>
      <c r="M161" s="27"/>
      <c r="N161" s="27"/>
      <c r="O161" s="27"/>
      <c r="P161" s="27"/>
      <c r="Q161" s="24"/>
    </row>
    <row r="162" spans="5:17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4"/>
    </row>
    <row r="163" spans="5:17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>
      <c r="E167" s="258"/>
      <c r="F167" s="258"/>
      <c r="G167" s="258"/>
      <c r="H167" s="258"/>
      <c r="I167" s="258"/>
      <c r="J167" s="258"/>
      <c r="K167" s="258"/>
      <c r="L167" s="258"/>
      <c r="M167" s="258"/>
      <c r="N167" s="258"/>
      <c r="O167" s="258"/>
      <c r="P167" s="258"/>
      <c r="Q167" s="258"/>
    </row>
    <row r="168" spans="5:17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4"/>
    </row>
    <row r="170" spans="5:17">
      <c r="E170" s="258"/>
      <c r="F170" s="258"/>
      <c r="G170" s="258"/>
      <c r="H170" s="258"/>
      <c r="I170" s="258"/>
      <c r="J170" s="258"/>
      <c r="K170" s="258"/>
      <c r="L170" s="258"/>
      <c r="M170" s="258"/>
      <c r="N170" s="258"/>
      <c r="O170" s="258"/>
      <c r="P170" s="258"/>
      <c r="Q170" s="258"/>
    </row>
    <row r="171" spans="5:17">
      <c r="E171" s="259"/>
      <c r="F171" s="259"/>
      <c r="G171" s="258"/>
      <c r="H171" s="258"/>
      <c r="I171" s="258"/>
      <c r="J171" s="258"/>
      <c r="K171" s="258"/>
      <c r="L171" s="258"/>
      <c r="M171" s="258"/>
      <c r="N171" s="258"/>
      <c r="O171" s="258"/>
      <c r="P171" s="258"/>
      <c r="Q171" s="258"/>
    </row>
    <row r="172" spans="5:17">
      <c r="E172" s="259"/>
      <c r="F172" s="259"/>
      <c r="G172" s="259"/>
      <c r="H172" s="259"/>
      <c r="I172" s="259"/>
      <c r="J172" s="259"/>
      <c r="K172" s="259"/>
      <c r="L172" s="259"/>
      <c r="M172" s="259"/>
      <c r="N172" s="259"/>
      <c r="O172" s="259"/>
      <c r="P172" s="259"/>
      <c r="Q172" s="258"/>
    </row>
    <row r="173" spans="5:17">
      <c r="E173" s="259"/>
      <c r="F173" s="259"/>
      <c r="G173" s="259"/>
      <c r="H173" s="259"/>
      <c r="I173" s="259"/>
      <c r="J173" s="259"/>
      <c r="K173" s="259"/>
      <c r="L173" s="259"/>
      <c r="M173" s="259"/>
      <c r="N173" s="259"/>
      <c r="O173" s="259"/>
      <c r="P173" s="259"/>
      <c r="Q173" s="258"/>
    </row>
    <row r="174" spans="5:17">
      <c r="E174" s="258"/>
      <c r="F174" s="258"/>
      <c r="G174" s="258"/>
      <c r="H174" s="258"/>
      <c r="I174" s="258"/>
      <c r="J174" s="258"/>
      <c r="K174" s="258"/>
      <c r="L174" s="258"/>
      <c r="M174" s="258"/>
      <c r="N174" s="258"/>
      <c r="O174" s="258"/>
      <c r="P174" s="258"/>
      <c r="Q174" s="258"/>
    </row>
    <row r="175" spans="5:17">
      <c r="E175" s="27"/>
      <c r="F175" s="27"/>
      <c r="G175" s="27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 spans="5:17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 spans="5:17">
      <c r="E177" s="258"/>
      <c r="F177" s="258"/>
      <c r="G177" s="258"/>
      <c r="H177" s="258"/>
      <c r="I177" s="258"/>
      <c r="J177" s="258"/>
      <c r="K177" s="258"/>
      <c r="L177" s="258"/>
      <c r="M177" s="258"/>
      <c r="N177" s="258"/>
      <c r="O177" s="258"/>
      <c r="P177" s="258"/>
      <c r="Q177" s="258"/>
    </row>
    <row r="178" spans="5:17">
      <c r="E178" s="27"/>
      <c r="F178" s="27"/>
      <c r="G178" s="27"/>
      <c r="H178" s="27"/>
      <c r="I178" s="24"/>
      <c r="J178" s="24"/>
      <c r="K178" s="24"/>
      <c r="L178" s="24"/>
      <c r="M178" s="24"/>
      <c r="N178" s="24"/>
      <c r="O178" s="24"/>
      <c r="P178" s="24"/>
      <c r="Q178" s="24"/>
    </row>
    <row r="179" spans="5:17">
      <c r="E179" s="27"/>
      <c r="F179" s="27"/>
      <c r="G179" s="27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 spans="5:17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258"/>
      <c r="P181" s="258"/>
      <c r="Q181" s="258"/>
    </row>
    <row r="182" spans="5:17"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258"/>
      <c r="P182" s="258"/>
      <c r="Q182" s="258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63" priority="5">
      <formula>CELL("protect",C97)=0</formula>
    </cfRule>
    <cfRule type="expression" dxfId="262" priority="6">
      <formula>CELL("protect",C97)=0</formula>
    </cfRule>
  </conditionalFormatting>
  <conditionalFormatting sqref="C95">
    <cfRule type="expression" dxfId="261" priority="3">
      <formula>CELL("protect",C95)=0</formula>
    </cfRule>
    <cfRule type="expression" dxfId="260" priority="4">
      <formula>CELL("protect",C95)=0</formula>
    </cfRule>
  </conditionalFormatting>
  <conditionalFormatting sqref="C97">
    <cfRule type="expression" dxfId="259" priority="1">
      <formula>CELL("protect",C97)=0</formula>
    </cfRule>
    <cfRule type="expression" dxfId="258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&amp;C155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rgb="FF00B0F0"/>
    <pageSetUpPr fitToPage="1"/>
  </sheetPr>
  <dimension ref="A1:AG200"/>
  <sheetViews>
    <sheetView showGridLines="0" view="pageBreakPreview" zoomScale="80" zoomScaleNormal="5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14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4360</v>
      </c>
      <c r="E7" s="488">
        <v>4780</v>
      </c>
      <c r="F7" s="489">
        <v>5163</v>
      </c>
      <c r="G7" s="489">
        <v>5233</v>
      </c>
      <c r="H7" s="488">
        <v>5653</v>
      </c>
      <c r="I7" s="489">
        <v>6148</v>
      </c>
      <c r="J7" s="489">
        <v>6488</v>
      </c>
      <c r="K7" s="490">
        <v>6488</v>
      </c>
      <c r="L7" s="491">
        <v>6528</v>
      </c>
      <c r="M7" s="492">
        <v>6528</v>
      </c>
      <c r="N7" s="492">
        <v>6528</v>
      </c>
      <c r="O7" s="492">
        <v>6528</v>
      </c>
      <c r="P7" s="493">
        <v>6528</v>
      </c>
      <c r="Q7" s="490">
        <v>6528</v>
      </c>
      <c r="R7" s="572">
        <f>IF(D7=0,"     -",IF(K7=0,"     -",ROUND(((K7/D7)^(1/7)-1)*100,1)))</f>
        <v>5.8</v>
      </c>
      <c r="S7" s="494">
        <f>IF(L7=0,"     -",IF(Q7=0,"     -",ROUND(((Q7/L7)^(1/5)-1)*100,1)))</f>
        <v>0</v>
      </c>
      <c r="T7" s="28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1910</v>
      </c>
      <c r="E8" s="496">
        <v>1910</v>
      </c>
      <c r="F8" s="497">
        <v>1910</v>
      </c>
      <c r="G8" s="497">
        <v>2120</v>
      </c>
      <c r="H8" s="496">
        <v>1980</v>
      </c>
      <c r="I8" s="497">
        <v>1980</v>
      </c>
      <c r="J8" s="497">
        <v>1980</v>
      </c>
      <c r="K8" s="498">
        <v>1980</v>
      </c>
      <c r="L8" s="499">
        <v>1980</v>
      </c>
      <c r="M8" s="500">
        <v>1980</v>
      </c>
      <c r="N8" s="500">
        <v>1980</v>
      </c>
      <c r="O8" s="500">
        <v>1980</v>
      </c>
      <c r="P8" s="501">
        <v>1980</v>
      </c>
      <c r="Q8" s="498">
        <v>1980</v>
      </c>
      <c r="R8" s="573">
        <f t="shared" ref="R8:R71" si="0">IF(D8=0,"     -",IF(K8=0,"     -",ROUND(((K8/D8)^(1/7)-1)*100,1)))</f>
        <v>0.5</v>
      </c>
      <c r="S8" s="256">
        <f t="shared" ref="S8:S71" si="1">IF(L8=0,"     -",IF(Q8=0,"     -",ROUND(((Q8/L8)^(1/5)-1)*100,1)))</f>
        <v>0</v>
      </c>
      <c r="T8" s="28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900</v>
      </c>
      <c r="E9" s="496">
        <v>900</v>
      </c>
      <c r="F9" s="497">
        <v>900</v>
      </c>
      <c r="G9" s="497">
        <v>1240</v>
      </c>
      <c r="H9" s="496">
        <v>1690</v>
      </c>
      <c r="I9" s="497">
        <v>1740</v>
      </c>
      <c r="J9" s="497">
        <v>1740</v>
      </c>
      <c r="K9" s="502">
        <v>1740</v>
      </c>
      <c r="L9" s="503">
        <v>1740</v>
      </c>
      <c r="M9" s="496">
        <v>1740</v>
      </c>
      <c r="N9" s="496">
        <v>1740</v>
      </c>
      <c r="O9" s="496">
        <v>1740</v>
      </c>
      <c r="P9" s="279">
        <v>1740</v>
      </c>
      <c r="Q9" s="502">
        <v>1740</v>
      </c>
      <c r="R9" s="573">
        <f t="shared" si="0"/>
        <v>9.9</v>
      </c>
      <c r="S9" s="256">
        <f t="shared" si="1"/>
        <v>0</v>
      </c>
      <c r="T9" s="283"/>
      <c r="U9" s="329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10606</v>
      </c>
      <c r="E10" s="496">
        <v>11844</v>
      </c>
      <c r="F10" s="497">
        <v>12695</v>
      </c>
      <c r="G10" s="497">
        <v>13861</v>
      </c>
      <c r="H10" s="496">
        <v>15412</v>
      </c>
      <c r="I10" s="497">
        <v>15702</v>
      </c>
      <c r="J10" s="497">
        <v>16149</v>
      </c>
      <c r="K10" s="502">
        <v>16747</v>
      </c>
      <c r="L10" s="503">
        <v>17723</v>
      </c>
      <c r="M10" s="496">
        <v>20394</v>
      </c>
      <c r="N10" s="496">
        <v>22697</v>
      </c>
      <c r="O10" s="496">
        <v>24047</v>
      </c>
      <c r="P10" s="279">
        <v>24327</v>
      </c>
      <c r="Q10" s="502">
        <v>25407</v>
      </c>
      <c r="R10" s="573">
        <f t="shared" si="0"/>
        <v>6.7</v>
      </c>
      <c r="S10" s="256">
        <f t="shared" si="1"/>
        <v>7.5</v>
      </c>
      <c r="T10" s="28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1276</v>
      </c>
      <c r="E11" s="496">
        <v>1276</v>
      </c>
      <c r="F11" s="497">
        <v>1276</v>
      </c>
      <c r="G11" s="497">
        <v>1376</v>
      </c>
      <c r="H11" s="496">
        <v>1376</v>
      </c>
      <c r="I11" s="497">
        <v>1376</v>
      </c>
      <c r="J11" s="497">
        <v>1413</v>
      </c>
      <c r="K11" s="502">
        <v>1413</v>
      </c>
      <c r="L11" s="503">
        <v>1413</v>
      </c>
      <c r="M11" s="496">
        <v>1413</v>
      </c>
      <c r="N11" s="496">
        <v>1413</v>
      </c>
      <c r="O11" s="496">
        <v>1413</v>
      </c>
      <c r="P11" s="279">
        <v>1413</v>
      </c>
      <c r="Q11" s="502">
        <v>1413</v>
      </c>
      <c r="R11" s="573">
        <f t="shared" si="0"/>
        <v>1.5</v>
      </c>
      <c r="S11" s="256">
        <f t="shared" si="1"/>
        <v>0</v>
      </c>
      <c r="T11" s="283"/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507</v>
      </c>
      <c r="E12" s="45">
        <v>507</v>
      </c>
      <c r="F12" s="49">
        <v>507</v>
      </c>
      <c r="G12" s="45">
        <v>507</v>
      </c>
      <c r="H12" s="49">
        <v>630</v>
      </c>
      <c r="I12" s="45">
        <v>630</v>
      </c>
      <c r="J12" s="49">
        <v>630</v>
      </c>
      <c r="K12" s="50">
        <v>630</v>
      </c>
      <c r="L12" s="504">
        <v>630</v>
      </c>
      <c r="M12" s="45">
        <v>630</v>
      </c>
      <c r="N12" s="45">
        <v>630</v>
      </c>
      <c r="O12" s="45">
        <v>630</v>
      </c>
      <c r="P12" s="45">
        <v>630</v>
      </c>
      <c r="Q12" s="51">
        <v>630</v>
      </c>
      <c r="R12" s="573">
        <f t="shared" si="0"/>
        <v>3.2</v>
      </c>
      <c r="S12" s="256">
        <f t="shared" si="1"/>
        <v>0</v>
      </c>
      <c r="T12" s="283"/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1346</v>
      </c>
      <c r="E13" s="49">
        <v>1346</v>
      </c>
      <c r="F13" s="45">
        <v>1346</v>
      </c>
      <c r="G13" s="49">
        <v>1346</v>
      </c>
      <c r="H13" s="49">
        <v>1346</v>
      </c>
      <c r="I13" s="45">
        <v>1881</v>
      </c>
      <c r="J13" s="49">
        <v>2213</v>
      </c>
      <c r="K13" s="50">
        <v>2213</v>
      </c>
      <c r="L13" s="140">
        <v>2213</v>
      </c>
      <c r="M13" s="45">
        <v>2713</v>
      </c>
      <c r="N13" s="45">
        <v>2713</v>
      </c>
      <c r="O13" s="45">
        <v>3093</v>
      </c>
      <c r="P13" s="45">
        <v>3093</v>
      </c>
      <c r="Q13" s="50">
        <v>3093</v>
      </c>
      <c r="R13" s="573">
        <f t="shared" si="0"/>
        <v>7.4</v>
      </c>
      <c r="S13" s="256">
        <f t="shared" si="1"/>
        <v>6.9</v>
      </c>
      <c r="T13" s="28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23</v>
      </c>
      <c r="E15" s="49">
        <v>23</v>
      </c>
      <c r="F15" s="45">
        <v>23</v>
      </c>
      <c r="G15" s="49">
        <v>23</v>
      </c>
      <c r="H15" s="49">
        <v>23</v>
      </c>
      <c r="I15" s="45">
        <v>23</v>
      </c>
      <c r="J15" s="49">
        <v>23</v>
      </c>
      <c r="K15" s="50">
        <v>23</v>
      </c>
      <c r="L15" s="140">
        <v>23</v>
      </c>
      <c r="M15" s="45">
        <v>23</v>
      </c>
      <c r="N15" s="45">
        <v>23</v>
      </c>
      <c r="O15" s="45">
        <v>149</v>
      </c>
      <c r="P15" s="45">
        <v>149</v>
      </c>
      <c r="Q15" s="50">
        <v>149</v>
      </c>
      <c r="R15" s="573">
        <f t="shared" si="0"/>
        <v>0</v>
      </c>
      <c r="S15" s="256">
        <f t="shared" si="1"/>
        <v>45.3</v>
      </c>
      <c r="T15" s="283"/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320</v>
      </c>
      <c r="E16" s="496">
        <v>320</v>
      </c>
      <c r="F16" s="497">
        <v>320</v>
      </c>
      <c r="G16" s="497">
        <v>320</v>
      </c>
      <c r="H16" s="496">
        <v>320</v>
      </c>
      <c r="I16" s="497">
        <v>320</v>
      </c>
      <c r="J16" s="497">
        <v>320</v>
      </c>
      <c r="K16" s="502">
        <v>320</v>
      </c>
      <c r="L16" s="503">
        <v>410</v>
      </c>
      <c r="M16" s="496">
        <v>410</v>
      </c>
      <c r="N16" s="496">
        <v>640</v>
      </c>
      <c r="O16" s="496">
        <v>640</v>
      </c>
      <c r="P16" s="497">
        <v>640</v>
      </c>
      <c r="Q16" s="502">
        <v>640</v>
      </c>
      <c r="R16" s="573">
        <f t="shared" si="0"/>
        <v>0</v>
      </c>
      <c r="S16" s="256">
        <f t="shared" si="1"/>
        <v>9.3000000000000007</v>
      </c>
      <c r="T16" s="283"/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T17" s="283"/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6713</v>
      </c>
      <c r="E18" s="40">
        <v>6713</v>
      </c>
      <c r="F18" s="40">
        <v>6257</v>
      </c>
      <c r="G18" s="40">
        <v>6247</v>
      </c>
      <c r="H18" s="40">
        <v>6034</v>
      </c>
      <c r="I18" s="505">
        <v>5666</v>
      </c>
      <c r="J18" s="506">
        <v>5722</v>
      </c>
      <c r="K18" s="507">
        <v>5741</v>
      </c>
      <c r="L18" s="508">
        <v>5741</v>
      </c>
      <c r="M18" s="505">
        <v>5741</v>
      </c>
      <c r="N18" s="505">
        <v>5741</v>
      </c>
      <c r="O18" s="505">
        <v>5741</v>
      </c>
      <c r="P18" s="505">
        <v>5741</v>
      </c>
      <c r="Q18" s="509">
        <v>5741</v>
      </c>
      <c r="R18" s="573">
        <f t="shared" si="0"/>
        <v>-2.2000000000000002</v>
      </c>
      <c r="S18" s="256">
        <f t="shared" si="1"/>
        <v>0</v>
      </c>
      <c r="T18" s="283"/>
      <c r="U18" s="280"/>
      <c r="V18" s="280"/>
      <c r="W18" s="280"/>
      <c r="X18" s="280"/>
      <c r="Y18" s="280"/>
      <c r="Z18" s="280"/>
      <c r="AA18" s="280"/>
      <c r="AB18" s="280"/>
      <c r="AC18" s="280"/>
      <c r="AD18" s="280"/>
      <c r="AE18" s="280"/>
      <c r="AF18" s="280"/>
      <c r="AG18" s="280"/>
    </row>
    <row r="19" spans="1:33" ht="15.75" customHeight="1">
      <c r="A19" s="16"/>
      <c r="B19" s="674" t="s">
        <v>307</v>
      </c>
      <c r="C19" s="675"/>
      <c r="D19" s="95">
        <f>SUM(D7:D18)</f>
        <v>27961</v>
      </c>
      <c r="E19" s="93">
        <f t="shared" ref="E19:Q19" si="2">SUM(E7:E18)</f>
        <v>29619</v>
      </c>
      <c r="F19" s="93">
        <f t="shared" si="2"/>
        <v>30397</v>
      </c>
      <c r="G19" s="93">
        <f t="shared" si="2"/>
        <v>32273</v>
      </c>
      <c r="H19" s="93">
        <f t="shared" si="2"/>
        <v>34464</v>
      </c>
      <c r="I19" s="93">
        <f t="shared" si="2"/>
        <v>35466</v>
      </c>
      <c r="J19" s="93">
        <f t="shared" si="2"/>
        <v>36678</v>
      </c>
      <c r="K19" s="96">
        <f t="shared" si="2"/>
        <v>37295</v>
      </c>
      <c r="L19" s="95">
        <f t="shared" si="2"/>
        <v>38401</v>
      </c>
      <c r="M19" s="93">
        <f t="shared" si="2"/>
        <v>41572</v>
      </c>
      <c r="N19" s="93">
        <f t="shared" si="2"/>
        <v>44105</v>
      </c>
      <c r="O19" s="93">
        <f t="shared" si="2"/>
        <v>45961</v>
      </c>
      <c r="P19" s="93">
        <f t="shared" si="2"/>
        <v>46241</v>
      </c>
      <c r="Q19" s="96">
        <f t="shared" si="2"/>
        <v>47321</v>
      </c>
      <c r="R19" s="574">
        <f t="shared" si="0"/>
        <v>4.2</v>
      </c>
      <c r="S19" s="510">
        <f t="shared" si="1"/>
        <v>4.3</v>
      </c>
      <c r="T19" s="28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60</v>
      </c>
      <c r="E20" s="512">
        <v>60</v>
      </c>
      <c r="F20" s="512">
        <v>60</v>
      </c>
      <c r="G20" s="512">
        <v>60</v>
      </c>
      <c r="H20" s="512">
        <v>60</v>
      </c>
      <c r="I20" s="512">
        <v>60</v>
      </c>
      <c r="J20" s="513">
        <v>30</v>
      </c>
      <c r="K20" s="514">
        <v>30</v>
      </c>
      <c r="L20" s="511">
        <v>30</v>
      </c>
      <c r="M20" s="512">
        <v>30</v>
      </c>
      <c r="N20" s="512">
        <v>30</v>
      </c>
      <c r="O20" s="512">
        <v>30</v>
      </c>
      <c r="P20" s="513">
        <v>30</v>
      </c>
      <c r="Q20" s="514">
        <v>30</v>
      </c>
      <c r="R20" s="574">
        <f t="shared" si="0"/>
        <v>-9.4</v>
      </c>
      <c r="S20" s="510">
        <f t="shared" si="1"/>
        <v>0</v>
      </c>
      <c r="T20" s="283"/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60</v>
      </c>
      <c r="E21" s="512">
        <v>60</v>
      </c>
      <c r="F21" s="512">
        <v>60</v>
      </c>
      <c r="G21" s="512">
        <v>60</v>
      </c>
      <c r="H21" s="512">
        <v>60</v>
      </c>
      <c r="I21" s="512">
        <v>60</v>
      </c>
      <c r="J21" s="513">
        <v>30</v>
      </c>
      <c r="K21" s="514">
        <v>30</v>
      </c>
      <c r="L21" s="511">
        <v>30</v>
      </c>
      <c r="M21" s="512">
        <v>30</v>
      </c>
      <c r="N21" s="512">
        <v>30</v>
      </c>
      <c r="O21" s="512">
        <v>30</v>
      </c>
      <c r="P21" s="513">
        <v>30</v>
      </c>
      <c r="Q21" s="514">
        <v>30</v>
      </c>
      <c r="R21" s="574">
        <f t="shared" si="0"/>
        <v>-9.4</v>
      </c>
      <c r="S21" s="510">
        <f t="shared" si="1"/>
        <v>0</v>
      </c>
      <c r="T21" s="283"/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11480</v>
      </c>
      <c r="E22" s="496">
        <v>11168</v>
      </c>
      <c r="F22" s="496">
        <v>10918</v>
      </c>
      <c r="G22" s="496">
        <v>10778</v>
      </c>
      <c r="H22" s="496">
        <v>10668</v>
      </c>
      <c r="I22" s="496">
        <v>10103</v>
      </c>
      <c r="J22" s="515">
        <v>10103</v>
      </c>
      <c r="K22" s="502">
        <v>10123</v>
      </c>
      <c r="L22" s="503">
        <v>10157</v>
      </c>
      <c r="M22" s="496">
        <v>10157</v>
      </c>
      <c r="N22" s="496">
        <v>10157</v>
      </c>
      <c r="O22" s="512">
        <v>10157</v>
      </c>
      <c r="P22" s="512">
        <v>10157</v>
      </c>
      <c r="Q22" s="514">
        <v>10157</v>
      </c>
      <c r="R22" s="575">
        <f t="shared" si="0"/>
        <v>-1.8</v>
      </c>
      <c r="S22" s="517">
        <f t="shared" si="1"/>
        <v>0</v>
      </c>
      <c r="T22" s="283"/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10010</v>
      </c>
      <c r="E23" s="512">
        <v>9747</v>
      </c>
      <c r="F23" s="512">
        <v>9803</v>
      </c>
      <c r="G23" s="512">
        <v>9663</v>
      </c>
      <c r="H23" s="512">
        <v>9553</v>
      </c>
      <c r="I23" s="512">
        <v>8988</v>
      </c>
      <c r="J23" s="513">
        <v>8988</v>
      </c>
      <c r="K23" s="514">
        <v>8990</v>
      </c>
      <c r="L23" s="511">
        <v>9024</v>
      </c>
      <c r="M23" s="512">
        <v>9024</v>
      </c>
      <c r="N23" s="512">
        <v>9024</v>
      </c>
      <c r="O23" s="512">
        <v>9024</v>
      </c>
      <c r="P23" s="512">
        <v>9024</v>
      </c>
      <c r="Q23" s="514">
        <v>9024</v>
      </c>
      <c r="R23" s="574">
        <f t="shared" si="0"/>
        <v>-1.5</v>
      </c>
      <c r="S23" s="510">
        <f t="shared" si="1"/>
        <v>0</v>
      </c>
      <c r="T23" s="28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3631</v>
      </c>
      <c r="E24" s="496">
        <v>3903</v>
      </c>
      <c r="F24" s="496">
        <v>3903</v>
      </c>
      <c r="G24" s="496">
        <v>4043</v>
      </c>
      <c r="H24" s="496">
        <v>4093</v>
      </c>
      <c r="I24" s="496">
        <v>4330</v>
      </c>
      <c r="J24" s="497">
        <v>4586</v>
      </c>
      <c r="K24" s="502">
        <v>4586</v>
      </c>
      <c r="L24" s="503">
        <v>4986</v>
      </c>
      <c r="M24" s="496">
        <v>4986</v>
      </c>
      <c r="N24" s="496">
        <v>4986</v>
      </c>
      <c r="O24" s="496">
        <v>5156</v>
      </c>
      <c r="P24" s="497">
        <v>5156</v>
      </c>
      <c r="Q24" s="502">
        <v>5406</v>
      </c>
      <c r="R24" s="574">
        <f t="shared" si="0"/>
        <v>3.4</v>
      </c>
      <c r="S24" s="510">
        <f t="shared" si="1"/>
        <v>1.6</v>
      </c>
      <c r="T24" s="283"/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2035</v>
      </c>
      <c r="F25" s="518">
        <v>2035</v>
      </c>
      <c r="G25" s="518">
        <v>2175</v>
      </c>
      <c r="H25" s="518">
        <v>2225</v>
      </c>
      <c r="I25" s="518">
        <v>2375</v>
      </c>
      <c r="J25" s="519">
        <v>2631</v>
      </c>
      <c r="K25" s="514">
        <v>2631</v>
      </c>
      <c r="L25" s="511">
        <v>3031</v>
      </c>
      <c r="M25" s="518">
        <v>3031</v>
      </c>
      <c r="N25" s="518">
        <v>3031</v>
      </c>
      <c r="O25" s="518">
        <v>3201</v>
      </c>
      <c r="P25" s="519">
        <v>3201</v>
      </c>
      <c r="Q25" s="514">
        <v>3201</v>
      </c>
      <c r="R25" s="573" t="str">
        <f t="shared" si="0"/>
        <v xml:space="preserve">     -</v>
      </c>
      <c r="S25" s="256">
        <f t="shared" si="1"/>
        <v>1.1000000000000001</v>
      </c>
      <c r="T25" s="283"/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211</v>
      </c>
      <c r="E26" s="518">
        <v>211</v>
      </c>
      <c r="F26" s="518">
        <v>211</v>
      </c>
      <c r="G26" s="518">
        <v>211</v>
      </c>
      <c r="H26" s="518">
        <v>411</v>
      </c>
      <c r="I26" s="518">
        <v>417</v>
      </c>
      <c r="J26" s="519">
        <v>417</v>
      </c>
      <c r="K26" s="514">
        <v>487</v>
      </c>
      <c r="L26" s="511">
        <v>487</v>
      </c>
      <c r="M26" s="518">
        <v>487</v>
      </c>
      <c r="N26" s="518">
        <v>487</v>
      </c>
      <c r="O26" s="518">
        <v>487</v>
      </c>
      <c r="P26" s="519">
        <v>487</v>
      </c>
      <c r="Q26" s="514">
        <v>487</v>
      </c>
      <c r="R26" s="574">
        <f t="shared" si="0"/>
        <v>12.7</v>
      </c>
      <c r="S26" s="510">
        <f t="shared" si="1"/>
        <v>0</v>
      </c>
      <c r="T26" s="283"/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1493</v>
      </c>
      <c r="E27" s="521">
        <v>1648</v>
      </c>
      <c r="F27" s="521">
        <v>1648</v>
      </c>
      <c r="G27" s="521">
        <v>1457</v>
      </c>
      <c r="H27" s="521">
        <v>1457</v>
      </c>
      <c r="I27" s="521">
        <v>1457</v>
      </c>
      <c r="J27" s="522">
        <v>1980</v>
      </c>
      <c r="K27" s="523">
        <v>1980</v>
      </c>
      <c r="L27" s="520">
        <v>1980</v>
      </c>
      <c r="M27" s="521">
        <v>2044</v>
      </c>
      <c r="N27" s="521">
        <v>2044</v>
      </c>
      <c r="O27" s="521">
        <v>2044</v>
      </c>
      <c r="P27" s="522">
        <v>2044</v>
      </c>
      <c r="Q27" s="523">
        <v>2044</v>
      </c>
      <c r="R27" s="574">
        <f t="shared" si="0"/>
        <v>4.0999999999999996</v>
      </c>
      <c r="S27" s="510">
        <f t="shared" si="1"/>
        <v>0.6</v>
      </c>
      <c r="T27" s="283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1"/>
      <c r="AF27" s="351"/>
      <c r="AG27" s="351"/>
    </row>
    <row r="28" spans="1:33" ht="15" customHeight="1">
      <c r="A28" s="16"/>
      <c r="B28" s="672" t="s">
        <v>316</v>
      </c>
      <c r="C28" s="673"/>
      <c r="D28" s="524">
        <v>9207</v>
      </c>
      <c r="E28" s="525">
        <v>9207</v>
      </c>
      <c r="F28" s="525">
        <v>8591</v>
      </c>
      <c r="G28" s="526">
        <v>8570</v>
      </c>
      <c r="H28" s="526">
        <v>8569</v>
      </c>
      <c r="I28" s="496">
        <v>8523</v>
      </c>
      <c r="J28" s="497">
        <v>8385</v>
      </c>
      <c r="K28" s="498">
        <v>8385</v>
      </c>
      <c r="L28" s="527">
        <v>8385</v>
      </c>
      <c r="M28" s="528">
        <v>8385</v>
      </c>
      <c r="N28" s="528">
        <v>8385</v>
      </c>
      <c r="O28" s="528">
        <v>8385</v>
      </c>
      <c r="P28" s="528">
        <v>8385</v>
      </c>
      <c r="Q28" s="498">
        <v>8385</v>
      </c>
      <c r="R28" s="573">
        <f t="shared" si="0"/>
        <v>-1.3</v>
      </c>
      <c r="S28" s="256">
        <f t="shared" si="1"/>
        <v>0</v>
      </c>
      <c r="T28" s="28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1030</v>
      </c>
      <c r="E29" s="525">
        <v>1124</v>
      </c>
      <c r="F29" s="530">
        <v>1124</v>
      </c>
      <c r="G29" s="531">
        <v>1124</v>
      </c>
      <c r="H29" s="526">
        <v>1124</v>
      </c>
      <c r="I29" s="497">
        <v>1124</v>
      </c>
      <c r="J29" s="497">
        <v>1124</v>
      </c>
      <c r="K29" s="498">
        <v>1124</v>
      </c>
      <c r="L29" s="499">
        <v>1124</v>
      </c>
      <c r="M29" s="532">
        <v>1124</v>
      </c>
      <c r="N29" s="532">
        <v>1124</v>
      </c>
      <c r="O29" s="532">
        <v>1124</v>
      </c>
      <c r="P29" s="532">
        <v>1124</v>
      </c>
      <c r="Q29" s="498">
        <v>1124</v>
      </c>
      <c r="R29" s="573">
        <f t="shared" si="0"/>
        <v>1.3</v>
      </c>
      <c r="S29" s="256">
        <f t="shared" si="1"/>
        <v>0</v>
      </c>
      <c r="T29" s="283"/>
      <c r="U29" s="43"/>
      <c r="V29" s="43"/>
      <c r="W29" s="43"/>
      <c r="X29" s="352"/>
      <c r="Y29" s="352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10237</v>
      </c>
      <c r="E30" s="92">
        <f t="shared" ref="E30:Q30" si="3">SUM(E28:E29)</f>
        <v>10331</v>
      </c>
      <c r="F30" s="92">
        <f t="shared" si="3"/>
        <v>9715</v>
      </c>
      <c r="G30" s="93">
        <f t="shared" si="3"/>
        <v>9694</v>
      </c>
      <c r="H30" s="93">
        <f t="shared" si="3"/>
        <v>9693</v>
      </c>
      <c r="I30" s="94">
        <f t="shared" si="3"/>
        <v>9647</v>
      </c>
      <c r="J30" s="94">
        <f t="shared" si="3"/>
        <v>9509</v>
      </c>
      <c r="K30" s="96">
        <f t="shared" si="3"/>
        <v>9509</v>
      </c>
      <c r="L30" s="95">
        <f t="shared" si="3"/>
        <v>9509</v>
      </c>
      <c r="M30" s="93">
        <f t="shared" si="3"/>
        <v>9509</v>
      </c>
      <c r="N30" s="93">
        <f t="shared" si="3"/>
        <v>9509</v>
      </c>
      <c r="O30" s="93">
        <f t="shared" si="3"/>
        <v>9509</v>
      </c>
      <c r="P30" s="93">
        <f t="shared" si="3"/>
        <v>9509</v>
      </c>
      <c r="Q30" s="96">
        <f t="shared" si="3"/>
        <v>9509</v>
      </c>
      <c r="R30" s="574">
        <f t="shared" si="0"/>
        <v>-1</v>
      </c>
      <c r="S30" s="510">
        <f t="shared" si="1"/>
        <v>0</v>
      </c>
      <c r="T30" s="28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164</v>
      </c>
      <c r="E31" s="525">
        <v>164</v>
      </c>
      <c r="F31" s="530">
        <v>164</v>
      </c>
      <c r="G31" s="531">
        <v>164</v>
      </c>
      <c r="H31" s="526">
        <v>164</v>
      </c>
      <c r="I31" s="497">
        <v>164</v>
      </c>
      <c r="J31" s="497">
        <v>164</v>
      </c>
      <c r="K31" s="498">
        <v>164</v>
      </c>
      <c r="L31" s="533">
        <v>164</v>
      </c>
      <c r="M31" s="534">
        <v>164</v>
      </c>
      <c r="N31" s="534">
        <v>164</v>
      </c>
      <c r="O31" s="534">
        <v>164</v>
      </c>
      <c r="P31" s="534">
        <v>164</v>
      </c>
      <c r="Q31" s="535">
        <v>164</v>
      </c>
      <c r="R31" s="573">
        <f t="shared" si="0"/>
        <v>0</v>
      </c>
      <c r="S31" s="256">
        <f t="shared" si="1"/>
        <v>0</v>
      </c>
      <c r="T31" s="283"/>
      <c r="U31" s="43"/>
      <c r="V31" s="43"/>
      <c r="W31" s="43"/>
      <c r="X31" s="352"/>
      <c r="Y31" s="352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1045</v>
      </c>
      <c r="E32" s="525">
        <v>1045</v>
      </c>
      <c r="F32" s="530">
        <v>1045</v>
      </c>
      <c r="G32" s="531">
        <v>1045</v>
      </c>
      <c r="H32" s="526">
        <v>1045</v>
      </c>
      <c r="I32" s="497">
        <v>1045</v>
      </c>
      <c r="J32" s="497">
        <v>1045</v>
      </c>
      <c r="K32" s="502">
        <v>1045</v>
      </c>
      <c r="L32" s="503">
        <v>1045</v>
      </c>
      <c r="M32" s="496">
        <v>1045</v>
      </c>
      <c r="N32" s="496">
        <v>1045</v>
      </c>
      <c r="O32" s="496">
        <v>1045</v>
      </c>
      <c r="P32" s="497">
        <v>1045</v>
      </c>
      <c r="Q32" s="502">
        <v>1045</v>
      </c>
      <c r="R32" s="573">
        <f t="shared" si="0"/>
        <v>0</v>
      </c>
      <c r="S32" s="256">
        <f t="shared" si="1"/>
        <v>0</v>
      </c>
      <c r="T32" s="283"/>
      <c r="U32" s="43"/>
      <c r="V32" s="43"/>
      <c r="W32" s="43"/>
      <c r="X32" s="352"/>
      <c r="Y32" s="352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318</v>
      </c>
      <c r="E33" s="525">
        <v>318</v>
      </c>
      <c r="F33" s="530">
        <v>318</v>
      </c>
      <c r="G33" s="531">
        <v>318</v>
      </c>
      <c r="H33" s="526">
        <v>318</v>
      </c>
      <c r="I33" s="497">
        <v>318</v>
      </c>
      <c r="J33" s="497">
        <v>318</v>
      </c>
      <c r="K33" s="536">
        <v>318</v>
      </c>
      <c r="L33" s="537">
        <v>318</v>
      </c>
      <c r="M33" s="538">
        <v>318</v>
      </c>
      <c r="N33" s="538">
        <v>318</v>
      </c>
      <c r="O33" s="538">
        <v>318</v>
      </c>
      <c r="P33" s="515">
        <v>318</v>
      </c>
      <c r="Q33" s="502">
        <v>318</v>
      </c>
      <c r="R33" s="573">
        <f t="shared" si="0"/>
        <v>0</v>
      </c>
      <c r="S33" s="256">
        <f t="shared" si="1"/>
        <v>0</v>
      </c>
      <c r="T33" s="283"/>
      <c r="U33" s="43"/>
      <c r="V33" s="43"/>
      <c r="W33" s="43"/>
      <c r="X33" s="353"/>
      <c r="Y33" s="35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1527</v>
      </c>
      <c r="E34" s="539">
        <f t="shared" ref="E34:Q34" si="4">SUM(E31:E33)</f>
        <v>1527</v>
      </c>
      <c r="F34" s="539">
        <f t="shared" si="4"/>
        <v>1527</v>
      </c>
      <c r="G34" s="100">
        <f t="shared" si="4"/>
        <v>1527</v>
      </c>
      <c r="H34" s="100">
        <f t="shared" si="4"/>
        <v>1527</v>
      </c>
      <c r="I34" s="100">
        <f t="shared" si="4"/>
        <v>1527</v>
      </c>
      <c r="J34" s="101">
        <f t="shared" si="4"/>
        <v>1527</v>
      </c>
      <c r="K34" s="104">
        <f t="shared" si="4"/>
        <v>1527</v>
      </c>
      <c r="L34" s="540">
        <f t="shared" si="4"/>
        <v>1527</v>
      </c>
      <c r="M34" s="100">
        <f t="shared" si="4"/>
        <v>1527</v>
      </c>
      <c r="N34" s="100">
        <f t="shared" si="4"/>
        <v>1527</v>
      </c>
      <c r="O34" s="100">
        <f t="shared" si="4"/>
        <v>1527</v>
      </c>
      <c r="P34" s="100">
        <f t="shared" si="4"/>
        <v>1527</v>
      </c>
      <c r="Q34" s="103">
        <f t="shared" si="4"/>
        <v>1527</v>
      </c>
      <c r="R34" s="576">
        <f t="shared" si="0"/>
        <v>0</v>
      </c>
      <c r="S34" s="541">
        <f t="shared" si="1"/>
        <v>0</v>
      </c>
      <c r="T34" s="28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56600</v>
      </c>
      <c r="E35" s="543">
        <f t="shared" ref="E35:Q35" si="5">E19+E20+E22+E24+E26+E27+E30+E34</f>
        <v>58467</v>
      </c>
      <c r="F35" s="543">
        <f t="shared" si="5"/>
        <v>58379</v>
      </c>
      <c r="G35" s="544">
        <f t="shared" si="5"/>
        <v>60043</v>
      </c>
      <c r="H35" s="544">
        <f t="shared" si="5"/>
        <v>62373</v>
      </c>
      <c r="I35" s="544">
        <f t="shared" si="5"/>
        <v>63007</v>
      </c>
      <c r="J35" s="545">
        <f t="shared" si="5"/>
        <v>64830</v>
      </c>
      <c r="K35" s="546">
        <f t="shared" si="5"/>
        <v>65537</v>
      </c>
      <c r="L35" s="547">
        <f t="shared" si="5"/>
        <v>67077</v>
      </c>
      <c r="M35" s="544">
        <f t="shared" si="5"/>
        <v>70312</v>
      </c>
      <c r="N35" s="544">
        <f t="shared" si="5"/>
        <v>72845</v>
      </c>
      <c r="O35" s="544">
        <f t="shared" si="5"/>
        <v>74871</v>
      </c>
      <c r="P35" s="544">
        <f t="shared" si="5"/>
        <v>75151</v>
      </c>
      <c r="Q35" s="577">
        <f t="shared" si="5"/>
        <v>76481</v>
      </c>
      <c r="R35" s="578">
        <f t="shared" si="0"/>
        <v>2.1</v>
      </c>
      <c r="S35" s="549">
        <f t="shared" si="1"/>
        <v>2.7</v>
      </c>
      <c r="T35" s="283"/>
    </row>
    <row r="36" spans="1:33" ht="15" customHeight="1">
      <c r="A36" s="613" t="s">
        <v>324</v>
      </c>
      <c r="B36" s="666" t="s">
        <v>433</v>
      </c>
      <c r="C36" s="667"/>
      <c r="D36" s="487">
        <v>4381</v>
      </c>
      <c r="E36" s="488">
        <v>4452</v>
      </c>
      <c r="F36" s="489">
        <v>4762</v>
      </c>
      <c r="G36" s="489">
        <v>4899</v>
      </c>
      <c r="H36" s="488">
        <v>5355</v>
      </c>
      <c r="I36" s="489">
        <v>5725</v>
      </c>
      <c r="J36" s="550">
        <v>6091</v>
      </c>
      <c r="K36" s="490">
        <v>6493</v>
      </c>
      <c r="L36" s="491">
        <v>6300</v>
      </c>
      <c r="M36" s="492">
        <v>6300</v>
      </c>
      <c r="N36" s="492">
        <v>6300</v>
      </c>
      <c r="O36" s="492">
        <v>6400</v>
      </c>
      <c r="P36" s="493">
        <v>6400</v>
      </c>
      <c r="Q36" s="498">
        <v>6400</v>
      </c>
      <c r="R36" s="573">
        <f t="shared" si="0"/>
        <v>5.8</v>
      </c>
      <c r="S36" s="256">
        <f t="shared" si="1"/>
        <v>0.3</v>
      </c>
      <c r="T36" s="28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1708</v>
      </c>
      <c r="E37" s="496">
        <v>1554</v>
      </c>
      <c r="F37" s="497">
        <v>1684</v>
      </c>
      <c r="G37" s="497">
        <v>1726</v>
      </c>
      <c r="H37" s="496">
        <v>1756</v>
      </c>
      <c r="I37" s="497">
        <v>1740</v>
      </c>
      <c r="J37" s="551">
        <v>1695</v>
      </c>
      <c r="K37" s="498">
        <v>1680</v>
      </c>
      <c r="L37" s="499">
        <v>1700</v>
      </c>
      <c r="M37" s="500">
        <v>1700</v>
      </c>
      <c r="N37" s="500">
        <v>1700</v>
      </c>
      <c r="O37" s="500">
        <v>1750</v>
      </c>
      <c r="P37" s="501">
        <v>1750</v>
      </c>
      <c r="Q37" s="498">
        <v>1750</v>
      </c>
      <c r="R37" s="573">
        <f t="shared" si="0"/>
        <v>-0.2</v>
      </c>
      <c r="S37" s="256">
        <f t="shared" si="1"/>
        <v>0.6</v>
      </c>
      <c r="T37" s="28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741</v>
      </c>
      <c r="E38" s="496">
        <v>741</v>
      </c>
      <c r="F38" s="497">
        <v>774</v>
      </c>
      <c r="G38" s="497">
        <v>797.5</v>
      </c>
      <c r="H38" s="496">
        <v>845.46539999999982</v>
      </c>
      <c r="I38" s="497">
        <v>1140</v>
      </c>
      <c r="J38" s="497">
        <v>1125</v>
      </c>
      <c r="K38" s="502">
        <v>1242</v>
      </c>
      <c r="L38" s="503">
        <v>1538</v>
      </c>
      <c r="M38" s="496">
        <v>1542</v>
      </c>
      <c r="N38" s="496">
        <v>1566</v>
      </c>
      <c r="O38" s="496">
        <v>1550</v>
      </c>
      <c r="P38" s="279">
        <v>1537</v>
      </c>
      <c r="Q38" s="502">
        <v>1538</v>
      </c>
      <c r="R38" s="573">
        <f t="shared" si="0"/>
        <v>7.7</v>
      </c>
      <c r="S38" s="256">
        <f t="shared" si="1"/>
        <v>0</v>
      </c>
      <c r="T38" s="283"/>
      <c r="U38" s="329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7088</v>
      </c>
      <c r="E39" s="496">
        <v>7944</v>
      </c>
      <c r="F39" s="497">
        <v>8289</v>
      </c>
      <c r="G39" s="497">
        <v>9030</v>
      </c>
      <c r="H39" s="496">
        <v>10300</v>
      </c>
      <c r="I39" s="497">
        <v>10604</v>
      </c>
      <c r="J39" s="497">
        <v>11181</v>
      </c>
      <c r="K39" s="502">
        <v>10968</v>
      </c>
      <c r="L39" s="503">
        <v>12330</v>
      </c>
      <c r="M39" s="496">
        <v>13245</v>
      </c>
      <c r="N39" s="496">
        <v>14225</v>
      </c>
      <c r="O39" s="496">
        <v>15125</v>
      </c>
      <c r="P39" s="279">
        <v>15900</v>
      </c>
      <c r="Q39" s="502">
        <v>16568</v>
      </c>
      <c r="R39" s="573">
        <f t="shared" si="0"/>
        <v>6.4</v>
      </c>
      <c r="S39" s="256">
        <f t="shared" si="1"/>
        <v>6.1</v>
      </c>
      <c r="T39" s="28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1230</v>
      </c>
      <c r="E40" s="496">
        <v>1356</v>
      </c>
      <c r="F40" s="497">
        <v>1419</v>
      </c>
      <c r="G40" s="497">
        <v>1416.116</v>
      </c>
      <c r="H40" s="496">
        <v>1400</v>
      </c>
      <c r="I40" s="497">
        <v>1246.367696</v>
      </c>
      <c r="J40" s="497">
        <v>1285.8612859999998</v>
      </c>
      <c r="K40" s="502">
        <v>1349.9304699999996</v>
      </c>
      <c r="L40" s="503">
        <v>1409.5521009999998</v>
      </c>
      <c r="M40" s="496">
        <v>1399.1742049999998</v>
      </c>
      <c r="N40" s="496">
        <v>1413.4114999999997</v>
      </c>
      <c r="O40" s="496">
        <v>1358.3597399999994</v>
      </c>
      <c r="P40" s="279">
        <v>1401.0081399999995</v>
      </c>
      <c r="Q40" s="502">
        <v>1405.9534899999994</v>
      </c>
      <c r="R40" s="573">
        <f t="shared" si="0"/>
        <v>1.3</v>
      </c>
      <c r="S40" s="256">
        <f t="shared" si="1"/>
        <v>-0.1</v>
      </c>
      <c r="T40" s="283"/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300</v>
      </c>
      <c r="E41" s="45">
        <v>300</v>
      </c>
      <c r="F41" s="49">
        <v>300</v>
      </c>
      <c r="G41" s="45">
        <v>300</v>
      </c>
      <c r="H41" s="49">
        <v>300</v>
      </c>
      <c r="I41" s="45">
        <v>300</v>
      </c>
      <c r="J41" s="49">
        <v>300</v>
      </c>
      <c r="K41" s="50">
        <v>300</v>
      </c>
      <c r="L41" s="504">
        <v>300</v>
      </c>
      <c r="M41" s="45">
        <v>300</v>
      </c>
      <c r="N41" s="45">
        <v>300</v>
      </c>
      <c r="O41" s="45">
        <v>500</v>
      </c>
      <c r="P41" s="45">
        <v>500</v>
      </c>
      <c r="Q41" s="51">
        <v>500</v>
      </c>
      <c r="R41" s="573">
        <f t="shared" si="0"/>
        <v>0</v>
      </c>
      <c r="S41" s="256">
        <f t="shared" si="1"/>
        <v>10.8</v>
      </c>
      <c r="T41" s="283"/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1025</v>
      </c>
      <c r="E42" s="49">
        <v>1025</v>
      </c>
      <c r="F42" s="45">
        <v>1150</v>
      </c>
      <c r="G42" s="49">
        <v>1347</v>
      </c>
      <c r="H42" s="49">
        <v>1346</v>
      </c>
      <c r="I42" s="45">
        <v>1881</v>
      </c>
      <c r="J42" s="49">
        <v>1333</v>
      </c>
      <c r="K42" s="50">
        <v>1400</v>
      </c>
      <c r="L42" s="504">
        <v>1700</v>
      </c>
      <c r="M42" s="45">
        <v>1800</v>
      </c>
      <c r="N42" s="45">
        <v>2200</v>
      </c>
      <c r="O42" s="45">
        <v>2400</v>
      </c>
      <c r="P42" s="49">
        <v>2800</v>
      </c>
      <c r="Q42" s="50">
        <v>2800</v>
      </c>
      <c r="R42" s="573">
        <f t="shared" si="0"/>
        <v>4.5999999999999996</v>
      </c>
      <c r="S42" s="256">
        <f t="shared" si="1"/>
        <v>10.5</v>
      </c>
      <c r="T42" s="28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T43" s="283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23</v>
      </c>
      <c r="E44" s="49">
        <v>23</v>
      </c>
      <c r="F44" s="45">
        <v>23</v>
      </c>
      <c r="G44" s="49">
        <v>23</v>
      </c>
      <c r="H44" s="49">
        <v>23</v>
      </c>
      <c r="I44" s="45">
        <v>23</v>
      </c>
      <c r="J44" s="49">
        <v>23</v>
      </c>
      <c r="K44" s="50">
        <v>23</v>
      </c>
      <c r="L44" s="504">
        <v>23</v>
      </c>
      <c r="M44" s="45">
        <v>23</v>
      </c>
      <c r="N44" s="45">
        <v>23</v>
      </c>
      <c r="O44" s="45">
        <v>86</v>
      </c>
      <c r="P44" s="45">
        <v>124</v>
      </c>
      <c r="Q44" s="51">
        <v>124</v>
      </c>
      <c r="R44" s="573">
        <f t="shared" si="0"/>
        <v>0</v>
      </c>
      <c r="S44" s="256">
        <f t="shared" si="1"/>
        <v>40.1</v>
      </c>
      <c r="T44" s="283"/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280</v>
      </c>
      <c r="E45" s="496">
        <v>280</v>
      </c>
      <c r="F45" s="497">
        <v>280</v>
      </c>
      <c r="G45" s="497">
        <v>311.66899999999998</v>
      </c>
      <c r="H45" s="496">
        <v>266.56799999999998</v>
      </c>
      <c r="I45" s="497">
        <v>300.37900000000002</v>
      </c>
      <c r="J45" s="497">
        <v>316.005</v>
      </c>
      <c r="K45" s="502">
        <v>274.23</v>
      </c>
      <c r="L45" s="503">
        <v>349.40376800000001</v>
      </c>
      <c r="M45" s="496">
        <v>346.15509200000002</v>
      </c>
      <c r="N45" s="496">
        <v>531.10478499999999</v>
      </c>
      <c r="O45" s="496">
        <v>542.93931299999997</v>
      </c>
      <c r="P45" s="497">
        <v>554.79661899999996</v>
      </c>
      <c r="Q45" s="502">
        <v>554.79661899999996</v>
      </c>
      <c r="R45" s="573">
        <f t="shared" si="0"/>
        <v>-0.3</v>
      </c>
      <c r="S45" s="256">
        <f t="shared" si="1"/>
        <v>9.6999999999999993</v>
      </c>
      <c r="T45" s="283"/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140">
        <v>0</v>
      </c>
      <c r="M46" s="45">
        <v>0</v>
      </c>
      <c r="N46" s="45">
        <v>0</v>
      </c>
      <c r="O46" s="45">
        <v>0</v>
      </c>
      <c r="P46" s="45">
        <v>0</v>
      </c>
      <c r="Q46" s="50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T46" s="283"/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4764</v>
      </c>
      <c r="E47" s="496">
        <v>4428</v>
      </c>
      <c r="F47" s="497">
        <v>4215</v>
      </c>
      <c r="G47" s="497">
        <v>4694</v>
      </c>
      <c r="H47" s="496">
        <v>4269</v>
      </c>
      <c r="I47" s="497">
        <v>4061</v>
      </c>
      <c r="J47" s="497">
        <v>4072</v>
      </c>
      <c r="K47" s="502">
        <v>4384</v>
      </c>
      <c r="L47" s="503">
        <v>4013</v>
      </c>
      <c r="M47" s="496">
        <v>4010</v>
      </c>
      <c r="N47" s="496">
        <v>4010</v>
      </c>
      <c r="O47" s="496">
        <v>4010</v>
      </c>
      <c r="P47" s="497">
        <v>4010</v>
      </c>
      <c r="Q47" s="502">
        <v>4010</v>
      </c>
      <c r="R47" s="573">
        <f t="shared" si="0"/>
        <v>-1.2</v>
      </c>
      <c r="S47" s="256">
        <f t="shared" si="1"/>
        <v>0</v>
      </c>
      <c r="T47" s="283"/>
      <c r="U47" s="280"/>
      <c r="V47" s="280"/>
      <c r="W47" s="280"/>
      <c r="X47" s="280"/>
      <c r="Y47" s="280"/>
      <c r="Z47" s="280"/>
      <c r="AA47" s="280"/>
      <c r="AB47" s="280"/>
      <c r="AC47" s="280"/>
      <c r="AD47" s="280"/>
      <c r="AE47" s="280"/>
      <c r="AF47" s="280"/>
      <c r="AG47" s="280"/>
    </row>
    <row r="48" spans="1:33" ht="15.75" customHeight="1">
      <c r="A48" s="16"/>
      <c r="B48" s="674" t="s">
        <v>307</v>
      </c>
      <c r="C48" s="675"/>
      <c r="D48" s="95">
        <f>SUM(D36:D47)</f>
        <v>21540</v>
      </c>
      <c r="E48" s="93">
        <f t="shared" ref="E48:Q48" si="6">SUM(E36:E47)</f>
        <v>22103</v>
      </c>
      <c r="F48" s="93">
        <f t="shared" si="6"/>
        <v>22896</v>
      </c>
      <c r="G48" s="93">
        <f t="shared" si="6"/>
        <v>24544.285000000003</v>
      </c>
      <c r="H48" s="93">
        <f t="shared" si="6"/>
        <v>25861.0334</v>
      </c>
      <c r="I48" s="93">
        <f t="shared" si="6"/>
        <v>27020.746696000002</v>
      </c>
      <c r="J48" s="93">
        <f t="shared" si="6"/>
        <v>27421.866286</v>
      </c>
      <c r="K48" s="96">
        <f t="shared" si="6"/>
        <v>28114.160469999999</v>
      </c>
      <c r="L48" s="95">
        <f t="shared" si="6"/>
        <v>29662.955869000001</v>
      </c>
      <c r="M48" s="93">
        <f t="shared" si="6"/>
        <v>30665.329297</v>
      </c>
      <c r="N48" s="93">
        <f t="shared" si="6"/>
        <v>32268.516284999998</v>
      </c>
      <c r="O48" s="93">
        <f t="shared" si="6"/>
        <v>33722.299052999995</v>
      </c>
      <c r="P48" s="93">
        <f t="shared" si="6"/>
        <v>34976.804758999999</v>
      </c>
      <c r="Q48" s="96">
        <f t="shared" si="6"/>
        <v>35650.750109000001</v>
      </c>
      <c r="R48" s="574">
        <f t="shared" si="0"/>
        <v>3.9</v>
      </c>
      <c r="S48" s="510">
        <f t="shared" si="1"/>
        <v>3.7</v>
      </c>
      <c r="T48" s="28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T49" s="283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T50" s="283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8542</v>
      </c>
      <c r="E51" s="512">
        <v>8358</v>
      </c>
      <c r="F51" s="512">
        <v>7944</v>
      </c>
      <c r="G51" s="512">
        <v>8058</v>
      </c>
      <c r="H51" s="512">
        <v>7416.5351529999998</v>
      </c>
      <c r="I51" s="512">
        <v>7502</v>
      </c>
      <c r="J51" s="513">
        <v>7157.5210470000002</v>
      </c>
      <c r="K51" s="514">
        <v>7193.4434359999996</v>
      </c>
      <c r="L51" s="511">
        <v>7285.3554629999999</v>
      </c>
      <c r="M51" s="512">
        <v>7353.8643810000003</v>
      </c>
      <c r="N51" s="512">
        <v>7214.5481289999998</v>
      </c>
      <c r="O51" s="512">
        <v>7081.5504660000006</v>
      </c>
      <c r="P51" s="513">
        <v>7153.8439619999999</v>
      </c>
      <c r="Q51" s="514">
        <v>7152.8661380000003</v>
      </c>
      <c r="R51" s="574">
        <f t="shared" si="0"/>
        <v>-2.4</v>
      </c>
      <c r="S51" s="510">
        <f t="shared" si="1"/>
        <v>-0.4</v>
      </c>
      <c r="T51" s="28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7884</v>
      </c>
      <c r="E52" s="512">
        <v>7284</v>
      </c>
      <c r="F52" s="512">
        <v>7199</v>
      </c>
      <c r="G52" s="512">
        <v>7254</v>
      </c>
      <c r="H52" s="512">
        <v>6617.3197730000002</v>
      </c>
      <c r="I52" s="512">
        <v>6676</v>
      </c>
      <c r="J52" s="513">
        <v>6403.5143509999998</v>
      </c>
      <c r="K52" s="514">
        <v>6401.2969359999997</v>
      </c>
      <c r="L52" s="511">
        <v>6464.2515009999997</v>
      </c>
      <c r="M52" s="512">
        <v>6530.0922520000004</v>
      </c>
      <c r="N52" s="512">
        <v>6413.7077650000001</v>
      </c>
      <c r="O52" s="512">
        <v>6279.6707230000002</v>
      </c>
      <c r="P52" s="513">
        <v>6330.4330879999998</v>
      </c>
      <c r="Q52" s="514">
        <v>6332.2119400000001</v>
      </c>
      <c r="R52" s="574">
        <f t="shared" si="0"/>
        <v>-2.9</v>
      </c>
      <c r="S52" s="510">
        <f t="shared" si="1"/>
        <v>-0.4</v>
      </c>
      <c r="T52" s="28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2624</v>
      </c>
      <c r="E53" s="496">
        <v>2721</v>
      </c>
      <c r="F53" s="496">
        <v>2814</v>
      </c>
      <c r="G53" s="496">
        <v>2976</v>
      </c>
      <c r="H53" s="496">
        <v>2759</v>
      </c>
      <c r="I53" s="496">
        <v>2639</v>
      </c>
      <c r="J53" s="497">
        <v>2891</v>
      </c>
      <c r="K53" s="502">
        <v>3324</v>
      </c>
      <c r="L53" s="503">
        <v>3516</v>
      </c>
      <c r="M53" s="496">
        <v>3733</v>
      </c>
      <c r="N53" s="496">
        <v>3951</v>
      </c>
      <c r="O53" s="496">
        <v>4162</v>
      </c>
      <c r="P53" s="497">
        <v>4373</v>
      </c>
      <c r="Q53" s="502">
        <v>4500</v>
      </c>
      <c r="R53" s="573">
        <f t="shared" si="0"/>
        <v>3.4</v>
      </c>
      <c r="S53" s="256">
        <f t="shared" si="1"/>
        <v>5.0999999999999996</v>
      </c>
      <c r="T53" s="283"/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1602</v>
      </c>
      <c r="F54" s="518">
        <v>1677</v>
      </c>
      <c r="G54" s="518">
        <v>1727</v>
      </c>
      <c r="H54" s="518">
        <v>1765</v>
      </c>
      <c r="I54" s="518">
        <v>1282</v>
      </c>
      <c r="J54" s="519">
        <v>1506</v>
      </c>
      <c r="K54" s="514">
        <v>1869</v>
      </c>
      <c r="L54" s="511">
        <v>1999</v>
      </c>
      <c r="M54" s="518">
        <v>2120</v>
      </c>
      <c r="N54" s="518">
        <v>2316</v>
      </c>
      <c r="O54" s="518">
        <v>2398</v>
      </c>
      <c r="P54" s="519">
        <v>2483</v>
      </c>
      <c r="Q54" s="514">
        <v>2500</v>
      </c>
      <c r="R54" s="574" t="str">
        <f t="shared" si="0"/>
        <v xml:space="preserve">     -</v>
      </c>
      <c r="S54" s="510">
        <f t="shared" si="1"/>
        <v>4.5999999999999996</v>
      </c>
      <c r="T54" s="283"/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130</v>
      </c>
      <c r="E55" s="518">
        <v>130</v>
      </c>
      <c r="F55" s="518">
        <v>130</v>
      </c>
      <c r="G55" s="518">
        <v>140</v>
      </c>
      <c r="H55" s="518">
        <v>170</v>
      </c>
      <c r="I55" s="518">
        <v>114</v>
      </c>
      <c r="J55" s="519">
        <v>121</v>
      </c>
      <c r="K55" s="514">
        <v>151</v>
      </c>
      <c r="L55" s="511">
        <v>192</v>
      </c>
      <c r="M55" s="518">
        <v>192</v>
      </c>
      <c r="N55" s="518">
        <v>192</v>
      </c>
      <c r="O55" s="518">
        <v>258</v>
      </c>
      <c r="P55" s="519">
        <v>324</v>
      </c>
      <c r="Q55" s="514">
        <v>360</v>
      </c>
      <c r="R55" s="574">
        <f t="shared" si="0"/>
        <v>2.2000000000000002</v>
      </c>
      <c r="S55" s="510">
        <f t="shared" si="1"/>
        <v>13.4</v>
      </c>
      <c r="T55" s="283"/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1366</v>
      </c>
      <c r="E56" s="521">
        <v>1115</v>
      </c>
      <c r="F56" s="521">
        <v>1299</v>
      </c>
      <c r="G56" s="521">
        <v>1451.1</v>
      </c>
      <c r="H56" s="521">
        <v>1389</v>
      </c>
      <c r="I56" s="521">
        <v>1376</v>
      </c>
      <c r="J56" s="522">
        <v>1502.2</v>
      </c>
      <c r="K56" s="523">
        <v>1465</v>
      </c>
      <c r="L56" s="520">
        <v>1488.44</v>
      </c>
      <c r="M56" s="521">
        <v>1507.78972</v>
      </c>
      <c r="N56" s="521">
        <v>1530.4065658</v>
      </c>
      <c r="O56" s="521">
        <v>1553.3626642869999</v>
      </c>
      <c r="P56" s="522">
        <v>1576.6631042513047</v>
      </c>
      <c r="Q56" s="523">
        <v>1600.3130508150741</v>
      </c>
      <c r="R56" s="574">
        <f t="shared" si="0"/>
        <v>1</v>
      </c>
      <c r="S56" s="510">
        <f t="shared" si="1"/>
        <v>1.5</v>
      </c>
      <c r="T56" s="283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</row>
    <row r="57" spans="1:33" ht="15" customHeight="1">
      <c r="A57" s="16"/>
      <c r="B57" s="672" t="s">
        <v>316</v>
      </c>
      <c r="C57" s="673"/>
      <c r="D57" s="553">
        <v>5568</v>
      </c>
      <c r="E57" s="526">
        <v>6370</v>
      </c>
      <c r="F57" s="530">
        <v>6003</v>
      </c>
      <c r="G57" s="497">
        <v>5734</v>
      </c>
      <c r="H57" s="496">
        <v>5549</v>
      </c>
      <c r="I57" s="497">
        <v>5327</v>
      </c>
      <c r="J57" s="551">
        <v>5130</v>
      </c>
      <c r="K57" s="554">
        <v>5198.7</v>
      </c>
      <c r="L57" s="527">
        <v>5198.7</v>
      </c>
      <c r="M57" s="528">
        <v>5198.7</v>
      </c>
      <c r="N57" s="528">
        <v>5198.7</v>
      </c>
      <c r="O57" s="528">
        <v>5198.7</v>
      </c>
      <c r="P57" s="500">
        <v>5198.7</v>
      </c>
      <c r="Q57" s="554">
        <v>5199</v>
      </c>
      <c r="R57" s="573">
        <f t="shared" si="0"/>
        <v>-1</v>
      </c>
      <c r="S57" s="256">
        <f t="shared" si="1"/>
        <v>0</v>
      </c>
      <c r="T57" s="283"/>
      <c r="U57" s="280"/>
      <c r="V57" s="280"/>
      <c r="W57" s="280"/>
      <c r="X57" s="281"/>
      <c r="Y57" s="281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618</v>
      </c>
      <c r="E58" s="526">
        <v>674.4</v>
      </c>
      <c r="F58" s="530">
        <v>674.4</v>
      </c>
      <c r="G58" s="497">
        <v>674.4</v>
      </c>
      <c r="H58" s="496">
        <v>674.4</v>
      </c>
      <c r="I58" s="497">
        <v>674.4</v>
      </c>
      <c r="J58" s="551">
        <v>674.4</v>
      </c>
      <c r="K58" s="498">
        <v>674.4</v>
      </c>
      <c r="L58" s="499">
        <v>674.4</v>
      </c>
      <c r="M58" s="532">
        <v>674.4</v>
      </c>
      <c r="N58" s="532">
        <v>674.4</v>
      </c>
      <c r="O58" s="532">
        <v>674.4</v>
      </c>
      <c r="P58" s="532">
        <v>674.4</v>
      </c>
      <c r="Q58" s="498">
        <v>674</v>
      </c>
      <c r="R58" s="573">
        <f t="shared" si="0"/>
        <v>1.3</v>
      </c>
      <c r="S58" s="256">
        <f t="shared" si="1"/>
        <v>0</v>
      </c>
      <c r="T58" s="283"/>
      <c r="U58" s="280"/>
      <c r="V58" s="280"/>
      <c r="W58" s="280"/>
      <c r="X58" s="281"/>
      <c r="Y58" s="281"/>
      <c r="Z58" s="280"/>
      <c r="AA58" s="280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6186</v>
      </c>
      <c r="E59" s="92">
        <f t="shared" ref="E59:Q59" si="7">SUM(E57:E58)</f>
        <v>7044.4</v>
      </c>
      <c r="F59" s="92">
        <f t="shared" si="7"/>
        <v>6677.4</v>
      </c>
      <c r="G59" s="93">
        <f t="shared" si="7"/>
        <v>6408.4</v>
      </c>
      <c r="H59" s="93">
        <f t="shared" si="7"/>
        <v>6223.4</v>
      </c>
      <c r="I59" s="94">
        <f t="shared" si="7"/>
        <v>6001.4</v>
      </c>
      <c r="J59" s="94">
        <f t="shared" si="7"/>
        <v>5804.4</v>
      </c>
      <c r="K59" s="96">
        <f t="shared" si="7"/>
        <v>5873.0999999999995</v>
      </c>
      <c r="L59" s="555">
        <f t="shared" si="7"/>
        <v>5873.0999999999995</v>
      </c>
      <c r="M59" s="556">
        <f t="shared" si="7"/>
        <v>5873.0999999999995</v>
      </c>
      <c r="N59" s="556">
        <f t="shared" si="7"/>
        <v>5873.0999999999995</v>
      </c>
      <c r="O59" s="556">
        <f t="shared" si="7"/>
        <v>5873.0999999999995</v>
      </c>
      <c r="P59" s="556">
        <f t="shared" si="7"/>
        <v>5873.0999999999995</v>
      </c>
      <c r="Q59" s="227">
        <f t="shared" si="7"/>
        <v>5873</v>
      </c>
      <c r="R59" s="574">
        <f t="shared" si="0"/>
        <v>-0.7</v>
      </c>
      <c r="S59" s="510">
        <f t="shared" si="1"/>
        <v>0</v>
      </c>
      <c r="T59" s="28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122</v>
      </c>
      <c r="E60" s="526">
        <v>122</v>
      </c>
      <c r="F60" s="530">
        <v>30</v>
      </c>
      <c r="G60" s="497">
        <v>80</v>
      </c>
      <c r="H60" s="496">
        <v>122</v>
      </c>
      <c r="I60" s="497">
        <v>87</v>
      </c>
      <c r="J60" s="551">
        <v>82</v>
      </c>
      <c r="K60" s="498">
        <v>82</v>
      </c>
      <c r="L60" s="533">
        <v>82</v>
      </c>
      <c r="M60" s="534">
        <v>82</v>
      </c>
      <c r="N60" s="534">
        <v>82</v>
      </c>
      <c r="O60" s="534">
        <v>82</v>
      </c>
      <c r="P60" s="534">
        <v>82</v>
      </c>
      <c r="Q60" s="535">
        <v>82</v>
      </c>
      <c r="R60" s="573">
        <f t="shared" si="0"/>
        <v>-5.5</v>
      </c>
      <c r="S60" s="256">
        <f t="shared" si="1"/>
        <v>0</v>
      </c>
      <c r="T60" s="283"/>
      <c r="U60" s="280"/>
      <c r="V60" s="280"/>
      <c r="W60" s="280"/>
      <c r="X60" s="281"/>
      <c r="Y60" s="281"/>
      <c r="Z60" s="280"/>
      <c r="AA60" s="280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855</v>
      </c>
      <c r="E61" s="526">
        <v>855</v>
      </c>
      <c r="F61" s="530">
        <v>750</v>
      </c>
      <c r="G61" s="497">
        <v>919</v>
      </c>
      <c r="H61" s="496">
        <v>847</v>
      </c>
      <c r="I61" s="497">
        <v>888</v>
      </c>
      <c r="J61" s="497">
        <v>841</v>
      </c>
      <c r="K61" s="502">
        <v>836</v>
      </c>
      <c r="L61" s="503">
        <v>836</v>
      </c>
      <c r="M61" s="496">
        <v>836</v>
      </c>
      <c r="N61" s="496">
        <v>836</v>
      </c>
      <c r="O61" s="496">
        <v>836</v>
      </c>
      <c r="P61" s="497">
        <v>836</v>
      </c>
      <c r="Q61" s="502">
        <v>836</v>
      </c>
      <c r="R61" s="573">
        <f t="shared" si="0"/>
        <v>-0.3</v>
      </c>
      <c r="S61" s="256">
        <f t="shared" si="1"/>
        <v>0</v>
      </c>
      <c r="T61" s="283"/>
      <c r="U61" s="280"/>
      <c r="V61" s="280"/>
      <c r="W61" s="280"/>
      <c r="X61" s="352"/>
      <c r="Y61" s="352"/>
      <c r="Z61" s="280"/>
      <c r="AA61" s="280"/>
      <c r="AB61" s="280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254.4</v>
      </c>
      <c r="E62" s="525">
        <v>254.4</v>
      </c>
      <c r="F62" s="530">
        <v>254.4</v>
      </c>
      <c r="G62" s="497">
        <v>254.4</v>
      </c>
      <c r="H62" s="496">
        <v>254.4</v>
      </c>
      <c r="I62" s="497">
        <v>254.4</v>
      </c>
      <c r="J62" s="497">
        <v>254</v>
      </c>
      <c r="K62" s="536">
        <v>254.4</v>
      </c>
      <c r="L62" s="537">
        <v>254.4</v>
      </c>
      <c r="M62" s="538">
        <v>254.4</v>
      </c>
      <c r="N62" s="538">
        <v>254.4</v>
      </c>
      <c r="O62" s="538">
        <v>254.4</v>
      </c>
      <c r="P62" s="515">
        <v>254.4</v>
      </c>
      <c r="Q62" s="536">
        <v>254</v>
      </c>
      <c r="R62" s="573">
        <f t="shared" si="0"/>
        <v>0</v>
      </c>
      <c r="S62" s="256">
        <f t="shared" si="1"/>
        <v>0</v>
      </c>
      <c r="T62" s="283"/>
      <c r="U62" s="43"/>
      <c r="V62" s="43"/>
      <c r="W62" s="43"/>
      <c r="X62" s="354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1231.4000000000001</v>
      </c>
      <c r="E63" s="539">
        <f t="shared" ref="E63:Q63" si="8">SUM(E60:E62)</f>
        <v>1231.4000000000001</v>
      </c>
      <c r="F63" s="539">
        <f t="shared" si="8"/>
        <v>1034.4000000000001</v>
      </c>
      <c r="G63" s="100">
        <f t="shared" si="8"/>
        <v>1253.4000000000001</v>
      </c>
      <c r="H63" s="100">
        <f t="shared" si="8"/>
        <v>1223.4000000000001</v>
      </c>
      <c r="I63" s="100">
        <f t="shared" si="8"/>
        <v>1229.4000000000001</v>
      </c>
      <c r="J63" s="101">
        <f t="shared" si="8"/>
        <v>1177</v>
      </c>
      <c r="K63" s="104">
        <f t="shared" si="8"/>
        <v>1172.4000000000001</v>
      </c>
      <c r="L63" s="540">
        <f t="shared" si="8"/>
        <v>1172.4000000000001</v>
      </c>
      <c r="M63" s="100">
        <f t="shared" si="8"/>
        <v>1172.4000000000001</v>
      </c>
      <c r="N63" s="100">
        <f t="shared" si="8"/>
        <v>1172.4000000000001</v>
      </c>
      <c r="O63" s="100">
        <f t="shared" si="8"/>
        <v>1172.4000000000001</v>
      </c>
      <c r="P63" s="100">
        <f t="shared" si="8"/>
        <v>1172.4000000000001</v>
      </c>
      <c r="Q63" s="103">
        <f t="shared" si="8"/>
        <v>1172</v>
      </c>
      <c r="R63" s="576">
        <f t="shared" si="0"/>
        <v>-0.7</v>
      </c>
      <c r="S63" s="541">
        <f t="shared" si="1"/>
        <v>0</v>
      </c>
      <c r="T63" s="28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41619.4</v>
      </c>
      <c r="E64" s="543">
        <f t="shared" ref="E64:Q64" si="9">E48+E49+E51+E53+E55+E56+E59+E63</f>
        <v>42702.8</v>
      </c>
      <c r="F64" s="543">
        <f t="shared" si="9"/>
        <v>42794.8</v>
      </c>
      <c r="G64" s="544">
        <f t="shared" si="9"/>
        <v>44831.185000000005</v>
      </c>
      <c r="H64" s="544">
        <f t="shared" si="9"/>
        <v>45042.368553</v>
      </c>
      <c r="I64" s="544">
        <f t="shared" si="9"/>
        <v>45882.546696000005</v>
      </c>
      <c r="J64" s="545">
        <f t="shared" si="9"/>
        <v>46074.987332999997</v>
      </c>
      <c r="K64" s="546">
        <f t="shared" si="9"/>
        <v>47293.103905999997</v>
      </c>
      <c r="L64" s="547">
        <f t="shared" si="9"/>
        <v>49190.251332</v>
      </c>
      <c r="M64" s="544">
        <f t="shared" si="9"/>
        <v>50497.483398000004</v>
      </c>
      <c r="N64" s="544">
        <f t="shared" si="9"/>
        <v>52201.970979799997</v>
      </c>
      <c r="O64" s="544">
        <f t="shared" si="9"/>
        <v>53822.712183286996</v>
      </c>
      <c r="P64" s="544">
        <f t="shared" si="9"/>
        <v>55449.811825251301</v>
      </c>
      <c r="Q64" s="577">
        <f t="shared" si="9"/>
        <v>56308.92929781507</v>
      </c>
      <c r="R64" s="579">
        <f t="shared" si="0"/>
        <v>1.8</v>
      </c>
      <c r="S64" s="558">
        <f t="shared" si="1"/>
        <v>2.7</v>
      </c>
      <c r="T64" s="283"/>
    </row>
    <row r="65" spans="1:33" ht="15" customHeight="1">
      <c r="A65" s="616" t="s">
        <v>327</v>
      </c>
      <c r="B65" s="666" t="s">
        <v>433</v>
      </c>
      <c r="C65" s="667"/>
      <c r="D65" s="487">
        <v>3216</v>
      </c>
      <c r="E65" s="488">
        <v>3200</v>
      </c>
      <c r="F65" s="489">
        <v>3361</v>
      </c>
      <c r="G65" s="559">
        <v>3466</v>
      </c>
      <c r="H65" s="560">
        <v>3523</v>
      </c>
      <c r="I65" s="559">
        <v>3450</v>
      </c>
      <c r="J65" s="559">
        <v>4081</v>
      </c>
      <c r="K65" s="561">
        <v>3897</v>
      </c>
      <c r="L65" s="562">
        <v>3900</v>
      </c>
      <c r="M65" s="560">
        <v>3900</v>
      </c>
      <c r="N65" s="560">
        <v>3950</v>
      </c>
      <c r="O65" s="560">
        <v>3950</v>
      </c>
      <c r="P65" s="563">
        <v>4000</v>
      </c>
      <c r="Q65" s="561">
        <v>4000</v>
      </c>
      <c r="R65" s="573">
        <f t="shared" si="0"/>
        <v>2.8</v>
      </c>
      <c r="S65" s="256">
        <f t="shared" si="1"/>
        <v>0.5</v>
      </c>
      <c r="T65" s="28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2480</v>
      </c>
      <c r="E66" s="525">
        <v>2225</v>
      </c>
      <c r="F66" s="530">
        <v>2257</v>
      </c>
      <c r="G66" s="497">
        <v>2434</v>
      </c>
      <c r="H66" s="496">
        <v>2448</v>
      </c>
      <c r="I66" s="497">
        <v>2412</v>
      </c>
      <c r="J66" s="551">
        <v>2481</v>
      </c>
      <c r="K66" s="498">
        <v>2272</v>
      </c>
      <c r="L66" s="499">
        <v>2400</v>
      </c>
      <c r="M66" s="500">
        <v>2400</v>
      </c>
      <c r="N66" s="500">
        <v>2400</v>
      </c>
      <c r="O66" s="500">
        <v>2450</v>
      </c>
      <c r="P66" s="501">
        <v>2450</v>
      </c>
      <c r="Q66" s="498">
        <v>2450</v>
      </c>
      <c r="R66" s="573">
        <f t="shared" si="0"/>
        <v>-1.2</v>
      </c>
      <c r="S66" s="256">
        <f t="shared" si="1"/>
        <v>0.4</v>
      </c>
      <c r="T66" s="28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929</v>
      </c>
      <c r="E67" s="496">
        <v>817.04699999999991</v>
      </c>
      <c r="F67" s="497">
        <v>887.84699999999998</v>
      </c>
      <c r="G67" s="497">
        <v>1098.1669999999999</v>
      </c>
      <c r="H67" s="496">
        <v>995.80539999999996</v>
      </c>
      <c r="I67" s="497">
        <v>1196.018</v>
      </c>
      <c r="J67" s="497">
        <v>910</v>
      </c>
      <c r="K67" s="502">
        <v>1216</v>
      </c>
      <c r="L67" s="503">
        <v>1193</v>
      </c>
      <c r="M67" s="496">
        <v>1152</v>
      </c>
      <c r="N67" s="496">
        <v>1193</v>
      </c>
      <c r="O67" s="496">
        <v>1166</v>
      </c>
      <c r="P67" s="497">
        <v>1193</v>
      </c>
      <c r="Q67" s="502">
        <v>1193</v>
      </c>
      <c r="R67" s="573">
        <f t="shared" si="0"/>
        <v>3.9</v>
      </c>
      <c r="S67" s="256">
        <f t="shared" si="1"/>
        <v>0</v>
      </c>
      <c r="T67" s="283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7171</v>
      </c>
      <c r="E68" s="496">
        <v>8023</v>
      </c>
      <c r="F68" s="497">
        <v>8680</v>
      </c>
      <c r="G68" s="497">
        <v>9884</v>
      </c>
      <c r="H68" s="496">
        <v>10824</v>
      </c>
      <c r="I68" s="497">
        <v>11656</v>
      </c>
      <c r="J68" s="497">
        <v>12233</v>
      </c>
      <c r="K68" s="502">
        <v>13456</v>
      </c>
      <c r="L68" s="503">
        <v>14449</v>
      </c>
      <c r="M68" s="496">
        <v>15670</v>
      </c>
      <c r="N68" s="496">
        <v>16871</v>
      </c>
      <c r="O68" s="496">
        <v>18045</v>
      </c>
      <c r="P68" s="497">
        <v>19155</v>
      </c>
      <c r="Q68" s="502">
        <v>20109</v>
      </c>
      <c r="R68" s="573">
        <f t="shared" si="0"/>
        <v>9.4</v>
      </c>
      <c r="S68" s="256">
        <f t="shared" si="1"/>
        <v>6.8</v>
      </c>
      <c r="T68" s="28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720</v>
      </c>
      <c r="E69" s="496">
        <v>746</v>
      </c>
      <c r="F69" s="497">
        <v>769</v>
      </c>
      <c r="G69" s="497">
        <v>650</v>
      </c>
      <c r="H69" s="496">
        <v>728.22500000000002</v>
      </c>
      <c r="I69" s="497">
        <v>653.89469600000007</v>
      </c>
      <c r="J69" s="497">
        <v>769.86128599999984</v>
      </c>
      <c r="K69" s="502">
        <v>875.03746999999976</v>
      </c>
      <c r="L69" s="503">
        <v>894.62950999999975</v>
      </c>
      <c r="M69" s="496">
        <v>902.76649999999972</v>
      </c>
      <c r="N69" s="496">
        <v>883.41149999999959</v>
      </c>
      <c r="O69" s="496">
        <v>849.75746999999944</v>
      </c>
      <c r="P69" s="497">
        <v>850.8634899999995</v>
      </c>
      <c r="Q69" s="502">
        <v>985.95348999999953</v>
      </c>
      <c r="R69" s="573">
        <f t="shared" si="0"/>
        <v>2.8</v>
      </c>
      <c r="S69" s="256">
        <f t="shared" si="1"/>
        <v>2</v>
      </c>
      <c r="T69" s="283"/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283.52300000000002</v>
      </c>
      <c r="E70" s="45">
        <v>302</v>
      </c>
      <c r="F70" s="49">
        <v>390</v>
      </c>
      <c r="G70" s="45">
        <v>481</v>
      </c>
      <c r="H70" s="49">
        <v>481</v>
      </c>
      <c r="I70" s="45">
        <v>481</v>
      </c>
      <c r="J70" s="49">
        <v>500</v>
      </c>
      <c r="K70" s="50">
        <v>560</v>
      </c>
      <c r="L70" s="140">
        <v>551</v>
      </c>
      <c r="M70" s="45">
        <v>579</v>
      </c>
      <c r="N70" s="45">
        <v>580</v>
      </c>
      <c r="O70" s="45">
        <v>600</v>
      </c>
      <c r="P70" s="45">
        <v>620</v>
      </c>
      <c r="Q70" s="50">
        <v>620</v>
      </c>
      <c r="R70" s="573">
        <f t="shared" si="0"/>
        <v>10.199999999999999</v>
      </c>
      <c r="S70" s="256">
        <f t="shared" si="1"/>
        <v>2.4</v>
      </c>
      <c r="T70" s="283"/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628</v>
      </c>
      <c r="E71" s="49">
        <v>618</v>
      </c>
      <c r="F71" s="45">
        <v>680</v>
      </c>
      <c r="G71" s="49">
        <v>730</v>
      </c>
      <c r="H71" s="49">
        <v>870</v>
      </c>
      <c r="I71" s="45">
        <v>1180</v>
      </c>
      <c r="J71" s="49">
        <v>418</v>
      </c>
      <c r="K71" s="50">
        <v>1400</v>
      </c>
      <c r="L71" s="140">
        <v>1600</v>
      </c>
      <c r="M71" s="45">
        <v>1600</v>
      </c>
      <c r="N71" s="45">
        <v>2000</v>
      </c>
      <c r="O71" s="45">
        <v>2200</v>
      </c>
      <c r="P71" s="45">
        <v>2500</v>
      </c>
      <c r="Q71" s="50">
        <v>2500</v>
      </c>
      <c r="R71" s="573">
        <f t="shared" si="0"/>
        <v>12.1</v>
      </c>
      <c r="S71" s="256">
        <f t="shared" si="1"/>
        <v>9.3000000000000007</v>
      </c>
      <c r="T71" s="28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T72" s="283"/>
      <c r="U72" s="280"/>
      <c r="V72" s="280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23</v>
      </c>
      <c r="E73" s="49">
        <v>23</v>
      </c>
      <c r="F73" s="45">
        <v>23</v>
      </c>
      <c r="G73" s="49">
        <v>23</v>
      </c>
      <c r="H73" s="49">
        <v>23</v>
      </c>
      <c r="I73" s="45">
        <v>23</v>
      </c>
      <c r="J73" s="49">
        <v>23</v>
      </c>
      <c r="K73" s="50">
        <v>23</v>
      </c>
      <c r="L73" s="140">
        <v>23</v>
      </c>
      <c r="M73" s="45">
        <v>23</v>
      </c>
      <c r="N73" s="45">
        <v>23</v>
      </c>
      <c r="O73" s="45">
        <v>23</v>
      </c>
      <c r="P73" s="45">
        <v>23</v>
      </c>
      <c r="Q73" s="50">
        <v>23</v>
      </c>
      <c r="R73" s="573">
        <f t="shared" si="10"/>
        <v>0</v>
      </c>
      <c r="S73" s="256">
        <f t="shared" si="11"/>
        <v>0</v>
      </c>
      <c r="T73" s="283"/>
      <c r="U73" s="280"/>
      <c r="V73" s="43"/>
      <c r="W73" s="280"/>
      <c r="X73" s="280"/>
      <c r="Y73" s="280"/>
      <c r="Z73" s="280"/>
      <c r="AA73" s="280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205</v>
      </c>
      <c r="E74" s="496">
        <v>215.76249999999999</v>
      </c>
      <c r="F74" s="497">
        <v>216</v>
      </c>
      <c r="G74" s="497">
        <v>216</v>
      </c>
      <c r="H74" s="496">
        <v>216</v>
      </c>
      <c r="I74" s="497">
        <v>180</v>
      </c>
      <c r="J74" s="497">
        <v>180</v>
      </c>
      <c r="K74" s="502">
        <v>180</v>
      </c>
      <c r="L74" s="503">
        <v>180</v>
      </c>
      <c r="M74" s="496">
        <v>180</v>
      </c>
      <c r="N74" s="496">
        <v>180</v>
      </c>
      <c r="O74" s="496">
        <v>180</v>
      </c>
      <c r="P74" s="497">
        <v>180</v>
      </c>
      <c r="Q74" s="502">
        <v>180</v>
      </c>
      <c r="R74" s="573">
        <f t="shared" si="10"/>
        <v>-1.8</v>
      </c>
      <c r="S74" s="256">
        <f t="shared" si="11"/>
        <v>0</v>
      </c>
      <c r="T74" s="283"/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0</v>
      </c>
      <c r="Q75" s="50">
        <v>0</v>
      </c>
      <c r="R75" s="573" t="str">
        <f t="shared" si="10"/>
        <v xml:space="preserve">     -</v>
      </c>
      <c r="S75" s="256" t="str">
        <f t="shared" si="11"/>
        <v xml:space="preserve">     -</v>
      </c>
      <c r="T75" s="283"/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4492</v>
      </c>
      <c r="E76" s="40">
        <v>4241</v>
      </c>
      <c r="F76" s="40">
        <v>3871</v>
      </c>
      <c r="G76" s="40">
        <v>4048</v>
      </c>
      <c r="H76" s="505">
        <v>3698</v>
      </c>
      <c r="I76" s="505">
        <v>3735</v>
      </c>
      <c r="J76" s="506">
        <v>3245</v>
      </c>
      <c r="K76" s="507">
        <v>3783</v>
      </c>
      <c r="L76" s="508">
        <v>3373</v>
      </c>
      <c r="M76" s="505">
        <v>3370</v>
      </c>
      <c r="N76" s="505">
        <v>3370</v>
      </c>
      <c r="O76" s="505">
        <v>3370</v>
      </c>
      <c r="P76" s="505">
        <v>3370</v>
      </c>
      <c r="Q76" s="509">
        <v>3370</v>
      </c>
      <c r="R76" s="573">
        <f t="shared" si="10"/>
        <v>-2.4</v>
      </c>
      <c r="S76" s="256">
        <f t="shared" si="11"/>
        <v>0</v>
      </c>
      <c r="T76" s="283"/>
      <c r="U76" s="280"/>
      <c r="V76" s="280"/>
      <c r="W76" s="280"/>
      <c r="X76" s="280"/>
      <c r="Y76" s="280"/>
      <c r="Z76" s="280"/>
      <c r="AA76" s="280"/>
      <c r="AB76" s="280"/>
      <c r="AC76" s="280"/>
      <c r="AD76" s="280"/>
      <c r="AE76" s="280"/>
      <c r="AF76" s="280"/>
      <c r="AG76" s="280"/>
    </row>
    <row r="77" spans="1:33" ht="15.75" customHeight="1">
      <c r="A77" s="16"/>
      <c r="B77" s="674" t="s">
        <v>307</v>
      </c>
      <c r="C77" s="675"/>
      <c r="D77" s="95">
        <f>SUM(D65:D76)</f>
        <v>20147.523000000001</v>
      </c>
      <c r="E77" s="93">
        <f t="shared" ref="E77:Q77" si="12">SUM(E65:E76)</f>
        <v>20410.809499999999</v>
      </c>
      <c r="F77" s="93">
        <f t="shared" si="12"/>
        <v>21134.847000000002</v>
      </c>
      <c r="G77" s="93">
        <f t="shared" si="12"/>
        <v>23030.167000000001</v>
      </c>
      <c r="H77" s="93">
        <f t="shared" si="12"/>
        <v>23807.0304</v>
      </c>
      <c r="I77" s="93">
        <f t="shared" si="12"/>
        <v>24966.912695999999</v>
      </c>
      <c r="J77" s="93">
        <f t="shared" si="12"/>
        <v>24840.861285999999</v>
      </c>
      <c r="K77" s="96">
        <f t="shared" si="12"/>
        <v>27662.037469999999</v>
      </c>
      <c r="L77" s="95">
        <f t="shared" si="12"/>
        <v>28563.629509999999</v>
      </c>
      <c r="M77" s="93">
        <f t="shared" si="12"/>
        <v>29776.766499999998</v>
      </c>
      <c r="N77" s="93">
        <f t="shared" si="12"/>
        <v>31450.411499999998</v>
      </c>
      <c r="O77" s="93">
        <f t="shared" si="12"/>
        <v>32833.757469999997</v>
      </c>
      <c r="P77" s="93">
        <f t="shared" si="12"/>
        <v>34341.863490000003</v>
      </c>
      <c r="Q77" s="96">
        <f t="shared" si="12"/>
        <v>35430.95349</v>
      </c>
      <c r="R77" s="574">
        <f t="shared" si="10"/>
        <v>4.5999999999999996</v>
      </c>
      <c r="S77" s="510">
        <f t="shared" si="11"/>
        <v>4.4000000000000004</v>
      </c>
      <c r="T77" s="28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0</v>
      </c>
      <c r="E78" s="512">
        <v>0</v>
      </c>
      <c r="F78" s="512">
        <v>0</v>
      </c>
      <c r="G78" s="512">
        <v>0</v>
      </c>
      <c r="H78" s="512">
        <v>0</v>
      </c>
      <c r="I78" s="512">
        <v>0</v>
      </c>
      <c r="J78" s="513">
        <v>0</v>
      </c>
      <c r="K78" s="514">
        <v>0</v>
      </c>
      <c r="L78" s="511">
        <v>0</v>
      </c>
      <c r="M78" s="512">
        <v>0</v>
      </c>
      <c r="N78" s="512">
        <v>0</v>
      </c>
      <c r="O78" s="512">
        <v>0</v>
      </c>
      <c r="P78" s="513">
        <v>0</v>
      </c>
      <c r="Q78" s="514">
        <v>0</v>
      </c>
      <c r="R78" s="574" t="str">
        <f t="shared" si="10"/>
        <v xml:space="preserve">     -</v>
      </c>
      <c r="S78" s="510" t="str">
        <f t="shared" si="11"/>
        <v xml:space="preserve">     -</v>
      </c>
      <c r="T78" s="283"/>
      <c r="U78" s="280"/>
      <c r="V78" s="280"/>
      <c r="W78" s="280"/>
      <c r="X78" s="280"/>
      <c r="Y78" s="280"/>
      <c r="Z78" s="280"/>
      <c r="AA78" s="280"/>
      <c r="AB78" s="280"/>
      <c r="AC78" s="280"/>
      <c r="AD78" s="280"/>
      <c r="AE78" s="280"/>
      <c r="AF78" s="280"/>
      <c r="AG78" s="280"/>
    </row>
    <row r="79" spans="1:33" ht="15" customHeight="1">
      <c r="A79" s="16"/>
      <c r="B79" s="105"/>
      <c r="C79" s="97" t="s">
        <v>309</v>
      </c>
      <c r="D79" s="511">
        <v>0</v>
      </c>
      <c r="E79" s="512">
        <v>0</v>
      </c>
      <c r="F79" s="512">
        <v>0</v>
      </c>
      <c r="G79" s="512">
        <v>0</v>
      </c>
      <c r="H79" s="512">
        <v>0</v>
      </c>
      <c r="I79" s="512">
        <v>0</v>
      </c>
      <c r="J79" s="513">
        <v>0</v>
      </c>
      <c r="K79" s="514">
        <v>0</v>
      </c>
      <c r="L79" s="511">
        <v>0</v>
      </c>
      <c r="M79" s="512">
        <v>0</v>
      </c>
      <c r="N79" s="512">
        <v>0</v>
      </c>
      <c r="O79" s="512">
        <v>0</v>
      </c>
      <c r="P79" s="513">
        <v>0</v>
      </c>
      <c r="Q79" s="514">
        <v>0</v>
      </c>
      <c r="R79" s="574" t="str">
        <f t="shared" si="10"/>
        <v xml:space="preserve">     -</v>
      </c>
      <c r="S79" s="510" t="str">
        <f t="shared" si="11"/>
        <v xml:space="preserve">     -</v>
      </c>
      <c r="T79" s="283"/>
      <c r="U79" s="280"/>
      <c r="V79" s="280"/>
      <c r="W79" s="280"/>
      <c r="X79" s="280"/>
      <c r="Y79" s="280"/>
      <c r="Z79" s="280"/>
      <c r="AA79" s="280"/>
      <c r="AB79" s="280"/>
      <c r="AC79" s="280"/>
      <c r="AD79" s="280"/>
      <c r="AE79" s="280"/>
      <c r="AF79" s="280"/>
      <c r="AG79" s="280"/>
    </row>
    <row r="80" spans="1:33" ht="15.75" customHeight="1">
      <c r="A80" s="16"/>
      <c r="B80" s="672" t="s">
        <v>310</v>
      </c>
      <c r="C80" s="673"/>
      <c r="D80" s="537">
        <v>8901</v>
      </c>
      <c r="E80" s="538">
        <v>8950</v>
      </c>
      <c r="F80" s="538">
        <v>8342</v>
      </c>
      <c r="G80" s="538">
        <v>8431</v>
      </c>
      <c r="H80" s="538">
        <v>8017</v>
      </c>
      <c r="I80" s="538">
        <v>8044</v>
      </c>
      <c r="J80" s="515">
        <v>7947.6519170000001</v>
      </c>
      <c r="K80" s="536">
        <v>7866.4434359999996</v>
      </c>
      <c r="L80" s="537">
        <v>7778.4746999999998</v>
      </c>
      <c r="M80" s="538">
        <v>7843.6580890000005</v>
      </c>
      <c r="N80" s="538">
        <v>7923.9842170000002</v>
      </c>
      <c r="O80" s="538">
        <v>7965.7844669999995</v>
      </c>
      <c r="P80" s="515">
        <v>8008.4771359999995</v>
      </c>
      <c r="Q80" s="536">
        <v>7979.0001940000002</v>
      </c>
      <c r="R80" s="575">
        <f t="shared" si="10"/>
        <v>-1.7</v>
      </c>
      <c r="S80" s="517">
        <f t="shared" si="11"/>
        <v>0.5</v>
      </c>
      <c r="T80" s="28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8360</v>
      </c>
      <c r="E81" s="512">
        <v>8192</v>
      </c>
      <c r="F81" s="512">
        <v>7829</v>
      </c>
      <c r="G81" s="512">
        <v>7921</v>
      </c>
      <c r="H81" s="512">
        <v>7516</v>
      </c>
      <c r="I81" s="512">
        <v>7595</v>
      </c>
      <c r="J81" s="513">
        <v>7564.6452209999998</v>
      </c>
      <c r="K81" s="514">
        <v>7468.2969359999997</v>
      </c>
      <c r="L81" s="511">
        <v>7356.057202</v>
      </c>
      <c r="M81" s="512">
        <v>7415.9180850000002</v>
      </c>
      <c r="N81" s="512">
        <v>7489.1537840000001</v>
      </c>
      <c r="O81" s="512">
        <v>7524.949353</v>
      </c>
      <c r="P81" s="513">
        <v>7567.9169309999997</v>
      </c>
      <c r="Q81" s="514">
        <v>7538.4353270000001</v>
      </c>
      <c r="R81" s="574">
        <f t="shared" si="10"/>
        <v>-1.6</v>
      </c>
      <c r="S81" s="510">
        <f t="shared" si="11"/>
        <v>0.5</v>
      </c>
      <c r="T81" s="28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2463</v>
      </c>
      <c r="E82" s="496">
        <v>2575</v>
      </c>
      <c r="F82" s="496">
        <v>2678</v>
      </c>
      <c r="G82" s="496">
        <v>2790</v>
      </c>
      <c r="H82" s="496">
        <v>2711</v>
      </c>
      <c r="I82" s="496">
        <v>2659</v>
      </c>
      <c r="J82" s="497">
        <v>2856</v>
      </c>
      <c r="K82" s="502">
        <v>3195</v>
      </c>
      <c r="L82" s="503">
        <v>3278</v>
      </c>
      <c r="M82" s="496">
        <v>3300</v>
      </c>
      <c r="N82" s="496">
        <v>3399</v>
      </c>
      <c r="O82" s="496">
        <v>3522</v>
      </c>
      <c r="P82" s="497">
        <v>3645</v>
      </c>
      <c r="Q82" s="502">
        <v>3720</v>
      </c>
      <c r="R82" s="573">
        <f t="shared" si="10"/>
        <v>3.8</v>
      </c>
      <c r="S82" s="256">
        <f t="shared" si="11"/>
        <v>2.6</v>
      </c>
      <c r="T82" s="283"/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1778</v>
      </c>
      <c r="F83" s="518">
        <v>1889</v>
      </c>
      <c r="G83" s="518">
        <v>1921</v>
      </c>
      <c r="H83" s="518">
        <v>1925</v>
      </c>
      <c r="I83" s="518">
        <v>1693</v>
      </c>
      <c r="J83" s="519">
        <v>1874</v>
      </c>
      <c r="K83" s="514">
        <v>2174</v>
      </c>
      <c r="L83" s="511">
        <v>2197</v>
      </c>
      <c r="M83" s="518">
        <v>2213</v>
      </c>
      <c r="N83" s="518">
        <v>2322</v>
      </c>
      <c r="O83" s="518">
        <v>2369</v>
      </c>
      <c r="P83" s="519">
        <v>2416</v>
      </c>
      <c r="Q83" s="514">
        <v>2522</v>
      </c>
      <c r="R83" s="574" t="str">
        <f t="shared" si="10"/>
        <v xml:space="preserve">     -</v>
      </c>
      <c r="S83" s="510">
        <f t="shared" si="11"/>
        <v>2.8</v>
      </c>
      <c r="T83" s="283"/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95</v>
      </c>
      <c r="E84" s="518">
        <v>95</v>
      </c>
      <c r="F84" s="518">
        <v>95</v>
      </c>
      <c r="G84" s="518">
        <v>100</v>
      </c>
      <c r="H84" s="518">
        <v>80</v>
      </c>
      <c r="I84" s="518">
        <v>56</v>
      </c>
      <c r="J84" s="519">
        <v>55</v>
      </c>
      <c r="K84" s="514">
        <v>55</v>
      </c>
      <c r="L84" s="511">
        <v>60</v>
      </c>
      <c r="M84" s="518">
        <v>60</v>
      </c>
      <c r="N84" s="518">
        <v>60</v>
      </c>
      <c r="O84" s="518">
        <v>60</v>
      </c>
      <c r="P84" s="519">
        <v>80</v>
      </c>
      <c r="Q84" s="514">
        <v>100</v>
      </c>
      <c r="R84" s="574">
        <f t="shared" si="10"/>
        <v>-7.5</v>
      </c>
      <c r="S84" s="510">
        <f t="shared" si="11"/>
        <v>10.8</v>
      </c>
      <c r="T84" s="283"/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1360</v>
      </c>
      <c r="E85" s="521">
        <v>1153</v>
      </c>
      <c r="F85" s="521">
        <v>1302.2</v>
      </c>
      <c r="G85" s="521">
        <v>1415.1</v>
      </c>
      <c r="H85" s="521">
        <v>1320</v>
      </c>
      <c r="I85" s="521">
        <v>1346</v>
      </c>
      <c r="J85" s="522">
        <v>1522.2</v>
      </c>
      <c r="K85" s="523">
        <v>1328</v>
      </c>
      <c r="L85" s="520">
        <v>1349.248</v>
      </c>
      <c r="M85" s="521">
        <v>1370.8359680000001</v>
      </c>
      <c r="N85" s="521">
        <v>1392.769343488</v>
      </c>
      <c r="O85" s="521">
        <v>1415.053652983808</v>
      </c>
      <c r="P85" s="522">
        <v>1437.694511431549</v>
      </c>
      <c r="Q85" s="523">
        <v>1452</v>
      </c>
      <c r="R85" s="574">
        <f t="shared" si="10"/>
        <v>-0.3</v>
      </c>
      <c r="S85" s="510">
        <f t="shared" si="11"/>
        <v>1.5</v>
      </c>
      <c r="T85" s="283"/>
      <c r="U85" s="351"/>
      <c r="V85" s="351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1"/>
    </row>
    <row r="86" spans="1:33" ht="15" customHeight="1">
      <c r="A86" s="16"/>
      <c r="B86" s="672" t="s">
        <v>316</v>
      </c>
      <c r="C86" s="673"/>
      <c r="D86" s="529">
        <v>6893</v>
      </c>
      <c r="E86" s="525">
        <v>6963</v>
      </c>
      <c r="F86" s="530">
        <v>7033</v>
      </c>
      <c r="G86" s="530">
        <v>7104</v>
      </c>
      <c r="H86" s="525">
        <v>7176</v>
      </c>
      <c r="I86" s="530">
        <v>7350</v>
      </c>
      <c r="J86" s="530">
        <v>7466</v>
      </c>
      <c r="K86" s="564">
        <v>7638</v>
      </c>
      <c r="L86" s="524">
        <v>7335</v>
      </c>
      <c r="M86" s="525">
        <v>7344</v>
      </c>
      <c r="N86" s="525">
        <v>7415</v>
      </c>
      <c r="O86" s="525">
        <v>7475</v>
      </c>
      <c r="P86" s="530">
        <v>7499</v>
      </c>
      <c r="Q86" s="564">
        <v>7757</v>
      </c>
      <c r="R86" s="573">
        <f t="shared" si="10"/>
        <v>1.5</v>
      </c>
      <c r="S86" s="256">
        <f t="shared" si="11"/>
        <v>1.1000000000000001</v>
      </c>
      <c r="T86" s="283"/>
      <c r="U86" s="280"/>
      <c r="V86" s="280"/>
      <c r="W86" s="280"/>
      <c r="X86" s="352"/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535</v>
      </c>
      <c r="E87" s="525">
        <v>540</v>
      </c>
      <c r="F87" s="530">
        <v>545</v>
      </c>
      <c r="G87" s="530">
        <v>550</v>
      </c>
      <c r="H87" s="525">
        <v>564</v>
      </c>
      <c r="I87" s="530">
        <v>570</v>
      </c>
      <c r="J87" s="530">
        <v>577</v>
      </c>
      <c r="K87" s="564">
        <v>594</v>
      </c>
      <c r="L87" s="524">
        <v>608</v>
      </c>
      <c r="M87" s="525">
        <v>620</v>
      </c>
      <c r="N87" s="525">
        <v>630</v>
      </c>
      <c r="O87" s="525">
        <v>641</v>
      </c>
      <c r="P87" s="530">
        <v>652</v>
      </c>
      <c r="Q87" s="564">
        <v>641</v>
      </c>
      <c r="R87" s="573">
        <f t="shared" si="10"/>
        <v>1.5</v>
      </c>
      <c r="S87" s="256">
        <f t="shared" si="11"/>
        <v>1.1000000000000001</v>
      </c>
      <c r="T87" s="283"/>
      <c r="U87" s="280"/>
      <c r="V87" s="280"/>
      <c r="W87" s="280"/>
      <c r="X87" s="352"/>
      <c r="Y87" s="352"/>
      <c r="Z87" s="280"/>
      <c r="AA87" s="280"/>
      <c r="AB87" s="280"/>
      <c r="AC87" s="280"/>
      <c r="AD87" s="280"/>
      <c r="AE87" s="280"/>
      <c r="AF87" s="280"/>
      <c r="AG87" s="280"/>
    </row>
    <row r="88" spans="1:33" ht="15.75" customHeight="1">
      <c r="A88" s="16"/>
      <c r="B88" s="674" t="s">
        <v>318</v>
      </c>
      <c r="C88" s="675"/>
      <c r="D88" s="95">
        <f>SUM(D86:D87)</f>
        <v>7428</v>
      </c>
      <c r="E88" s="92">
        <f t="shared" ref="E88:Q88" si="13">SUM(E86:E87)</f>
        <v>7503</v>
      </c>
      <c r="F88" s="92">
        <f t="shared" si="13"/>
        <v>7578</v>
      </c>
      <c r="G88" s="93">
        <f t="shared" si="13"/>
        <v>7654</v>
      </c>
      <c r="H88" s="93">
        <f t="shared" si="13"/>
        <v>7740</v>
      </c>
      <c r="I88" s="94">
        <f t="shared" si="13"/>
        <v>7920</v>
      </c>
      <c r="J88" s="94">
        <f t="shared" si="13"/>
        <v>8043</v>
      </c>
      <c r="K88" s="96">
        <f t="shared" si="13"/>
        <v>8232</v>
      </c>
      <c r="L88" s="95">
        <f t="shared" si="13"/>
        <v>7943</v>
      </c>
      <c r="M88" s="93">
        <f t="shared" si="13"/>
        <v>7964</v>
      </c>
      <c r="N88" s="93">
        <f t="shared" si="13"/>
        <v>8045</v>
      </c>
      <c r="O88" s="93">
        <f t="shared" si="13"/>
        <v>8116</v>
      </c>
      <c r="P88" s="93">
        <f t="shared" si="13"/>
        <v>8151</v>
      </c>
      <c r="Q88" s="96">
        <f t="shared" si="13"/>
        <v>8398</v>
      </c>
      <c r="R88" s="574">
        <f t="shared" si="10"/>
        <v>1.5</v>
      </c>
      <c r="S88" s="510">
        <f t="shared" si="11"/>
        <v>1.1000000000000001</v>
      </c>
      <c r="T88" s="28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75</v>
      </c>
      <c r="E89" s="525">
        <v>75</v>
      </c>
      <c r="F89" s="530">
        <v>75</v>
      </c>
      <c r="G89" s="530">
        <v>76</v>
      </c>
      <c r="H89" s="525">
        <v>78</v>
      </c>
      <c r="I89" s="530">
        <v>80</v>
      </c>
      <c r="J89" s="530">
        <v>82</v>
      </c>
      <c r="K89" s="564">
        <v>84</v>
      </c>
      <c r="L89" s="565">
        <v>86</v>
      </c>
      <c r="M89" s="566">
        <v>88</v>
      </c>
      <c r="N89" s="566">
        <v>90</v>
      </c>
      <c r="O89" s="566">
        <v>93</v>
      </c>
      <c r="P89" s="566">
        <v>96</v>
      </c>
      <c r="Q89" s="567">
        <v>99</v>
      </c>
      <c r="R89" s="573">
        <f t="shared" si="10"/>
        <v>1.6</v>
      </c>
      <c r="S89" s="256">
        <f t="shared" si="11"/>
        <v>2.9</v>
      </c>
      <c r="T89" s="283"/>
      <c r="U89" s="280"/>
      <c r="V89" s="280"/>
      <c r="W89" s="280"/>
      <c r="X89" s="352"/>
      <c r="Y89" s="352"/>
      <c r="Z89" s="352"/>
      <c r="AA89" s="352"/>
      <c r="AB89" s="352"/>
      <c r="AC89" s="352"/>
      <c r="AD89" s="352"/>
      <c r="AE89" s="352"/>
      <c r="AF89" s="352"/>
      <c r="AG89" s="352"/>
    </row>
    <row r="90" spans="1:33" ht="15" customHeight="1">
      <c r="A90" s="16"/>
      <c r="B90" s="668" t="s">
        <v>320</v>
      </c>
      <c r="C90" s="669"/>
      <c r="D90" s="553">
        <v>625</v>
      </c>
      <c r="E90" s="525">
        <v>631</v>
      </c>
      <c r="F90" s="530">
        <v>637</v>
      </c>
      <c r="G90" s="530">
        <v>643</v>
      </c>
      <c r="H90" s="525">
        <v>649</v>
      </c>
      <c r="I90" s="530">
        <v>650</v>
      </c>
      <c r="J90" s="530">
        <v>629</v>
      </c>
      <c r="K90" s="564">
        <v>636</v>
      </c>
      <c r="L90" s="524">
        <v>648</v>
      </c>
      <c r="M90" s="525">
        <v>662</v>
      </c>
      <c r="N90" s="525">
        <v>675</v>
      </c>
      <c r="O90" s="525">
        <v>689</v>
      </c>
      <c r="P90" s="530">
        <v>703</v>
      </c>
      <c r="Q90" s="564">
        <v>713</v>
      </c>
      <c r="R90" s="573">
        <f t="shared" si="10"/>
        <v>0.2</v>
      </c>
      <c r="S90" s="256">
        <f t="shared" si="11"/>
        <v>1.9</v>
      </c>
      <c r="T90" s="283"/>
      <c r="U90" s="280"/>
      <c r="V90" s="280"/>
      <c r="W90" s="280"/>
      <c r="X90" s="352"/>
      <c r="Y90" s="352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200</v>
      </c>
      <c r="E91" s="525">
        <v>222</v>
      </c>
      <c r="F91" s="530">
        <v>227</v>
      </c>
      <c r="G91" s="530">
        <v>234</v>
      </c>
      <c r="H91" s="525">
        <v>237</v>
      </c>
      <c r="I91" s="530">
        <v>242</v>
      </c>
      <c r="J91" s="530">
        <v>241</v>
      </c>
      <c r="K91" s="568">
        <v>244</v>
      </c>
      <c r="L91" s="569">
        <v>247</v>
      </c>
      <c r="M91" s="570">
        <v>252</v>
      </c>
      <c r="N91" s="570">
        <v>259</v>
      </c>
      <c r="O91" s="570">
        <v>266</v>
      </c>
      <c r="P91" s="571">
        <v>273</v>
      </c>
      <c r="Q91" s="568">
        <v>281</v>
      </c>
      <c r="R91" s="573">
        <f t="shared" si="10"/>
        <v>2.9</v>
      </c>
      <c r="S91" s="256">
        <f t="shared" si="11"/>
        <v>2.6</v>
      </c>
      <c r="T91" s="283"/>
      <c r="U91" s="43"/>
      <c r="V91" s="43"/>
      <c r="W91" s="43"/>
      <c r="X91" s="280"/>
      <c r="Y91" s="280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900</v>
      </c>
      <c r="E92" s="539">
        <f t="shared" ref="E92:Q92" si="14">SUM(E89:E91)</f>
        <v>928</v>
      </c>
      <c r="F92" s="539">
        <f t="shared" si="14"/>
        <v>939</v>
      </c>
      <c r="G92" s="100">
        <f t="shared" si="14"/>
        <v>953</v>
      </c>
      <c r="H92" s="100">
        <f t="shared" si="14"/>
        <v>964</v>
      </c>
      <c r="I92" s="100">
        <f t="shared" si="14"/>
        <v>972</v>
      </c>
      <c r="J92" s="101">
        <f t="shared" si="14"/>
        <v>952</v>
      </c>
      <c r="K92" s="104">
        <f t="shared" si="14"/>
        <v>964</v>
      </c>
      <c r="L92" s="540">
        <f t="shared" si="14"/>
        <v>981</v>
      </c>
      <c r="M92" s="100">
        <f t="shared" si="14"/>
        <v>1002</v>
      </c>
      <c r="N92" s="100">
        <f t="shared" si="14"/>
        <v>1024</v>
      </c>
      <c r="O92" s="100">
        <f t="shared" si="14"/>
        <v>1048</v>
      </c>
      <c r="P92" s="100">
        <f t="shared" si="14"/>
        <v>1072</v>
      </c>
      <c r="Q92" s="103">
        <f t="shared" si="14"/>
        <v>1093</v>
      </c>
      <c r="R92" s="576">
        <f t="shared" si="10"/>
        <v>1</v>
      </c>
      <c r="S92" s="541">
        <f t="shared" si="11"/>
        <v>2.2000000000000002</v>
      </c>
      <c r="T92" s="28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41294.523000000001</v>
      </c>
      <c r="E93" s="543">
        <f t="shared" ref="E93:Q93" si="15">E77+E78+E80+E82+E84+E85+E88+E92</f>
        <v>41614.809500000003</v>
      </c>
      <c r="F93" s="543">
        <f t="shared" si="15"/>
        <v>42069.046999999999</v>
      </c>
      <c r="G93" s="544">
        <f t="shared" si="15"/>
        <v>44373.267</v>
      </c>
      <c r="H93" s="544">
        <f t="shared" si="15"/>
        <v>44639.030400000003</v>
      </c>
      <c r="I93" s="544">
        <f t="shared" si="15"/>
        <v>45963.912695999999</v>
      </c>
      <c r="J93" s="545">
        <f t="shared" si="15"/>
        <v>46216.713202999999</v>
      </c>
      <c r="K93" s="546">
        <f t="shared" si="15"/>
        <v>49302.480905999997</v>
      </c>
      <c r="L93" s="547">
        <f t="shared" si="15"/>
        <v>49953.352209999997</v>
      </c>
      <c r="M93" s="544">
        <f t="shared" si="15"/>
        <v>51317.260557000001</v>
      </c>
      <c r="N93" s="544">
        <f t="shared" si="15"/>
        <v>53295.165060487998</v>
      </c>
      <c r="O93" s="544">
        <f t="shared" si="15"/>
        <v>54960.595589983801</v>
      </c>
      <c r="P93" s="544">
        <f t="shared" si="15"/>
        <v>56736.035137431551</v>
      </c>
      <c r="Q93" s="577">
        <f t="shared" si="15"/>
        <v>58172.953684</v>
      </c>
      <c r="R93" s="578">
        <f t="shared" si="10"/>
        <v>2.6</v>
      </c>
      <c r="S93" s="549">
        <f t="shared" si="11"/>
        <v>3.1</v>
      </c>
      <c r="T93" s="283"/>
      <c r="U93" s="14"/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20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20" ht="13.5" customHeight="1">
      <c r="C98" s="617" t="s">
        <v>333</v>
      </c>
      <c r="E98" s="27"/>
      <c r="F98" s="27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3:20" ht="13.5" hidden="1" customHeight="1">
      <c r="C99" t="s">
        <v>45</v>
      </c>
      <c r="E99" s="27"/>
      <c r="F99" s="27"/>
      <c r="G99" s="27"/>
      <c r="H99" s="27"/>
      <c r="I99" s="27"/>
      <c r="J99" s="27"/>
      <c r="K99" s="13">
        <f>+K38+K40+K41+K44+K45+K46</f>
        <v>3189.1604699999993</v>
      </c>
      <c r="L99" s="13"/>
      <c r="M99" s="13"/>
      <c r="N99" s="13"/>
      <c r="O99" s="13"/>
      <c r="P99" s="13"/>
      <c r="Q99" s="13">
        <f>+Q38+Q40+Q41+Q44+Q45+Q46</f>
        <v>4122.7501089999996</v>
      </c>
    </row>
    <row r="100" spans="3:20" hidden="1">
      <c r="C100" t="s">
        <v>46</v>
      </c>
      <c r="E100" s="27"/>
      <c r="F100" s="27"/>
      <c r="G100" s="27"/>
      <c r="H100" s="24"/>
      <c r="I100" s="24"/>
      <c r="J100" s="24"/>
      <c r="K100" s="24">
        <f>+K67+K69+K70+K73+K74+K75</f>
        <v>2854.0374699999998</v>
      </c>
      <c r="L100" s="24"/>
      <c r="M100" s="24"/>
      <c r="N100" s="24"/>
      <c r="O100" s="24"/>
      <c r="P100" s="24"/>
      <c r="Q100" s="24">
        <f>+Q67+Q69+Q70+Q73+Q74+Q75</f>
        <v>3001.9534899999994</v>
      </c>
    </row>
    <row r="101" spans="3:20" hidden="1">
      <c r="C101" t="s">
        <v>55</v>
      </c>
      <c r="E101" s="27"/>
      <c r="F101" s="27"/>
      <c r="G101" s="27"/>
      <c r="H101" s="27"/>
      <c r="I101" s="27"/>
      <c r="J101" s="27"/>
      <c r="K101" s="27">
        <f>+K99-K100</f>
        <v>335.12299999999959</v>
      </c>
      <c r="L101" s="27"/>
      <c r="M101" s="27"/>
      <c r="N101" s="27"/>
      <c r="O101" s="27"/>
      <c r="P101" s="27"/>
      <c r="Q101" s="27">
        <f>+Q99-Q100</f>
        <v>1120.7966190000002</v>
      </c>
    </row>
    <row r="102" spans="3:20" hidden="1">
      <c r="E102" s="27"/>
      <c r="F102" s="27"/>
      <c r="G102" s="27"/>
      <c r="H102" s="27"/>
      <c r="I102" s="27"/>
      <c r="J102" s="27"/>
      <c r="K102" s="29">
        <f>+K101/1000</f>
        <v>0.33512299999999962</v>
      </c>
      <c r="L102" s="29"/>
      <c r="M102" s="29"/>
      <c r="N102" s="29"/>
      <c r="O102" s="29"/>
      <c r="P102" s="29"/>
      <c r="Q102" s="29">
        <f>+Q101/1000</f>
        <v>1.1207966190000003</v>
      </c>
    </row>
    <row r="103" spans="3:20" ht="14.25">
      <c r="E103" s="27"/>
      <c r="F103" s="27"/>
      <c r="G103" s="27"/>
      <c r="H103" s="257"/>
      <c r="I103" s="83"/>
      <c r="J103" s="83"/>
      <c r="K103" s="83"/>
      <c r="L103" s="83"/>
      <c r="M103" s="83"/>
      <c r="N103" s="83"/>
      <c r="O103" s="27"/>
      <c r="P103" s="27"/>
      <c r="Q103" s="24"/>
    </row>
    <row r="104" spans="3:20"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</row>
    <row r="105" spans="3:20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20"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T106" s="283"/>
    </row>
    <row r="107" spans="3:20"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T107" s="283"/>
    </row>
    <row r="108" spans="3:20"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4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T109" s="283"/>
    </row>
    <row r="110" spans="3:20"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T110" s="283"/>
    </row>
    <row r="111" spans="3:20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20"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T112" s="283"/>
    </row>
    <row r="113" spans="3:20"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T113" s="283"/>
    </row>
    <row r="114" spans="3:20">
      <c r="E114" s="27"/>
      <c r="F114" s="27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3:20"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</row>
    <row r="116" spans="3:20"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</row>
    <row r="117" spans="3:20"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3:20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3:20">
      <c r="C119" s="697"/>
      <c r="D119" s="697"/>
      <c r="E119" s="27"/>
      <c r="F119" s="27"/>
      <c r="G119" s="27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3:20">
      <c r="C120" s="697"/>
      <c r="D120" s="697"/>
      <c r="E120" s="24"/>
      <c r="F120" s="24"/>
      <c r="G120" s="27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3:20">
      <c r="C121" s="697"/>
      <c r="D121" s="697"/>
      <c r="E121" s="27"/>
      <c r="F121" s="27"/>
      <c r="G121" s="27"/>
      <c r="H121" s="27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3:20">
      <c r="C122" s="697"/>
      <c r="D122" s="697"/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3:20">
      <c r="C123" s="697"/>
      <c r="D123" s="697"/>
      <c r="E123" s="27"/>
      <c r="F123" s="27"/>
      <c r="G123" s="27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3:20">
      <c r="C124" s="697"/>
      <c r="D124" s="697"/>
      <c r="E124" s="24"/>
      <c r="F124" s="24"/>
      <c r="G124" s="27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3:20">
      <c r="C125" s="697"/>
      <c r="D125" s="697"/>
      <c r="E125" s="24"/>
      <c r="F125" s="24"/>
      <c r="G125" s="27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3:20">
      <c r="E126" s="27"/>
      <c r="F126" s="27"/>
      <c r="G126" s="27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3:20">
      <c r="C127" s="697"/>
      <c r="D127" s="697"/>
      <c r="E127" s="27"/>
      <c r="F127" s="27"/>
      <c r="G127" s="27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3:20">
      <c r="C128" s="697"/>
      <c r="D128" s="697"/>
      <c r="E128" s="27"/>
      <c r="F128" s="27"/>
      <c r="G128" s="27"/>
      <c r="H128" s="27"/>
      <c r="I128" s="27"/>
      <c r="J128" s="27"/>
      <c r="K128" s="24"/>
      <c r="L128" s="13"/>
      <c r="M128" s="13"/>
      <c r="N128" s="13"/>
      <c r="O128" s="13"/>
      <c r="P128" s="13"/>
      <c r="Q128" s="13"/>
    </row>
    <row r="129" spans="3:19">
      <c r="C129" s="697"/>
      <c r="D129" s="697"/>
      <c r="E129" s="27"/>
      <c r="F129" s="27"/>
      <c r="G129" s="27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3:19">
      <c r="C130" s="697"/>
      <c r="D130" s="697"/>
      <c r="E130" s="27"/>
      <c r="F130" s="27"/>
      <c r="G130" s="27"/>
      <c r="H130" s="27"/>
      <c r="I130" s="27"/>
      <c r="J130" s="27"/>
      <c r="K130" s="24"/>
      <c r="L130" s="27"/>
      <c r="M130" s="27"/>
      <c r="N130" s="27"/>
      <c r="O130" s="27"/>
      <c r="P130" s="27"/>
      <c r="Q130" s="24"/>
      <c r="R130"/>
      <c r="S130"/>
    </row>
    <row r="131" spans="3:19">
      <c r="C131" s="698"/>
      <c r="D131" s="698"/>
      <c r="E131" s="27"/>
      <c r="F131" s="27"/>
      <c r="G131" s="27"/>
      <c r="H131" s="27"/>
      <c r="I131" s="27"/>
      <c r="J131" s="27"/>
      <c r="K131" s="24"/>
      <c r="L131" s="27"/>
      <c r="M131" s="27"/>
      <c r="N131" s="27"/>
      <c r="O131" s="27"/>
      <c r="P131" s="27"/>
      <c r="Q131" s="24"/>
      <c r="R131"/>
      <c r="S131"/>
    </row>
    <row r="132" spans="3:19">
      <c r="C132" s="698"/>
      <c r="D132" s="698"/>
      <c r="E132" s="27"/>
      <c r="F132" s="27"/>
      <c r="G132" s="27"/>
      <c r="H132" s="27"/>
      <c r="I132" s="27"/>
      <c r="J132" s="27"/>
      <c r="K132" s="24"/>
      <c r="L132" s="27"/>
      <c r="M132" s="27"/>
      <c r="N132" s="27"/>
      <c r="O132" s="27"/>
      <c r="P132" s="27"/>
      <c r="Q132" s="24"/>
      <c r="R132"/>
      <c r="S132"/>
    </row>
    <row r="133" spans="3:19">
      <c r="E133" s="27"/>
      <c r="F133" s="27"/>
      <c r="G133" s="27"/>
      <c r="H133" s="27"/>
      <c r="I133" s="24"/>
      <c r="J133" s="24"/>
      <c r="K133" s="24"/>
      <c r="L133" s="24"/>
      <c r="M133" s="24"/>
      <c r="N133" s="24"/>
      <c r="O133" s="24"/>
      <c r="P133" s="24"/>
      <c r="Q133" s="24"/>
      <c r="R133"/>
      <c r="S133"/>
    </row>
    <row r="134" spans="3:19">
      <c r="C134" s="698"/>
      <c r="D134" s="698"/>
      <c r="E134" s="27"/>
      <c r="F134" s="27"/>
      <c r="G134" s="27"/>
      <c r="H134" s="27"/>
      <c r="I134" s="27"/>
      <c r="J134" s="27"/>
      <c r="K134" s="24"/>
      <c r="L134" s="27"/>
      <c r="M134" s="27"/>
      <c r="N134" s="27"/>
      <c r="O134" s="27"/>
      <c r="P134" s="27"/>
      <c r="Q134" s="24"/>
      <c r="R134"/>
      <c r="S134"/>
    </row>
    <row r="135" spans="3:19">
      <c r="D135" s="421"/>
      <c r="E135" s="27"/>
      <c r="F135" s="27"/>
      <c r="G135" s="27"/>
      <c r="H135" s="27"/>
      <c r="I135" s="27"/>
      <c r="J135" s="27"/>
      <c r="K135" s="24"/>
      <c r="L135" s="27"/>
      <c r="M135" s="27"/>
      <c r="N135" s="27"/>
      <c r="O135" s="27"/>
      <c r="P135" s="27"/>
      <c r="Q135" s="24"/>
      <c r="R135"/>
      <c r="S135"/>
    </row>
    <row r="136" spans="3:19">
      <c r="C136" s="698"/>
      <c r="D136" s="698"/>
      <c r="E136" s="27"/>
      <c r="F136" s="27"/>
      <c r="G136" s="27"/>
      <c r="H136" s="27"/>
      <c r="I136" s="27"/>
      <c r="J136" s="27"/>
      <c r="K136" s="24"/>
      <c r="L136" s="27"/>
      <c r="M136" s="27"/>
      <c r="N136" s="27"/>
      <c r="O136" s="27"/>
      <c r="P136" s="27"/>
      <c r="Q136" s="24"/>
      <c r="R136"/>
      <c r="S136"/>
    </row>
    <row r="137" spans="3:19">
      <c r="D137" s="421"/>
      <c r="E137" s="27"/>
      <c r="F137" s="27"/>
      <c r="G137" s="27"/>
      <c r="H137" s="27"/>
      <c r="I137" s="27"/>
      <c r="J137" s="27"/>
      <c r="K137" s="24"/>
      <c r="L137" s="27"/>
      <c r="M137" s="27"/>
      <c r="N137" s="27"/>
      <c r="O137" s="27"/>
      <c r="P137" s="27"/>
      <c r="Q137" s="24"/>
      <c r="R137"/>
      <c r="S137"/>
    </row>
    <row r="138" spans="3:19">
      <c r="C138" s="698"/>
      <c r="D138" s="698"/>
      <c r="E138" s="24"/>
      <c r="F138" s="24"/>
      <c r="G138" s="27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/>
      <c r="S138"/>
    </row>
    <row r="139" spans="3:19">
      <c r="C139" s="698"/>
      <c r="D139" s="698"/>
      <c r="E139" s="24"/>
      <c r="F139" s="24"/>
      <c r="G139" s="27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/>
      <c r="S139"/>
    </row>
    <row r="140" spans="3:19">
      <c r="C140" s="697"/>
      <c r="D140" s="697"/>
      <c r="E140" s="27"/>
      <c r="F140" s="27"/>
      <c r="G140" s="27"/>
      <c r="H140" s="27"/>
      <c r="I140" s="27"/>
      <c r="J140" s="27"/>
      <c r="K140" s="24"/>
      <c r="L140" s="27"/>
      <c r="M140" s="27"/>
      <c r="N140" s="27"/>
      <c r="O140" s="27"/>
      <c r="P140" s="27"/>
      <c r="Q140" s="24"/>
      <c r="R140"/>
      <c r="S140"/>
    </row>
    <row r="141" spans="3:19">
      <c r="C141" s="697"/>
      <c r="D141" s="697"/>
      <c r="E141" s="27"/>
      <c r="F141" s="27"/>
      <c r="G141" s="27"/>
      <c r="H141" s="27"/>
      <c r="I141" s="27"/>
      <c r="J141" s="27"/>
      <c r="K141" s="24"/>
      <c r="L141" s="27"/>
      <c r="M141" s="27"/>
      <c r="N141" s="27"/>
      <c r="O141" s="27"/>
      <c r="P141" s="27"/>
      <c r="Q141" s="24"/>
      <c r="R141"/>
      <c r="S141"/>
    </row>
    <row r="142" spans="3:19">
      <c r="C142" s="698"/>
      <c r="D142" s="698"/>
      <c r="E142" s="24"/>
      <c r="F142" s="24"/>
      <c r="G142" s="27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/>
      <c r="S142"/>
    </row>
    <row r="143" spans="3:19">
      <c r="C143" s="697"/>
      <c r="D143" s="697"/>
      <c r="E143" s="27"/>
      <c r="F143" s="27"/>
      <c r="G143" s="27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/>
      <c r="S143"/>
    </row>
    <row r="144" spans="3:19">
      <c r="C144" s="697"/>
      <c r="D144" s="697"/>
      <c r="E144" s="27"/>
      <c r="F144" s="27"/>
      <c r="G144" s="27"/>
      <c r="H144" s="27"/>
      <c r="I144" s="27"/>
      <c r="J144" s="27"/>
      <c r="K144" s="24"/>
      <c r="L144" s="27"/>
      <c r="M144" s="27"/>
      <c r="N144" s="27"/>
      <c r="O144" s="27"/>
      <c r="P144" s="27"/>
      <c r="Q144" s="24"/>
      <c r="R144"/>
      <c r="S144"/>
    </row>
    <row r="145" spans="3:19">
      <c r="C145" s="697"/>
      <c r="D145" s="697"/>
      <c r="E145" s="27"/>
      <c r="F145" s="27"/>
      <c r="G145" s="27"/>
      <c r="H145" s="27"/>
      <c r="I145" s="27"/>
      <c r="J145" s="27"/>
      <c r="K145" s="24"/>
      <c r="L145" s="27"/>
      <c r="M145" s="27"/>
      <c r="N145" s="27"/>
      <c r="O145" s="27"/>
      <c r="P145" s="27"/>
      <c r="Q145" s="24"/>
      <c r="R145"/>
      <c r="S145"/>
    </row>
    <row r="146" spans="3:19">
      <c r="C146" s="698"/>
      <c r="D146" s="698"/>
      <c r="E146" s="24"/>
      <c r="F146" s="24"/>
      <c r="G146" s="27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/>
      <c r="S146"/>
    </row>
    <row r="147" spans="3:19">
      <c r="C147" s="699"/>
      <c r="D147" s="699"/>
      <c r="E147" s="27"/>
      <c r="F147" s="27"/>
      <c r="G147" s="27"/>
      <c r="H147" s="24"/>
      <c r="I147" s="24"/>
      <c r="J147" s="24"/>
      <c r="K147" s="24"/>
      <c r="L147" s="27"/>
      <c r="M147" s="27"/>
      <c r="N147" s="27"/>
      <c r="O147" s="27"/>
      <c r="P147" s="27"/>
      <c r="Q147" s="27"/>
      <c r="R147"/>
      <c r="S147"/>
    </row>
    <row r="148" spans="3:19">
      <c r="E148" s="27"/>
      <c r="F148" s="27"/>
      <c r="G148" s="27"/>
      <c r="H148" s="24"/>
      <c r="I148" s="24"/>
      <c r="J148" s="24"/>
      <c r="K148" s="27"/>
      <c r="L148" s="27"/>
      <c r="M148" s="27"/>
      <c r="N148" s="27"/>
      <c r="O148" s="27"/>
      <c r="P148" s="27"/>
      <c r="Q148" s="27"/>
      <c r="R148"/>
      <c r="S148"/>
    </row>
    <row r="149" spans="3:19"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/>
      <c r="S149"/>
    </row>
    <row r="150" spans="3:19">
      <c r="E150" s="27"/>
      <c r="F150" s="27"/>
      <c r="G150" s="27"/>
      <c r="H150" s="27"/>
      <c r="I150" s="24"/>
      <c r="J150" s="24"/>
      <c r="K150" s="27"/>
      <c r="L150" s="27"/>
      <c r="M150" s="27"/>
      <c r="N150" s="27"/>
      <c r="O150" s="27"/>
      <c r="P150" s="27"/>
      <c r="Q150" s="27"/>
      <c r="R150"/>
      <c r="S150"/>
    </row>
    <row r="151" spans="3:19">
      <c r="E151" s="27"/>
      <c r="F151" s="27"/>
      <c r="G151" s="27"/>
      <c r="H151" s="24"/>
      <c r="I151" s="24"/>
      <c r="J151" s="24"/>
      <c r="K151" s="27"/>
      <c r="L151" s="27"/>
      <c r="M151" s="27"/>
      <c r="N151" s="27"/>
      <c r="O151" s="27"/>
      <c r="P151" s="27"/>
      <c r="Q151" s="27"/>
      <c r="R151"/>
      <c r="S151"/>
    </row>
    <row r="152" spans="3:19">
      <c r="E152" s="27"/>
      <c r="F152" s="27"/>
      <c r="G152" s="27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/>
      <c r="S152"/>
    </row>
    <row r="153" spans="3:19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/>
      <c r="S153"/>
    </row>
    <row r="154" spans="3:19"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/>
      <c r="S154"/>
    </row>
    <row r="155" spans="3:19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/>
      <c r="S155"/>
    </row>
    <row r="156" spans="3:19">
      <c r="E156" s="27"/>
      <c r="F156" s="27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/>
      <c r="S156"/>
    </row>
    <row r="157" spans="3:19"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/>
      <c r="S157"/>
    </row>
    <row r="158" spans="3:19">
      <c r="E158" s="27"/>
      <c r="F158" s="27"/>
      <c r="G158" s="27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/>
      <c r="S158"/>
    </row>
    <row r="159" spans="3:19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  <c r="R159"/>
      <c r="S159"/>
    </row>
    <row r="160" spans="3:19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  <c r="R160"/>
      <c r="S160"/>
    </row>
    <row r="161" spans="5:19"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4"/>
      <c r="R161"/>
      <c r="S161"/>
    </row>
    <row r="162" spans="5:19">
      <c r="E162" s="27"/>
      <c r="F162" s="27"/>
      <c r="G162" s="27"/>
      <c r="H162" s="27"/>
      <c r="I162" s="24"/>
      <c r="J162" s="24"/>
      <c r="K162" s="24"/>
      <c r="L162" s="24"/>
      <c r="M162" s="24"/>
      <c r="N162" s="24"/>
      <c r="O162" s="24"/>
      <c r="P162" s="24"/>
      <c r="Q162" s="24"/>
      <c r="R162"/>
      <c r="S162"/>
    </row>
    <row r="163" spans="5:19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/>
      <c r="S163"/>
    </row>
    <row r="164" spans="5:19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  <c r="R164"/>
      <c r="S164"/>
    </row>
    <row r="165" spans="5:19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  <c r="R165"/>
      <c r="S165"/>
    </row>
    <row r="166" spans="5:19"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/>
      <c r="S166"/>
    </row>
    <row r="167" spans="5:19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/>
      <c r="S167"/>
    </row>
    <row r="168" spans="5:19"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/>
      <c r="S168"/>
    </row>
    <row r="169" spans="5:19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4"/>
      <c r="R169"/>
      <c r="S169"/>
    </row>
    <row r="170" spans="5:19"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/>
      <c r="S170"/>
    </row>
    <row r="171" spans="5:19"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/>
      <c r="S171"/>
    </row>
    <row r="172" spans="5:19">
      <c r="E172" s="27"/>
      <c r="F172" s="27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/>
      <c r="S172"/>
    </row>
    <row r="173" spans="5:19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  <c r="R173"/>
      <c r="S173"/>
    </row>
    <row r="174" spans="5:19"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4"/>
      <c r="R174"/>
      <c r="S174"/>
    </row>
    <row r="175" spans="5:19"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/>
      <c r="S175"/>
    </row>
    <row r="176" spans="5:19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  <c r="R176"/>
      <c r="S176"/>
    </row>
    <row r="177" spans="5:19">
      <c r="E177" s="27"/>
      <c r="F177" s="27"/>
      <c r="G177" s="27"/>
      <c r="H177" s="24"/>
      <c r="I177" s="24"/>
      <c r="J177" s="24"/>
      <c r="K177" s="27"/>
      <c r="L177" s="27"/>
      <c r="M177" s="27"/>
      <c r="N177" s="27"/>
      <c r="O177" s="27"/>
      <c r="P177" s="27"/>
      <c r="Q177" s="27"/>
      <c r="R177"/>
      <c r="S177"/>
    </row>
    <row r="178" spans="5:19"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/>
      <c r="S178"/>
    </row>
    <row r="179" spans="5:19">
      <c r="E179" s="27"/>
      <c r="F179" s="27"/>
      <c r="G179" s="27"/>
      <c r="H179" s="27"/>
      <c r="I179" s="24"/>
      <c r="J179" s="24"/>
      <c r="K179" s="27"/>
      <c r="L179" s="27"/>
      <c r="M179" s="27"/>
      <c r="N179" s="27"/>
      <c r="O179" s="27"/>
      <c r="P179" s="27"/>
      <c r="Q179" s="27"/>
      <c r="R179"/>
      <c r="S179"/>
    </row>
    <row r="180" spans="5:19">
      <c r="E180" s="27"/>
      <c r="F180" s="27"/>
      <c r="G180" s="27"/>
      <c r="H180" s="24"/>
      <c r="I180" s="24"/>
      <c r="J180" s="24"/>
      <c r="K180" s="27"/>
      <c r="L180" s="27"/>
      <c r="M180" s="27"/>
      <c r="N180" s="27"/>
      <c r="O180" s="27"/>
      <c r="P180" s="27"/>
      <c r="Q180" s="27"/>
      <c r="R180"/>
      <c r="S180"/>
    </row>
    <row r="181" spans="5:19">
      <c r="E181" s="27"/>
      <c r="F181" s="27"/>
      <c r="G181" s="27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/>
      <c r="S181"/>
    </row>
    <row r="182" spans="5:19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/>
      <c r="S182"/>
    </row>
    <row r="183" spans="5:19"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/>
      <c r="S183"/>
    </row>
    <row r="184" spans="5:19">
      <c r="R184"/>
      <c r="S184"/>
    </row>
    <row r="185" spans="5:19">
      <c r="R185"/>
      <c r="S185"/>
    </row>
    <row r="186" spans="5:19">
      <c r="R186"/>
      <c r="S186"/>
    </row>
    <row r="187" spans="5:19">
      <c r="R187"/>
      <c r="S187"/>
    </row>
    <row r="188" spans="5:19">
      <c r="R188"/>
      <c r="S188"/>
    </row>
    <row r="189" spans="5:19">
      <c r="R189"/>
      <c r="S189"/>
    </row>
    <row r="190" spans="5:19">
      <c r="R190"/>
      <c r="S190"/>
    </row>
    <row r="191" spans="5:19">
      <c r="R191"/>
      <c r="S191"/>
    </row>
    <row r="192" spans="5:19">
      <c r="R192"/>
      <c r="S192"/>
    </row>
    <row r="193" spans="18:19">
      <c r="R193"/>
      <c r="S193"/>
    </row>
    <row r="194" spans="18:19">
      <c r="R194"/>
      <c r="S194"/>
    </row>
    <row r="195" spans="18:19">
      <c r="R195"/>
      <c r="S195"/>
    </row>
    <row r="196" spans="18:19">
      <c r="R196"/>
      <c r="S196"/>
    </row>
    <row r="197" spans="18:19">
      <c r="R197"/>
      <c r="S197"/>
    </row>
    <row r="198" spans="18:19">
      <c r="R198"/>
      <c r="S198"/>
    </row>
    <row r="199" spans="18:19">
      <c r="R199"/>
      <c r="S199"/>
    </row>
    <row r="200" spans="18:19">
      <c r="R200"/>
      <c r="S200"/>
    </row>
  </sheetData>
  <mergeCells count="122">
    <mergeCell ref="B2:C2"/>
    <mergeCell ref="F2:G2"/>
    <mergeCell ref="R3:S3"/>
    <mergeCell ref="B64:C64"/>
    <mergeCell ref="B84:C84"/>
    <mergeCell ref="B85:C85"/>
    <mergeCell ref="B88:C88"/>
    <mergeCell ref="B92:C92"/>
    <mergeCell ref="B91:C91"/>
    <mergeCell ref="B19:C19"/>
    <mergeCell ref="B20:C20"/>
    <mergeCell ref="B22:C22"/>
    <mergeCell ref="B26:C26"/>
    <mergeCell ref="B27:C27"/>
    <mergeCell ref="B24:C24"/>
    <mergeCell ref="B77:C77"/>
    <mergeCell ref="B78:C78"/>
    <mergeCell ref="B80:C80"/>
    <mergeCell ref="B73:C73"/>
    <mergeCell ref="B74:C74"/>
    <mergeCell ref="B75:C75"/>
    <mergeCell ref="B65:C65"/>
    <mergeCell ref="B66:C66"/>
    <mergeCell ref="B67:C67"/>
    <mergeCell ref="B76:C76"/>
    <mergeCell ref="B68:C68"/>
    <mergeCell ref="B69:C69"/>
    <mergeCell ref="B70:C70"/>
    <mergeCell ref="B30:C30"/>
    <mergeCell ref="B93:C93"/>
    <mergeCell ref="B86:C86"/>
    <mergeCell ref="B87:C87"/>
    <mergeCell ref="B89:C89"/>
    <mergeCell ref="B90:C90"/>
    <mergeCell ref="B71:C71"/>
    <mergeCell ref="B39:C39"/>
    <mergeCell ref="B40:C40"/>
    <mergeCell ref="B41:C41"/>
    <mergeCell ref="B42:C42"/>
    <mergeCell ref="B44:C44"/>
    <mergeCell ref="B57:C57"/>
    <mergeCell ref="B58:C58"/>
    <mergeCell ref="B60:C60"/>
    <mergeCell ref="B61:C61"/>
    <mergeCell ref="B48:C48"/>
    <mergeCell ref="B49:C49"/>
    <mergeCell ref="B51:C51"/>
    <mergeCell ref="B53:C53"/>
    <mergeCell ref="B45:C45"/>
    <mergeCell ref="B46:C46"/>
    <mergeCell ref="B47:C47"/>
    <mergeCell ref="B15:C15"/>
    <mergeCell ref="B16:C16"/>
    <mergeCell ref="B17:C17"/>
    <mergeCell ref="B37:C37"/>
    <mergeCell ref="B38:C38"/>
    <mergeCell ref="B28:C28"/>
    <mergeCell ref="B29:C29"/>
    <mergeCell ref="B31:C31"/>
    <mergeCell ref="B32:C32"/>
    <mergeCell ref="B35:C35"/>
    <mergeCell ref="B34:C34"/>
    <mergeCell ref="B33:C33"/>
    <mergeCell ref="C119:D119"/>
    <mergeCell ref="C120:D120"/>
    <mergeCell ref="C121:D121"/>
    <mergeCell ref="C122:D122"/>
    <mergeCell ref="C123:D123"/>
    <mergeCell ref="E5:E6"/>
    <mergeCell ref="F5:F6"/>
    <mergeCell ref="G5:G6"/>
    <mergeCell ref="B7:C7"/>
    <mergeCell ref="B8:C8"/>
    <mergeCell ref="B9:C9"/>
    <mergeCell ref="B82:C82"/>
    <mergeCell ref="B55:C55"/>
    <mergeCell ref="B56:C56"/>
    <mergeCell ref="B59:C59"/>
    <mergeCell ref="B63:C63"/>
    <mergeCell ref="B62:C62"/>
    <mergeCell ref="B36:C36"/>
    <mergeCell ref="B10:C10"/>
    <mergeCell ref="D5:D6"/>
    <mergeCell ref="B18:C18"/>
    <mergeCell ref="B11:C11"/>
    <mergeCell ref="B12:C12"/>
    <mergeCell ref="B13:C13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  <mergeCell ref="D4:K4"/>
    <mergeCell ref="L4:Q4"/>
    <mergeCell ref="C130:D130"/>
    <mergeCell ref="C131:D131"/>
    <mergeCell ref="C132:D132"/>
    <mergeCell ref="C134:D134"/>
    <mergeCell ref="C136:D136"/>
    <mergeCell ref="C124:D124"/>
    <mergeCell ref="C125:D125"/>
    <mergeCell ref="C127:D127"/>
    <mergeCell ref="C128:D128"/>
    <mergeCell ref="C129:D129"/>
    <mergeCell ref="C143:D143"/>
    <mergeCell ref="C144:D144"/>
    <mergeCell ref="C145:D145"/>
    <mergeCell ref="C146:D146"/>
    <mergeCell ref="C147:D147"/>
    <mergeCell ref="C138:D138"/>
    <mergeCell ref="C139:D139"/>
    <mergeCell ref="C140:D140"/>
    <mergeCell ref="C141:D141"/>
    <mergeCell ref="C142:D142"/>
  </mergeCells>
  <phoneticPr fontId="6"/>
  <conditionalFormatting sqref="C97:C98">
    <cfRule type="expression" dxfId="257" priority="5">
      <formula>CELL("protect",C97)=0</formula>
    </cfRule>
    <cfRule type="expression" dxfId="256" priority="6">
      <formula>CELL("protect",C97)=0</formula>
    </cfRule>
  </conditionalFormatting>
  <conditionalFormatting sqref="C95">
    <cfRule type="expression" dxfId="255" priority="3">
      <formula>CELL("protect",C95)=0</formula>
    </cfRule>
    <cfRule type="expression" dxfId="254" priority="4">
      <formula>CELL("protect",C95)=0</formula>
    </cfRule>
  </conditionalFormatting>
  <conditionalFormatting sqref="C97">
    <cfRule type="expression" dxfId="253" priority="1">
      <formula>CELL("protect",C97)=0</formula>
    </cfRule>
    <cfRule type="expression" dxfId="25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&amp;C156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rgb="FF00B0F0"/>
    <pageSetUpPr fitToPage="1"/>
  </sheetPr>
  <dimension ref="A1:AG200"/>
  <sheetViews>
    <sheetView showGridLines="0" view="pageBreakPreview" zoomScale="80" zoomScaleNormal="7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15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2537</v>
      </c>
      <c r="E7" s="488">
        <v>2802</v>
      </c>
      <c r="F7" s="489">
        <v>2802</v>
      </c>
      <c r="G7" s="489">
        <v>2802</v>
      </c>
      <c r="H7" s="488">
        <v>2802</v>
      </c>
      <c r="I7" s="489">
        <v>2805</v>
      </c>
      <c r="J7" s="489">
        <v>2805</v>
      </c>
      <c r="K7" s="490">
        <v>2805</v>
      </c>
      <c r="L7" s="491">
        <v>2805</v>
      </c>
      <c r="M7" s="492">
        <v>2805</v>
      </c>
      <c r="N7" s="492">
        <v>2805</v>
      </c>
      <c r="O7" s="492">
        <v>2805</v>
      </c>
      <c r="P7" s="493">
        <v>2805</v>
      </c>
      <c r="Q7" s="490">
        <v>2805</v>
      </c>
      <c r="R7" s="572">
        <f>IF(D7=0,"     -",IF(K7=0,"     -",ROUND(((K7/D7)^(1/7)-1)*100,1)))</f>
        <v>1.4</v>
      </c>
      <c r="S7" s="494">
        <f>IF(L7=0,"     -",IF(Q7=0,"     -",ROUND(((Q7/L7)^(1/5)-1)*100,1)))</f>
        <v>0</v>
      </c>
      <c r="T7" s="28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93</v>
      </c>
      <c r="E8" s="496">
        <v>93</v>
      </c>
      <c r="F8" s="497">
        <v>107</v>
      </c>
      <c r="G8" s="497">
        <v>107</v>
      </c>
      <c r="H8" s="496">
        <v>345</v>
      </c>
      <c r="I8" s="497">
        <v>345</v>
      </c>
      <c r="J8" s="497">
        <v>345</v>
      </c>
      <c r="K8" s="498">
        <v>345</v>
      </c>
      <c r="L8" s="499">
        <v>345</v>
      </c>
      <c r="M8" s="500">
        <v>345</v>
      </c>
      <c r="N8" s="500">
        <v>345</v>
      </c>
      <c r="O8" s="500">
        <v>345</v>
      </c>
      <c r="P8" s="501">
        <v>345</v>
      </c>
      <c r="Q8" s="498">
        <v>345</v>
      </c>
      <c r="R8" s="573">
        <f t="shared" ref="R8:R71" si="0">IF(D8=0,"     -",IF(K8=0,"     -",ROUND(((K8/D8)^(1/7)-1)*100,1)))</f>
        <v>20.6</v>
      </c>
      <c r="S8" s="256">
        <f t="shared" ref="S8:S71" si="1">IF(L8=0,"     -",IF(Q8=0,"     -",ROUND(((Q8/L8)^(1/5)-1)*100,1)))</f>
        <v>0</v>
      </c>
      <c r="T8" s="28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285</v>
      </c>
      <c r="E9" s="496">
        <v>285</v>
      </c>
      <c r="F9" s="497">
        <v>285</v>
      </c>
      <c r="G9" s="497">
        <v>285</v>
      </c>
      <c r="H9" s="496">
        <v>285</v>
      </c>
      <c r="I9" s="497">
        <v>285</v>
      </c>
      <c r="J9" s="497">
        <v>285</v>
      </c>
      <c r="K9" s="502">
        <v>285</v>
      </c>
      <c r="L9" s="503">
        <v>285</v>
      </c>
      <c r="M9" s="496">
        <v>285</v>
      </c>
      <c r="N9" s="496">
        <v>285</v>
      </c>
      <c r="O9" s="496">
        <v>285</v>
      </c>
      <c r="P9" s="279">
        <v>285</v>
      </c>
      <c r="Q9" s="502">
        <v>285</v>
      </c>
      <c r="R9" s="573">
        <f t="shared" si="0"/>
        <v>0</v>
      </c>
      <c r="S9" s="256">
        <f t="shared" si="1"/>
        <v>0</v>
      </c>
      <c r="T9" s="283"/>
      <c r="U9" s="329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10179</v>
      </c>
      <c r="E10" s="496">
        <v>10819</v>
      </c>
      <c r="F10" s="497">
        <v>11414</v>
      </c>
      <c r="G10" s="497">
        <v>12286</v>
      </c>
      <c r="H10" s="496">
        <v>13946</v>
      </c>
      <c r="I10" s="497">
        <v>14327</v>
      </c>
      <c r="J10" s="497">
        <v>15182</v>
      </c>
      <c r="K10" s="502">
        <v>16427</v>
      </c>
      <c r="L10" s="503">
        <v>17972</v>
      </c>
      <c r="M10" s="496">
        <v>21597</v>
      </c>
      <c r="N10" s="496">
        <v>24237</v>
      </c>
      <c r="O10" s="496">
        <v>24852</v>
      </c>
      <c r="P10" s="279">
        <v>25452</v>
      </c>
      <c r="Q10" s="502">
        <v>26052</v>
      </c>
      <c r="R10" s="573">
        <f t="shared" si="0"/>
        <v>7.1</v>
      </c>
      <c r="S10" s="256">
        <f t="shared" si="1"/>
        <v>7.7</v>
      </c>
      <c r="T10" s="28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1136</v>
      </c>
      <c r="E11" s="496">
        <v>1136</v>
      </c>
      <c r="F11" s="497">
        <v>1136</v>
      </c>
      <c r="G11" s="497">
        <v>1136</v>
      </c>
      <c r="H11" s="496">
        <v>1136</v>
      </c>
      <c r="I11" s="497">
        <v>1136</v>
      </c>
      <c r="J11" s="497">
        <v>1136</v>
      </c>
      <c r="K11" s="502">
        <v>1136</v>
      </c>
      <c r="L11" s="503">
        <v>1136</v>
      </c>
      <c r="M11" s="496">
        <v>1136</v>
      </c>
      <c r="N11" s="496">
        <v>1136</v>
      </c>
      <c r="O11" s="496">
        <v>1136</v>
      </c>
      <c r="P11" s="279">
        <v>1136</v>
      </c>
      <c r="Q11" s="502">
        <v>1136</v>
      </c>
      <c r="R11" s="573">
        <f t="shared" si="0"/>
        <v>0</v>
      </c>
      <c r="S11" s="256">
        <f t="shared" si="1"/>
        <v>0</v>
      </c>
      <c r="T11" s="283"/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100</v>
      </c>
      <c r="E12" s="45">
        <v>100</v>
      </c>
      <c r="F12" s="49">
        <v>100</v>
      </c>
      <c r="G12" s="45">
        <v>100</v>
      </c>
      <c r="H12" s="280">
        <v>100</v>
      </c>
      <c r="I12" s="45">
        <v>100</v>
      </c>
      <c r="J12" s="49">
        <v>100</v>
      </c>
      <c r="K12" s="50">
        <v>100</v>
      </c>
      <c r="L12" s="504">
        <v>100</v>
      </c>
      <c r="M12" s="45">
        <v>100</v>
      </c>
      <c r="N12" s="45">
        <v>100</v>
      </c>
      <c r="O12" s="45">
        <v>100</v>
      </c>
      <c r="P12" s="45">
        <v>100</v>
      </c>
      <c r="Q12" s="51">
        <v>100</v>
      </c>
      <c r="R12" s="573">
        <f t="shared" si="0"/>
        <v>0</v>
      </c>
      <c r="S12" s="256">
        <f t="shared" si="1"/>
        <v>0</v>
      </c>
      <c r="T12" s="283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181</v>
      </c>
      <c r="E13" s="49">
        <v>230</v>
      </c>
      <c r="F13" s="45">
        <v>270</v>
      </c>
      <c r="G13" s="49">
        <v>270</v>
      </c>
      <c r="H13" s="49">
        <v>270</v>
      </c>
      <c r="I13" s="45">
        <v>270</v>
      </c>
      <c r="J13" s="49">
        <v>270</v>
      </c>
      <c r="K13" s="50">
        <v>270</v>
      </c>
      <c r="L13" s="140">
        <v>270</v>
      </c>
      <c r="M13" s="45">
        <v>270</v>
      </c>
      <c r="N13" s="45">
        <v>270</v>
      </c>
      <c r="O13" s="45">
        <v>270</v>
      </c>
      <c r="P13" s="45">
        <v>270</v>
      </c>
      <c r="Q13" s="50">
        <v>270</v>
      </c>
      <c r="R13" s="573">
        <f t="shared" si="0"/>
        <v>5.9</v>
      </c>
      <c r="S13" s="256">
        <f t="shared" si="1"/>
        <v>0</v>
      </c>
      <c r="T13" s="28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150</v>
      </c>
      <c r="E15" s="49">
        <v>150</v>
      </c>
      <c r="F15" s="45">
        <v>150</v>
      </c>
      <c r="G15" s="49">
        <v>150</v>
      </c>
      <c r="H15" s="49">
        <v>150</v>
      </c>
      <c r="I15" s="45">
        <v>150</v>
      </c>
      <c r="J15" s="49">
        <v>150</v>
      </c>
      <c r="K15" s="50">
        <v>150</v>
      </c>
      <c r="L15" s="140">
        <v>150</v>
      </c>
      <c r="M15" s="45">
        <v>150</v>
      </c>
      <c r="N15" s="45">
        <v>150</v>
      </c>
      <c r="O15" s="45">
        <v>226</v>
      </c>
      <c r="P15" s="45">
        <v>226</v>
      </c>
      <c r="Q15" s="50">
        <v>226</v>
      </c>
      <c r="R15" s="573">
        <f t="shared" si="0"/>
        <v>0</v>
      </c>
      <c r="S15" s="256">
        <f t="shared" si="1"/>
        <v>8.5</v>
      </c>
      <c r="T15" s="283"/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60</v>
      </c>
      <c r="E16" s="496">
        <v>60</v>
      </c>
      <c r="F16" s="497">
        <v>60</v>
      </c>
      <c r="G16" s="497">
        <v>60</v>
      </c>
      <c r="H16" s="496">
        <v>60</v>
      </c>
      <c r="I16" s="497">
        <v>60</v>
      </c>
      <c r="J16" s="497">
        <v>60</v>
      </c>
      <c r="K16" s="502">
        <v>60</v>
      </c>
      <c r="L16" s="503">
        <v>105</v>
      </c>
      <c r="M16" s="496">
        <v>105</v>
      </c>
      <c r="N16" s="496">
        <v>105</v>
      </c>
      <c r="O16" s="496">
        <v>105</v>
      </c>
      <c r="P16" s="497">
        <v>105</v>
      </c>
      <c r="Q16" s="502">
        <v>105</v>
      </c>
      <c r="R16" s="573">
        <f t="shared" si="0"/>
        <v>0</v>
      </c>
      <c r="S16" s="256">
        <f t="shared" si="1"/>
        <v>0</v>
      </c>
      <c r="T16" s="283"/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T17" s="283"/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2318</v>
      </c>
      <c r="E18" s="40">
        <v>2318</v>
      </c>
      <c r="F18" s="40">
        <v>2318</v>
      </c>
      <c r="G18" s="40">
        <v>2347</v>
      </c>
      <c r="H18" s="40">
        <v>2667</v>
      </c>
      <c r="I18" s="505">
        <v>2606</v>
      </c>
      <c r="J18" s="506">
        <v>2606</v>
      </c>
      <c r="K18" s="507">
        <v>2680</v>
      </c>
      <c r="L18" s="508">
        <v>2680</v>
      </c>
      <c r="M18" s="505">
        <v>2680</v>
      </c>
      <c r="N18" s="505">
        <v>2680</v>
      </c>
      <c r="O18" s="505">
        <v>2680</v>
      </c>
      <c r="P18" s="505">
        <v>2680</v>
      </c>
      <c r="Q18" s="509">
        <v>2680</v>
      </c>
      <c r="R18" s="573">
        <f t="shared" si="0"/>
        <v>2.1</v>
      </c>
      <c r="S18" s="256">
        <f t="shared" si="1"/>
        <v>0</v>
      </c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</row>
    <row r="19" spans="1:33" ht="15.75" customHeight="1">
      <c r="A19" s="16"/>
      <c r="B19" s="674" t="s">
        <v>307</v>
      </c>
      <c r="C19" s="675"/>
      <c r="D19" s="95">
        <f>SUM(D7:D18)</f>
        <v>17039</v>
      </c>
      <c r="E19" s="93">
        <f t="shared" ref="E19:Q19" si="2">SUM(E7:E18)</f>
        <v>17993</v>
      </c>
      <c r="F19" s="93">
        <f t="shared" si="2"/>
        <v>18642</v>
      </c>
      <c r="G19" s="93">
        <f t="shared" si="2"/>
        <v>19543</v>
      </c>
      <c r="H19" s="93">
        <f t="shared" si="2"/>
        <v>21761</v>
      </c>
      <c r="I19" s="93">
        <f t="shared" si="2"/>
        <v>22084</v>
      </c>
      <c r="J19" s="93">
        <f t="shared" si="2"/>
        <v>22939</v>
      </c>
      <c r="K19" s="96">
        <f t="shared" si="2"/>
        <v>24258</v>
      </c>
      <c r="L19" s="95">
        <f t="shared" si="2"/>
        <v>25848</v>
      </c>
      <c r="M19" s="93">
        <f t="shared" si="2"/>
        <v>29473</v>
      </c>
      <c r="N19" s="93">
        <f t="shared" si="2"/>
        <v>32113</v>
      </c>
      <c r="O19" s="93">
        <f t="shared" si="2"/>
        <v>32804</v>
      </c>
      <c r="P19" s="93">
        <f t="shared" si="2"/>
        <v>33404</v>
      </c>
      <c r="Q19" s="96">
        <f t="shared" si="2"/>
        <v>34004</v>
      </c>
      <c r="R19" s="574">
        <f t="shared" si="0"/>
        <v>5.2</v>
      </c>
      <c r="S19" s="510">
        <f t="shared" si="1"/>
        <v>5.6</v>
      </c>
      <c r="T19" s="28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58</v>
      </c>
      <c r="E20" s="512">
        <v>20</v>
      </c>
      <c r="F20" s="512">
        <v>20</v>
      </c>
      <c r="G20" s="512">
        <v>20</v>
      </c>
      <c r="H20" s="512">
        <v>20</v>
      </c>
      <c r="I20" s="512">
        <v>20</v>
      </c>
      <c r="J20" s="513">
        <v>10</v>
      </c>
      <c r="K20" s="514">
        <v>10</v>
      </c>
      <c r="L20" s="511">
        <v>10</v>
      </c>
      <c r="M20" s="512">
        <v>10</v>
      </c>
      <c r="N20" s="512">
        <v>10</v>
      </c>
      <c r="O20" s="512">
        <v>10</v>
      </c>
      <c r="P20" s="513">
        <v>10</v>
      </c>
      <c r="Q20" s="514">
        <v>10</v>
      </c>
      <c r="R20" s="574">
        <f t="shared" si="0"/>
        <v>-22.2</v>
      </c>
      <c r="S20" s="510">
        <f t="shared" si="1"/>
        <v>0</v>
      </c>
      <c r="T20" s="283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58</v>
      </c>
      <c r="E21" s="512">
        <v>20</v>
      </c>
      <c r="F21" s="512">
        <v>20</v>
      </c>
      <c r="G21" s="512">
        <v>20</v>
      </c>
      <c r="H21" s="512">
        <v>20</v>
      </c>
      <c r="I21" s="512">
        <v>20</v>
      </c>
      <c r="J21" s="513">
        <v>10</v>
      </c>
      <c r="K21" s="514">
        <v>10</v>
      </c>
      <c r="L21" s="511">
        <v>10</v>
      </c>
      <c r="M21" s="512">
        <v>10</v>
      </c>
      <c r="N21" s="512">
        <v>10</v>
      </c>
      <c r="O21" s="512">
        <v>10</v>
      </c>
      <c r="P21" s="513">
        <v>10</v>
      </c>
      <c r="Q21" s="514">
        <v>10</v>
      </c>
      <c r="R21" s="574">
        <f t="shared" si="0"/>
        <v>-22.2</v>
      </c>
      <c r="S21" s="510">
        <f t="shared" si="1"/>
        <v>0</v>
      </c>
      <c r="T21" s="283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3389</v>
      </c>
      <c r="E22" s="496">
        <v>3599</v>
      </c>
      <c r="F22" s="496">
        <v>3055</v>
      </c>
      <c r="G22" s="496">
        <v>3056</v>
      </c>
      <c r="H22" s="496">
        <v>3046</v>
      </c>
      <c r="I22" s="496">
        <v>3041</v>
      </c>
      <c r="J22" s="515">
        <v>3041</v>
      </c>
      <c r="K22" s="502">
        <v>3041</v>
      </c>
      <c r="L22" s="503">
        <v>3041</v>
      </c>
      <c r="M22" s="496">
        <v>3041</v>
      </c>
      <c r="N22" s="496">
        <v>3041</v>
      </c>
      <c r="O22" s="512">
        <v>3041</v>
      </c>
      <c r="P22" s="512">
        <v>3041</v>
      </c>
      <c r="Q22" s="514">
        <v>3041</v>
      </c>
      <c r="R22" s="575">
        <f t="shared" si="0"/>
        <v>-1.5</v>
      </c>
      <c r="S22" s="517">
        <f t="shared" si="1"/>
        <v>0</v>
      </c>
      <c r="T22" s="283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2224</v>
      </c>
      <c r="E23" s="512">
        <v>2434</v>
      </c>
      <c r="F23" s="512">
        <v>2434</v>
      </c>
      <c r="G23" s="512">
        <v>2435</v>
      </c>
      <c r="H23" s="512">
        <v>2435</v>
      </c>
      <c r="I23" s="512">
        <v>2420</v>
      </c>
      <c r="J23" s="513">
        <v>2420</v>
      </c>
      <c r="K23" s="514">
        <v>2420</v>
      </c>
      <c r="L23" s="511">
        <v>2420</v>
      </c>
      <c r="M23" s="512">
        <v>2420</v>
      </c>
      <c r="N23" s="512">
        <v>2420</v>
      </c>
      <c r="O23" s="512">
        <v>2420</v>
      </c>
      <c r="P23" s="512">
        <v>2420</v>
      </c>
      <c r="Q23" s="514">
        <v>2420</v>
      </c>
      <c r="R23" s="574">
        <f t="shared" si="0"/>
        <v>1.2</v>
      </c>
      <c r="S23" s="510">
        <f t="shared" si="1"/>
        <v>0</v>
      </c>
      <c r="T23" s="28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1470</v>
      </c>
      <c r="E24" s="496">
        <v>2438</v>
      </c>
      <c r="F24" s="496">
        <v>2470</v>
      </c>
      <c r="G24" s="496">
        <v>2438</v>
      </c>
      <c r="H24" s="496">
        <v>2438</v>
      </c>
      <c r="I24" s="496">
        <v>2438</v>
      </c>
      <c r="J24" s="497">
        <v>2498</v>
      </c>
      <c r="K24" s="502">
        <v>2498</v>
      </c>
      <c r="L24" s="503">
        <v>2738</v>
      </c>
      <c r="M24" s="496">
        <v>2738</v>
      </c>
      <c r="N24" s="496">
        <v>2738</v>
      </c>
      <c r="O24" s="496">
        <v>2738</v>
      </c>
      <c r="P24" s="497">
        <v>2738</v>
      </c>
      <c r="Q24" s="502">
        <v>2738</v>
      </c>
      <c r="R24" s="574">
        <f t="shared" si="0"/>
        <v>7.9</v>
      </c>
      <c r="S24" s="510">
        <f t="shared" si="1"/>
        <v>0</v>
      </c>
      <c r="T24" s="283"/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375</v>
      </c>
      <c r="F25" s="518">
        <v>375</v>
      </c>
      <c r="G25" s="518">
        <v>375</v>
      </c>
      <c r="H25" s="518">
        <v>375</v>
      </c>
      <c r="I25" s="518">
        <v>375</v>
      </c>
      <c r="J25" s="519">
        <v>435</v>
      </c>
      <c r="K25" s="514">
        <v>435</v>
      </c>
      <c r="L25" s="511">
        <v>675</v>
      </c>
      <c r="M25" s="518">
        <v>675</v>
      </c>
      <c r="N25" s="518">
        <v>675</v>
      </c>
      <c r="O25" s="518">
        <v>675</v>
      </c>
      <c r="P25" s="519">
        <v>675</v>
      </c>
      <c r="Q25" s="514">
        <v>675</v>
      </c>
      <c r="R25" s="573" t="str">
        <f t="shared" si="0"/>
        <v xml:space="preserve">     -</v>
      </c>
      <c r="S25" s="256">
        <f t="shared" si="1"/>
        <v>0</v>
      </c>
      <c r="T25" s="283"/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33</v>
      </c>
      <c r="E26" s="518">
        <v>33</v>
      </c>
      <c r="F26" s="518">
        <v>33</v>
      </c>
      <c r="G26" s="518">
        <v>33</v>
      </c>
      <c r="H26" s="518">
        <v>33</v>
      </c>
      <c r="I26" s="518">
        <v>33</v>
      </c>
      <c r="J26" s="519">
        <v>33</v>
      </c>
      <c r="K26" s="514">
        <v>33</v>
      </c>
      <c r="L26" s="511">
        <v>33</v>
      </c>
      <c r="M26" s="518">
        <v>33</v>
      </c>
      <c r="N26" s="518">
        <v>33</v>
      </c>
      <c r="O26" s="518">
        <v>33</v>
      </c>
      <c r="P26" s="519">
        <v>33</v>
      </c>
      <c r="Q26" s="514">
        <v>33</v>
      </c>
      <c r="R26" s="574">
        <f t="shared" si="0"/>
        <v>0</v>
      </c>
      <c r="S26" s="510">
        <f t="shared" si="1"/>
        <v>0</v>
      </c>
      <c r="T26" s="283"/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345</v>
      </c>
      <c r="E27" s="521">
        <v>345</v>
      </c>
      <c r="F27" s="521">
        <v>345</v>
      </c>
      <c r="G27" s="521">
        <v>345</v>
      </c>
      <c r="H27" s="521">
        <v>345</v>
      </c>
      <c r="I27" s="521">
        <v>345</v>
      </c>
      <c r="J27" s="522">
        <v>375</v>
      </c>
      <c r="K27" s="523">
        <v>375</v>
      </c>
      <c r="L27" s="520">
        <v>375</v>
      </c>
      <c r="M27" s="521">
        <v>375</v>
      </c>
      <c r="N27" s="521">
        <v>375</v>
      </c>
      <c r="O27" s="521">
        <v>375</v>
      </c>
      <c r="P27" s="522">
        <v>375</v>
      </c>
      <c r="Q27" s="523">
        <v>375</v>
      </c>
      <c r="R27" s="574">
        <f t="shared" si="0"/>
        <v>1.2</v>
      </c>
      <c r="S27" s="510">
        <f t="shared" si="1"/>
        <v>0</v>
      </c>
      <c r="T27" s="28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</row>
    <row r="28" spans="1:33" ht="15" customHeight="1">
      <c r="A28" s="16"/>
      <c r="B28" s="672" t="s">
        <v>316</v>
      </c>
      <c r="C28" s="673"/>
      <c r="D28" s="524">
        <v>6879</v>
      </c>
      <c r="E28" s="525">
        <v>6879</v>
      </c>
      <c r="F28" s="525">
        <v>6789</v>
      </c>
      <c r="G28" s="526">
        <v>5667</v>
      </c>
      <c r="H28" s="526">
        <v>5734</v>
      </c>
      <c r="I28" s="496">
        <v>5734</v>
      </c>
      <c r="J28" s="497">
        <v>5734</v>
      </c>
      <c r="K28" s="498">
        <v>5734</v>
      </c>
      <c r="L28" s="527">
        <v>5734</v>
      </c>
      <c r="M28" s="528">
        <v>5734</v>
      </c>
      <c r="N28" s="528">
        <v>5734</v>
      </c>
      <c r="O28" s="528">
        <v>5734</v>
      </c>
      <c r="P28" s="528">
        <v>5734</v>
      </c>
      <c r="Q28" s="498">
        <v>5734</v>
      </c>
      <c r="R28" s="573">
        <f t="shared" si="0"/>
        <v>-2.6</v>
      </c>
      <c r="S28" s="256">
        <f t="shared" si="1"/>
        <v>0</v>
      </c>
      <c r="T28" s="283"/>
      <c r="U28" s="43"/>
      <c r="V28" s="43"/>
      <c r="W28" s="43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</row>
    <row r="29" spans="1:33" ht="15" customHeight="1">
      <c r="A29" s="16"/>
      <c r="B29" s="670" t="s">
        <v>317</v>
      </c>
      <c r="C29" s="671"/>
      <c r="D29" s="529">
        <v>887</v>
      </c>
      <c r="E29" s="525">
        <v>887</v>
      </c>
      <c r="F29" s="530">
        <v>887</v>
      </c>
      <c r="G29" s="531">
        <v>887</v>
      </c>
      <c r="H29" s="526">
        <v>887</v>
      </c>
      <c r="I29" s="497">
        <v>887</v>
      </c>
      <c r="J29" s="497">
        <v>887</v>
      </c>
      <c r="K29" s="498">
        <v>887</v>
      </c>
      <c r="L29" s="499">
        <v>887</v>
      </c>
      <c r="M29" s="532">
        <v>887</v>
      </c>
      <c r="N29" s="532">
        <v>887</v>
      </c>
      <c r="O29" s="532">
        <v>887</v>
      </c>
      <c r="P29" s="532">
        <v>887</v>
      </c>
      <c r="Q29" s="498">
        <v>887</v>
      </c>
      <c r="R29" s="573">
        <f t="shared" si="0"/>
        <v>0</v>
      </c>
      <c r="S29" s="256">
        <f t="shared" si="1"/>
        <v>0</v>
      </c>
      <c r="T29" s="283"/>
      <c r="U29" s="43"/>
      <c r="V29" s="43"/>
      <c r="W29" s="43"/>
      <c r="X29" s="326"/>
      <c r="Y29" s="326"/>
      <c r="Z29" s="326"/>
      <c r="AA29" s="326"/>
      <c r="AB29" s="326"/>
      <c r="AC29" s="326"/>
      <c r="AD29" s="326"/>
      <c r="AE29" s="326"/>
      <c r="AF29" s="326"/>
      <c r="AG29" s="326"/>
    </row>
    <row r="30" spans="1:33" ht="15.75" customHeight="1">
      <c r="A30" s="16"/>
      <c r="B30" s="674" t="s">
        <v>318</v>
      </c>
      <c r="C30" s="675"/>
      <c r="D30" s="95">
        <f>SUM(D28:D29)</f>
        <v>7766</v>
      </c>
      <c r="E30" s="92">
        <f t="shared" ref="E30:Q30" si="3">SUM(E28:E29)</f>
        <v>7766</v>
      </c>
      <c r="F30" s="92">
        <f t="shared" si="3"/>
        <v>7676</v>
      </c>
      <c r="G30" s="93">
        <f t="shared" si="3"/>
        <v>6554</v>
      </c>
      <c r="H30" s="93">
        <f t="shared" si="3"/>
        <v>6621</v>
      </c>
      <c r="I30" s="94">
        <f t="shared" si="3"/>
        <v>6621</v>
      </c>
      <c r="J30" s="94">
        <f t="shared" si="3"/>
        <v>6621</v>
      </c>
      <c r="K30" s="96">
        <f t="shared" si="3"/>
        <v>6621</v>
      </c>
      <c r="L30" s="95">
        <f t="shared" si="3"/>
        <v>6621</v>
      </c>
      <c r="M30" s="93">
        <f t="shared" si="3"/>
        <v>6621</v>
      </c>
      <c r="N30" s="93">
        <f t="shared" si="3"/>
        <v>6621</v>
      </c>
      <c r="O30" s="93">
        <f t="shared" si="3"/>
        <v>6621</v>
      </c>
      <c r="P30" s="93">
        <f t="shared" si="3"/>
        <v>6621</v>
      </c>
      <c r="Q30" s="96">
        <f t="shared" si="3"/>
        <v>6621</v>
      </c>
      <c r="R30" s="574">
        <f t="shared" si="0"/>
        <v>-2.2999999999999998</v>
      </c>
      <c r="S30" s="510">
        <f t="shared" si="1"/>
        <v>0</v>
      </c>
      <c r="T30" s="28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365</v>
      </c>
      <c r="E31" s="525">
        <v>365</v>
      </c>
      <c r="F31" s="530">
        <v>375</v>
      </c>
      <c r="G31" s="531">
        <v>375</v>
      </c>
      <c r="H31" s="526">
        <v>375</v>
      </c>
      <c r="I31" s="497">
        <v>375</v>
      </c>
      <c r="J31" s="497">
        <v>375</v>
      </c>
      <c r="K31" s="498">
        <v>375</v>
      </c>
      <c r="L31" s="533">
        <v>375</v>
      </c>
      <c r="M31" s="534">
        <v>375</v>
      </c>
      <c r="N31" s="534">
        <v>375</v>
      </c>
      <c r="O31" s="534">
        <v>375</v>
      </c>
      <c r="P31" s="534">
        <v>375</v>
      </c>
      <c r="Q31" s="535">
        <v>375</v>
      </c>
      <c r="R31" s="573">
        <f t="shared" si="0"/>
        <v>0.4</v>
      </c>
      <c r="S31" s="256">
        <f t="shared" si="1"/>
        <v>0</v>
      </c>
      <c r="T31" s="283"/>
      <c r="U31" s="43"/>
      <c r="V31" s="43"/>
      <c r="W31" s="43"/>
      <c r="X31" s="326"/>
      <c r="Y31" s="326"/>
      <c r="Z31" s="326"/>
      <c r="AA31" s="326"/>
      <c r="AB31" s="326"/>
      <c r="AC31" s="326"/>
      <c r="AD31" s="326"/>
      <c r="AE31" s="326"/>
      <c r="AF31" s="326"/>
      <c r="AG31" s="326"/>
    </row>
    <row r="32" spans="1:33" ht="15" customHeight="1">
      <c r="A32" s="16"/>
      <c r="B32" s="668" t="s">
        <v>320</v>
      </c>
      <c r="C32" s="669"/>
      <c r="D32" s="529">
        <v>609</v>
      </c>
      <c r="E32" s="525">
        <v>609</v>
      </c>
      <c r="F32" s="530">
        <v>609</v>
      </c>
      <c r="G32" s="531">
        <v>609</v>
      </c>
      <c r="H32" s="526">
        <v>609</v>
      </c>
      <c r="I32" s="497">
        <v>609</v>
      </c>
      <c r="J32" s="497">
        <v>609</v>
      </c>
      <c r="K32" s="502">
        <v>609</v>
      </c>
      <c r="L32" s="503">
        <v>609</v>
      </c>
      <c r="M32" s="496">
        <v>609</v>
      </c>
      <c r="N32" s="496">
        <v>609</v>
      </c>
      <c r="O32" s="496">
        <v>609</v>
      </c>
      <c r="P32" s="497">
        <v>609</v>
      </c>
      <c r="Q32" s="502">
        <v>609</v>
      </c>
      <c r="R32" s="573">
        <f t="shared" si="0"/>
        <v>0</v>
      </c>
      <c r="S32" s="256">
        <f t="shared" si="1"/>
        <v>0</v>
      </c>
      <c r="T32" s="283"/>
      <c r="U32" s="43"/>
      <c r="V32" s="43"/>
      <c r="W32" s="43"/>
      <c r="X32" s="326"/>
      <c r="Y32" s="326"/>
      <c r="Z32" s="326"/>
      <c r="AA32" s="326"/>
      <c r="AB32" s="326"/>
      <c r="AC32" s="326"/>
      <c r="AD32" s="326"/>
      <c r="AE32" s="326"/>
      <c r="AF32" s="326"/>
      <c r="AG32" s="326"/>
    </row>
    <row r="33" spans="1:33" ht="15" customHeight="1">
      <c r="A33" s="16"/>
      <c r="B33" s="670" t="s">
        <v>321</v>
      </c>
      <c r="C33" s="671"/>
      <c r="D33" s="529">
        <v>407</v>
      </c>
      <c r="E33" s="525">
        <v>407</v>
      </c>
      <c r="F33" s="530">
        <v>407</v>
      </c>
      <c r="G33" s="531">
        <v>407</v>
      </c>
      <c r="H33" s="526">
        <v>407</v>
      </c>
      <c r="I33" s="497">
        <v>407</v>
      </c>
      <c r="J33" s="497">
        <v>407</v>
      </c>
      <c r="K33" s="536">
        <v>407</v>
      </c>
      <c r="L33" s="537">
        <v>407</v>
      </c>
      <c r="M33" s="538">
        <v>407</v>
      </c>
      <c r="N33" s="538">
        <v>407</v>
      </c>
      <c r="O33" s="538">
        <v>407</v>
      </c>
      <c r="P33" s="515">
        <v>407</v>
      </c>
      <c r="Q33" s="502">
        <v>407</v>
      </c>
      <c r="R33" s="573">
        <f t="shared" si="0"/>
        <v>0</v>
      </c>
      <c r="S33" s="256">
        <f t="shared" si="1"/>
        <v>0</v>
      </c>
      <c r="T33" s="283"/>
      <c r="U33" s="43"/>
      <c r="V33" s="43"/>
      <c r="W33" s="43"/>
      <c r="X33" s="283"/>
      <c r="Y33" s="283"/>
      <c r="Z33" s="283"/>
      <c r="AA33" s="283"/>
      <c r="AB33" s="283"/>
      <c r="AC33" s="283"/>
      <c r="AD33" s="283"/>
      <c r="AE33" s="283"/>
      <c r="AF33" s="283"/>
      <c r="AG33" s="283"/>
    </row>
    <row r="34" spans="1:33" ht="15.75" customHeight="1" thickBot="1">
      <c r="A34" s="16"/>
      <c r="B34" s="678" t="s">
        <v>322</v>
      </c>
      <c r="C34" s="679"/>
      <c r="D34" s="102">
        <f>SUM(D31:D33)</f>
        <v>1381</v>
      </c>
      <c r="E34" s="539">
        <f t="shared" ref="E34:Q34" si="4">SUM(E31:E33)</f>
        <v>1381</v>
      </c>
      <c r="F34" s="539">
        <f t="shared" si="4"/>
        <v>1391</v>
      </c>
      <c r="G34" s="100">
        <f t="shared" si="4"/>
        <v>1391</v>
      </c>
      <c r="H34" s="100">
        <f t="shared" si="4"/>
        <v>1391</v>
      </c>
      <c r="I34" s="100">
        <f t="shared" si="4"/>
        <v>1391</v>
      </c>
      <c r="J34" s="101">
        <f t="shared" si="4"/>
        <v>1391</v>
      </c>
      <c r="K34" s="104">
        <f t="shared" si="4"/>
        <v>1391</v>
      </c>
      <c r="L34" s="540">
        <f t="shared" si="4"/>
        <v>1391</v>
      </c>
      <c r="M34" s="100">
        <f t="shared" si="4"/>
        <v>1391</v>
      </c>
      <c r="N34" s="100">
        <f t="shared" si="4"/>
        <v>1391</v>
      </c>
      <c r="O34" s="100">
        <f t="shared" si="4"/>
        <v>1391</v>
      </c>
      <c r="P34" s="100">
        <f t="shared" si="4"/>
        <v>1391</v>
      </c>
      <c r="Q34" s="103">
        <f t="shared" si="4"/>
        <v>1391</v>
      </c>
      <c r="R34" s="576">
        <f t="shared" si="0"/>
        <v>0.1</v>
      </c>
      <c r="S34" s="541">
        <f t="shared" si="1"/>
        <v>0</v>
      </c>
      <c r="T34" s="28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31481</v>
      </c>
      <c r="E35" s="543">
        <f t="shared" ref="E35:Q35" si="5">E19+E20+E22+E24+E26+E27+E30+E34</f>
        <v>33575</v>
      </c>
      <c r="F35" s="543">
        <f t="shared" si="5"/>
        <v>33632</v>
      </c>
      <c r="G35" s="544">
        <f t="shared" si="5"/>
        <v>33380</v>
      </c>
      <c r="H35" s="544">
        <f t="shared" si="5"/>
        <v>35655</v>
      </c>
      <c r="I35" s="544">
        <f t="shared" si="5"/>
        <v>35973</v>
      </c>
      <c r="J35" s="545">
        <f t="shared" si="5"/>
        <v>36908</v>
      </c>
      <c r="K35" s="546">
        <f t="shared" si="5"/>
        <v>38227</v>
      </c>
      <c r="L35" s="547">
        <f t="shared" si="5"/>
        <v>40057</v>
      </c>
      <c r="M35" s="544">
        <f t="shared" si="5"/>
        <v>43682</v>
      </c>
      <c r="N35" s="544">
        <f t="shared" si="5"/>
        <v>46322</v>
      </c>
      <c r="O35" s="544">
        <f t="shared" si="5"/>
        <v>47013</v>
      </c>
      <c r="P35" s="544">
        <f t="shared" si="5"/>
        <v>47613</v>
      </c>
      <c r="Q35" s="577">
        <f t="shared" si="5"/>
        <v>48213</v>
      </c>
      <c r="R35" s="578">
        <f t="shared" si="0"/>
        <v>2.8</v>
      </c>
      <c r="S35" s="549">
        <f t="shared" si="1"/>
        <v>3.8</v>
      </c>
      <c r="T35" s="283"/>
    </row>
    <row r="36" spans="1:33" ht="15" customHeight="1">
      <c r="A36" s="613" t="s">
        <v>324</v>
      </c>
      <c r="B36" s="666" t="s">
        <v>433</v>
      </c>
      <c r="C36" s="667"/>
      <c r="D36" s="487">
        <v>2143</v>
      </c>
      <c r="E36" s="488">
        <v>2143</v>
      </c>
      <c r="F36" s="489">
        <v>2357</v>
      </c>
      <c r="G36" s="489">
        <v>2290</v>
      </c>
      <c r="H36" s="488">
        <v>2054</v>
      </c>
      <c r="I36" s="489">
        <v>1583</v>
      </c>
      <c r="J36" s="550">
        <v>1722</v>
      </c>
      <c r="K36" s="490">
        <v>1594</v>
      </c>
      <c r="L36" s="491">
        <v>1700</v>
      </c>
      <c r="M36" s="492">
        <v>1700</v>
      </c>
      <c r="N36" s="492">
        <v>1700</v>
      </c>
      <c r="O36" s="492">
        <v>1700</v>
      </c>
      <c r="P36" s="493">
        <v>1700</v>
      </c>
      <c r="Q36" s="498">
        <v>1700</v>
      </c>
      <c r="R36" s="573">
        <f t="shared" si="0"/>
        <v>-4.0999999999999996</v>
      </c>
      <c r="S36" s="256">
        <f t="shared" si="1"/>
        <v>0</v>
      </c>
      <c r="T36" s="28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167</v>
      </c>
      <c r="E37" s="496">
        <v>23</v>
      </c>
      <c r="F37" s="497">
        <v>27</v>
      </c>
      <c r="G37" s="497">
        <v>76</v>
      </c>
      <c r="H37" s="496">
        <v>285</v>
      </c>
      <c r="I37" s="497">
        <v>335</v>
      </c>
      <c r="J37" s="551">
        <v>279</v>
      </c>
      <c r="K37" s="498">
        <v>334</v>
      </c>
      <c r="L37" s="499">
        <v>335</v>
      </c>
      <c r="M37" s="500">
        <v>335</v>
      </c>
      <c r="N37" s="500">
        <v>335</v>
      </c>
      <c r="O37" s="500">
        <v>340</v>
      </c>
      <c r="P37" s="501">
        <v>340</v>
      </c>
      <c r="Q37" s="498">
        <v>340</v>
      </c>
      <c r="R37" s="573">
        <f t="shared" si="0"/>
        <v>10.4</v>
      </c>
      <c r="S37" s="256">
        <f t="shared" si="1"/>
        <v>0.3</v>
      </c>
      <c r="T37" s="28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210</v>
      </c>
      <c r="E38" s="496">
        <v>193.48499999999999</v>
      </c>
      <c r="F38" s="497">
        <v>187.858</v>
      </c>
      <c r="G38" s="497">
        <v>283.48700000000002</v>
      </c>
      <c r="H38" s="496">
        <v>284.63699999999994</v>
      </c>
      <c r="I38" s="497">
        <v>284.96199999999999</v>
      </c>
      <c r="J38" s="497">
        <v>249</v>
      </c>
      <c r="K38" s="502">
        <v>285</v>
      </c>
      <c r="L38" s="503">
        <v>253</v>
      </c>
      <c r="M38" s="496">
        <v>257</v>
      </c>
      <c r="N38" s="496">
        <v>257</v>
      </c>
      <c r="O38" s="496">
        <v>249</v>
      </c>
      <c r="P38" s="279">
        <v>257</v>
      </c>
      <c r="Q38" s="502">
        <v>253</v>
      </c>
      <c r="R38" s="573">
        <f t="shared" si="0"/>
        <v>4.5</v>
      </c>
      <c r="S38" s="256">
        <f t="shared" si="1"/>
        <v>0</v>
      </c>
      <c r="T38" s="283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3421</v>
      </c>
      <c r="E39" s="496">
        <v>4897</v>
      </c>
      <c r="F39" s="497">
        <v>4511</v>
      </c>
      <c r="G39" s="497">
        <v>4750</v>
      </c>
      <c r="H39" s="496">
        <v>6379</v>
      </c>
      <c r="I39" s="497">
        <v>5475</v>
      </c>
      <c r="J39" s="497">
        <v>6370</v>
      </c>
      <c r="K39" s="502">
        <v>6395</v>
      </c>
      <c r="L39" s="503">
        <v>7005</v>
      </c>
      <c r="M39" s="496">
        <v>7155</v>
      </c>
      <c r="N39" s="496">
        <v>8035</v>
      </c>
      <c r="O39" s="496">
        <v>8720</v>
      </c>
      <c r="P39" s="279">
        <v>9200</v>
      </c>
      <c r="Q39" s="502">
        <v>9695</v>
      </c>
      <c r="R39" s="573">
        <f t="shared" si="0"/>
        <v>9.3000000000000007</v>
      </c>
      <c r="S39" s="256">
        <f t="shared" si="1"/>
        <v>6.7</v>
      </c>
      <c r="T39" s="28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806</v>
      </c>
      <c r="E40" s="496">
        <v>874</v>
      </c>
      <c r="F40" s="497">
        <v>877</v>
      </c>
      <c r="G40" s="497">
        <v>829</v>
      </c>
      <c r="H40" s="496">
        <v>894</v>
      </c>
      <c r="I40" s="497">
        <v>976.12699999999995</v>
      </c>
      <c r="J40" s="497">
        <v>1069</v>
      </c>
      <c r="K40" s="502">
        <v>1057</v>
      </c>
      <c r="L40" s="503">
        <v>1057</v>
      </c>
      <c r="M40" s="496">
        <v>1057</v>
      </c>
      <c r="N40" s="496">
        <v>1057</v>
      </c>
      <c r="O40" s="496">
        <v>1057</v>
      </c>
      <c r="P40" s="279">
        <v>1057</v>
      </c>
      <c r="Q40" s="502">
        <v>1057</v>
      </c>
      <c r="R40" s="573">
        <f t="shared" si="0"/>
        <v>3.9</v>
      </c>
      <c r="S40" s="256">
        <f t="shared" si="1"/>
        <v>0</v>
      </c>
      <c r="T40" s="283"/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31.9</v>
      </c>
      <c r="E41" s="45">
        <v>0</v>
      </c>
      <c r="F41" s="49">
        <v>0</v>
      </c>
      <c r="G41" s="45">
        <v>0</v>
      </c>
      <c r="H41" s="49">
        <v>0</v>
      </c>
      <c r="I41" s="45">
        <v>0</v>
      </c>
      <c r="J41" s="49">
        <v>0</v>
      </c>
      <c r="K41" s="50">
        <v>0</v>
      </c>
      <c r="L41" s="504">
        <v>0</v>
      </c>
      <c r="M41" s="45">
        <v>0</v>
      </c>
      <c r="N41" s="45">
        <v>50</v>
      </c>
      <c r="O41" s="45">
        <v>100</v>
      </c>
      <c r="P41" s="45">
        <v>100</v>
      </c>
      <c r="Q41" s="51">
        <v>100</v>
      </c>
      <c r="R41" s="573" t="str">
        <f t="shared" si="0"/>
        <v xml:space="preserve">     -</v>
      </c>
      <c r="S41" s="256" t="str">
        <f t="shared" si="1"/>
        <v xml:space="preserve">     -</v>
      </c>
      <c r="T41" s="283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</row>
    <row r="42" spans="1:33" ht="15" customHeight="1">
      <c r="A42" s="16"/>
      <c r="B42" s="668" t="s">
        <v>439</v>
      </c>
      <c r="C42" s="669"/>
      <c r="D42" s="140">
        <v>140</v>
      </c>
      <c r="E42" s="49">
        <v>140</v>
      </c>
      <c r="F42" s="45">
        <v>140</v>
      </c>
      <c r="G42" s="49">
        <v>140</v>
      </c>
      <c r="H42" s="49">
        <v>140</v>
      </c>
      <c r="I42" s="45">
        <v>140</v>
      </c>
      <c r="J42" s="49">
        <v>116</v>
      </c>
      <c r="K42" s="50">
        <v>140</v>
      </c>
      <c r="L42" s="504">
        <v>140</v>
      </c>
      <c r="M42" s="45">
        <v>140</v>
      </c>
      <c r="N42" s="45">
        <v>140</v>
      </c>
      <c r="O42" s="45">
        <v>140</v>
      </c>
      <c r="P42" s="49">
        <v>140</v>
      </c>
      <c r="Q42" s="50">
        <v>140</v>
      </c>
      <c r="R42" s="573">
        <f t="shared" si="0"/>
        <v>0</v>
      </c>
      <c r="S42" s="256">
        <f t="shared" si="1"/>
        <v>0</v>
      </c>
      <c r="T42" s="28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T43" s="283"/>
      <c r="U43" s="280"/>
      <c r="V43" s="280"/>
      <c r="W43" s="280"/>
      <c r="X43" s="280"/>
      <c r="Y43" s="280"/>
      <c r="Z43" s="280"/>
      <c r="AA43" s="280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v>150</v>
      </c>
      <c r="E44" s="49">
        <v>150</v>
      </c>
      <c r="F44" s="45">
        <v>150</v>
      </c>
      <c r="G44" s="49">
        <v>150</v>
      </c>
      <c r="H44" s="49">
        <v>150</v>
      </c>
      <c r="I44" s="45">
        <v>150</v>
      </c>
      <c r="J44" s="49">
        <v>150</v>
      </c>
      <c r="K44" s="50">
        <v>150</v>
      </c>
      <c r="L44" s="504">
        <v>150</v>
      </c>
      <c r="M44" s="45">
        <v>150</v>
      </c>
      <c r="N44" s="45">
        <v>150</v>
      </c>
      <c r="O44" s="45">
        <v>188</v>
      </c>
      <c r="P44" s="45">
        <v>210</v>
      </c>
      <c r="Q44" s="51">
        <v>210</v>
      </c>
      <c r="R44" s="573">
        <f t="shared" si="0"/>
        <v>0</v>
      </c>
      <c r="S44" s="256">
        <f t="shared" si="1"/>
        <v>7</v>
      </c>
      <c r="T44" s="283"/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60</v>
      </c>
      <c r="E45" s="496">
        <v>60</v>
      </c>
      <c r="F45" s="497">
        <v>60</v>
      </c>
      <c r="G45" s="497">
        <v>60</v>
      </c>
      <c r="H45" s="496">
        <v>60</v>
      </c>
      <c r="I45" s="497">
        <v>60</v>
      </c>
      <c r="J45" s="497">
        <v>60</v>
      </c>
      <c r="K45" s="502">
        <v>60</v>
      </c>
      <c r="L45" s="503">
        <v>105</v>
      </c>
      <c r="M45" s="496">
        <v>105</v>
      </c>
      <c r="N45" s="496">
        <v>105</v>
      </c>
      <c r="O45" s="496">
        <v>105</v>
      </c>
      <c r="P45" s="497">
        <v>105</v>
      </c>
      <c r="Q45" s="502">
        <v>105</v>
      </c>
      <c r="R45" s="573">
        <f t="shared" si="0"/>
        <v>0</v>
      </c>
      <c r="S45" s="256">
        <f t="shared" si="1"/>
        <v>0</v>
      </c>
      <c r="T45" s="283"/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T46" s="283"/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1393</v>
      </c>
      <c r="E47" s="496">
        <v>1340</v>
      </c>
      <c r="F47" s="497">
        <v>1391</v>
      </c>
      <c r="G47" s="497">
        <v>1683</v>
      </c>
      <c r="H47" s="496">
        <v>1806</v>
      </c>
      <c r="I47" s="497">
        <v>2024</v>
      </c>
      <c r="J47" s="497">
        <v>1986</v>
      </c>
      <c r="K47" s="502">
        <v>2129</v>
      </c>
      <c r="L47" s="503">
        <v>2069</v>
      </c>
      <c r="M47" s="496">
        <v>2070</v>
      </c>
      <c r="N47" s="496">
        <v>2070</v>
      </c>
      <c r="O47" s="496">
        <v>2070</v>
      </c>
      <c r="P47" s="497">
        <v>2070</v>
      </c>
      <c r="Q47" s="502">
        <v>2070</v>
      </c>
      <c r="R47" s="573">
        <f t="shared" si="0"/>
        <v>6.2</v>
      </c>
      <c r="S47" s="256">
        <f t="shared" si="1"/>
        <v>0</v>
      </c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</row>
    <row r="48" spans="1:33" ht="15.75" customHeight="1">
      <c r="A48" s="16"/>
      <c r="B48" s="674" t="s">
        <v>307</v>
      </c>
      <c r="C48" s="675"/>
      <c r="D48" s="95">
        <f>SUM(D36:D47)</f>
        <v>8521.9</v>
      </c>
      <c r="E48" s="93">
        <f t="shared" ref="E48:Q48" si="6">SUM(E36:E47)</f>
        <v>9820.4850000000006</v>
      </c>
      <c r="F48" s="93">
        <f t="shared" si="6"/>
        <v>9700.8580000000002</v>
      </c>
      <c r="G48" s="93">
        <f t="shared" si="6"/>
        <v>10261.487000000001</v>
      </c>
      <c r="H48" s="93">
        <f t="shared" si="6"/>
        <v>12052.636999999999</v>
      </c>
      <c r="I48" s="93">
        <f t="shared" si="6"/>
        <v>11028.089</v>
      </c>
      <c r="J48" s="93">
        <f t="shared" si="6"/>
        <v>12001</v>
      </c>
      <c r="K48" s="96">
        <f t="shared" si="6"/>
        <v>12144</v>
      </c>
      <c r="L48" s="95">
        <f t="shared" si="6"/>
        <v>12814</v>
      </c>
      <c r="M48" s="93">
        <f t="shared" si="6"/>
        <v>12969</v>
      </c>
      <c r="N48" s="93">
        <f t="shared" si="6"/>
        <v>13899</v>
      </c>
      <c r="O48" s="93">
        <f t="shared" si="6"/>
        <v>14669</v>
      </c>
      <c r="P48" s="93">
        <f t="shared" si="6"/>
        <v>15179</v>
      </c>
      <c r="Q48" s="96">
        <f t="shared" si="6"/>
        <v>15670</v>
      </c>
      <c r="R48" s="574">
        <f t="shared" si="0"/>
        <v>5.2</v>
      </c>
      <c r="S48" s="510">
        <f t="shared" si="1"/>
        <v>4.0999999999999996</v>
      </c>
      <c r="T48" s="28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54</v>
      </c>
      <c r="E49" s="512">
        <v>20</v>
      </c>
      <c r="F49" s="512">
        <v>20</v>
      </c>
      <c r="G49" s="512">
        <v>20</v>
      </c>
      <c r="H49" s="512">
        <v>20</v>
      </c>
      <c r="I49" s="512">
        <v>9</v>
      </c>
      <c r="J49" s="513">
        <v>9</v>
      </c>
      <c r="K49" s="514">
        <v>10</v>
      </c>
      <c r="L49" s="511">
        <v>10</v>
      </c>
      <c r="M49" s="512">
        <v>10</v>
      </c>
      <c r="N49" s="512">
        <v>10</v>
      </c>
      <c r="O49" s="512">
        <v>10</v>
      </c>
      <c r="P49" s="513">
        <v>10</v>
      </c>
      <c r="Q49" s="514">
        <v>10</v>
      </c>
      <c r="R49" s="574">
        <f t="shared" si="0"/>
        <v>-21.4</v>
      </c>
      <c r="S49" s="510">
        <f t="shared" si="1"/>
        <v>0</v>
      </c>
      <c r="T49" s="283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54</v>
      </c>
      <c r="E50" s="512">
        <v>20</v>
      </c>
      <c r="F50" s="512">
        <v>20</v>
      </c>
      <c r="G50" s="512">
        <v>20</v>
      </c>
      <c r="H50" s="512">
        <v>20</v>
      </c>
      <c r="I50" s="512">
        <v>9</v>
      </c>
      <c r="J50" s="513">
        <v>9</v>
      </c>
      <c r="K50" s="514">
        <v>10</v>
      </c>
      <c r="L50" s="511">
        <v>10</v>
      </c>
      <c r="M50" s="512">
        <v>10</v>
      </c>
      <c r="N50" s="512">
        <v>10</v>
      </c>
      <c r="O50" s="512">
        <v>10</v>
      </c>
      <c r="P50" s="513">
        <v>10</v>
      </c>
      <c r="Q50" s="514">
        <v>10</v>
      </c>
      <c r="R50" s="574">
        <f t="shared" si="0"/>
        <v>-21.4</v>
      </c>
      <c r="S50" s="510">
        <f t="shared" si="1"/>
        <v>0</v>
      </c>
      <c r="T50" s="283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2645</v>
      </c>
      <c r="E51" s="512">
        <v>2414</v>
      </c>
      <c r="F51" s="512">
        <v>2191</v>
      </c>
      <c r="G51" s="512">
        <v>2372</v>
      </c>
      <c r="H51" s="512">
        <v>2074.02</v>
      </c>
      <c r="I51" s="512">
        <v>2335.1099999999997</v>
      </c>
      <c r="J51" s="513">
        <v>2176.17</v>
      </c>
      <c r="K51" s="514">
        <v>2242.0699999999997</v>
      </c>
      <c r="L51" s="511">
        <v>2402.61</v>
      </c>
      <c r="M51" s="512">
        <v>2434.48</v>
      </c>
      <c r="N51" s="512">
        <v>2378.4899999999998</v>
      </c>
      <c r="O51" s="512">
        <v>2339.39</v>
      </c>
      <c r="P51" s="513">
        <v>2339</v>
      </c>
      <c r="Q51" s="514">
        <v>2339</v>
      </c>
      <c r="R51" s="574">
        <f t="shared" si="0"/>
        <v>-2.2999999999999998</v>
      </c>
      <c r="S51" s="510">
        <f t="shared" si="1"/>
        <v>-0.5</v>
      </c>
      <c r="T51" s="28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1972</v>
      </c>
      <c r="E52" s="512">
        <v>1911</v>
      </c>
      <c r="F52" s="512">
        <v>1741</v>
      </c>
      <c r="G52" s="512">
        <v>1927</v>
      </c>
      <c r="H52" s="512">
        <v>1626.36</v>
      </c>
      <c r="I52" s="512">
        <v>1852.12</v>
      </c>
      <c r="J52" s="513">
        <v>1753.31</v>
      </c>
      <c r="K52" s="514">
        <v>1780.1</v>
      </c>
      <c r="L52" s="511">
        <v>1940.68</v>
      </c>
      <c r="M52" s="512">
        <v>1970.59</v>
      </c>
      <c r="N52" s="512">
        <v>1911.71</v>
      </c>
      <c r="O52" s="512">
        <v>1872.27</v>
      </c>
      <c r="P52" s="513">
        <v>1872</v>
      </c>
      <c r="Q52" s="514">
        <v>1872</v>
      </c>
      <c r="R52" s="574">
        <f t="shared" si="0"/>
        <v>-1.5</v>
      </c>
      <c r="S52" s="510">
        <f t="shared" si="1"/>
        <v>-0.7</v>
      </c>
      <c r="T52" s="28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1190</v>
      </c>
      <c r="E53" s="496">
        <v>2070</v>
      </c>
      <c r="F53" s="496">
        <v>2070</v>
      </c>
      <c r="G53" s="496">
        <v>2070</v>
      </c>
      <c r="H53" s="496">
        <v>2070</v>
      </c>
      <c r="I53" s="496">
        <v>2070</v>
      </c>
      <c r="J53" s="497">
        <v>2120.9433962264152</v>
      </c>
      <c r="K53" s="502">
        <v>2120.9433962264202</v>
      </c>
      <c r="L53" s="503">
        <v>2324.7169811320814</v>
      </c>
      <c r="M53" s="496">
        <v>2324.7169811320814</v>
      </c>
      <c r="N53" s="496">
        <v>2324.7169811320814</v>
      </c>
      <c r="O53" s="496">
        <v>2324.7169811320814</v>
      </c>
      <c r="P53" s="497">
        <v>2324.7169811320814</v>
      </c>
      <c r="Q53" s="502">
        <v>2324.7169811320814</v>
      </c>
      <c r="R53" s="573">
        <f t="shared" si="0"/>
        <v>8.6</v>
      </c>
      <c r="S53" s="256">
        <f t="shared" si="1"/>
        <v>0</v>
      </c>
      <c r="T53" s="283"/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345</v>
      </c>
      <c r="F54" s="518">
        <v>345</v>
      </c>
      <c r="G54" s="518">
        <v>345</v>
      </c>
      <c r="H54" s="518">
        <v>345</v>
      </c>
      <c r="I54" s="518">
        <v>345</v>
      </c>
      <c r="J54" s="519">
        <v>400.2</v>
      </c>
      <c r="K54" s="514">
        <v>400.2</v>
      </c>
      <c r="L54" s="511">
        <v>621</v>
      </c>
      <c r="M54" s="518">
        <v>621</v>
      </c>
      <c r="N54" s="518">
        <v>621</v>
      </c>
      <c r="O54" s="518">
        <v>621</v>
      </c>
      <c r="P54" s="519">
        <v>621</v>
      </c>
      <c r="Q54" s="514">
        <v>621</v>
      </c>
      <c r="R54" s="574" t="str">
        <f t="shared" si="0"/>
        <v xml:space="preserve">     -</v>
      </c>
      <c r="S54" s="510">
        <f t="shared" si="1"/>
        <v>0</v>
      </c>
      <c r="T54" s="283"/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5</v>
      </c>
      <c r="E55" s="518">
        <v>5</v>
      </c>
      <c r="F55" s="518">
        <v>5</v>
      </c>
      <c r="G55" s="518">
        <v>5</v>
      </c>
      <c r="H55" s="518">
        <v>5</v>
      </c>
      <c r="I55" s="518">
        <v>5</v>
      </c>
      <c r="J55" s="519">
        <v>5</v>
      </c>
      <c r="K55" s="514">
        <v>5</v>
      </c>
      <c r="L55" s="511">
        <v>4</v>
      </c>
      <c r="M55" s="518">
        <v>5</v>
      </c>
      <c r="N55" s="518">
        <v>5</v>
      </c>
      <c r="O55" s="518">
        <v>5</v>
      </c>
      <c r="P55" s="519">
        <v>5</v>
      </c>
      <c r="Q55" s="514">
        <v>5</v>
      </c>
      <c r="R55" s="574">
        <f t="shared" si="0"/>
        <v>0</v>
      </c>
      <c r="S55" s="510">
        <f t="shared" si="1"/>
        <v>4.5999999999999996</v>
      </c>
      <c r="T55" s="283"/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275</v>
      </c>
      <c r="E56" s="521">
        <v>278</v>
      </c>
      <c r="F56" s="521">
        <v>316</v>
      </c>
      <c r="G56" s="521">
        <v>347.6</v>
      </c>
      <c r="H56" s="521">
        <v>307</v>
      </c>
      <c r="I56" s="521">
        <v>351</v>
      </c>
      <c r="J56" s="522">
        <v>302.5</v>
      </c>
      <c r="K56" s="523">
        <v>350</v>
      </c>
      <c r="L56" s="520">
        <v>355.6</v>
      </c>
      <c r="M56" s="521">
        <v>360.22280000000001</v>
      </c>
      <c r="N56" s="521">
        <v>365.62614199999996</v>
      </c>
      <c r="O56" s="521">
        <v>371.11053412999991</v>
      </c>
      <c r="P56" s="522">
        <v>376.67719214194989</v>
      </c>
      <c r="Q56" s="523">
        <v>382.32735002407912</v>
      </c>
      <c r="R56" s="574">
        <f t="shared" si="0"/>
        <v>3.5</v>
      </c>
      <c r="S56" s="510">
        <f t="shared" si="1"/>
        <v>1.5</v>
      </c>
      <c r="T56" s="283"/>
      <c r="U56" s="350"/>
      <c r="V56" s="350"/>
      <c r="W56" s="350"/>
      <c r="X56" s="350"/>
      <c r="Y56" s="350"/>
      <c r="Z56" s="350"/>
      <c r="AA56" s="413"/>
      <c r="AB56" s="350"/>
      <c r="AC56" s="350"/>
      <c r="AD56" s="350"/>
      <c r="AE56" s="350"/>
      <c r="AF56" s="350"/>
      <c r="AG56" s="350"/>
    </row>
    <row r="57" spans="1:33" ht="15" customHeight="1">
      <c r="A57" s="16"/>
      <c r="B57" s="672" t="s">
        <v>316</v>
      </c>
      <c r="C57" s="673"/>
      <c r="D57" s="553">
        <v>2650</v>
      </c>
      <c r="E57" s="526">
        <v>2650</v>
      </c>
      <c r="F57" s="530">
        <v>2650</v>
      </c>
      <c r="G57" s="497">
        <v>2650</v>
      </c>
      <c r="H57" s="496">
        <v>2650</v>
      </c>
      <c r="I57" s="497">
        <v>2650</v>
      </c>
      <c r="J57" s="551">
        <v>2657</v>
      </c>
      <c r="K57" s="554">
        <v>2694.98</v>
      </c>
      <c r="L57" s="527">
        <v>2694.98</v>
      </c>
      <c r="M57" s="528">
        <v>2694.98</v>
      </c>
      <c r="N57" s="528">
        <v>2694.98</v>
      </c>
      <c r="O57" s="528">
        <v>2694.98</v>
      </c>
      <c r="P57" s="500">
        <v>2694.98</v>
      </c>
      <c r="Q57" s="554">
        <v>2695</v>
      </c>
      <c r="R57" s="573">
        <f t="shared" si="0"/>
        <v>0.2</v>
      </c>
      <c r="S57" s="256">
        <f t="shared" si="1"/>
        <v>0</v>
      </c>
      <c r="T57" s="283"/>
      <c r="U57" s="43"/>
      <c r="V57" s="43"/>
      <c r="W57" s="43"/>
      <c r="X57" s="283"/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850</v>
      </c>
      <c r="E58" s="526">
        <v>798.30000000000007</v>
      </c>
      <c r="F58" s="530">
        <v>798.30000000000007</v>
      </c>
      <c r="G58" s="497">
        <v>798.30000000000007</v>
      </c>
      <c r="H58" s="496">
        <v>798.30000000000007</v>
      </c>
      <c r="I58" s="497">
        <v>798.30000000000007</v>
      </c>
      <c r="J58" s="551">
        <v>798.30000000000007</v>
      </c>
      <c r="K58" s="498">
        <v>798.30000000000007</v>
      </c>
      <c r="L58" s="499">
        <v>798.30000000000007</v>
      </c>
      <c r="M58" s="532">
        <v>798.30000000000007</v>
      </c>
      <c r="N58" s="532">
        <v>798.30000000000007</v>
      </c>
      <c r="O58" s="532">
        <v>798.30000000000007</v>
      </c>
      <c r="P58" s="532">
        <v>798.30000000000007</v>
      </c>
      <c r="Q58" s="498">
        <v>798</v>
      </c>
      <c r="R58" s="573">
        <f t="shared" si="0"/>
        <v>-0.9</v>
      </c>
      <c r="S58" s="256">
        <f t="shared" si="1"/>
        <v>0</v>
      </c>
      <c r="T58" s="283"/>
      <c r="U58" s="43"/>
      <c r="V58" s="43"/>
      <c r="W58" s="43"/>
      <c r="X58" s="283"/>
      <c r="Y58" s="43"/>
      <c r="Z58" s="43"/>
      <c r="AA58" s="43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3500</v>
      </c>
      <c r="E59" s="92">
        <f t="shared" ref="E59:Q59" si="7">SUM(E57:E58)</f>
        <v>3448.3</v>
      </c>
      <c r="F59" s="92">
        <f t="shared" si="7"/>
        <v>3448.3</v>
      </c>
      <c r="G59" s="93">
        <f t="shared" si="7"/>
        <v>3448.3</v>
      </c>
      <c r="H59" s="93">
        <f t="shared" si="7"/>
        <v>3448.3</v>
      </c>
      <c r="I59" s="94">
        <f t="shared" si="7"/>
        <v>3448.3</v>
      </c>
      <c r="J59" s="94">
        <f t="shared" si="7"/>
        <v>3455.3</v>
      </c>
      <c r="K59" s="96">
        <f t="shared" si="7"/>
        <v>3493.28</v>
      </c>
      <c r="L59" s="555">
        <f t="shared" si="7"/>
        <v>3493.28</v>
      </c>
      <c r="M59" s="556">
        <f t="shared" si="7"/>
        <v>3493.28</v>
      </c>
      <c r="N59" s="556">
        <f t="shared" si="7"/>
        <v>3493.28</v>
      </c>
      <c r="O59" s="556">
        <f t="shared" si="7"/>
        <v>3493.28</v>
      </c>
      <c r="P59" s="556">
        <f t="shared" si="7"/>
        <v>3493.28</v>
      </c>
      <c r="Q59" s="227">
        <f t="shared" si="7"/>
        <v>3493</v>
      </c>
      <c r="R59" s="574">
        <f t="shared" si="0"/>
        <v>0</v>
      </c>
      <c r="S59" s="510">
        <f t="shared" si="1"/>
        <v>0</v>
      </c>
      <c r="T59" s="28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360</v>
      </c>
      <c r="E60" s="526">
        <v>360</v>
      </c>
      <c r="F60" s="530">
        <v>330</v>
      </c>
      <c r="G60" s="497">
        <v>330</v>
      </c>
      <c r="H60" s="496">
        <v>330</v>
      </c>
      <c r="I60" s="497">
        <v>330</v>
      </c>
      <c r="J60" s="551">
        <v>330</v>
      </c>
      <c r="K60" s="498">
        <v>318.75</v>
      </c>
      <c r="L60" s="533">
        <v>318.75</v>
      </c>
      <c r="M60" s="534">
        <v>318.75</v>
      </c>
      <c r="N60" s="534">
        <v>318.75</v>
      </c>
      <c r="O60" s="534">
        <v>318.75</v>
      </c>
      <c r="P60" s="534">
        <v>318.75</v>
      </c>
      <c r="Q60" s="535">
        <v>319</v>
      </c>
      <c r="R60" s="573">
        <f t="shared" si="0"/>
        <v>-1.7</v>
      </c>
      <c r="S60" s="256">
        <f t="shared" si="1"/>
        <v>0</v>
      </c>
      <c r="T60" s="283"/>
      <c r="U60" s="43"/>
      <c r="V60" s="43"/>
      <c r="W60" s="43"/>
      <c r="X60" s="283"/>
      <c r="Y60" s="43"/>
      <c r="Z60" s="43"/>
      <c r="AA60" s="43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544.42989036697236</v>
      </c>
      <c r="E61" s="526">
        <v>552.59633872247684</v>
      </c>
      <c r="F61" s="530">
        <v>560</v>
      </c>
      <c r="G61" s="497">
        <v>550</v>
      </c>
      <c r="H61" s="496">
        <v>550</v>
      </c>
      <c r="I61" s="497">
        <v>550</v>
      </c>
      <c r="J61" s="497">
        <v>550</v>
      </c>
      <c r="K61" s="502">
        <v>548.1</v>
      </c>
      <c r="L61" s="503">
        <v>548.1</v>
      </c>
      <c r="M61" s="496">
        <v>548.1</v>
      </c>
      <c r="N61" s="496">
        <v>548.1</v>
      </c>
      <c r="O61" s="496">
        <v>548.1</v>
      </c>
      <c r="P61" s="497">
        <v>548.1</v>
      </c>
      <c r="Q61" s="502">
        <v>548</v>
      </c>
      <c r="R61" s="573">
        <f t="shared" si="0"/>
        <v>0.1</v>
      </c>
      <c r="S61" s="256">
        <f t="shared" si="1"/>
        <v>0</v>
      </c>
      <c r="T61" s="283"/>
      <c r="U61" s="43"/>
      <c r="V61" s="43"/>
      <c r="W61" s="43"/>
      <c r="X61" s="283"/>
      <c r="Y61" s="43"/>
      <c r="Z61" s="43"/>
      <c r="AA61" s="43"/>
      <c r="AB61" s="43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279.53099999999995</v>
      </c>
      <c r="E62" s="525">
        <v>287.91692999999998</v>
      </c>
      <c r="F62" s="530">
        <v>296.55443789999998</v>
      </c>
      <c r="G62" s="497">
        <v>305.45107103699996</v>
      </c>
      <c r="H62" s="496">
        <v>314.61460316810997</v>
      </c>
      <c r="I62" s="497">
        <v>324.05304126315326</v>
      </c>
      <c r="J62" s="497">
        <v>376.2</v>
      </c>
      <c r="K62" s="536">
        <v>366.3</v>
      </c>
      <c r="L62" s="537">
        <v>366.3</v>
      </c>
      <c r="M62" s="538">
        <v>366.3</v>
      </c>
      <c r="N62" s="538">
        <v>366.3</v>
      </c>
      <c r="O62" s="538">
        <v>366.3</v>
      </c>
      <c r="P62" s="515">
        <v>366.3</v>
      </c>
      <c r="Q62" s="536">
        <v>366</v>
      </c>
      <c r="R62" s="573">
        <f t="shared" si="0"/>
        <v>3.9</v>
      </c>
      <c r="S62" s="256">
        <f t="shared" si="1"/>
        <v>0</v>
      </c>
      <c r="T62" s="283"/>
      <c r="U62" s="43"/>
      <c r="V62" s="43"/>
      <c r="W62" s="43"/>
      <c r="X62" s="28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1183.9608903669723</v>
      </c>
      <c r="E63" s="539">
        <f t="shared" ref="E63:Q63" si="8">SUM(E60:E62)</f>
        <v>1200.5132687224768</v>
      </c>
      <c r="F63" s="539">
        <f t="shared" si="8"/>
        <v>1186.5544379</v>
      </c>
      <c r="G63" s="100">
        <f t="shared" si="8"/>
        <v>1185.451071037</v>
      </c>
      <c r="H63" s="100">
        <f t="shared" si="8"/>
        <v>1194.6146031681101</v>
      </c>
      <c r="I63" s="100">
        <f t="shared" si="8"/>
        <v>1204.0530412631533</v>
      </c>
      <c r="J63" s="101">
        <f t="shared" si="8"/>
        <v>1256.2</v>
      </c>
      <c r="K63" s="104">
        <f t="shared" si="8"/>
        <v>1233.1500000000001</v>
      </c>
      <c r="L63" s="540">
        <f t="shared" si="8"/>
        <v>1233.1500000000001</v>
      </c>
      <c r="M63" s="100">
        <f t="shared" si="8"/>
        <v>1233.1500000000001</v>
      </c>
      <c r="N63" s="100">
        <f t="shared" si="8"/>
        <v>1233.1500000000001</v>
      </c>
      <c r="O63" s="100">
        <f t="shared" si="8"/>
        <v>1233.1500000000001</v>
      </c>
      <c r="P63" s="100">
        <f t="shared" si="8"/>
        <v>1233.1500000000001</v>
      </c>
      <c r="Q63" s="103">
        <f t="shared" si="8"/>
        <v>1233</v>
      </c>
      <c r="R63" s="576">
        <f t="shared" si="0"/>
        <v>0.6</v>
      </c>
      <c r="S63" s="541">
        <f t="shared" si="1"/>
        <v>0</v>
      </c>
      <c r="T63" s="28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17374.860890366974</v>
      </c>
      <c r="E64" s="543">
        <f t="shared" ref="E64:Q64" si="9">E48+E49+E51+E53+E55+E56+E59+E63</f>
        <v>19256.298268722476</v>
      </c>
      <c r="F64" s="543">
        <f t="shared" si="9"/>
        <v>18937.712437899998</v>
      </c>
      <c r="G64" s="544">
        <f t="shared" si="9"/>
        <v>19709.838071037004</v>
      </c>
      <c r="H64" s="544">
        <f t="shared" si="9"/>
        <v>21171.571603168108</v>
      </c>
      <c r="I64" s="544">
        <f t="shared" si="9"/>
        <v>20450.552041263152</v>
      </c>
      <c r="J64" s="545">
        <f t="shared" si="9"/>
        <v>21326.113396226414</v>
      </c>
      <c r="K64" s="546">
        <f t="shared" si="9"/>
        <v>21598.443396226419</v>
      </c>
      <c r="L64" s="547">
        <f t="shared" si="9"/>
        <v>22637.356981132081</v>
      </c>
      <c r="M64" s="544">
        <f t="shared" si="9"/>
        <v>22829.849781132081</v>
      </c>
      <c r="N64" s="544">
        <f t="shared" si="9"/>
        <v>23709.263123132081</v>
      </c>
      <c r="O64" s="544">
        <f t="shared" si="9"/>
        <v>24445.647515262081</v>
      </c>
      <c r="P64" s="544">
        <f t="shared" si="9"/>
        <v>24960.824173274032</v>
      </c>
      <c r="Q64" s="577">
        <f t="shared" si="9"/>
        <v>25457.044331156161</v>
      </c>
      <c r="R64" s="579">
        <f t="shared" si="0"/>
        <v>3.2</v>
      </c>
      <c r="S64" s="558">
        <f t="shared" si="1"/>
        <v>2.4</v>
      </c>
      <c r="T64" s="283"/>
    </row>
    <row r="65" spans="1:33" ht="15" customHeight="1">
      <c r="A65" s="616" t="s">
        <v>327</v>
      </c>
      <c r="B65" s="666" t="s">
        <v>433</v>
      </c>
      <c r="C65" s="667"/>
      <c r="D65" s="487">
        <v>1567</v>
      </c>
      <c r="E65" s="488">
        <v>1567</v>
      </c>
      <c r="F65" s="489">
        <v>1342</v>
      </c>
      <c r="G65" s="559">
        <v>1406</v>
      </c>
      <c r="H65" s="560">
        <v>1870</v>
      </c>
      <c r="I65" s="559">
        <v>1921</v>
      </c>
      <c r="J65" s="559">
        <v>1750</v>
      </c>
      <c r="K65" s="561">
        <v>2008</v>
      </c>
      <c r="L65" s="562">
        <v>1800</v>
      </c>
      <c r="M65" s="560">
        <v>1800</v>
      </c>
      <c r="N65" s="560">
        <v>1800</v>
      </c>
      <c r="O65" s="560">
        <v>1800</v>
      </c>
      <c r="P65" s="563">
        <v>1800</v>
      </c>
      <c r="Q65" s="561">
        <v>1800</v>
      </c>
      <c r="R65" s="573">
        <f t="shared" si="0"/>
        <v>3.6</v>
      </c>
      <c r="S65" s="256">
        <f t="shared" si="1"/>
        <v>0</v>
      </c>
      <c r="T65" s="28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243</v>
      </c>
      <c r="E66" s="525">
        <v>184</v>
      </c>
      <c r="F66" s="530">
        <v>251</v>
      </c>
      <c r="G66" s="497">
        <v>379</v>
      </c>
      <c r="H66" s="496">
        <v>245</v>
      </c>
      <c r="I66" s="497">
        <v>140</v>
      </c>
      <c r="J66" s="551">
        <v>150</v>
      </c>
      <c r="K66" s="498">
        <v>199</v>
      </c>
      <c r="L66" s="499">
        <v>150</v>
      </c>
      <c r="M66" s="500">
        <v>150</v>
      </c>
      <c r="N66" s="500">
        <v>150</v>
      </c>
      <c r="O66" s="500">
        <v>155</v>
      </c>
      <c r="P66" s="501">
        <v>155</v>
      </c>
      <c r="Q66" s="498">
        <v>155</v>
      </c>
      <c r="R66" s="573">
        <f t="shared" si="0"/>
        <v>-2.8</v>
      </c>
      <c r="S66" s="256">
        <f t="shared" si="1"/>
        <v>0.7</v>
      </c>
      <c r="T66" s="28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T67" s="283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4064</v>
      </c>
      <c r="E68" s="496">
        <v>5218</v>
      </c>
      <c r="F68" s="497">
        <v>4929</v>
      </c>
      <c r="G68" s="497">
        <v>5249</v>
      </c>
      <c r="H68" s="496">
        <v>6889</v>
      </c>
      <c r="I68" s="497">
        <v>5914</v>
      </c>
      <c r="J68" s="497">
        <v>6826</v>
      </c>
      <c r="K68" s="502">
        <v>6903</v>
      </c>
      <c r="L68" s="503">
        <v>7336</v>
      </c>
      <c r="M68" s="496">
        <v>7907</v>
      </c>
      <c r="N68" s="496">
        <v>8879</v>
      </c>
      <c r="O68" s="496">
        <v>9567</v>
      </c>
      <c r="P68" s="497">
        <v>10227</v>
      </c>
      <c r="Q68" s="502">
        <v>10705</v>
      </c>
      <c r="R68" s="573">
        <f t="shared" si="0"/>
        <v>7.9</v>
      </c>
      <c r="S68" s="256">
        <f t="shared" si="1"/>
        <v>7.9</v>
      </c>
      <c r="T68" s="28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618</v>
      </c>
      <c r="E69" s="496">
        <v>646</v>
      </c>
      <c r="F69" s="497">
        <v>713</v>
      </c>
      <c r="G69" s="497">
        <v>706</v>
      </c>
      <c r="H69" s="496">
        <v>698.91</v>
      </c>
      <c r="I69" s="497">
        <v>739</v>
      </c>
      <c r="J69" s="497">
        <v>806</v>
      </c>
      <c r="K69" s="502">
        <v>819.70199999999988</v>
      </c>
      <c r="L69" s="503">
        <v>838.55514599999981</v>
      </c>
      <c r="M69" s="496">
        <v>854.7392603177999</v>
      </c>
      <c r="N69" s="496">
        <v>870.50919967066341</v>
      </c>
      <c r="O69" s="496">
        <v>885.96073796481767</v>
      </c>
      <c r="P69" s="497">
        <v>901.46505087920207</v>
      </c>
      <c r="Q69" s="502">
        <v>917.51112878485185</v>
      </c>
      <c r="R69" s="573">
        <f t="shared" si="0"/>
        <v>4.0999999999999996</v>
      </c>
      <c r="S69" s="256">
        <f t="shared" si="1"/>
        <v>1.8</v>
      </c>
      <c r="T69" s="283"/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134.73785796667832</v>
      </c>
      <c r="E70" s="45">
        <v>143.36108087654574</v>
      </c>
      <c r="F70" s="49">
        <v>122</v>
      </c>
      <c r="G70" s="45">
        <v>124</v>
      </c>
      <c r="H70" s="49">
        <v>140</v>
      </c>
      <c r="I70" s="45">
        <v>142</v>
      </c>
      <c r="J70" s="49">
        <v>143</v>
      </c>
      <c r="K70" s="50">
        <v>150</v>
      </c>
      <c r="L70" s="140">
        <v>160</v>
      </c>
      <c r="M70" s="45">
        <v>165</v>
      </c>
      <c r="N70" s="45">
        <v>175</v>
      </c>
      <c r="O70" s="45">
        <v>180</v>
      </c>
      <c r="P70" s="45">
        <v>190</v>
      </c>
      <c r="Q70" s="50">
        <v>200</v>
      </c>
      <c r="R70" s="573">
        <f t="shared" si="0"/>
        <v>1.5</v>
      </c>
      <c r="S70" s="256">
        <f t="shared" si="1"/>
        <v>4.5999999999999996</v>
      </c>
      <c r="T70" s="283"/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350</v>
      </c>
      <c r="E71" s="49">
        <v>370</v>
      </c>
      <c r="F71" s="45">
        <v>394</v>
      </c>
      <c r="G71" s="49">
        <v>460</v>
      </c>
      <c r="H71" s="49">
        <v>480</v>
      </c>
      <c r="I71" s="45">
        <v>480</v>
      </c>
      <c r="J71" s="49">
        <v>454</v>
      </c>
      <c r="K71" s="50">
        <v>480</v>
      </c>
      <c r="L71" s="140">
        <v>500</v>
      </c>
      <c r="M71" s="45">
        <v>520</v>
      </c>
      <c r="N71" s="45">
        <v>520</v>
      </c>
      <c r="O71" s="45">
        <v>520</v>
      </c>
      <c r="P71" s="45">
        <v>550</v>
      </c>
      <c r="Q71" s="50">
        <v>550</v>
      </c>
      <c r="R71" s="573">
        <f t="shared" si="0"/>
        <v>4.5999999999999996</v>
      </c>
      <c r="S71" s="256">
        <f t="shared" si="1"/>
        <v>1.9</v>
      </c>
      <c r="T71" s="28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T72" s="283"/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157</v>
      </c>
      <c r="E73" s="49">
        <v>160</v>
      </c>
      <c r="F73" s="45">
        <v>157</v>
      </c>
      <c r="G73" s="49">
        <v>157</v>
      </c>
      <c r="H73" s="49">
        <v>154</v>
      </c>
      <c r="I73" s="45">
        <v>163.24</v>
      </c>
      <c r="J73" s="49">
        <v>173.03</v>
      </c>
      <c r="K73" s="50">
        <v>183.42</v>
      </c>
      <c r="L73" s="140">
        <v>194.42</v>
      </c>
      <c r="M73" s="45">
        <v>206.08</v>
      </c>
      <c r="N73" s="45">
        <v>218.45</v>
      </c>
      <c r="O73" s="45">
        <v>231</v>
      </c>
      <c r="P73" s="45">
        <v>245</v>
      </c>
      <c r="Q73" s="50">
        <v>260</v>
      </c>
      <c r="R73" s="573">
        <f t="shared" si="10"/>
        <v>2.2000000000000002</v>
      </c>
      <c r="S73" s="256">
        <f t="shared" si="11"/>
        <v>6</v>
      </c>
      <c r="T73" s="283"/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106.90909090909091</v>
      </c>
      <c r="E74" s="496">
        <v>78</v>
      </c>
      <c r="F74" s="497">
        <v>110</v>
      </c>
      <c r="G74" s="497">
        <v>110</v>
      </c>
      <c r="H74" s="496">
        <v>70.332999999999998</v>
      </c>
      <c r="I74" s="497">
        <v>90</v>
      </c>
      <c r="J74" s="497">
        <v>84</v>
      </c>
      <c r="K74" s="502">
        <v>84</v>
      </c>
      <c r="L74" s="503">
        <v>84</v>
      </c>
      <c r="M74" s="496">
        <v>84</v>
      </c>
      <c r="N74" s="496">
        <v>84</v>
      </c>
      <c r="O74" s="496">
        <v>84</v>
      </c>
      <c r="P74" s="497">
        <v>84</v>
      </c>
      <c r="Q74" s="502">
        <v>84</v>
      </c>
      <c r="R74" s="573">
        <f t="shared" si="10"/>
        <v>-3.4</v>
      </c>
      <c r="S74" s="256">
        <f t="shared" si="11"/>
        <v>0</v>
      </c>
      <c r="T74" s="283"/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59</v>
      </c>
      <c r="E75" s="49">
        <v>63</v>
      </c>
      <c r="F75" s="45">
        <v>67</v>
      </c>
      <c r="G75" s="49">
        <v>72</v>
      </c>
      <c r="H75" s="49">
        <v>76</v>
      </c>
      <c r="I75" s="45">
        <v>82</v>
      </c>
      <c r="J75" s="49">
        <v>132</v>
      </c>
      <c r="K75" s="50">
        <v>210</v>
      </c>
      <c r="L75" s="140">
        <v>222</v>
      </c>
      <c r="M75" s="45">
        <v>235</v>
      </c>
      <c r="N75" s="45">
        <v>249</v>
      </c>
      <c r="O75" s="45">
        <v>264</v>
      </c>
      <c r="P75" s="45">
        <v>279</v>
      </c>
      <c r="Q75" s="50">
        <v>295</v>
      </c>
      <c r="R75" s="573">
        <f t="shared" si="10"/>
        <v>19.899999999999999</v>
      </c>
      <c r="S75" s="256">
        <f t="shared" si="11"/>
        <v>5.9</v>
      </c>
      <c r="T75" s="283"/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1116</v>
      </c>
      <c r="E76" s="40">
        <v>1185</v>
      </c>
      <c r="F76" s="40">
        <v>1320</v>
      </c>
      <c r="G76" s="40">
        <v>1341</v>
      </c>
      <c r="H76" s="505">
        <v>1247</v>
      </c>
      <c r="I76" s="505">
        <v>1277</v>
      </c>
      <c r="J76" s="506">
        <v>1398</v>
      </c>
      <c r="K76" s="507">
        <v>1457</v>
      </c>
      <c r="L76" s="508">
        <v>1382</v>
      </c>
      <c r="M76" s="505">
        <v>1380</v>
      </c>
      <c r="N76" s="505">
        <v>1380</v>
      </c>
      <c r="O76" s="505">
        <v>1380</v>
      </c>
      <c r="P76" s="505">
        <v>1380</v>
      </c>
      <c r="Q76" s="509">
        <v>1380</v>
      </c>
      <c r="R76" s="573">
        <f t="shared" si="10"/>
        <v>3.9</v>
      </c>
      <c r="S76" s="256">
        <f t="shared" si="11"/>
        <v>0</v>
      </c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  <c r="AE76" s="283"/>
      <c r="AF76" s="283"/>
      <c r="AG76" s="283"/>
    </row>
    <row r="77" spans="1:33" ht="15.75" customHeight="1">
      <c r="A77" s="16"/>
      <c r="B77" s="674" t="s">
        <v>307</v>
      </c>
      <c r="C77" s="675"/>
      <c r="D77" s="95">
        <f>SUM(D65:D76)</f>
        <v>8415.6469488757684</v>
      </c>
      <c r="E77" s="93">
        <f t="shared" ref="E77:Q77" si="12">SUM(E65:E76)</f>
        <v>9614.3610808765461</v>
      </c>
      <c r="F77" s="93">
        <f t="shared" si="12"/>
        <v>9405</v>
      </c>
      <c r="G77" s="93">
        <f t="shared" si="12"/>
        <v>10004</v>
      </c>
      <c r="H77" s="93">
        <f t="shared" si="12"/>
        <v>11870.243</v>
      </c>
      <c r="I77" s="93">
        <f t="shared" si="12"/>
        <v>10948.24</v>
      </c>
      <c r="J77" s="93">
        <f t="shared" si="12"/>
        <v>11916.03</v>
      </c>
      <c r="K77" s="96">
        <f t="shared" si="12"/>
        <v>12494.121999999999</v>
      </c>
      <c r="L77" s="95">
        <f t="shared" si="12"/>
        <v>12666.975146000001</v>
      </c>
      <c r="M77" s="93">
        <f t="shared" si="12"/>
        <v>13301.819260317799</v>
      </c>
      <c r="N77" s="93">
        <f t="shared" si="12"/>
        <v>14325.959199670664</v>
      </c>
      <c r="O77" s="93">
        <f t="shared" si="12"/>
        <v>15066.960737964817</v>
      </c>
      <c r="P77" s="93">
        <f t="shared" si="12"/>
        <v>15811.465050879202</v>
      </c>
      <c r="Q77" s="96">
        <f t="shared" si="12"/>
        <v>16346.511128784852</v>
      </c>
      <c r="R77" s="574">
        <f t="shared" si="10"/>
        <v>5.8</v>
      </c>
      <c r="S77" s="510">
        <f t="shared" si="11"/>
        <v>5.2</v>
      </c>
      <c r="T77" s="28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61</v>
      </c>
      <c r="E78" s="512">
        <v>61</v>
      </c>
      <c r="F78" s="512">
        <v>50</v>
      </c>
      <c r="G78" s="512">
        <v>30</v>
      </c>
      <c r="H78" s="512">
        <v>27</v>
      </c>
      <c r="I78" s="512">
        <v>24</v>
      </c>
      <c r="J78" s="513">
        <v>23</v>
      </c>
      <c r="K78" s="514">
        <v>22</v>
      </c>
      <c r="L78" s="511">
        <v>22</v>
      </c>
      <c r="M78" s="512">
        <v>22</v>
      </c>
      <c r="N78" s="512">
        <v>23</v>
      </c>
      <c r="O78" s="512">
        <v>23</v>
      </c>
      <c r="P78" s="513">
        <v>23</v>
      </c>
      <c r="Q78" s="514">
        <v>23</v>
      </c>
      <c r="R78" s="574">
        <f t="shared" si="10"/>
        <v>-13.6</v>
      </c>
      <c r="S78" s="510">
        <f t="shared" si="11"/>
        <v>0.9</v>
      </c>
      <c r="T78" s="283"/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61</v>
      </c>
      <c r="E79" s="512">
        <v>61</v>
      </c>
      <c r="F79" s="512">
        <v>50</v>
      </c>
      <c r="G79" s="512">
        <v>30</v>
      </c>
      <c r="H79" s="512">
        <v>27</v>
      </c>
      <c r="I79" s="512">
        <v>24</v>
      </c>
      <c r="J79" s="513">
        <v>23</v>
      </c>
      <c r="K79" s="514">
        <v>22</v>
      </c>
      <c r="L79" s="511">
        <v>22</v>
      </c>
      <c r="M79" s="512">
        <v>22</v>
      </c>
      <c r="N79" s="512">
        <v>23</v>
      </c>
      <c r="O79" s="512">
        <v>23</v>
      </c>
      <c r="P79" s="513">
        <v>23</v>
      </c>
      <c r="Q79" s="514">
        <v>23</v>
      </c>
      <c r="R79" s="574">
        <f t="shared" si="10"/>
        <v>-13.6</v>
      </c>
      <c r="S79" s="510">
        <f t="shared" si="11"/>
        <v>0.9</v>
      </c>
      <c r="T79" s="283"/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2149</v>
      </c>
      <c r="E80" s="538">
        <v>2260</v>
      </c>
      <c r="F80" s="538">
        <v>2034</v>
      </c>
      <c r="G80" s="538">
        <v>2151</v>
      </c>
      <c r="H80" s="538">
        <v>2150</v>
      </c>
      <c r="I80" s="538">
        <v>2140.46</v>
      </c>
      <c r="J80" s="515">
        <v>1948.8899999999999</v>
      </c>
      <c r="K80" s="536">
        <v>2025.79</v>
      </c>
      <c r="L80" s="537">
        <v>2197.21</v>
      </c>
      <c r="M80" s="538">
        <v>2226.94</v>
      </c>
      <c r="N80" s="538">
        <v>2231.9699999999998</v>
      </c>
      <c r="O80" s="538">
        <v>2156.5</v>
      </c>
      <c r="P80" s="515">
        <v>2157</v>
      </c>
      <c r="Q80" s="536">
        <v>2157</v>
      </c>
      <c r="R80" s="575">
        <f t="shared" si="10"/>
        <v>-0.8</v>
      </c>
      <c r="S80" s="517">
        <f t="shared" si="11"/>
        <v>-0.4</v>
      </c>
      <c r="T80" s="28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1550</v>
      </c>
      <c r="E81" s="512">
        <v>1809</v>
      </c>
      <c r="F81" s="512">
        <v>1589</v>
      </c>
      <c r="G81" s="512">
        <v>1716</v>
      </c>
      <c r="H81" s="512">
        <v>1718</v>
      </c>
      <c r="I81" s="512">
        <v>1648.82</v>
      </c>
      <c r="J81" s="513">
        <v>1520.61</v>
      </c>
      <c r="K81" s="514">
        <v>1557.4</v>
      </c>
      <c r="L81" s="511">
        <v>1726.12</v>
      </c>
      <c r="M81" s="512">
        <v>1752.59</v>
      </c>
      <c r="N81" s="512">
        <v>1753.54</v>
      </c>
      <c r="O81" s="512">
        <v>1676.52</v>
      </c>
      <c r="P81" s="513">
        <v>1677</v>
      </c>
      <c r="Q81" s="514">
        <v>1677</v>
      </c>
      <c r="R81" s="574">
        <f t="shared" si="10"/>
        <v>0.1</v>
      </c>
      <c r="S81" s="510">
        <f t="shared" si="11"/>
        <v>-0.6</v>
      </c>
      <c r="T81" s="28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1190</v>
      </c>
      <c r="E82" s="496">
        <v>1648</v>
      </c>
      <c r="F82" s="496">
        <v>1698</v>
      </c>
      <c r="G82" s="496">
        <v>1698</v>
      </c>
      <c r="H82" s="496">
        <v>1698</v>
      </c>
      <c r="I82" s="496">
        <v>2094</v>
      </c>
      <c r="J82" s="497">
        <v>2254.94</v>
      </c>
      <c r="K82" s="502">
        <v>2254.94</v>
      </c>
      <c r="L82" s="503">
        <v>2277.4893999999999</v>
      </c>
      <c r="M82" s="496">
        <v>2300.2642940000001</v>
      </c>
      <c r="N82" s="496">
        <v>2323.2669369400001</v>
      </c>
      <c r="O82" s="496">
        <v>2346.4996063094</v>
      </c>
      <c r="P82" s="497">
        <v>2369.964602372494</v>
      </c>
      <c r="Q82" s="502">
        <v>2393.6642483962191</v>
      </c>
      <c r="R82" s="573">
        <f t="shared" si="10"/>
        <v>9.6</v>
      </c>
      <c r="S82" s="256">
        <f t="shared" si="11"/>
        <v>1</v>
      </c>
      <c r="T82" s="283"/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345</v>
      </c>
      <c r="F83" s="518">
        <v>345</v>
      </c>
      <c r="G83" s="518">
        <v>345</v>
      </c>
      <c r="H83" s="518">
        <v>345</v>
      </c>
      <c r="I83" s="518">
        <v>345</v>
      </c>
      <c r="J83" s="519">
        <v>488.45</v>
      </c>
      <c r="K83" s="514">
        <v>488.45</v>
      </c>
      <c r="L83" s="511">
        <v>493.33449999999999</v>
      </c>
      <c r="M83" s="518">
        <v>498.26784500000002</v>
      </c>
      <c r="N83" s="518">
        <v>503.25052345</v>
      </c>
      <c r="O83" s="518">
        <v>508.28302868449998</v>
      </c>
      <c r="P83" s="519">
        <v>513.36585897134501</v>
      </c>
      <c r="Q83" s="514">
        <v>518.4995175610585</v>
      </c>
      <c r="R83" s="574" t="str">
        <f t="shared" si="10"/>
        <v xml:space="preserve">     -</v>
      </c>
      <c r="S83" s="510">
        <f t="shared" si="11"/>
        <v>1</v>
      </c>
      <c r="T83" s="283"/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37</v>
      </c>
      <c r="E84" s="518">
        <v>37</v>
      </c>
      <c r="F84" s="518">
        <v>37</v>
      </c>
      <c r="G84" s="518">
        <v>37</v>
      </c>
      <c r="H84" s="518">
        <v>37</v>
      </c>
      <c r="I84" s="518">
        <v>26</v>
      </c>
      <c r="J84" s="519">
        <v>26</v>
      </c>
      <c r="K84" s="514">
        <v>26</v>
      </c>
      <c r="L84" s="511">
        <v>26</v>
      </c>
      <c r="M84" s="518">
        <v>26</v>
      </c>
      <c r="N84" s="518">
        <v>26</v>
      </c>
      <c r="O84" s="518">
        <v>26</v>
      </c>
      <c r="P84" s="519">
        <v>26</v>
      </c>
      <c r="Q84" s="514">
        <v>26</v>
      </c>
      <c r="R84" s="574">
        <f t="shared" si="10"/>
        <v>-4.9000000000000004</v>
      </c>
      <c r="S84" s="510">
        <f t="shared" si="11"/>
        <v>0</v>
      </c>
      <c r="T84" s="283"/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275</v>
      </c>
      <c r="E85" s="521">
        <v>278</v>
      </c>
      <c r="F85" s="521">
        <v>316.10000000000002</v>
      </c>
      <c r="G85" s="521">
        <v>347.70000000000005</v>
      </c>
      <c r="H85" s="521">
        <v>307</v>
      </c>
      <c r="I85" s="521">
        <v>351</v>
      </c>
      <c r="J85" s="522">
        <v>282.5</v>
      </c>
      <c r="K85" s="523">
        <v>341</v>
      </c>
      <c r="L85" s="520">
        <v>346.45600000000002</v>
      </c>
      <c r="M85" s="521">
        <v>351.99929600000002</v>
      </c>
      <c r="N85" s="521">
        <v>357.631284736</v>
      </c>
      <c r="O85" s="521">
        <v>363.35338529177602</v>
      </c>
      <c r="P85" s="522">
        <v>369.16703945644446</v>
      </c>
      <c r="Q85" s="523">
        <v>375.07371208774759</v>
      </c>
      <c r="R85" s="574">
        <f t="shared" si="10"/>
        <v>3.1</v>
      </c>
      <c r="S85" s="510">
        <f t="shared" si="11"/>
        <v>1.6</v>
      </c>
      <c r="T85" s="283"/>
      <c r="U85" s="350"/>
      <c r="V85" s="350"/>
      <c r="W85" s="350"/>
      <c r="X85" s="350"/>
      <c r="Y85" s="350"/>
      <c r="Z85" s="350"/>
      <c r="AA85" s="413"/>
      <c r="AB85" s="350"/>
      <c r="AC85" s="350"/>
      <c r="AD85" s="350"/>
      <c r="AE85" s="350"/>
      <c r="AF85" s="350"/>
      <c r="AG85" s="350"/>
    </row>
    <row r="86" spans="1:33" ht="15" customHeight="1">
      <c r="A86" s="16"/>
      <c r="B86" s="672" t="s">
        <v>316</v>
      </c>
      <c r="C86" s="673"/>
      <c r="D86" s="529">
        <v>2542</v>
      </c>
      <c r="E86" s="525">
        <v>2568</v>
      </c>
      <c r="F86" s="530">
        <v>2594</v>
      </c>
      <c r="G86" s="530">
        <v>2620</v>
      </c>
      <c r="H86" s="525">
        <v>2646</v>
      </c>
      <c r="I86" s="530">
        <v>2710</v>
      </c>
      <c r="J86" s="530">
        <v>2753</v>
      </c>
      <c r="K86" s="564">
        <v>2814</v>
      </c>
      <c r="L86" s="524">
        <v>2895</v>
      </c>
      <c r="M86" s="525">
        <v>2969</v>
      </c>
      <c r="N86" s="525">
        <v>3023</v>
      </c>
      <c r="O86" s="525">
        <v>3075</v>
      </c>
      <c r="P86" s="530">
        <v>3120</v>
      </c>
      <c r="Q86" s="564">
        <v>3350</v>
      </c>
      <c r="R86" s="573">
        <f t="shared" si="10"/>
        <v>1.5</v>
      </c>
      <c r="S86" s="256">
        <f t="shared" si="11"/>
        <v>3</v>
      </c>
      <c r="T86" s="283"/>
      <c r="U86" s="283"/>
      <c r="V86" s="283"/>
      <c r="W86" s="283"/>
      <c r="X86" s="283"/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816</v>
      </c>
      <c r="E87" s="525">
        <v>824</v>
      </c>
      <c r="F87" s="530">
        <v>832</v>
      </c>
      <c r="G87" s="530">
        <v>840</v>
      </c>
      <c r="H87" s="525">
        <v>861</v>
      </c>
      <c r="I87" s="530">
        <v>870</v>
      </c>
      <c r="J87" s="530">
        <v>880</v>
      </c>
      <c r="K87" s="564">
        <v>897</v>
      </c>
      <c r="L87" s="524">
        <v>916</v>
      </c>
      <c r="M87" s="525">
        <v>935</v>
      </c>
      <c r="N87" s="525">
        <v>952</v>
      </c>
      <c r="O87" s="525">
        <v>969</v>
      </c>
      <c r="P87" s="530">
        <v>985</v>
      </c>
      <c r="Q87" s="564">
        <v>1001</v>
      </c>
      <c r="R87" s="573">
        <f t="shared" si="10"/>
        <v>1.4</v>
      </c>
      <c r="S87" s="256">
        <f t="shared" si="11"/>
        <v>1.8</v>
      </c>
      <c r="T87" s="283"/>
      <c r="U87" s="283"/>
      <c r="V87" s="283"/>
      <c r="W87" s="283"/>
      <c r="X87" s="283"/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5.75" customHeight="1">
      <c r="A88" s="16"/>
      <c r="B88" s="674" t="s">
        <v>318</v>
      </c>
      <c r="C88" s="675"/>
      <c r="D88" s="95">
        <f>SUM(D86:D87)</f>
        <v>3358</v>
      </c>
      <c r="E88" s="92">
        <f t="shared" ref="E88:Q88" si="13">SUM(E86:E87)</f>
        <v>3392</v>
      </c>
      <c r="F88" s="92">
        <f t="shared" si="13"/>
        <v>3426</v>
      </c>
      <c r="G88" s="93">
        <f t="shared" si="13"/>
        <v>3460</v>
      </c>
      <c r="H88" s="93">
        <f t="shared" si="13"/>
        <v>3507</v>
      </c>
      <c r="I88" s="94">
        <f t="shared" si="13"/>
        <v>3580</v>
      </c>
      <c r="J88" s="94">
        <f t="shared" si="13"/>
        <v>3633</v>
      </c>
      <c r="K88" s="96">
        <f t="shared" si="13"/>
        <v>3711</v>
      </c>
      <c r="L88" s="95">
        <f t="shared" si="13"/>
        <v>3811</v>
      </c>
      <c r="M88" s="93">
        <f t="shared" si="13"/>
        <v>3904</v>
      </c>
      <c r="N88" s="93">
        <f t="shared" si="13"/>
        <v>3975</v>
      </c>
      <c r="O88" s="93">
        <f t="shared" si="13"/>
        <v>4044</v>
      </c>
      <c r="P88" s="93">
        <f t="shared" si="13"/>
        <v>4105</v>
      </c>
      <c r="Q88" s="96">
        <f t="shared" si="13"/>
        <v>4351</v>
      </c>
      <c r="R88" s="574">
        <f t="shared" si="10"/>
        <v>1.4</v>
      </c>
      <c r="S88" s="510">
        <f t="shared" si="11"/>
        <v>2.7</v>
      </c>
      <c r="T88" s="28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356.97586909090899</v>
      </c>
      <c r="E89" s="525">
        <v>390</v>
      </c>
      <c r="F89" s="530">
        <v>390</v>
      </c>
      <c r="G89" s="530">
        <v>395</v>
      </c>
      <c r="H89" s="525">
        <v>404</v>
      </c>
      <c r="I89" s="530">
        <v>415</v>
      </c>
      <c r="J89" s="530">
        <v>424</v>
      </c>
      <c r="K89" s="564">
        <v>434</v>
      </c>
      <c r="L89" s="565">
        <v>444</v>
      </c>
      <c r="M89" s="566">
        <v>455</v>
      </c>
      <c r="N89" s="566">
        <v>467</v>
      </c>
      <c r="O89" s="566">
        <v>480</v>
      </c>
      <c r="P89" s="566">
        <v>494</v>
      </c>
      <c r="Q89" s="567">
        <v>509</v>
      </c>
      <c r="R89" s="573">
        <f t="shared" si="10"/>
        <v>2.8</v>
      </c>
      <c r="S89" s="256">
        <f t="shared" si="11"/>
        <v>2.8</v>
      </c>
      <c r="T89" s="283"/>
      <c r="U89" s="283"/>
      <c r="V89" s="283"/>
      <c r="W89" s="283"/>
      <c r="X89" s="283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434</v>
      </c>
      <c r="E90" s="525">
        <v>438</v>
      </c>
      <c r="F90" s="530">
        <v>442</v>
      </c>
      <c r="G90" s="530">
        <v>446</v>
      </c>
      <c r="H90" s="525">
        <v>450</v>
      </c>
      <c r="I90" s="530">
        <v>450</v>
      </c>
      <c r="J90" s="530">
        <v>435</v>
      </c>
      <c r="K90" s="564">
        <v>437</v>
      </c>
      <c r="L90" s="524">
        <v>443</v>
      </c>
      <c r="M90" s="525">
        <v>454</v>
      </c>
      <c r="N90" s="525">
        <v>464</v>
      </c>
      <c r="O90" s="525">
        <v>474</v>
      </c>
      <c r="P90" s="530">
        <v>485</v>
      </c>
      <c r="Q90" s="564">
        <v>496</v>
      </c>
      <c r="R90" s="573">
        <f t="shared" si="10"/>
        <v>0.1</v>
      </c>
      <c r="S90" s="256">
        <f t="shared" si="11"/>
        <v>2.2999999999999998</v>
      </c>
      <c r="T90" s="283"/>
      <c r="U90" s="283"/>
      <c r="V90" s="283"/>
      <c r="W90" s="283"/>
      <c r="X90" s="283"/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276.47885439999993</v>
      </c>
      <c r="E91" s="525">
        <v>280.62603721599993</v>
      </c>
      <c r="F91" s="530">
        <v>284.83542777423992</v>
      </c>
      <c r="G91" s="530">
        <v>289.10795919085348</v>
      </c>
      <c r="H91" s="525">
        <v>293.44457857871623</v>
      </c>
      <c r="I91" s="530">
        <v>297.84624725739695</v>
      </c>
      <c r="J91" s="530">
        <v>296</v>
      </c>
      <c r="K91" s="568">
        <v>301</v>
      </c>
      <c r="L91" s="569">
        <v>305</v>
      </c>
      <c r="M91" s="570">
        <v>312</v>
      </c>
      <c r="N91" s="570">
        <v>320</v>
      </c>
      <c r="O91" s="570">
        <v>329</v>
      </c>
      <c r="P91" s="571">
        <v>338</v>
      </c>
      <c r="Q91" s="568">
        <v>348</v>
      </c>
      <c r="R91" s="573">
        <f t="shared" si="10"/>
        <v>1.2</v>
      </c>
      <c r="S91" s="256">
        <f t="shared" si="11"/>
        <v>2.7</v>
      </c>
      <c r="T91" s="283"/>
      <c r="U91" s="283"/>
      <c r="V91" s="283"/>
      <c r="W91" s="283"/>
      <c r="X91" s="283"/>
      <c r="Y91" s="43"/>
      <c r="Z91" s="43"/>
      <c r="AA91" s="43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1067.4547234909089</v>
      </c>
      <c r="E92" s="539">
        <f t="shared" ref="E92:Q92" si="14">SUM(E89:E91)</f>
        <v>1108.626037216</v>
      </c>
      <c r="F92" s="539">
        <f t="shared" si="14"/>
        <v>1116.8354277742399</v>
      </c>
      <c r="G92" s="100">
        <f t="shared" si="14"/>
        <v>1130.1079591908535</v>
      </c>
      <c r="H92" s="100">
        <f t="shared" si="14"/>
        <v>1147.4445785787161</v>
      </c>
      <c r="I92" s="100">
        <f t="shared" si="14"/>
        <v>1162.846247257397</v>
      </c>
      <c r="J92" s="101">
        <f t="shared" si="14"/>
        <v>1155</v>
      </c>
      <c r="K92" s="104">
        <f t="shared" si="14"/>
        <v>1172</v>
      </c>
      <c r="L92" s="540">
        <f t="shared" si="14"/>
        <v>1192</v>
      </c>
      <c r="M92" s="100">
        <f t="shared" si="14"/>
        <v>1221</v>
      </c>
      <c r="N92" s="100">
        <f t="shared" si="14"/>
        <v>1251</v>
      </c>
      <c r="O92" s="100">
        <f t="shared" si="14"/>
        <v>1283</v>
      </c>
      <c r="P92" s="100">
        <f t="shared" si="14"/>
        <v>1317</v>
      </c>
      <c r="Q92" s="103">
        <f t="shared" si="14"/>
        <v>1353</v>
      </c>
      <c r="R92" s="576">
        <f t="shared" si="10"/>
        <v>1.3</v>
      </c>
      <c r="S92" s="541">
        <f t="shared" si="11"/>
        <v>2.6</v>
      </c>
      <c r="T92" s="28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16553.101672366676</v>
      </c>
      <c r="E93" s="543">
        <f t="shared" ref="E93:Q93" si="15">E77+E78+E80+E82+E84+E85+E88+E92</f>
        <v>18398.987118092544</v>
      </c>
      <c r="F93" s="543">
        <f t="shared" si="15"/>
        <v>18082.935427774239</v>
      </c>
      <c r="G93" s="544">
        <f t="shared" si="15"/>
        <v>18857.807959190854</v>
      </c>
      <c r="H93" s="544">
        <f t="shared" si="15"/>
        <v>20743.68757857872</v>
      </c>
      <c r="I93" s="544">
        <f t="shared" si="15"/>
        <v>20326.546247257396</v>
      </c>
      <c r="J93" s="545">
        <f t="shared" si="15"/>
        <v>21239.360000000001</v>
      </c>
      <c r="K93" s="546">
        <f t="shared" si="15"/>
        <v>22046.851999999999</v>
      </c>
      <c r="L93" s="547">
        <f t="shared" si="15"/>
        <v>22539.130545999997</v>
      </c>
      <c r="M93" s="544">
        <f t="shared" si="15"/>
        <v>23354.0228503178</v>
      </c>
      <c r="N93" s="544">
        <f t="shared" si="15"/>
        <v>24513.827421346661</v>
      </c>
      <c r="O93" s="544">
        <f t="shared" si="15"/>
        <v>25309.313729565991</v>
      </c>
      <c r="P93" s="544">
        <f t="shared" si="15"/>
        <v>26178.596692708143</v>
      </c>
      <c r="Q93" s="577">
        <f t="shared" si="15"/>
        <v>27025.249089268822</v>
      </c>
      <c r="R93" s="578">
        <f t="shared" si="10"/>
        <v>4.2</v>
      </c>
      <c r="S93" s="549">
        <f t="shared" si="11"/>
        <v>3.7</v>
      </c>
      <c r="T93" s="283"/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20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20" ht="13.5" customHeight="1">
      <c r="C98" s="617" t="s">
        <v>333</v>
      </c>
      <c r="E98" s="27"/>
      <c r="F98" s="27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3:20" hidden="1">
      <c r="C99" t="s">
        <v>45</v>
      </c>
      <c r="E99" s="27"/>
      <c r="F99" s="27"/>
      <c r="G99" s="27"/>
      <c r="H99" s="27"/>
      <c r="I99" s="27"/>
      <c r="J99" s="27"/>
      <c r="K99" s="13">
        <f>+K38+K40+K41+K44+K45+K46</f>
        <v>1552</v>
      </c>
      <c r="L99" s="13"/>
      <c r="M99" s="13"/>
      <c r="N99" s="13"/>
      <c r="O99" s="13"/>
      <c r="P99" s="13"/>
      <c r="Q99" s="13">
        <f>+Q38+Q40+Q41+Q44+Q45+Q46</f>
        <v>1725</v>
      </c>
    </row>
    <row r="100" spans="3:20" hidden="1">
      <c r="C100" t="s">
        <v>46</v>
      </c>
      <c r="E100" s="27"/>
      <c r="F100" s="27"/>
      <c r="G100" s="27"/>
      <c r="H100" s="24"/>
      <c r="I100" s="24"/>
      <c r="J100" s="24"/>
      <c r="K100" s="24">
        <f>+K67+K69+K70+K73+K74+K75</f>
        <v>1447.1219999999998</v>
      </c>
      <c r="L100" s="24"/>
      <c r="M100" s="24"/>
      <c r="N100" s="24"/>
      <c r="O100" s="24"/>
      <c r="P100" s="24"/>
      <c r="Q100" s="24">
        <f>+Q67+Q69+Q70+Q73+Q74+Q75</f>
        <v>1756.5111287848517</v>
      </c>
    </row>
    <row r="101" spans="3:20" hidden="1">
      <c r="C101" t="s">
        <v>55</v>
      </c>
      <c r="E101" s="27"/>
      <c r="F101" s="27"/>
      <c r="G101" s="27"/>
      <c r="H101" s="27"/>
      <c r="I101" s="27"/>
      <c r="J101" s="27"/>
      <c r="K101" s="27">
        <f>+K99-K100</f>
        <v>104.87800000000016</v>
      </c>
      <c r="L101" s="27"/>
      <c r="M101" s="27"/>
      <c r="N101" s="27"/>
      <c r="O101" s="27"/>
      <c r="P101" s="27"/>
      <c r="Q101" s="27">
        <f>+Q99-Q100</f>
        <v>-31.511128784851735</v>
      </c>
    </row>
    <row r="102" spans="3:20" hidden="1">
      <c r="E102" s="27"/>
      <c r="F102" s="27"/>
      <c r="G102" s="27"/>
      <c r="H102" s="27"/>
      <c r="I102" s="27"/>
      <c r="J102" s="27"/>
      <c r="K102" s="29">
        <f>+K101/1000</f>
        <v>0.10487800000000015</v>
      </c>
      <c r="L102" s="29"/>
      <c r="M102" s="29"/>
      <c r="N102" s="29"/>
      <c r="O102" s="29"/>
      <c r="P102" s="29"/>
      <c r="Q102" s="29">
        <f>+Q101/1000</f>
        <v>-3.1511128784851732E-2</v>
      </c>
    </row>
    <row r="103" spans="3:20" ht="14.25">
      <c r="E103" s="27"/>
      <c r="F103" s="27"/>
      <c r="G103" s="27"/>
      <c r="H103" s="257"/>
      <c r="I103" s="83"/>
      <c r="J103" s="83"/>
      <c r="K103" s="83"/>
      <c r="L103" s="83"/>
      <c r="M103" s="83"/>
      <c r="N103" s="83"/>
      <c r="O103" s="27"/>
      <c r="P103" s="27"/>
      <c r="Q103" s="24"/>
    </row>
    <row r="104" spans="3:20"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</row>
    <row r="105" spans="3:20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20"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T106" s="283"/>
    </row>
    <row r="107" spans="3:20"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T107" s="283"/>
    </row>
    <row r="108" spans="3:20"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4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T109" s="283"/>
    </row>
    <row r="110" spans="3:20"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T110" s="283"/>
    </row>
    <row r="111" spans="3:20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20"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T112" s="283"/>
    </row>
    <row r="113" spans="3:20"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T113" s="283"/>
    </row>
    <row r="114" spans="3:20">
      <c r="E114" s="27"/>
      <c r="F114" s="27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3:20"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</row>
    <row r="116" spans="3:20"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</row>
    <row r="117" spans="3:20"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3:20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3:20">
      <c r="C119" s="697"/>
      <c r="D119" s="697"/>
      <c r="E119" s="27"/>
      <c r="F119" s="27"/>
      <c r="G119" s="27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3:20">
      <c r="C120" s="697"/>
      <c r="D120" s="697"/>
      <c r="E120" s="24"/>
      <c r="F120" s="24"/>
      <c r="G120" s="27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3:20">
      <c r="C121" s="697"/>
      <c r="D121" s="697"/>
      <c r="E121" s="27"/>
      <c r="F121" s="27"/>
      <c r="G121" s="27"/>
      <c r="H121" s="27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3:20">
      <c r="C122" s="697"/>
      <c r="D122" s="697"/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3:20">
      <c r="C123" s="697"/>
      <c r="D123" s="697"/>
      <c r="E123" s="27"/>
      <c r="F123" s="27"/>
      <c r="G123" s="27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3:20">
      <c r="C124" s="697"/>
      <c r="D124" s="697"/>
      <c r="E124" s="24"/>
      <c r="F124" s="24"/>
      <c r="G124" s="27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3:20">
      <c r="C125" s="697"/>
      <c r="D125" s="697"/>
      <c r="E125" s="24"/>
      <c r="F125" s="24"/>
      <c r="G125" s="27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3:20">
      <c r="E126" s="27"/>
      <c r="F126" s="27"/>
      <c r="G126" s="27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3:20">
      <c r="C127" s="697"/>
      <c r="D127" s="697"/>
      <c r="E127" s="27"/>
      <c r="F127" s="27"/>
      <c r="G127" s="27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3:20">
      <c r="C128" s="697"/>
      <c r="D128" s="697"/>
      <c r="E128" s="27"/>
      <c r="F128" s="27"/>
      <c r="G128" s="27"/>
      <c r="H128" s="27"/>
      <c r="I128" s="27"/>
      <c r="J128" s="27"/>
      <c r="K128" s="24"/>
      <c r="L128" s="27"/>
      <c r="M128" s="27"/>
      <c r="N128" s="27"/>
      <c r="O128" s="27"/>
      <c r="P128" s="27"/>
      <c r="Q128" s="27"/>
    </row>
    <row r="129" spans="3:19">
      <c r="C129" s="697"/>
      <c r="D129" s="697"/>
      <c r="E129" s="27"/>
      <c r="F129" s="27"/>
      <c r="G129" s="27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3:19">
      <c r="C130" s="697"/>
      <c r="D130" s="697"/>
      <c r="E130" s="27"/>
      <c r="F130" s="27"/>
      <c r="G130" s="27"/>
      <c r="H130" s="27"/>
      <c r="I130" s="27"/>
      <c r="J130" s="27"/>
      <c r="K130" s="24"/>
      <c r="L130" s="27"/>
      <c r="M130" s="27"/>
      <c r="N130" s="27"/>
      <c r="O130" s="27"/>
      <c r="P130" s="27"/>
      <c r="Q130" s="24"/>
      <c r="R130"/>
      <c r="S130"/>
    </row>
    <row r="131" spans="3:19">
      <c r="C131" s="698"/>
      <c r="D131" s="698"/>
      <c r="E131" s="27"/>
      <c r="F131" s="27"/>
      <c r="G131" s="27"/>
      <c r="H131" s="27"/>
      <c r="I131" s="27"/>
      <c r="J131" s="27"/>
      <c r="K131" s="24"/>
      <c r="L131" s="27"/>
      <c r="M131" s="27"/>
      <c r="N131" s="27"/>
      <c r="O131" s="27"/>
      <c r="P131" s="27"/>
      <c r="Q131" s="24"/>
      <c r="R131"/>
      <c r="S131"/>
    </row>
    <row r="132" spans="3:19">
      <c r="C132" s="698"/>
      <c r="D132" s="698"/>
      <c r="E132" s="27"/>
      <c r="F132" s="27"/>
      <c r="G132" s="27"/>
      <c r="H132" s="27"/>
      <c r="I132" s="27"/>
      <c r="J132" s="27"/>
      <c r="K132" s="24"/>
      <c r="L132" s="27"/>
      <c r="M132" s="27"/>
      <c r="N132" s="27"/>
      <c r="O132" s="27"/>
      <c r="P132" s="27"/>
      <c r="Q132" s="24"/>
      <c r="R132"/>
      <c r="S132"/>
    </row>
    <row r="133" spans="3:19">
      <c r="E133" s="27"/>
      <c r="F133" s="27"/>
      <c r="G133" s="27"/>
      <c r="H133" s="27"/>
      <c r="I133" s="24"/>
      <c r="J133" s="24"/>
      <c r="K133" s="24"/>
      <c r="L133" s="24"/>
      <c r="M133" s="24"/>
      <c r="N133" s="24"/>
      <c r="O133" s="24"/>
      <c r="P133" s="24"/>
      <c r="Q133" s="24"/>
      <c r="R133"/>
      <c r="S133"/>
    </row>
    <row r="134" spans="3:19">
      <c r="C134" s="698"/>
      <c r="D134" s="698"/>
      <c r="E134" s="27"/>
      <c r="F134" s="27"/>
      <c r="G134" s="27"/>
      <c r="H134" s="27"/>
      <c r="I134" s="27"/>
      <c r="J134" s="27"/>
      <c r="K134" s="24"/>
      <c r="L134" s="27"/>
      <c r="M134" s="27"/>
      <c r="N134" s="27"/>
      <c r="O134" s="27"/>
      <c r="P134" s="27"/>
      <c r="Q134" s="24"/>
      <c r="R134"/>
      <c r="S134"/>
    </row>
    <row r="135" spans="3:19">
      <c r="D135" s="421"/>
      <c r="E135" s="27"/>
      <c r="F135" s="27"/>
      <c r="G135" s="27"/>
      <c r="H135" s="27"/>
      <c r="I135" s="27"/>
      <c r="J135" s="27"/>
      <c r="K135" s="24"/>
      <c r="L135" s="27"/>
      <c r="M135" s="27"/>
      <c r="N135" s="27"/>
      <c r="O135" s="27"/>
      <c r="P135" s="27"/>
      <c r="Q135" s="24"/>
      <c r="R135"/>
      <c r="S135"/>
    </row>
    <row r="136" spans="3:19">
      <c r="C136" s="698"/>
      <c r="D136" s="698"/>
      <c r="E136" s="27"/>
      <c r="F136" s="27"/>
      <c r="G136" s="27"/>
      <c r="H136" s="27"/>
      <c r="I136" s="27"/>
      <c r="J136" s="27"/>
      <c r="K136" s="24"/>
      <c r="L136" s="27"/>
      <c r="M136" s="27"/>
      <c r="N136" s="27"/>
      <c r="O136" s="27"/>
      <c r="P136" s="27"/>
      <c r="Q136" s="24"/>
      <c r="R136"/>
      <c r="S136"/>
    </row>
    <row r="137" spans="3:19">
      <c r="D137" s="421"/>
      <c r="E137" s="27"/>
      <c r="F137" s="27"/>
      <c r="G137" s="27"/>
      <c r="H137" s="27"/>
      <c r="I137" s="27"/>
      <c r="J137" s="27"/>
      <c r="K137" s="24"/>
      <c r="L137" s="27"/>
      <c r="M137" s="27"/>
      <c r="N137" s="27"/>
      <c r="O137" s="27"/>
      <c r="P137" s="27"/>
      <c r="Q137" s="24"/>
      <c r="R137"/>
      <c r="S137"/>
    </row>
    <row r="138" spans="3:19">
      <c r="C138" s="698"/>
      <c r="D138" s="698"/>
      <c r="E138" s="24"/>
      <c r="F138" s="24"/>
      <c r="G138" s="27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/>
      <c r="S138"/>
    </row>
    <row r="139" spans="3:19">
      <c r="C139" s="698"/>
      <c r="D139" s="698"/>
      <c r="E139" s="24"/>
      <c r="F139" s="24"/>
      <c r="G139" s="27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/>
      <c r="S139"/>
    </row>
    <row r="140" spans="3:19">
      <c r="C140" s="697"/>
      <c r="D140" s="697"/>
      <c r="E140" s="27"/>
      <c r="F140" s="27"/>
      <c r="G140" s="27"/>
      <c r="H140" s="27"/>
      <c r="I140" s="27"/>
      <c r="J140" s="27"/>
      <c r="K140" s="24"/>
      <c r="L140" s="27"/>
      <c r="M140" s="27"/>
      <c r="N140" s="27"/>
      <c r="O140" s="27"/>
      <c r="P140" s="27"/>
      <c r="Q140" s="24"/>
      <c r="R140"/>
      <c r="S140"/>
    </row>
    <row r="141" spans="3:19">
      <c r="C141" s="697"/>
      <c r="D141" s="697"/>
      <c r="E141" s="27"/>
      <c r="F141" s="27"/>
      <c r="G141" s="27"/>
      <c r="H141" s="27"/>
      <c r="I141" s="27"/>
      <c r="J141" s="27"/>
      <c r="K141" s="24"/>
      <c r="L141" s="27"/>
      <c r="M141" s="27"/>
      <c r="N141" s="27"/>
      <c r="O141" s="27"/>
      <c r="P141" s="27"/>
      <c r="Q141" s="27"/>
      <c r="R141"/>
      <c r="S141"/>
    </row>
    <row r="142" spans="3:19">
      <c r="C142" s="698"/>
      <c r="D142" s="698"/>
      <c r="E142" s="24"/>
      <c r="F142" s="24"/>
      <c r="G142" s="27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/>
      <c r="S142"/>
    </row>
    <row r="143" spans="3:19">
      <c r="C143" s="697"/>
      <c r="D143" s="697"/>
      <c r="E143" s="27"/>
      <c r="F143" s="27"/>
      <c r="G143" s="27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/>
      <c r="S143"/>
    </row>
    <row r="144" spans="3:19">
      <c r="C144" s="697"/>
      <c r="D144" s="697"/>
      <c r="E144" s="27"/>
      <c r="F144" s="27"/>
      <c r="G144" s="27"/>
      <c r="H144" s="27"/>
      <c r="I144" s="27"/>
      <c r="J144" s="27"/>
      <c r="K144" s="24"/>
      <c r="L144" s="27"/>
      <c r="M144" s="27"/>
      <c r="N144" s="27"/>
      <c r="O144" s="27"/>
      <c r="P144" s="27"/>
      <c r="Q144" s="24"/>
      <c r="R144"/>
      <c r="S144"/>
    </row>
    <row r="145" spans="3:19">
      <c r="C145" s="697"/>
      <c r="D145" s="697"/>
      <c r="E145" s="27"/>
      <c r="F145" s="27"/>
      <c r="G145" s="27"/>
      <c r="H145" s="27"/>
      <c r="I145" s="27"/>
      <c r="J145" s="27"/>
      <c r="K145" s="24"/>
      <c r="L145" s="27"/>
      <c r="M145" s="27"/>
      <c r="N145" s="27"/>
      <c r="O145" s="27"/>
      <c r="P145" s="27"/>
      <c r="Q145" s="24"/>
      <c r="R145"/>
      <c r="S145"/>
    </row>
    <row r="146" spans="3:19">
      <c r="C146" s="698"/>
      <c r="D146" s="698"/>
      <c r="E146" s="24"/>
      <c r="F146" s="24"/>
      <c r="G146" s="27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/>
      <c r="S146"/>
    </row>
    <row r="147" spans="3:19">
      <c r="C147" s="699"/>
      <c r="D147" s="699"/>
      <c r="E147" s="27"/>
      <c r="F147" s="27"/>
      <c r="G147" s="27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/>
      <c r="S147"/>
    </row>
    <row r="148" spans="3:19">
      <c r="E148" s="27"/>
      <c r="F148" s="27"/>
      <c r="G148" s="27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/>
      <c r="S148"/>
    </row>
    <row r="149" spans="3:19"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/>
      <c r="S149"/>
    </row>
    <row r="150" spans="3:19">
      <c r="E150" s="27"/>
      <c r="F150" s="27"/>
      <c r="G150" s="27"/>
      <c r="H150" s="27"/>
      <c r="I150" s="24"/>
      <c r="J150" s="24"/>
      <c r="K150" s="24"/>
      <c r="L150" s="24"/>
      <c r="M150" s="24"/>
      <c r="N150" s="24"/>
      <c r="O150" s="24"/>
      <c r="P150" s="24"/>
      <c r="Q150" s="24"/>
      <c r="R150"/>
      <c r="S150"/>
    </row>
    <row r="151" spans="3:19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/>
      <c r="S151"/>
    </row>
    <row r="152" spans="3:19">
      <c r="E152" s="27"/>
      <c r="F152" s="27"/>
      <c r="G152" s="27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/>
      <c r="S152"/>
    </row>
    <row r="153" spans="3:19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/>
      <c r="S153"/>
    </row>
    <row r="154" spans="3:19"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/>
      <c r="S154"/>
    </row>
    <row r="155" spans="3:19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/>
      <c r="S155"/>
    </row>
    <row r="156" spans="3:19">
      <c r="E156" s="27"/>
      <c r="F156" s="27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/>
      <c r="S156"/>
    </row>
    <row r="157" spans="3:19"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/>
      <c r="S157"/>
    </row>
    <row r="158" spans="3:19">
      <c r="E158" s="27"/>
      <c r="F158" s="27"/>
      <c r="G158" s="27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/>
      <c r="S158"/>
    </row>
    <row r="159" spans="3:19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  <c r="R159"/>
      <c r="S159"/>
    </row>
    <row r="160" spans="3:19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  <c r="R160"/>
      <c r="S160"/>
    </row>
    <row r="161" spans="5:19"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4"/>
      <c r="R161"/>
      <c r="S161"/>
    </row>
    <row r="162" spans="5:19">
      <c r="E162" s="27"/>
      <c r="F162" s="27"/>
      <c r="G162" s="27"/>
      <c r="H162" s="27"/>
      <c r="I162" s="24"/>
      <c r="J162" s="24"/>
      <c r="K162" s="24"/>
      <c r="L162" s="24"/>
      <c r="M162" s="24"/>
      <c r="N162" s="24"/>
      <c r="O162" s="24"/>
      <c r="P162" s="24"/>
      <c r="Q162" s="24"/>
      <c r="R162"/>
      <c r="S162"/>
    </row>
    <row r="163" spans="5:19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/>
      <c r="S163"/>
    </row>
    <row r="164" spans="5:19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/>
      <c r="S164"/>
    </row>
    <row r="165" spans="5:19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  <c r="R165"/>
      <c r="S165"/>
    </row>
    <row r="166" spans="5:19"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/>
      <c r="S166"/>
    </row>
    <row r="167" spans="5:19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/>
      <c r="S167"/>
    </row>
    <row r="168" spans="5:19"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/>
      <c r="S168"/>
    </row>
    <row r="169" spans="5:19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4"/>
      <c r="R169"/>
      <c r="S169"/>
    </row>
    <row r="170" spans="5:19"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/>
      <c r="S170"/>
    </row>
    <row r="171" spans="5:19"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/>
      <c r="S171"/>
    </row>
    <row r="172" spans="5:19">
      <c r="E172" s="27"/>
      <c r="F172" s="27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/>
      <c r="S172"/>
    </row>
    <row r="173" spans="5:19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  <c r="R173"/>
      <c r="S173"/>
    </row>
    <row r="174" spans="5:19"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4"/>
      <c r="R174"/>
      <c r="S174"/>
    </row>
    <row r="175" spans="5:19"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/>
      <c r="S175"/>
    </row>
    <row r="176" spans="5:19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/>
      <c r="S176"/>
    </row>
    <row r="177" spans="5:19">
      <c r="E177" s="27"/>
      <c r="F177" s="27"/>
      <c r="G177" s="27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/>
      <c r="S177"/>
    </row>
    <row r="178" spans="5:19"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/>
      <c r="S178"/>
    </row>
    <row r="179" spans="5:19">
      <c r="E179" s="27"/>
      <c r="F179" s="27"/>
      <c r="G179" s="27"/>
      <c r="H179" s="27"/>
      <c r="I179" s="24"/>
      <c r="J179" s="24"/>
      <c r="K179" s="24"/>
      <c r="L179" s="24"/>
      <c r="M179" s="24"/>
      <c r="N179" s="24"/>
      <c r="O179" s="24"/>
      <c r="P179" s="24"/>
      <c r="Q179" s="24"/>
      <c r="R179"/>
      <c r="S179"/>
    </row>
    <row r="180" spans="5:19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/>
      <c r="S180"/>
    </row>
    <row r="181" spans="5:19">
      <c r="E181" s="27"/>
      <c r="F181" s="27"/>
      <c r="G181" s="27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/>
      <c r="S181"/>
    </row>
    <row r="182" spans="5:19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/>
      <c r="S182"/>
    </row>
    <row r="183" spans="5:19"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/>
      <c r="S183"/>
    </row>
    <row r="184" spans="5:19">
      <c r="R184"/>
      <c r="S184"/>
    </row>
    <row r="185" spans="5:19">
      <c r="R185"/>
      <c r="S185"/>
    </row>
    <row r="186" spans="5:19">
      <c r="R186"/>
      <c r="S186"/>
    </row>
    <row r="187" spans="5:19">
      <c r="R187"/>
      <c r="S187"/>
    </row>
    <row r="188" spans="5:19">
      <c r="R188"/>
      <c r="S188"/>
    </row>
    <row r="189" spans="5:19">
      <c r="R189"/>
      <c r="S189"/>
    </row>
    <row r="190" spans="5:19">
      <c r="R190"/>
      <c r="S190"/>
    </row>
    <row r="191" spans="5:19">
      <c r="R191"/>
      <c r="S191"/>
    </row>
    <row r="192" spans="5:19">
      <c r="R192"/>
      <c r="S192"/>
    </row>
    <row r="193" spans="18:19">
      <c r="R193"/>
      <c r="S193"/>
    </row>
    <row r="194" spans="18:19">
      <c r="R194"/>
      <c r="S194"/>
    </row>
    <row r="195" spans="18:19">
      <c r="R195"/>
      <c r="S195"/>
    </row>
    <row r="196" spans="18:19">
      <c r="R196"/>
      <c r="S196"/>
    </row>
    <row r="197" spans="18:19">
      <c r="R197"/>
      <c r="S197"/>
    </row>
    <row r="198" spans="18:19">
      <c r="R198"/>
      <c r="S198"/>
    </row>
    <row r="199" spans="18:19">
      <c r="R199"/>
      <c r="S199"/>
    </row>
    <row r="200" spans="18:19">
      <c r="R200"/>
      <c r="S200"/>
    </row>
  </sheetData>
  <mergeCells count="122">
    <mergeCell ref="B2:C2"/>
    <mergeCell ref="F2:G2"/>
    <mergeCell ref="R3:S3"/>
    <mergeCell ref="B64:C64"/>
    <mergeCell ref="B84:C84"/>
    <mergeCell ref="B85:C85"/>
    <mergeCell ref="B88:C88"/>
    <mergeCell ref="B92:C92"/>
    <mergeCell ref="B91:C91"/>
    <mergeCell ref="B19:C19"/>
    <mergeCell ref="B20:C20"/>
    <mergeCell ref="B22:C22"/>
    <mergeCell ref="B26:C26"/>
    <mergeCell ref="B27:C27"/>
    <mergeCell ref="B24:C24"/>
    <mergeCell ref="B77:C77"/>
    <mergeCell ref="B78:C78"/>
    <mergeCell ref="B80:C80"/>
    <mergeCell ref="B73:C73"/>
    <mergeCell ref="B74:C74"/>
    <mergeCell ref="B75:C75"/>
    <mergeCell ref="B65:C65"/>
    <mergeCell ref="B66:C66"/>
    <mergeCell ref="B67:C67"/>
    <mergeCell ref="B76:C76"/>
    <mergeCell ref="B68:C68"/>
    <mergeCell ref="B69:C69"/>
    <mergeCell ref="B70:C70"/>
    <mergeCell ref="B30:C30"/>
    <mergeCell ref="B93:C93"/>
    <mergeCell ref="B86:C86"/>
    <mergeCell ref="B87:C87"/>
    <mergeCell ref="B89:C89"/>
    <mergeCell ref="B90:C90"/>
    <mergeCell ref="B71:C71"/>
    <mergeCell ref="B39:C39"/>
    <mergeCell ref="B40:C40"/>
    <mergeCell ref="B41:C41"/>
    <mergeCell ref="B42:C42"/>
    <mergeCell ref="B44:C44"/>
    <mergeCell ref="B57:C57"/>
    <mergeCell ref="B58:C58"/>
    <mergeCell ref="B60:C60"/>
    <mergeCell ref="B61:C61"/>
    <mergeCell ref="B48:C48"/>
    <mergeCell ref="B49:C49"/>
    <mergeCell ref="B51:C51"/>
    <mergeCell ref="B53:C53"/>
    <mergeCell ref="B45:C45"/>
    <mergeCell ref="B46:C46"/>
    <mergeCell ref="B47:C47"/>
    <mergeCell ref="B15:C15"/>
    <mergeCell ref="B16:C16"/>
    <mergeCell ref="B17:C17"/>
    <mergeCell ref="B37:C37"/>
    <mergeCell ref="B38:C38"/>
    <mergeCell ref="B28:C28"/>
    <mergeCell ref="B29:C29"/>
    <mergeCell ref="B31:C31"/>
    <mergeCell ref="B32:C32"/>
    <mergeCell ref="B35:C35"/>
    <mergeCell ref="B34:C34"/>
    <mergeCell ref="B33:C33"/>
    <mergeCell ref="C119:D119"/>
    <mergeCell ref="C120:D120"/>
    <mergeCell ref="C121:D121"/>
    <mergeCell ref="C122:D122"/>
    <mergeCell ref="C123:D123"/>
    <mergeCell ref="E5:E6"/>
    <mergeCell ref="F5:F6"/>
    <mergeCell ref="G5:G6"/>
    <mergeCell ref="B7:C7"/>
    <mergeCell ref="B8:C8"/>
    <mergeCell ref="B9:C9"/>
    <mergeCell ref="B82:C82"/>
    <mergeCell ref="B55:C55"/>
    <mergeCell ref="B56:C56"/>
    <mergeCell ref="B59:C59"/>
    <mergeCell ref="B63:C63"/>
    <mergeCell ref="B62:C62"/>
    <mergeCell ref="B36:C36"/>
    <mergeCell ref="B10:C10"/>
    <mergeCell ref="D5:D6"/>
    <mergeCell ref="B18:C18"/>
    <mergeCell ref="B11:C11"/>
    <mergeCell ref="B12:C12"/>
    <mergeCell ref="B13:C13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  <mergeCell ref="D4:K4"/>
    <mergeCell ref="L4:Q4"/>
    <mergeCell ref="C130:D130"/>
    <mergeCell ref="C131:D131"/>
    <mergeCell ref="C132:D132"/>
    <mergeCell ref="C134:D134"/>
    <mergeCell ref="C136:D136"/>
    <mergeCell ref="C124:D124"/>
    <mergeCell ref="C125:D125"/>
    <mergeCell ref="C127:D127"/>
    <mergeCell ref="C128:D128"/>
    <mergeCell ref="C129:D129"/>
    <mergeCell ref="C143:D143"/>
    <mergeCell ref="C144:D144"/>
    <mergeCell ref="C145:D145"/>
    <mergeCell ref="C146:D146"/>
    <mergeCell ref="C147:D147"/>
    <mergeCell ref="C138:D138"/>
    <mergeCell ref="C139:D139"/>
    <mergeCell ref="C140:D140"/>
    <mergeCell ref="C141:D141"/>
    <mergeCell ref="C142:D142"/>
  </mergeCells>
  <phoneticPr fontId="6"/>
  <conditionalFormatting sqref="C97:C98">
    <cfRule type="expression" dxfId="251" priority="5">
      <formula>CELL("protect",C97)=0</formula>
    </cfRule>
    <cfRule type="expression" dxfId="250" priority="6">
      <formula>CELL("protect",C97)=0</formula>
    </cfRule>
  </conditionalFormatting>
  <conditionalFormatting sqref="C95">
    <cfRule type="expression" dxfId="249" priority="3">
      <formula>CELL("protect",C95)=0</formula>
    </cfRule>
    <cfRule type="expression" dxfId="248" priority="4">
      <formula>CELL("protect",C95)=0</formula>
    </cfRule>
  </conditionalFormatting>
  <conditionalFormatting sqref="C97">
    <cfRule type="expression" dxfId="247" priority="1">
      <formula>CELL("protect",C97)=0</formula>
    </cfRule>
    <cfRule type="expression" dxfId="24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&amp;C157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rgb="FF00B0F0"/>
    <pageSetUpPr fitToPage="1"/>
  </sheetPr>
  <dimension ref="A1:AG199"/>
  <sheetViews>
    <sheetView showGridLines="0" view="pageBreakPreview" zoomScale="80" zoomScaleNormal="7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8" sqref="T8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16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3680</v>
      </c>
      <c r="E7" s="488">
        <v>3680</v>
      </c>
      <c r="F7" s="489">
        <v>3887</v>
      </c>
      <c r="G7" s="489">
        <v>3887</v>
      </c>
      <c r="H7" s="488">
        <v>3887</v>
      </c>
      <c r="I7" s="489">
        <v>3960</v>
      </c>
      <c r="J7" s="489">
        <v>5160</v>
      </c>
      <c r="K7" s="490">
        <v>5160</v>
      </c>
      <c r="L7" s="491">
        <v>5160</v>
      </c>
      <c r="M7" s="492">
        <v>5160</v>
      </c>
      <c r="N7" s="492">
        <v>5160</v>
      </c>
      <c r="O7" s="492">
        <v>5160</v>
      </c>
      <c r="P7" s="493">
        <v>5160</v>
      </c>
      <c r="Q7" s="490">
        <v>5160</v>
      </c>
      <c r="R7" s="572">
        <f>IF(D7=0,"     -",IF(K7=0,"     -",ROUND(((K7/D7)^(1/7)-1)*100,1)))</f>
        <v>4.9000000000000004</v>
      </c>
      <c r="S7" s="494">
        <f>IF(L7=0,"     -",IF(Q7=0,"     -",ROUND(((Q7/L7)^(1/5)-1)*100,1)))</f>
        <v>0</v>
      </c>
      <c r="T7" s="28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2870</v>
      </c>
      <c r="E8" s="496">
        <v>2870</v>
      </c>
      <c r="F8" s="497">
        <v>2870</v>
      </c>
      <c r="G8" s="497">
        <v>2870</v>
      </c>
      <c r="H8" s="496">
        <v>2870</v>
      </c>
      <c r="I8" s="497">
        <v>2760</v>
      </c>
      <c r="J8" s="497">
        <v>2760</v>
      </c>
      <c r="K8" s="498">
        <v>2760</v>
      </c>
      <c r="L8" s="499">
        <v>2760</v>
      </c>
      <c r="M8" s="500">
        <v>2760</v>
      </c>
      <c r="N8" s="500">
        <v>2760</v>
      </c>
      <c r="O8" s="500">
        <v>2760</v>
      </c>
      <c r="P8" s="501">
        <v>2760</v>
      </c>
      <c r="Q8" s="498">
        <v>2760</v>
      </c>
      <c r="R8" s="573">
        <f t="shared" ref="R8:R71" si="0">IF(D8=0,"     -",IF(K8=0,"     -",ROUND(((K8/D8)^(1/7)-1)*100,1)))</f>
        <v>-0.6</v>
      </c>
      <c r="S8" s="256">
        <f t="shared" ref="S8:S71" si="1">IF(L8=0,"     -",IF(Q8=0,"     -",ROUND(((Q8/L8)^(1/5)-1)*100,1)))</f>
        <v>0</v>
      </c>
      <c r="T8" s="28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170</v>
      </c>
      <c r="E9" s="496">
        <v>170</v>
      </c>
      <c r="F9" s="497">
        <v>170</v>
      </c>
      <c r="G9" s="497">
        <v>170</v>
      </c>
      <c r="H9" s="496">
        <v>370</v>
      </c>
      <c r="I9" s="497">
        <v>370</v>
      </c>
      <c r="J9" s="497">
        <v>370</v>
      </c>
      <c r="K9" s="502">
        <v>370</v>
      </c>
      <c r="L9" s="503">
        <v>370</v>
      </c>
      <c r="M9" s="496">
        <v>370</v>
      </c>
      <c r="N9" s="496">
        <v>370</v>
      </c>
      <c r="O9" s="496">
        <v>370</v>
      </c>
      <c r="P9" s="279">
        <v>370</v>
      </c>
      <c r="Q9" s="502">
        <v>370</v>
      </c>
      <c r="R9" s="573">
        <f t="shared" si="0"/>
        <v>11.8</v>
      </c>
      <c r="S9" s="256">
        <f t="shared" si="1"/>
        <v>0</v>
      </c>
      <c r="T9" s="283"/>
      <c r="U9" s="318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14410</v>
      </c>
      <c r="E10" s="496">
        <v>15800</v>
      </c>
      <c r="F10" s="497">
        <v>16302</v>
      </c>
      <c r="G10" s="497">
        <v>17767</v>
      </c>
      <c r="H10" s="496">
        <v>20976</v>
      </c>
      <c r="I10" s="497">
        <v>21712</v>
      </c>
      <c r="J10" s="497">
        <v>23187</v>
      </c>
      <c r="K10" s="502">
        <v>25120</v>
      </c>
      <c r="L10" s="503">
        <v>27662</v>
      </c>
      <c r="M10" s="496">
        <v>36262</v>
      </c>
      <c r="N10" s="496">
        <v>42167</v>
      </c>
      <c r="O10" s="496">
        <v>43532</v>
      </c>
      <c r="P10" s="279">
        <v>45117</v>
      </c>
      <c r="Q10" s="502">
        <v>46702</v>
      </c>
      <c r="R10" s="573">
        <f t="shared" si="0"/>
        <v>8.3000000000000007</v>
      </c>
      <c r="S10" s="256">
        <f t="shared" si="1"/>
        <v>11</v>
      </c>
      <c r="T10" s="28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2805</v>
      </c>
      <c r="E11" s="496">
        <v>2805</v>
      </c>
      <c r="F11" s="497">
        <v>2805</v>
      </c>
      <c r="G11" s="497">
        <v>2805</v>
      </c>
      <c r="H11" s="496">
        <v>2805</v>
      </c>
      <c r="I11" s="497">
        <v>2805</v>
      </c>
      <c r="J11" s="497">
        <v>2805</v>
      </c>
      <c r="K11" s="502">
        <v>2805</v>
      </c>
      <c r="L11" s="503">
        <v>2805</v>
      </c>
      <c r="M11" s="496">
        <v>2805</v>
      </c>
      <c r="N11" s="496">
        <v>2805</v>
      </c>
      <c r="O11" s="496">
        <v>2805</v>
      </c>
      <c r="P11" s="279">
        <v>2805</v>
      </c>
      <c r="Q11" s="502">
        <v>2805</v>
      </c>
      <c r="R11" s="573">
        <f t="shared" si="0"/>
        <v>0</v>
      </c>
      <c r="S11" s="256">
        <f t="shared" si="1"/>
        <v>0</v>
      </c>
      <c r="T11" s="283"/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120</v>
      </c>
      <c r="E12" s="45">
        <v>120</v>
      </c>
      <c r="F12" s="49">
        <v>120</v>
      </c>
      <c r="G12" s="45">
        <v>120</v>
      </c>
      <c r="H12" s="49">
        <v>120</v>
      </c>
      <c r="I12" s="45">
        <v>120</v>
      </c>
      <c r="J12" s="49">
        <v>120</v>
      </c>
      <c r="K12" s="50">
        <v>120</v>
      </c>
      <c r="L12" s="504">
        <v>120</v>
      </c>
      <c r="M12" s="45">
        <v>120</v>
      </c>
      <c r="N12" s="45">
        <v>120</v>
      </c>
      <c r="O12" s="45">
        <v>120</v>
      </c>
      <c r="P12" s="45">
        <v>120</v>
      </c>
      <c r="Q12" s="51">
        <v>120</v>
      </c>
      <c r="R12" s="573">
        <f t="shared" si="0"/>
        <v>0</v>
      </c>
      <c r="S12" s="256">
        <f t="shared" si="1"/>
        <v>0</v>
      </c>
      <c r="T12" s="283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550</v>
      </c>
      <c r="E13" s="49">
        <v>550</v>
      </c>
      <c r="F13" s="45">
        <v>550</v>
      </c>
      <c r="G13" s="49">
        <v>550</v>
      </c>
      <c r="H13" s="49">
        <v>550</v>
      </c>
      <c r="I13" s="45">
        <v>550</v>
      </c>
      <c r="J13" s="49">
        <v>770</v>
      </c>
      <c r="K13" s="50">
        <v>770</v>
      </c>
      <c r="L13" s="140">
        <v>770</v>
      </c>
      <c r="M13" s="45">
        <v>770</v>
      </c>
      <c r="N13" s="45">
        <v>770</v>
      </c>
      <c r="O13" s="45">
        <v>770</v>
      </c>
      <c r="P13" s="45">
        <v>770</v>
      </c>
      <c r="Q13" s="50">
        <v>770</v>
      </c>
      <c r="R13" s="573">
        <f t="shared" si="0"/>
        <v>4.9000000000000004</v>
      </c>
      <c r="S13" s="256">
        <f t="shared" si="1"/>
        <v>0</v>
      </c>
      <c r="T13" s="28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220</v>
      </c>
      <c r="E15" s="49">
        <v>220</v>
      </c>
      <c r="F15" s="45">
        <v>220</v>
      </c>
      <c r="G15" s="49">
        <v>220</v>
      </c>
      <c r="H15" s="49">
        <v>220</v>
      </c>
      <c r="I15" s="45">
        <v>220</v>
      </c>
      <c r="J15" s="49">
        <v>220</v>
      </c>
      <c r="K15" s="50">
        <v>220</v>
      </c>
      <c r="L15" s="140">
        <v>220</v>
      </c>
      <c r="M15" s="45">
        <v>220</v>
      </c>
      <c r="N15" s="45">
        <v>220</v>
      </c>
      <c r="O15" s="45">
        <v>238</v>
      </c>
      <c r="P15" s="45">
        <v>238</v>
      </c>
      <c r="Q15" s="50">
        <v>238</v>
      </c>
      <c r="R15" s="573">
        <f t="shared" si="0"/>
        <v>0</v>
      </c>
      <c r="S15" s="256">
        <f t="shared" si="1"/>
        <v>1.6</v>
      </c>
      <c r="T15" s="283"/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40</v>
      </c>
      <c r="E16" s="496">
        <v>40</v>
      </c>
      <c r="F16" s="497">
        <v>40</v>
      </c>
      <c r="G16" s="497">
        <v>40</v>
      </c>
      <c r="H16" s="496">
        <v>40</v>
      </c>
      <c r="I16" s="497">
        <v>40</v>
      </c>
      <c r="J16" s="497">
        <v>40</v>
      </c>
      <c r="K16" s="502">
        <v>40</v>
      </c>
      <c r="L16" s="503">
        <v>40</v>
      </c>
      <c r="M16" s="496">
        <v>40</v>
      </c>
      <c r="N16" s="496">
        <v>40</v>
      </c>
      <c r="O16" s="496">
        <v>40</v>
      </c>
      <c r="P16" s="497">
        <v>40</v>
      </c>
      <c r="Q16" s="502">
        <v>40</v>
      </c>
      <c r="R16" s="573">
        <f t="shared" si="0"/>
        <v>0</v>
      </c>
      <c r="S16" s="256">
        <f t="shared" si="1"/>
        <v>0</v>
      </c>
      <c r="T16" s="283"/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T17" s="283"/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7808</v>
      </c>
      <c r="E18" s="40">
        <v>7808</v>
      </c>
      <c r="F18" s="40">
        <v>8057</v>
      </c>
      <c r="G18" s="40">
        <v>8119</v>
      </c>
      <c r="H18" s="40">
        <v>8507</v>
      </c>
      <c r="I18" s="505">
        <v>8487</v>
      </c>
      <c r="J18" s="506">
        <v>8844</v>
      </c>
      <c r="K18" s="507">
        <v>8803</v>
      </c>
      <c r="L18" s="508">
        <v>8803</v>
      </c>
      <c r="M18" s="505">
        <v>8803</v>
      </c>
      <c r="N18" s="505">
        <v>8803</v>
      </c>
      <c r="O18" s="505">
        <v>8803</v>
      </c>
      <c r="P18" s="505">
        <v>8803</v>
      </c>
      <c r="Q18" s="509">
        <v>8803</v>
      </c>
      <c r="R18" s="573">
        <f t="shared" si="0"/>
        <v>1.7</v>
      </c>
      <c r="S18" s="256">
        <f t="shared" si="1"/>
        <v>0</v>
      </c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</row>
    <row r="19" spans="1:33" ht="15.75" customHeight="1">
      <c r="A19" s="16"/>
      <c r="B19" s="674" t="s">
        <v>307</v>
      </c>
      <c r="C19" s="675"/>
      <c r="D19" s="95">
        <f>SUM(D7:D18)</f>
        <v>32673</v>
      </c>
      <c r="E19" s="93">
        <f t="shared" ref="E19:Q19" si="2">SUM(E7:E18)</f>
        <v>34063</v>
      </c>
      <c r="F19" s="93">
        <f t="shared" si="2"/>
        <v>35021</v>
      </c>
      <c r="G19" s="93">
        <f t="shared" si="2"/>
        <v>36548</v>
      </c>
      <c r="H19" s="93">
        <f t="shared" si="2"/>
        <v>40345</v>
      </c>
      <c r="I19" s="93">
        <f t="shared" si="2"/>
        <v>41024</v>
      </c>
      <c r="J19" s="93">
        <f t="shared" si="2"/>
        <v>44276</v>
      </c>
      <c r="K19" s="96">
        <f t="shared" si="2"/>
        <v>46168</v>
      </c>
      <c r="L19" s="95">
        <f t="shared" si="2"/>
        <v>48710</v>
      </c>
      <c r="M19" s="93">
        <f t="shared" si="2"/>
        <v>57310</v>
      </c>
      <c r="N19" s="93">
        <f t="shared" si="2"/>
        <v>63215</v>
      </c>
      <c r="O19" s="93">
        <f t="shared" si="2"/>
        <v>64598</v>
      </c>
      <c r="P19" s="93">
        <f t="shared" si="2"/>
        <v>66183</v>
      </c>
      <c r="Q19" s="96">
        <f t="shared" si="2"/>
        <v>67768</v>
      </c>
      <c r="R19" s="574">
        <f t="shared" si="0"/>
        <v>5.0999999999999996</v>
      </c>
      <c r="S19" s="510">
        <f t="shared" si="1"/>
        <v>6.8</v>
      </c>
      <c r="T19" s="28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10</v>
      </c>
      <c r="E20" s="512">
        <v>10</v>
      </c>
      <c r="F20" s="512">
        <v>10</v>
      </c>
      <c r="G20" s="512">
        <v>10</v>
      </c>
      <c r="H20" s="512">
        <v>10</v>
      </c>
      <c r="I20" s="512">
        <v>10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T20" s="283"/>
      <c r="U20" s="280"/>
      <c r="V20" s="280"/>
      <c r="W20" s="280"/>
      <c r="X20" s="280"/>
      <c r="Y20" s="280"/>
      <c r="Z20" s="280"/>
      <c r="AA20" s="280"/>
      <c r="AB20" s="280"/>
      <c r="AC20" s="280"/>
      <c r="AD20" s="280"/>
      <c r="AE20" s="280"/>
      <c r="AF20" s="280"/>
      <c r="AG20" s="280"/>
    </row>
    <row r="21" spans="1:33" ht="15" customHeight="1">
      <c r="A21" s="16"/>
      <c r="B21" s="105"/>
      <c r="C21" s="97" t="s">
        <v>309</v>
      </c>
      <c r="D21" s="511">
        <v>10</v>
      </c>
      <c r="E21" s="512">
        <v>10</v>
      </c>
      <c r="F21" s="512">
        <v>10</v>
      </c>
      <c r="G21" s="512">
        <v>10</v>
      </c>
      <c r="H21" s="512">
        <v>10</v>
      </c>
      <c r="I21" s="512">
        <v>10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T21" s="283"/>
      <c r="U21" s="280"/>
      <c r="V21" s="280"/>
      <c r="W21" s="280"/>
      <c r="X21" s="280"/>
      <c r="Y21" s="280"/>
      <c r="Z21" s="280"/>
      <c r="AA21" s="280"/>
      <c r="AB21" s="280"/>
      <c r="AC21" s="280"/>
      <c r="AD21" s="280"/>
      <c r="AE21" s="280"/>
      <c r="AF21" s="280"/>
      <c r="AG21" s="280"/>
    </row>
    <row r="22" spans="1:33" ht="15.75" customHeight="1">
      <c r="A22" s="16"/>
      <c r="B22" s="672" t="s">
        <v>310</v>
      </c>
      <c r="C22" s="673"/>
      <c r="D22" s="503">
        <v>5664.09</v>
      </c>
      <c r="E22" s="496">
        <v>5785</v>
      </c>
      <c r="F22" s="496">
        <v>6162</v>
      </c>
      <c r="G22" s="496">
        <v>6163</v>
      </c>
      <c r="H22" s="496">
        <v>5535</v>
      </c>
      <c r="I22" s="496">
        <v>5245</v>
      </c>
      <c r="J22" s="515">
        <v>5245</v>
      </c>
      <c r="K22" s="502">
        <v>5245</v>
      </c>
      <c r="L22" s="503">
        <v>5245</v>
      </c>
      <c r="M22" s="496">
        <v>5245</v>
      </c>
      <c r="N22" s="496">
        <v>5245</v>
      </c>
      <c r="O22" s="512">
        <v>5245</v>
      </c>
      <c r="P22" s="512">
        <v>5245</v>
      </c>
      <c r="Q22" s="514">
        <v>5245</v>
      </c>
      <c r="R22" s="575">
        <f t="shared" si="0"/>
        <v>-1.1000000000000001</v>
      </c>
      <c r="S22" s="517">
        <f t="shared" si="1"/>
        <v>0</v>
      </c>
      <c r="T22" s="283"/>
      <c r="U22" s="280"/>
      <c r="V22" s="280"/>
      <c r="W22" s="280"/>
      <c r="X22" s="280"/>
      <c r="Y22" s="280"/>
      <c r="Z22" s="280"/>
      <c r="AA22" s="280"/>
      <c r="AB22" s="280"/>
      <c r="AC22" s="280"/>
      <c r="AD22" s="280"/>
      <c r="AE22" s="280"/>
      <c r="AF22" s="280"/>
      <c r="AG22" s="280"/>
    </row>
    <row r="23" spans="1:33" ht="15" customHeight="1">
      <c r="A23" s="16"/>
      <c r="B23" s="105"/>
      <c r="C23" s="615" t="s">
        <v>311</v>
      </c>
      <c r="D23" s="511">
        <v>4574</v>
      </c>
      <c r="E23" s="512">
        <v>4573</v>
      </c>
      <c r="F23" s="512">
        <v>4653</v>
      </c>
      <c r="G23" s="512">
        <v>4653</v>
      </c>
      <c r="H23" s="512">
        <v>4705</v>
      </c>
      <c r="I23" s="512">
        <v>4485</v>
      </c>
      <c r="J23" s="513">
        <v>4485</v>
      </c>
      <c r="K23" s="514">
        <v>4485</v>
      </c>
      <c r="L23" s="511">
        <v>4485</v>
      </c>
      <c r="M23" s="512">
        <v>4485</v>
      </c>
      <c r="N23" s="512">
        <v>4485</v>
      </c>
      <c r="O23" s="512">
        <v>4485</v>
      </c>
      <c r="P23" s="512">
        <v>4485</v>
      </c>
      <c r="Q23" s="514">
        <v>4485</v>
      </c>
      <c r="R23" s="574">
        <f t="shared" si="0"/>
        <v>-0.3</v>
      </c>
      <c r="S23" s="510">
        <f t="shared" si="1"/>
        <v>0</v>
      </c>
      <c r="T23" s="28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5370</v>
      </c>
      <c r="E24" s="496">
        <v>5560</v>
      </c>
      <c r="F24" s="496">
        <v>4435</v>
      </c>
      <c r="G24" s="496">
        <v>4715</v>
      </c>
      <c r="H24" s="496">
        <v>5590</v>
      </c>
      <c r="I24" s="496">
        <v>5688</v>
      </c>
      <c r="J24" s="497">
        <v>5688</v>
      </c>
      <c r="K24" s="502">
        <v>5688</v>
      </c>
      <c r="L24" s="503">
        <v>7313</v>
      </c>
      <c r="M24" s="496">
        <v>7313</v>
      </c>
      <c r="N24" s="496">
        <v>7313</v>
      </c>
      <c r="O24" s="496">
        <v>8563</v>
      </c>
      <c r="P24" s="497">
        <v>10313</v>
      </c>
      <c r="Q24" s="502">
        <v>10313</v>
      </c>
      <c r="R24" s="574">
        <f t="shared" si="0"/>
        <v>0.8</v>
      </c>
      <c r="S24" s="510">
        <f t="shared" si="1"/>
        <v>7.1</v>
      </c>
      <c r="T24" s="283"/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450</v>
      </c>
      <c r="F25" s="518">
        <v>450</v>
      </c>
      <c r="G25" s="518">
        <v>540</v>
      </c>
      <c r="H25" s="518">
        <v>1415</v>
      </c>
      <c r="I25" s="518">
        <v>1438</v>
      </c>
      <c r="J25" s="519">
        <v>1438</v>
      </c>
      <c r="K25" s="514">
        <v>1438</v>
      </c>
      <c r="L25" s="511">
        <v>3063</v>
      </c>
      <c r="M25" s="518">
        <v>3063</v>
      </c>
      <c r="N25" s="518">
        <v>3063</v>
      </c>
      <c r="O25" s="518">
        <v>4313</v>
      </c>
      <c r="P25" s="519">
        <v>4313</v>
      </c>
      <c r="Q25" s="514">
        <v>4313</v>
      </c>
      <c r="R25" s="573" t="str">
        <f t="shared" si="0"/>
        <v xml:space="preserve">     -</v>
      </c>
      <c r="S25" s="256">
        <f t="shared" si="1"/>
        <v>7.1</v>
      </c>
      <c r="T25" s="283"/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309</v>
      </c>
      <c r="E26" s="518">
        <v>300</v>
      </c>
      <c r="F26" s="518">
        <v>300</v>
      </c>
      <c r="G26" s="518">
        <v>300</v>
      </c>
      <c r="H26" s="518">
        <v>300</v>
      </c>
      <c r="I26" s="518">
        <v>300</v>
      </c>
      <c r="J26" s="519">
        <v>300</v>
      </c>
      <c r="K26" s="514">
        <v>300</v>
      </c>
      <c r="L26" s="511">
        <v>300</v>
      </c>
      <c r="M26" s="518">
        <v>300</v>
      </c>
      <c r="N26" s="518">
        <v>300</v>
      </c>
      <c r="O26" s="518">
        <v>300</v>
      </c>
      <c r="P26" s="519">
        <v>300</v>
      </c>
      <c r="Q26" s="514">
        <v>300</v>
      </c>
      <c r="R26" s="574">
        <f t="shared" si="0"/>
        <v>-0.4</v>
      </c>
      <c r="S26" s="510">
        <f t="shared" si="1"/>
        <v>0</v>
      </c>
      <c r="T26" s="283"/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789.91</v>
      </c>
      <c r="E27" s="521">
        <v>789.91</v>
      </c>
      <c r="F27" s="521">
        <v>868</v>
      </c>
      <c r="G27" s="521">
        <v>898</v>
      </c>
      <c r="H27" s="521">
        <v>898</v>
      </c>
      <c r="I27" s="521">
        <v>898</v>
      </c>
      <c r="J27" s="522">
        <v>898</v>
      </c>
      <c r="K27" s="523">
        <v>898</v>
      </c>
      <c r="L27" s="520">
        <v>898</v>
      </c>
      <c r="M27" s="521">
        <v>898</v>
      </c>
      <c r="N27" s="521">
        <v>898</v>
      </c>
      <c r="O27" s="521">
        <v>898</v>
      </c>
      <c r="P27" s="522">
        <v>898</v>
      </c>
      <c r="Q27" s="523">
        <v>898</v>
      </c>
      <c r="R27" s="574">
        <f t="shared" si="0"/>
        <v>1.8</v>
      </c>
      <c r="S27" s="510">
        <f t="shared" si="1"/>
        <v>0</v>
      </c>
      <c r="T27" s="283"/>
      <c r="U27" s="350"/>
      <c r="V27" s="350"/>
      <c r="W27" s="350"/>
      <c r="X27" s="350"/>
      <c r="Y27" s="350"/>
      <c r="Z27" s="350"/>
      <c r="AA27" s="413"/>
      <c r="AB27" s="350"/>
      <c r="AC27" s="350"/>
      <c r="AD27" s="350"/>
      <c r="AE27" s="350"/>
      <c r="AF27" s="350"/>
      <c r="AG27" s="350"/>
    </row>
    <row r="28" spans="1:33" ht="15" customHeight="1">
      <c r="A28" s="16"/>
      <c r="B28" s="672" t="s">
        <v>316</v>
      </c>
      <c r="C28" s="673"/>
      <c r="D28" s="524">
        <v>9738</v>
      </c>
      <c r="E28" s="525">
        <v>9738</v>
      </c>
      <c r="F28" s="525">
        <v>9019</v>
      </c>
      <c r="G28" s="526">
        <v>8843</v>
      </c>
      <c r="H28" s="526">
        <v>8128</v>
      </c>
      <c r="I28" s="496">
        <v>7696</v>
      </c>
      <c r="J28" s="497">
        <v>7696</v>
      </c>
      <c r="K28" s="498">
        <v>7696</v>
      </c>
      <c r="L28" s="527">
        <v>8484</v>
      </c>
      <c r="M28" s="528">
        <v>9046</v>
      </c>
      <c r="N28" s="528">
        <v>9046</v>
      </c>
      <c r="O28" s="528">
        <v>9046</v>
      </c>
      <c r="P28" s="528">
        <v>9046</v>
      </c>
      <c r="Q28" s="498">
        <v>9046</v>
      </c>
      <c r="R28" s="573">
        <f t="shared" si="0"/>
        <v>-3.3</v>
      </c>
      <c r="S28" s="256">
        <f t="shared" si="1"/>
        <v>1.3</v>
      </c>
      <c r="T28" s="283"/>
      <c r="U28" s="43"/>
      <c r="V28" s="283"/>
      <c r="W28" s="283"/>
      <c r="X28" s="326"/>
      <c r="Y28" s="326"/>
      <c r="Z28" s="326"/>
      <c r="AA28" s="326"/>
      <c r="AB28" s="326"/>
      <c r="AC28" s="326"/>
      <c r="AD28" s="326"/>
      <c r="AE28" s="326"/>
      <c r="AF28" s="326"/>
      <c r="AG28" s="326"/>
    </row>
    <row r="29" spans="1:33" ht="15" customHeight="1">
      <c r="A29" s="16"/>
      <c r="B29" s="670" t="s">
        <v>317</v>
      </c>
      <c r="C29" s="671"/>
      <c r="D29" s="529">
        <v>605</v>
      </c>
      <c r="E29" s="525">
        <v>605</v>
      </c>
      <c r="F29" s="530">
        <v>605</v>
      </c>
      <c r="G29" s="531">
        <v>605</v>
      </c>
      <c r="H29" s="526">
        <v>605</v>
      </c>
      <c r="I29" s="497">
        <v>605</v>
      </c>
      <c r="J29" s="497">
        <v>605</v>
      </c>
      <c r="K29" s="498">
        <v>605</v>
      </c>
      <c r="L29" s="499">
        <v>605</v>
      </c>
      <c r="M29" s="532">
        <v>605</v>
      </c>
      <c r="N29" s="532">
        <v>605</v>
      </c>
      <c r="O29" s="532">
        <v>605</v>
      </c>
      <c r="P29" s="532">
        <v>605</v>
      </c>
      <c r="Q29" s="498">
        <v>605</v>
      </c>
      <c r="R29" s="573">
        <f t="shared" si="0"/>
        <v>0</v>
      </c>
      <c r="S29" s="256">
        <f t="shared" si="1"/>
        <v>0</v>
      </c>
      <c r="T29" s="283"/>
      <c r="U29" s="4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</row>
    <row r="30" spans="1:33" ht="15.75" customHeight="1">
      <c r="A30" s="16"/>
      <c r="B30" s="674" t="s">
        <v>318</v>
      </c>
      <c r="C30" s="675"/>
      <c r="D30" s="95">
        <f>SUM(D28:D29)</f>
        <v>10343</v>
      </c>
      <c r="E30" s="92">
        <f t="shared" ref="E30:Q30" si="3">SUM(E28:E29)</f>
        <v>10343</v>
      </c>
      <c r="F30" s="92">
        <f t="shared" si="3"/>
        <v>9624</v>
      </c>
      <c r="G30" s="93">
        <f t="shared" si="3"/>
        <v>9448</v>
      </c>
      <c r="H30" s="93">
        <f t="shared" si="3"/>
        <v>8733</v>
      </c>
      <c r="I30" s="94">
        <f t="shared" si="3"/>
        <v>8301</v>
      </c>
      <c r="J30" s="94">
        <f t="shared" si="3"/>
        <v>8301</v>
      </c>
      <c r="K30" s="96">
        <f t="shared" si="3"/>
        <v>8301</v>
      </c>
      <c r="L30" s="95">
        <f t="shared" si="3"/>
        <v>9089</v>
      </c>
      <c r="M30" s="93">
        <f t="shared" si="3"/>
        <v>9651</v>
      </c>
      <c r="N30" s="93">
        <f t="shared" si="3"/>
        <v>9651</v>
      </c>
      <c r="O30" s="93">
        <f t="shared" si="3"/>
        <v>9651</v>
      </c>
      <c r="P30" s="93">
        <f t="shared" si="3"/>
        <v>9651</v>
      </c>
      <c r="Q30" s="96">
        <f t="shared" si="3"/>
        <v>9651</v>
      </c>
      <c r="R30" s="574">
        <f t="shared" si="0"/>
        <v>-3.1</v>
      </c>
      <c r="S30" s="510">
        <f t="shared" si="1"/>
        <v>1.2</v>
      </c>
      <c r="T30" s="28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480</v>
      </c>
      <c r="E31" s="525">
        <v>480</v>
      </c>
      <c r="F31" s="530">
        <v>480</v>
      </c>
      <c r="G31" s="531">
        <v>480</v>
      </c>
      <c r="H31" s="526">
        <v>480</v>
      </c>
      <c r="I31" s="497">
        <v>480</v>
      </c>
      <c r="J31" s="497">
        <v>480</v>
      </c>
      <c r="K31" s="498">
        <v>480</v>
      </c>
      <c r="L31" s="533">
        <v>480</v>
      </c>
      <c r="M31" s="534">
        <v>480</v>
      </c>
      <c r="N31" s="534">
        <v>480</v>
      </c>
      <c r="O31" s="534">
        <v>480</v>
      </c>
      <c r="P31" s="534">
        <v>480</v>
      </c>
      <c r="Q31" s="535">
        <v>480</v>
      </c>
      <c r="R31" s="573">
        <f t="shared" si="0"/>
        <v>0</v>
      </c>
      <c r="S31" s="256">
        <f t="shared" si="1"/>
        <v>0</v>
      </c>
      <c r="T31" s="283"/>
      <c r="U31" s="43"/>
      <c r="V31" s="283"/>
      <c r="W31" s="283"/>
      <c r="X31" s="326"/>
      <c r="Y31" s="326"/>
      <c r="Z31" s="326"/>
      <c r="AA31" s="326"/>
      <c r="AB31" s="326"/>
      <c r="AC31" s="326"/>
      <c r="AD31" s="326"/>
      <c r="AE31" s="326"/>
      <c r="AF31" s="326"/>
      <c r="AG31" s="326"/>
    </row>
    <row r="32" spans="1:33" ht="15" customHeight="1">
      <c r="A32" s="16"/>
      <c r="B32" s="668" t="s">
        <v>320</v>
      </c>
      <c r="C32" s="669"/>
      <c r="D32" s="529">
        <v>648</v>
      </c>
      <c r="E32" s="525">
        <v>648</v>
      </c>
      <c r="F32" s="530">
        <v>648</v>
      </c>
      <c r="G32" s="531">
        <v>648</v>
      </c>
      <c r="H32" s="526">
        <v>648</v>
      </c>
      <c r="I32" s="497">
        <v>648</v>
      </c>
      <c r="J32" s="497">
        <v>648</v>
      </c>
      <c r="K32" s="502">
        <v>648</v>
      </c>
      <c r="L32" s="503">
        <v>648</v>
      </c>
      <c r="M32" s="496">
        <v>648</v>
      </c>
      <c r="N32" s="496">
        <v>648</v>
      </c>
      <c r="O32" s="496">
        <v>648</v>
      </c>
      <c r="P32" s="497">
        <v>648</v>
      </c>
      <c r="Q32" s="502">
        <v>648</v>
      </c>
      <c r="R32" s="573">
        <f t="shared" si="0"/>
        <v>0</v>
      </c>
      <c r="S32" s="256">
        <f t="shared" si="1"/>
        <v>0</v>
      </c>
      <c r="T32" s="283"/>
      <c r="U32" s="43"/>
      <c r="V32" s="283"/>
      <c r="W32" s="283"/>
      <c r="X32" s="326"/>
      <c r="Y32" s="326"/>
      <c r="Z32" s="283"/>
      <c r="AA32" s="283"/>
      <c r="AB32" s="283"/>
      <c r="AC32" s="283"/>
      <c r="AD32" s="283"/>
      <c r="AE32" s="283"/>
      <c r="AF32" s="283"/>
      <c r="AG32" s="283"/>
    </row>
    <row r="33" spans="1:33" ht="15" customHeight="1">
      <c r="A33" s="16"/>
      <c r="B33" s="670" t="s">
        <v>321</v>
      </c>
      <c r="C33" s="671"/>
      <c r="D33" s="529">
        <v>278</v>
      </c>
      <c r="E33" s="525">
        <v>278</v>
      </c>
      <c r="F33" s="530">
        <v>278</v>
      </c>
      <c r="G33" s="531">
        <v>278</v>
      </c>
      <c r="H33" s="526">
        <v>278</v>
      </c>
      <c r="I33" s="497">
        <v>278</v>
      </c>
      <c r="J33" s="497">
        <v>278</v>
      </c>
      <c r="K33" s="536">
        <v>278</v>
      </c>
      <c r="L33" s="537">
        <v>278</v>
      </c>
      <c r="M33" s="538">
        <v>278</v>
      </c>
      <c r="N33" s="538">
        <v>278</v>
      </c>
      <c r="O33" s="538">
        <v>278</v>
      </c>
      <c r="P33" s="515">
        <v>278</v>
      </c>
      <c r="Q33" s="502">
        <v>278</v>
      </c>
      <c r="R33" s="573">
        <f t="shared" si="0"/>
        <v>0</v>
      </c>
      <c r="S33" s="256">
        <f t="shared" si="1"/>
        <v>0</v>
      </c>
      <c r="T33" s="283"/>
      <c r="U33" s="43"/>
      <c r="V33" s="283"/>
      <c r="W33" s="283"/>
      <c r="X33" s="283"/>
      <c r="Y33" s="283"/>
      <c r="Z33" s="283"/>
      <c r="AA33" s="283"/>
      <c r="AB33" s="283"/>
      <c r="AC33" s="283"/>
      <c r="AD33" s="283"/>
      <c r="AE33" s="283"/>
      <c r="AF33" s="283"/>
      <c r="AG33" s="283"/>
    </row>
    <row r="34" spans="1:33" ht="15.75" customHeight="1" thickBot="1">
      <c r="A34" s="16"/>
      <c r="B34" s="678" t="s">
        <v>322</v>
      </c>
      <c r="C34" s="679"/>
      <c r="D34" s="102">
        <f>SUM(D31:D33)</f>
        <v>1406</v>
      </c>
      <c r="E34" s="539">
        <f t="shared" ref="E34:Q34" si="4">SUM(E31:E33)</f>
        <v>1406</v>
      </c>
      <c r="F34" s="539">
        <f t="shared" si="4"/>
        <v>1406</v>
      </c>
      <c r="G34" s="100">
        <f t="shared" si="4"/>
        <v>1406</v>
      </c>
      <c r="H34" s="100">
        <f t="shared" si="4"/>
        <v>1406</v>
      </c>
      <c r="I34" s="100">
        <f t="shared" si="4"/>
        <v>1406</v>
      </c>
      <c r="J34" s="101">
        <f t="shared" si="4"/>
        <v>1406</v>
      </c>
      <c r="K34" s="104">
        <f t="shared" si="4"/>
        <v>1406</v>
      </c>
      <c r="L34" s="540">
        <f t="shared" si="4"/>
        <v>1406</v>
      </c>
      <c r="M34" s="100">
        <f t="shared" si="4"/>
        <v>1406</v>
      </c>
      <c r="N34" s="100">
        <f t="shared" si="4"/>
        <v>1406</v>
      </c>
      <c r="O34" s="100">
        <f t="shared" si="4"/>
        <v>1406</v>
      </c>
      <c r="P34" s="100">
        <f t="shared" si="4"/>
        <v>1406</v>
      </c>
      <c r="Q34" s="103">
        <f t="shared" si="4"/>
        <v>1406</v>
      </c>
      <c r="R34" s="576">
        <f t="shared" si="0"/>
        <v>0</v>
      </c>
      <c r="S34" s="541">
        <f t="shared" si="1"/>
        <v>0</v>
      </c>
      <c r="T34" s="28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56565</v>
      </c>
      <c r="E35" s="543">
        <f t="shared" ref="E35:Q35" si="5">E19+E20+E22+E24+E26+E27+E30+E34</f>
        <v>58256.91</v>
      </c>
      <c r="F35" s="543">
        <f t="shared" si="5"/>
        <v>57826</v>
      </c>
      <c r="G35" s="544">
        <f t="shared" si="5"/>
        <v>59488</v>
      </c>
      <c r="H35" s="544">
        <f t="shared" si="5"/>
        <v>62817</v>
      </c>
      <c r="I35" s="544">
        <f t="shared" si="5"/>
        <v>62872</v>
      </c>
      <c r="J35" s="545">
        <f t="shared" si="5"/>
        <v>66114</v>
      </c>
      <c r="K35" s="546">
        <f t="shared" si="5"/>
        <v>68006</v>
      </c>
      <c r="L35" s="547">
        <f t="shared" si="5"/>
        <v>72961</v>
      </c>
      <c r="M35" s="544">
        <f t="shared" si="5"/>
        <v>82123</v>
      </c>
      <c r="N35" s="544">
        <f t="shared" si="5"/>
        <v>88028</v>
      </c>
      <c r="O35" s="544">
        <f t="shared" si="5"/>
        <v>90661</v>
      </c>
      <c r="P35" s="544">
        <f t="shared" si="5"/>
        <v>93996</v>
      </c>
      <c r="Q35" s="577">
        <f t="shared" si="5"/>
        <v>95581</v>
      </c>
      <c r="R35" s="578">
        <f t="shared" si="0"/>
        <v>2.7</v>
      </c>
      <c r="S35" s="549">
        <f t="shared" si="1"/>
        <v>5.5</v>
      </c>
      <c r="T35" s="283"/>
    </row>
    <row r="36" spans="1:33" ht="15" customHeight="1">
      <c r="A36" s="613" t="s">
        <v>324</v>
      </c>
      <c r="B36" s="666" t="s">
        <v>433</v>
      </c>
      <c r="C36" s="667"/>
      <c r="D36" s="487">
        <v>3685</v>
      </c>
      <c r="E36" s="488">
        <v>2929</v>
      </c>
      <c r="F36" s="489">
        <v>3504</v>
      </c>
      <c r="G36" s="489">
        <v>3126</v>
      </c>
      <c r="H36" s="488">
        <v>2917</v>
      </c>
      <c r="I36" s="489">
        <v>2695</v>
      </c>
      <c r="J36" s="550">
        <v>3063</v>
      </c>
      <c r="K36" s="490">
        <v>3948</v>
      </c>
      <c r="L36" s="491">
        <v>3500</v>
      </c>
      <c r="M36" s="492">
        <v>4000</v>
      </c>
      <c r="N36" s="492">
        <v>4000</v>
      </c>
      <c r="O36" s="492">
        <v>4000</v>
      </c>
      <c r="P36" s="493">
        <v>4000</v>
      </c>
      <c r="Q36" s="498">
        <v>4000</v>
      </c>
      <c r="R36" s="573">
        <f t="shared" si="0"/>
        <v>1</v>
      </c>
      <c r="S36" s="256">
        <f t="shared" si="1"/>
        <v>2.7</v>
      </c>
      <c r="T36" s="28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2731</v>
      </c>
      <c r="E37" s="496">
        <v>2496</v>
      </c>
      <c r="F37" s="497">
        <v>2595</v>
      </c>
      <c r="G37" s="497">
        <v>2478</v>
      </c>
      <c r="H37" s="496">
        <v>2153</v>
      </c>
      <c r="I37" s="497">
        <v>2162</v>
      </c>
      <c r="J37" s="551">
        <v>1936</v>
      </c>
      <c r="K37" s="498">
        <v>2034</v>
      </c>
      <c r="L37" s="499">
        <v>2300</v>
      </c>
      <c r="M37" s="500">
        <v>2400</v>
      </c>
      <c r="N37" s="500">
        <v>2400</v>
      </c>
      <c r="O37" s="500">
        <v>2400</v>
      </c>
      <c r="P37" s="501">
        <v>2400</v>
      </c>
      <c r="Q37" s="498">
        <v>2400</v>
      </c>
      <c r="R37" s="573">
        <f t="shared" si="0"/>
        <v>-4.0999999999999996</v>
      </c>
      <c r="S37" s="256">
        <f t="shared" si="1"/>
        <v>0.9</v>
      </c>
      <c r="T37" s="28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162</v>
      </c>
      <c r="E38" s="496">
        <v>139.96666666666667</v>
      </c>
      <c r="F38" s="497">
        <v>124.19999999999999</v>
      </c>
      <c r="G38" s="497">
        <v>178.11250156</v>
      </c>
      <c r="H38" s="496">
        <v>191.71172810524001</v>
      </c>
      <c r="I38" s="497">
        <v>162.53014266734479</v>
      </c>
      <c r="J38" s="497">
        <v>157</v>
      </c>
      <c r="K38" s="502">
        <v>352</v>
      </c>
      <c r="L38" s="503">
        <v>331</v>
      </c>
      <c r="M38" s="496">
        <v>324</v>
      </c>
      <c r="N38" s="496">
        <v>333</v>
      </c>
      <c r="O38" s="496">
        <v>329</v>
      </c>
      <c r="P38" s="279">
        <v>333</v>
      </c>
      <c r="Q38" s="502">
        <v>331</v>
      </c>
      <c r="R38" s="573">
        <f t="shared" si="0"/>
        <v>11.7</v>
      </c>
      <c r="S38" s="256">
        <f t="shared" si="1"/>
        <v>0</v>
      </c>
      <c r="T38" s="283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7354</v>
      </c>
      <c r="E39" s="496">
        <v>7734</v>
      </c>
      <c r="F39" s="497">
        <v>8456</v>
      </c>
      <c r="G39" s="497">
        <v>9585</v>
      </c>
      <c r="H39" s="496">
        <v>9920</v>
      </c>
      <c r="I39" s="497">
        <v>9715</v>
      </c>
      <c r="J39" s="497">
        <v>10390</v>
      </c>
      <c r="K39" s="502">
        <v>10745</v>
      </c>
      <c r="L39" s="503">
        <v>12370</v>
      </c>
      <c r="M39" s="496">
        <v>13720</v>
      </c>
      <c r="N39" s="496">
        <v>15430</v>
      </c>
      <c r="O39" s="496">
        <v>16600</v>
      </c>
      <c r="P39" s="279">
        <v>18065</v>
      </c>
      <c r="Q39" s="502">
        <v>19800</v>
      </c>
      <c r="R39" s="573">
        <f t="shared" si="0"/>
        <v>5.6</v>
      </c>
      <c r="S39" s="256">
        <f t="shared" si="1"/>
        <v>9.9</v>
      </c>
      <c r="T39" s="28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2080</v>
      </c>
      <c r="E40" s="496">
        <v>2070</v>
      </c>
      <c r="F40" s="497">
        <v>2237</v>
      </c>
      <c r="G40" s="497">
        <v>2434.509</v>
      </c>
      <c r="H40" s="496">
        <v>2084.7600588</v>
      </c>
      <c r="I40" s="497">
        <v>2012.9440200000004</v>
      </c>
      <c r="J40" s="497">
        <v>2305.0377120000003</v>
      </c>
      <c r="K40" s="502">
        <v>2210.7717480000001</v>
      </c>
      <c r="L40" s="503">
        <v>2546.652</v>
      </c>
      <c r="M40" s="496">
        <v>2455.8996000000002</v>
      </c>
      <c r="N40" s="496">
        <v>2455.8996000000002</v>
      </c>
      <c r="O40" s="496">
        <v>2455.8996000000002</v>
      </c>
      <c r="P40" s="279">
        <v>2455.8996000000002</v>
      </c>
      <c r="Q40" s="502">
        <v>2455.8996000000002</v>
      </c>
      <c r="R40" s="573">
        <f t="shared" si="0"/>
        <v>0.9</v>
      </c>
      <c r="S40" s="256">
        <f t="shared" si="1"/>
        <v>-0.7</v>
      </c>
      <c r="T40" s="283"/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41.1</v>
      </c>
      <c r="E41" s="45">
        <v>0</v>
      </c>
      <c r="F41" s="49">
        <v>50</v>
      </c>
      <c r="G41" s="45">
        <v>50</v>
      </c>
      <c r="H41" s="49">
        <v>0</v>
      </c>
      <c r="I41" s="45">
        <v>0</v>
      </c>
      <c r="J41" s="49">
        <v>0</v>
      </c>
      <c r="K41" s="50">
        <v>0</v>
      </c>
      <c r="L41" s="504">
        <v>0</v>
      </c>
      <c r="M41" s="45">
        <v>0</v>
      </c>
      <c r="N41" s="45">
        <v>0</v>
      </c>
      <c r="O41" s="45">
        <v>0</v>
      </c>
      <c r="P41" s="45">
        <v>0</v>
      </c>
      <c r="Q41" s="51">
        <v>0</v>
      </c>
      <c r="R41" s="573" t="str">
        <f t="shared" si="0"/>
        <v xml:space="preserve">     -</v>
      </c>
      <c r="S41" s="256" t="str">
        <f t="shared" si="1"/>
        <v xml:space="preserve">     -</v>
      </c>
      <c r="T41" s="283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</row>
    <row r="42" spans="1:33" ht="15" customHeight="1">
      <c r="A42" s="16"/>
      <c r="B42" s="668" t="s">
        <v>439</v>
      </c>
      <c r="C42" s="669"/>
      <c r="D42" s="140">
        <v>380</v>
      </c>
      <c r="E42" s="49">
        <v>450</v>
      </c>
      <c r="F42" s="45">
        <v>500</v>
      </c>
      <c r="G42" s="49">
        <v>500</v>
      </c>
      <c r="H42" s="49">
        <v>500</v>
      </c>
      <c r="I42" s="45">
        <v>500</v>
      </c>
      <c r="J42" s="49">
        <v>769</v>
      </c>
      <c r="K42" s="50">
        <v>500</v>
      </c>
      <c r="L42" s="504">
        <v>500</v>
      </c>
      <c r="M42" s="45">
        <v>500</v>
      </c>
      <c r="N42" s="45">
        <v>500</v>
      </c>
      <c r="O42" s="45">
        <v>500</v>
      </c>
      <c r="P42" s="49">
        <v>500</v>
      </c>
      <c r="Q42" s="50">
        <v>500</v>
      </c>
      <c r="R42" s="573">
        <f t="shared" si="0"/>
        <v>4</v>
      </c>
      <c r="S42" s="256">
        <f t="shared" si="1"/>
        <v>0</v>
      </c>
      <c r="T42" s="28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T43" s="283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220</v>
      </c>
      <c r="E44" s="49">
        <v>220</v>
      </c>
      <c r="F44" s="45">
        <v>220</v>
      </c>
      <c r="G44" s="49">
        <v>220</v>
      </c>
      <c r="H44" s="49">
        <v>220</v>
      </c>
      <c r="I44" s="45">
        <v>220</v>
      </c>
      <c r="J44" s="49">
        <v>220</v>
      </c>
      <c r="K44" s="50">
        <v>220</v>
      </c>
      <c r="L44" s="504">
        <v>220</v>
      </c>
      <c r="M44" s="45">
        <v>220</v>
      </c>
      <c r="N44" s="45">
        <v>220</v>
      </c>
      <c r="O44" s="45">
        <v>238</v>
      </c>
      <c r="P44" s="45">
        <v>238</v>
      </c>
      <c r="Q44" s="51">
        <v>238</v>
      </c>
      <c r="R44" s="573">
        <f t="shared" si="0"/>
        <v>0</v>
      </c>
      <c r="S44" s="256">
        <f t="shared" si="1"/>
        <v>1.6</v>
      </c>
      <c r="T44" s="283"/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37</v>
      </c>
      <c r="E45" s="496">
        <v>37</v>
      </c>
      <c r="F45" s="497">
        <v>37</v>
      </c>
      <c r="G45" s="497">
        <v>37</v>
      </c>
      <c r="H45" s="496">
        <v>37</v>
      </c>
      <c r="I45" s="497">
        <v>37</v>
      </c>
      <c r="J45" s="497">
        <v>37</v>
      </c>
      <c r="K45" s="502">
        <v>37</v>
      </c>
      <c r="L45" s="503">
        <v>37</v>
      </c>
      <c r="M45" s="496">
        <v>37</v>
      </c>
      <c r="N45" s="496">
        <v>37</v>
      </c>
      <c r="O45" s="496">
        <v>37</v>
      </c>
      <c r="P45" s="497">
        <v>37</v>
      </c>
      <c r="Q45" s="502">
        <v>37</v>
      </c>
      <c r="R45" s="573">
        <f t="shared" si="0"/>
        <v>0</v>
      </c>
      <c r="S45" s="256">
        <f t="shared" si="1"/>
        <v>0</v>
      </c>
      <c r="T45" s="283"/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T46" s="283"/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5935</v>
      </c>
      <c r="E47" s="496">
        <v>5758</v>
      </c>
      <c r="F47" s="497">
        <v>5990</v>
      </c>
      <c r="G47" s="497">
        <v>6662</v>
      </c>
      <c r="H47" s="496">
        <v>5921</v>
      </c>
      <c r="I47" s="497">
        <v>6413</v>
      </c>
      <c r="J47" s="497">
        <v>6689</v>
      </c>
      <c r="K47" s="502">
        <v>6759</v>
      </c>
      <c r="L47" s="503">
        <v>6759</v>
      </c>
      <c r="M47" s="496">
        <v>6760</v>
      </c>
      <c r="N47" s="496">
        <v>6760</v>
      </c>
      <c r="O47" s="496">
        <v>6760</v>
      </c>
      <c r="P47" s="497">
        <v>6760</v>
      </c>
      <c r="Q47" s="502">
        <v>6760</v>
      </c>
      <c r="R47" s="573">
        <f t="shared" si="0"/>
        <v>1.9</v>
      </c>
      <c r="S47" s="256">
        <f t="shared" si="1"/>
        <v>0</v>
      </c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</row>
    <row r="48" spans="1:33" ht="15.75" customHeight="1">
      <c r="A48" s="16"/>
      <c r="B48" s="674" t="s">
        <v>307</v>
      </c>
      <c r="C48" s="675"/>
      <c r="D48" s="95">
        <f>SUM(D36:D47)</f>
        <v>22625.1</v>
      </c>
      <c r="E48" s="93">
        <f t="shared" ref="E48:Q48" si="6">SUM(E36:E47)</f>
        <v>21833.966666666667</v>
      </c>
      <c r="F48" s="93">
        <f t="shared" si="6"/>
        <v>23713.200000000001</v>
      </c>
      <c r="G48" s="93">
        <f t="shared" si="6"/>
        <v>25270.621501560003</v>
      </c>
      <c r="H48" s="93">
        <f t="shared" si="6"/>
        <v>23944.47178690524</v>
      </c>
      <c r="I48" s="93">
        <f t="shared" si="6"/>
        <v>23917.474162667346</v>
      </c>
      <c r="J48" s="93">
        <f t="shared" si="6"/>
        <v>25566.037712000001</v>
      </c>
      <c r="K48" s="96">
        <f t="shared" si="6"/>
        <v>26805.771747999999</v>
      </c>
      <c r="L48" s="95">
        <f t="shared" si="6"/>
        <v>28563.652000000002</v>
      </c>
      <c r="M48" s="93">
        <f t="shared" si="6"/>
        <v>30416.899600000001</v>
      </c>
      <c r="N48" s="93">
        <f t="shared" si="6"/>
        <v>32135.899600000001</v>
      </c>
      <c r="O48" s="93">
        <f t="shared" si="6"/>
        <v>33319.899600000004</v>
      </c>
      <c r="P48" s="93">
        <f t="shared" si="6"/>
        <v>34788.899600000004</v>
      </c>
      <c r="Q48" s="96">
        <f t="shared" si="6"/>
        <v>36521.899600000004</v>
      </c>
      <c r="R48" s="574">
        <f t="shared" si="0"/>
        <v>2.5</v>
      </c>
      <c r="S48" s="510">
        <f t="shared" si="1"/>
        <v>5</v>
      </c>
      <c r="T48" s="28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10</v>
      </c>
      <c r="E49" s="512">
        <v>10</v>
      </c>
      <c r="F49" s="512">
        <v>10</v>
      </c>
      <c r="G49" s="512">
        <v>10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T49" s="283"/>
      <c r="U49" s="280"/>
      <c r="V49" s="280"/>
      <c r="W49" s="280"/>
      <c r="X49" s="280"/>
      <c r="Y49" s="280"/>
      <c r="Z49" s="280"/>
      <c r="AA49" s="280"/>
      <c r="AB49" s="280"/>
      <c r="AC49" s="280"/>
      <c r="AD49" s="280"/>
      <c r="AE49" s="280"/>
      <c r="AF49" s="280"/>
      <c r="AG49" s="280"/>
    </row>
    <row r="50" spans="1:33" ht="15" customHeight="1">
      <c r="A50" s="16"/>
      <c r="B50" s="105"/>
      <c r="C50" s="97" t="s">
        <v>309</v>
      </c>
      <c r="D50" s="511">
        <v>10</v>
      </c>
      <c r="E50" s="512">
        <v>10</v>
      </c>
      <c r="F50" s="512">
        <v>10</v>
      </c>
      <c r="G50" s="512">
        <v>10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T50" s="283"/>
      <c r="U50" s="280"/>
      <c r="V50" s="280"/>
      <c r="W50" s="280"/>
      <c r="X50" s="280"/>
      <c r="Y50" s="280"/>
      <c r="Z50" s="280"/>
      <c r="AA50" s="280"/>
      <c r="AB50" s="280"/>
      <c r="AC50" s="280"/>
      <c r="AD50" s="280"/>
      <c r="AE50" s="280"/>
      <c r="AF50" s="280"/>
      <c r="AG50" s="280"/>
    </row>
    <row r="51" spans="1:33" ht="15.75" customHeight="1">
      <c r="A51" s="16"/>
      <c r="B51" s="672" t="s">
        <v>310</v>
      </c>
      <c r="C51" s="673"/>
      <c r="D51" s="511">
        <v>3075.0159999999996</v>
      </c>
      <c r="E51" s="512">
        <v>3054.6255697420202</v>
      </c>
      <c r="F51" s="512">
        <v>3740</v>
      </c>
      <c r="G51" s="512">
        <v>3723</v>
      </c>
      <c r="H51" s="512">
        <v>2798</v>
      </c>
      <c r="I51" s="512">
        <v>2965.1</v>
      </c>
      <c r="J51" s="513">
        <v>2826.5</v>
      </c>
      <c r="K51" s="514">
        <v>2797.1000000000004</v>
      </c>
      <c r="L51" s="511">
        <v>2773.7</v>
      </c>
      <c r="M51" s="512">
        <v>2873</v>
      </c>
      <c r="N51" s="512">
        <v>2944.4</v>
      </c>
      <c r="O51" s="512">
        <v>2911.6000000000004</v>
      </c>
      <c r="P51" s="513">
        <v>2912</v>
      </c>
      <c r="Q51" s="514">
        <v>2912</v>
      </c>
      <c r="R51" s="574">
        <f t="shared" si="0"/>
        <v>-1.3</v>
      </c>
      <c r="S51" s="510">
        <f t="shared" si="1"/>
        <v>1</v>
      </c>
      <c r="T51" s="28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2600</v>
      </c>
      <c r="E52" s="512">
        <v>2599.4315697420202</v>
      </c>
      <c r="F52" s="512">
        <v>3219</v>
      </c>
      <c r="G52" s="512">
        <v>3158</v>
      </c>
      <c r="H52" s="512">
        <v>2207</v>
      </c>
      <c r="I52" s="512">
        <v>2366</v>
      </c>
      <c r="J52" s="513">
        <v>2241.1999999999998</v>
      </c>
      <c r="K52" s="514">
        <v>2220.8000000000002</v>
      </c>
      <c r="L52" s="511">
        <v>2231.1999999999998</v>
      </c>
      <c r="M52" s="512">
        <v>2314.5</v>
      </c>
      <c r="N52" s="512">
        <v>2344.8000000000002</v>
      </c>
      <c r="O52" s="512">
        <v>2363.8000000000002</v>
      </c>
      <c r="P52" s="513">
        <v>2364</v>
      </c>
      <c r="Q52" s="514">
        <v>2364</v>
      </c>
      <c r="R52" s="574">
        <f t="shared" si="0"/>
        <v>-2.2000000000000002</v>
      </c>
      <c r="S52" s="510">
        <f t="shared" si="1"/>
        <v>1.2</v>
      </c>
      <c r="T52" s="28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4000</v>
      </c>
      <c r="E53" s="496">
        <v>2443</v>
      </c>
      <c r="F53" s="496">
        <v>3220</v>
      </c>
      <c r="G53" s="496">
        <v>3300</v>
      </c>
      <c r="H53" s="496">
        <v>4150</v>
      </c>
      <c r="I53" s="496">
        <v>4200</v>
      </c>
      <c r="J53" s="497">
        <v>4200</v>
      </c>
      <c r="K53" s="502">
        <v>4200</v>
      </c>
      <c r="L53" s="503">
        <v>5013</v>
      </c>
      <c r="M53" s="496">
        <v>5825</v>
      </c>
      <c r="N53" s="496">
        <v>5825</v>
      </c>
      <c r="O53" s="496">
        <v>6723</v>
      </c>
      <c r="P53" s="497">
        <v>8825</v>
      </c>
      <c r="Q53" s="502">
        <v>8825</v>
      </c>
      <c r="R53" s="573">
        <f t="shared" si="0"/>
        <v>0.7</v>
      </c>
      <c r="S53" s="256">
        <f t="shared" si="1"/>
        <v>12</v>
      </c>
      <c r="T53" s="283"/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300</v>
      </c>
      <c r="F54" s="518">
        <v>200</v>
      </c>
      <c r="G54" s="518">
        <v>250</v>
      </c>
      <c r="H54" s="518">
        <v>820</v>
      </c>
      <c r="I54" s="518">
        <v>1043</v>
      </c>
      <c r="J54" s="519">
        <v>1043</v>
      </c>
      <c r="K54" s="514">
        <v>1043</v>
      </c>
      <c r="L54" s="511">
        <v>1855</v>
      </c>
      <c r="M54" s="518">
        <v>2668</v>
      </c>
      <c r="N54" s="518">
        <v>2668</v>
      </c>
      <c r="O54" s="518">
        <v>3918</v>
      </c>
      <c r="P54" s="519">
        <v>3918</v>
      </c>
      <c r="Q54" s="514">
        <v>3918</v>
      </c>
      <c r="R54" s="574" t="str">
        <f t="shared" si="0"/>
        <v xml:space="preserve">     -</v>
      </c>
      <c r="S54" s="510">
        <f t="shared" si="1"/>
        <v>16.100000000000001</v>
      </c>
      <c r="T54" s="283"/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120</v>
      </c>
      <c r="E55" s="518">
        <v>120</v>
      </c>
      <c r="F55" s="518">
        <v>60</v>
      </c>
      <c r="G55" s="518">
        <v>60</v>
      </c>
      <c r="H55" s="518">
        <v>120</v>
      </c>
      <c r="I55" s="518">
        <v>0</v>
      </c>
      <c r="J55" s="519">
        <v>255</v>
      </c>
      <c r="K55" s="514">
        <v>255</v>
      </c>
      <c r="L55" s="511">
        <v>255</v>
      </c>
      <c r="M55" s="518">
        <v>255</v>
      </c>
      <c r="N55" s="518">
        <v>255</v>
      </c>
      <c r="O55" s="518">
        <v>255</v>
      </c>
      <c r="P55" s="519">
        <v>255</v>
      </c>
      <c r="Q55" s="514">
        <v>255</v>
      </c>
      <c r="R55" s="574">
        <f t="shared" si="0"/>
        <v>11.4</v>
      </c>
      <c r="S55" s="510">
        <f t="shared" si="1"/>
        <v>0</v>
      </c>
      <c r="T55" s="283"/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651.29999999999995</v>
      </c>
      <c r="E56" s="521">
        <v>649.63</v>
      </c>
      <c r="F56" s="521">
        <v>671.71741999999995</v>
      </c>
      <c r="G56" s="521">
        <v>680.44974645999991</v>
      </c>
      <c r="H56" s="521">
        <v>587</v>
      </c>
      <c r="I56" s="521">
        <v>623</v>
      </c>
      <c r="J56" s="522">
        <v>634.79999999999995</v>
      </c>
      <c r="K56" s="523">
        <v>615</v>
      </c>
      <c r="L56" s="520">
        <v>624.84</v>
      </c>
      <c r="M56" s="521">
        <v>632.96291999999994</v>
      </c>
      <c r="N56" s="521">
        <v>642.45736379999983</v>
      </c>
      <c r="O56" s="521">
        <v>652.09422425699972</v>
      </c>
      <c r="P56" s="522">
        <v>661.8756376208546</v>
      </c>
      <c r="Q56" s="523">
        <v>671.8037721851673</v>
      </c>
      <c r="R56" s="574">
        <f t="shared" si="0"/>
        <v>-0.8</v>
      </c>
      <c r="S56" s="510">
        <f t="shared" si="1"/>
        <v>1.5</v>
      </c>
      <c r="T56" s="283"/>
      <c r="U56" s="350"/>
      <c r="V56" s="413"/>
      <c r="W56" s="350"/>
      <c r="X56" s="350"/>
      <c r="Y56" s="350"/>
      <c r="Z56" s="350"/>
      <c r="AA56" s="413"/>
      <c r="AB56" s="350"/>
      <c r="AC56" s="350"/>
      <c r="AD56" s="350"/>
      <c r="AE56" s="350"/>
      <c r="AF56" s="350"/>
      <c r="AG56" s="350"/>
    </row>
    <row r="57" spans="1:33" ht="15" customHeight="1">
      <c r="A57" s="16"/>
      <c r="B57" s="672" t="s">
        <v>316</v>
      </c>
      <c r="C57" s="673"/>
      <c r="D57" s="553">
        <v>5842.8</v>
      </c>
      <c r="E57" s="526">
        <v>5842.8</v>
      </c>
      <c r="F57" s="530">
        <v>5411.4</v>
      </c>
      <c r="G57" s="497">
        <v>5305.8</v>
      </c>
      <c r="H57" s="496">
        <v>4876.8</v>
      </c>
      <c r="I57" s="497">
        <v>4617.5999999999995</v>
      </c>
      <c r="J57" s="551">
        <v>4606.8</v>
      </c>
      <c r="K57" s="554">
        <v>4977.5999999999995</v>
      </c>
      <c r="L57" s="527">
        <v>5090.3999999999996</v>
      </c>
      <c r="M57" s="528">
        <v>5427.5999999999995</v>
      </c>
      <c r="N57" s="528">
        <v>5427.5999999999995</v>
      </c>
      <c r="O57" s="528">
        <v>5427.5999999999995</v>
      </c>
      <c r="P57" s="500">
        <v>5427.5999999999995</v>
      </c>
      <c r="Q57" s="554">
        <v>5428</v>
      </c>
      <c r="R57" s="573">
        <f t="shared" si="0"/>
        <v>-2.2999999999999998</v>
      </c>
      <c r="S57" s="256">
        <f t="shared" si="1"/>
        <v>1.3</v>
      </c>
      <c r="T57" s="28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544.5</v>
      </c>
      <c r="E58" s="526">
        <v>544.5</v>
      </c>
      <c r="F58" s="530">
        <v>544.5</v>
      </c>
      <c r="G58" s="497">
        <v>544.5</v>
      </c>
      <c r="H58" s="496">
        <v>544.5</v>
      </c>
      <c r="I58" s="497">
        <v>544.5</v>
      </c>
      <c r="J58" s="551">
        <v>544.5</v>
      </c>
      <c r="K58" s="498">
        <v>544.5</v>
      </c>
      <c r="L58" s="499">
        <v>544.5</v>
      </c>
      <c r="M58" s="532">
        <v>544.5</v>
      </c>
      <c r="N58" s="532">
        <v>544.5</v>
      </c>
      <c r="O58" s="532">
        <v>544.5</v>
      </c>
      <c r="P58" s="532">
        <v>545</v>
      </c>
      <c r="Q58" s="498">
        <v>545</v>
      </c>
      <c r="R58" s="573">
        <f t="shared" si="0"/>
        <v>0</v>
      </c>
      <c r="S58" s="256">
        <f t="shared" si="1"/>
        <v>0</v>
      </c>
      <c r="T58" s="28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6387.3</v>
      </c>
      <c r="E59" s="92">
        <f t="shared" ref="E59:Q59" si="7">SUM(E57:E58)</f>
        <v>6387.3</v>
      </c>
      <c r="F59" s="92">
        <f t="shared" si="7"/>
        <v>5955.9</v>
      </c>
      <c r="G59" s="93">
        <f t="shared" si="7"/>
        <v>5850.3</v>
      </c>
      <c r="H59" s="93">
        <f t="shared" si="7"/>
        <v>5421.3</v>
      </c>
      <c r="I59" s="94">
        <f t="shared" si="7"/>
        <v>5162.0999999999995</v>
      </c>
      <c r="J59" s="94">
        <f t="shared" si="7"/>
        <v>5151.3</v>
      </c>
      <c r="K59" s="96">
        <f t="shared" si="7"/>
        <v>5522.0999999999995</v>
      </c>
      <c r="L59" s="555">
        <f t="shared" si="7"/>
        <v>5634.9</v>
      </c>
      <c r="M59" s="556">
        <f t="shared" si="7"/>
        <v>5972.0999999999995</v>
      </c>
      <c r="N59" s="556">
        <f t="shared" si="7"/>
        <v>5972.0999999999995</v>
      </c>
      <c r="O59" s="556">
        <f t="shared" si="7"/>
        <v>5972.0999999999995</v>
      </c>
      <c r="P59" s="556">
        <f t="shared" si="7"/>
        <v>5972.5999999999995</v>
      </c>
      <c r="Q59" s="227">
        <f t="shared" si="7"/>
        <v>5973</v>
      </c>
      <c r="R59" s="574">
        <f t="shared" si="0"/>
        <v>-2.1</v>
      </c>
      <c r="S59" s="510">
        <f t="shared" si="1"/>
        <v>1.2</v>
      </c>
      <c r="T59" s="28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370</v>
      </c>
      <c r="E60" s="526">
        <v>375</v>
      </c>
      <c r="F60" s="530">
        <v>341</v>
      </c>
      <c r="G60" s="497">
        <v>341</v>
      </c>
      <c r="H60" s="496">
        <v>341</v>
      </c>
      <c r="I60" s="497">
        <v>341</v>
      </c>
      <c r="J60" s="551">
        <v>341.1</v>
      </c>
      <c r="K60" s="498">
        <v>341.1</v>
      </c>
      <c r="L60" s="533">
        <v>341</v>
      </c>
      <c r="M60" s="534">
        <v>341</v>
      </c>
      <c r="N60" s="534">
        <v>341</v>
      </c>
      <c r="O60" s="534">
        <v>341</v>
      </c>
      <c r="P60" s="534">
        <v>341</v>
      </c>
      <c r="Q60" s="535">
        <v>341</v>
      </c>
      <c r="R60" s="573">
        <f t="shared" si="0"/>
        <v>-1.2</v>
      </c>
      <c r="S60" s="256">
        <f t="shared" si="1"/>
        <v>0</v>
      </c>
      <c r="T60" s="283"/>
      <c r="U60" s="43"/>
      <c r="V60" s="283"/>
      <c r="W60" s="283"/>
      <c r="X60" s="43"/>
      <c r="Y60" s="283"/>
      <c r="Z60" s="283"/>
      <c r="AA60" s="283"/>
      <c r="AB60" s="43"/>
      <c r="AC60" s="326"/>
      <c r="AD60" s="326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615.6</v>
      </c>
      <c r="E61" s="526">
        <v>615.6</v>
      </c>
      <c r="F61" s="530">
        <v>615.6</v>
      </c>
      <c r="G61" s="497">
        <v>615.6</v>
      </c>
      <c r="H61" s="496">
        <v>615.6</v>
      </c>
      <c r="I61" s="497">
        <v>615.6</v>
      </c>
      <c r="J61" s="497">
        <v>615.6</v>
      </c>
      <c r="K61" s="502">
        <v>615.6</v>
      </c>
      <c r="L61" s="503">
        <v>615.6</v>
      </c>
      <c r="M61" s="496">
        <v>615.6</v>
      </c>
      <c r="N61" s="496">
        <v>615.6</v>
      </c>
      <c r="O61" s="496">
        <v>615.6</v>
      </c>
      <c r="P61" s="497">
        <v>616</v>
      </c>
      <c r="Q61" s="502">
        <v>616</v>
      </c>
      <c r="R61" s="573">
        <f t="shared" si="0"/>
        <v>0</v>
      </c>
      <c r="S61" s="256">
        <f t="shared" si="1"/>
        <v>0</v>
      </c>
      <c r="T61" s="28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270.07529699921753</v>
      </c>
      <c r="E62" s="525">
        <v>270.07529699921753</v>
      </c>
      <c r="F62" s="530">
        <v>270.07529699921753</v>
      </c>
      <c r="G62" s="497">
        <v>270.07529699921753</v>
      </c>
      <c r="H62" s="496">
        <v>270.07529699921753</v>
      </c>
      <c r="I62" s="497">
        <v>270.07529699921753</v>
      </c>
      <c r="J62" s="497">
        <v>247.5</v>
      </c>
      <c r="K62" s="536">
        <v>247.5</v>
      </c>
      <c r="L62" s="537">
        <v>248</v>
      </c>
      <c r="M62" s="538">
        <v>248</v>
      </c>
      <c r="N62" s="538">
        <v>248</v>
      </c>
      <c r="O62" s="538">
        <v>248</v>
      </c>
      <c r="P62" s="515">
        <v>248</v>
      </c>
      <c r="Q62" s="536">
        <v>248</v>
      </c>
      <c r="R62" s="573">
        <f t="shared" si="0"/>
        <v>-1.2</v>
      </c>
      <c r="S62" s="256">
        <f t="shared" si="1"/>
        <v>0</v>
      </c>
      <c r="T62" s="283"/>
      <c r="U62" s="43"/>
      <c r="V62" s="283"/>
      <c r="W62" s="283"/>
      <c r="X62" s="43"/>
      <c r="Y62" s="283"/>
      <c r="Z62" s="283"/>
      <c r="AA62" s="283"/>
      <c r="AB62" s="283"/>
      <c r="AC62" s="283"/>
      <c r="AD62" s="28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1255.6752969992176</v>
      </c>
      <c r="E63" s="539">
        <f t="shared" ref="E63:Q63" si="8">SUM(E60:E62)</f>
        <v>1260.6752969992176</v>
      </c>
      <c r="F63" s="539">
        <f t="shared" si="8"/>
        <v>1226.6752969992176</v>
      </c>
      <c r="G63" s="100">
        <f t="shared" si="8"/>
        <v>1226.6752969992176</v>
      </c>
      <c r="H63" s="100">
        <f t="shared" si="8"/>
        <v>1226.6752969992176</v>
      </c>
      <c r="I63" s="100">
        <f t="shared" si="8"/>
        <v>1226.6752969992176</v>
      </c>
      <c r="J63" s="101">
        <f t="shared" si="8"/>
        <v>1204.2</v>
      </c>
      <c r="K63" s="104">
        <f t="shared" si="8"/>
        <v>1204.2</v>
      </c>
      <c r="L63" s="540">
        <f t="shared" si="8"/>
        <v>1204.5999999999999</v>
      </c>
      <c r="M63" s="100">
        <f t="shared" si="8"/>
        <v>1204.5999999999999</v>
      </c>
      <c r="N63" s="100">
        <f t="shared" si="8"/>
        <v>1204.5999999999999</v>
      </c>
      <c r="O63" s="100">
        <f t="shared" si="8"/>
        <v>1204.5999999999999</v>
      </c>
      <c r="P63" s="100">
        <f t="shared" si="8"/>
        <v>1205</v>
      </c>
      <c r="Q63" s="103">
        <f t="shared" si="8"/>
        <v>1205</v>
      </c>
      <c r="R63" s="576">
        <f t="shared" si="0"/>
        <v>-0.6</v>
      </c>
      <c r="S63" s="541">
        <f t="shared" si="1"/>
        <v>0</v>
      </c>
      <c r="T63" s="28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38124.391296999216</v>
      </c>
      <c r="E64" s="543">
        <f t="shared" ref="E64:Q64" si="9">E48+E49+E51+E53+E55+E56+E59+E63</f>
        <v>35759.197533407903</v>
      </c>
      <c r="F64" s="543">
        <f t="shared" si="9"/>
        <v>38597.492716999215</v>
      </c>
      <c r="G64" s="544">
        <f t="shared" si="9"/>
        <v>40121.046545019221</v>
      </c>
      <c r="H64" s="544">
        <f t="shared" si="9"/>
        <v>38247.447083904459</v>
      </c>
      <c r="I64" s="544">
        <f t="shared" si="9"/>
        <v>38094.349459666562</v>
      </c>
      <c r="J64" s="545">
        <f t="shared" si="9"/>
        <v>39837.837712000008</v>
      </c>
      <c r="K64" s="546">
        <f t="shared" si="9"/>
        <v>41399.171747999993</v>
      </c>
      <c r="L64" s="547">
        <f t="shared" si="9"/>
        <v>44069.691999999995</v>
      </c>
      <c r="M64" s="544">
        <f t="shared" si="9"/>
        <v>47179.562519999999</v>
      </c>
      <c r="N64" s="544">
        <f t="shared" si="9"/>
        <v>48979.456963799996</v>
      </c>
      <c r="O64" s="544">
        <f t="shared" si="9"/>
        <v>51038.293824257002</v>
      </c>
      <c r="P64" s="544">
        <f t="shared" si="9"/>
        <v>54620.375237620858</v>
      </c>
      <c r="Q64" s="577">
        <f t="shared" si="9"/>
        <v>56363.703372185169</v>
      </c>
      <c r="R64" s="579">
        <f t="shared" si="0"/>
        <v>1.2</v>
      </c>
      <c r="S64" s="558">
        <f t="shared" si="1"/>
        <v>5</v>
      </c>
      <c r="T64" s="283"/>
    </row>
    <row r="65" spans="1:33" ht="15" customHeight="1">
      <c r="A65" s="616" t="s">
        <v>327</v>
      </c>
      <c r="B65" s="666" t="s">
        <v>433</v>
      </c>
      <c r="C65" s="667"/>
      <c r="D65" s="487">
        <v>2518</v>
      </c>
      <c r="E65" s="488">
        <v>2759</v>
      </c>
      <c r="F65" s="489">
        <v>3518</v>
      </c>
      <c r="G65" s="559">
        <v>3727</v>
      </c>
      <c r="H65" s="560">
        <v>3120</v>
      </c>
      <c r="I65" s="559">
        <v>3570</v>
      </c>
      <c r="J65" s="559">
        <v>3877</v>
      </c>
      <c r="K65" s="561">
        <v>4436</v>
      </c>
      <c r="L65" s="562">
        <v>4000</v>
      </c>
      <c r="M65" s="560">
        <v>4000</v>
      </c>
      <c r="N65" s="560">
        <v>4000</v>
      </c>
      <c r="O65" s="560">
        <v>4200</v>
      </c>
      <c r="P65" s="563">
        <v>4200</v>
      </c>
      <c r="Q65" s="561">
        <v>4200</v>
      </c>
      <c r="R65" s="573">
        <f t="shared" si="0"/>
        <v>8.4</v>
      </c>
      <c r="S65" s="256">
        <f t="shared" si="1"/>
        <v>1</v>
      </c>
      <c r="T65" s="28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3719</v>
      </c>
      <c r="E66" s="525">
        <v>3538</v>
      </c>
      <c r="F66" s="530">
        <v>3114</v>
      </c>
      <c r="G66" s="497">
        <v>2064</v>
      </c>
      <c r="H66" s="496">
        <v>1790</v>
      </c>
      <c r="I66" s="497">
        <v>1891</v>
      </c>
      <c r="J66" s="551">
        <v>1711</v>
      </c>
      <c r="K66" s="498">
        <v>1781</v>
      </c>
      <c r="L66" s="499">
        <v>1800</v>
      </c>
      <c r="M66" s="500">
        <v>1850</v>
      </c>
      <c r="N66" s="500">
        <v>1850</v>
      </c>
      <c r="O66" s="500">
        <v>1900</v>
      </c>
      <c r="P66" s="501">
        <v>1900</v>
      </c>
      <c r="Q66" s="498">
        <v>1900</v>
      </c>
      <c r="R66" s="573">
        <f t="shared" si="0"/>
        <v>-10</v>
      </c>
      <c r="S66" s="256">
        <f t="shared" si="1"/>
        <v>1.1000000000000001</v>
      </c>
      <c r="T66" s="28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105</v>
      </c>
      <c r="E67" s="496">
        <v>101.40666666666665</v>
      </c>
      <c r="F67" s="497">
        <v>102.72495333333332</v>
      </c>
      <c r="G67" s="497">
        <v>106.62850155999999</v>
      </c>
      <c r="H67" s="496">
        <v>109.72072810524</v>
      </c>
      <c r="I67" s="497">
        <v>111.91514266734481</v>
      </c>
      <c r="J67" s="497">
        <v>114</v>
      </c>
      <c r="K67" s="502">
        <v>118</v>
      </c>
      <c r="L67" s="503">
        <v>122</v>
      </c>
      <c r="M67" s="496">
        <v>125</v>
      </c>
      <c r="N67" s="496">
        <v>128</v>
      </c>
      <c r="O67" s="496">
        <v>132</v>
      </c>
      <c r="P67" s="497">
        <v>135</v>
      </c>
      <c r="Q67" s="502">
        <v>138</v>
      </c>
      <c r="R67" s="573">
        <f t="shared" si="0"/>
        <v>1.7</v>
      </c>
      <c r="S67" s="256">
        <f t="shared" si="1"/>
        <v>2.5</v>
      </c>
      <c r="T67" s="283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8021</v>
      </c>
      <c r="E68" s="496">
        <v>8538</v>
      </c>
      <c r="F68" s="497">
        <v>8853</v>
      </c>
      <c r="G68" s="497">
        <v>9742</v>
      </c>
      <c r="H68" s="496">
        <v>10765</v>
      </c>
      <c r="I68" s="497">
        <v>10451</v>
      </c>
      <c r="J68" s="497">
        <v>10791</v>
      </c>
      <c r="K68" s="502">
        <v>11219</v>
      </c>
      <c r="L68" s="503">
        <v>12890</v>
      </c>
      <c r="M68" s="496">
        <v>14815</v>
      </c>
      <c r="N68" s="496">
        <v>16633</v>
      </c>
      <c r="O68" s="496">
        <v>17972</v>
      </c>
      <c r="P68" s="497">
        <v>19434</v>
      </c>
      <c r="Q68" s="502">
        <v>21104</v>
      </c>
      <c r="R68" s="573">
        <f t="shared" si="0"/>
        <v>4.9000000000000004</v>
      </c>
      <c r="S68" s="256">
        <f t="shared" si="1"/>
        <v>10.4</v>
      </c>
      <c r="T68" s="28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2268</v>
      </c>
      <c r="E69" s="496">
        <v>2256</v>
      </c>
      <c r="F69" s="497">
        <v>2390</v>
      </c>
      <c r="G69" s="497">
        <v>2436</v>
      </c>
      <c r="H69" s="496">
        <v>2084.7600588</v>
      </c>
      <c r="I69" s="497">
        <v>2012.9440200000004</v>
      </c>
      <c r="J69" s="497">
        <v>2305.0377120000003</v>
      </c>
      <c r="K69" s="502">
        <v>2210.7717480000001</v>
      </c>
      <c r="L69" s="580">
        <v>2546.652</v>
      </c>
      <c r="M69" s="581">
        <v>2455.8996000000002</v>
      </c>
      <c r="N69" s="581">
        <v>2455.8996000000002</v>
      </c>
      <c r="O69" s="581">
        <v>2455.8996000000002</v>
      </c>
      <c r="P69" s="582">
        <v>2455.8996000000002</v>
      </c>
      <c r="Q69" s="498">
        <v>2455.8996000000002</v>
      </c>
      <c r="R69" s="573">
        <f t="shared" si="0"/>
        <v>-0.4</v>
      </c>
      <c r="S69" s="256">
        <f t="shared" si="1"/>
        <v>-0.7</v>
      </c>
      <c r="T69" s="283"/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72.923520674608298</v>
      </c>
      <c r="E70" s="45">
        <v>77.590625997783235</v>
      </c>
      <c r="F70" s="49">
        <v>82.401244809645803</v>
      </c>
      <c r="G70" s="45">
        <v>94</v>
      </c>
      <c r="H70" s="49">
        <v>95</v>
      </c>
      <c r="I70" s="45">
        <v>95</v>
      </c>
      <c r="J70" s="49">
        <v>95</v>
      </c>
      <c r="K70" s="50">
        <v>120</v>
      </c>
      <c r="L70" s="140">
        <v>120</v>
      </c>
      <c r="M70" s="45">
        <v>125</v>
      </c>
      <c r="N70" s="45">
        <v>130</v>
      </c>
      <c r="O70" s="45">
        <v>135</v>
      </c>
      <c r="P70" s="45">
        <v>140</v>
      </c>
      <c r="Q70" s="50">
        <v>145</v>
      </c>
      <c r="R70" s="573">
        <f t="shared" si="0"/>
        <v>7.4</v>
      </c>
      <c r="S70" s="256">
        <f t="shared" si="1"/>
        <v>3.9</v>
      </c>
      <c r="T70" s="283"/>
      <c r="U70" s="280"/>
      <c r="V70" s="280"/>
      <c r="W70" s="280"/>
      <c r="X70" s="280"/>
      <c r="Y70" s="280"/>
      <c r="Z70" s="280"/>
      <c r="AA70" s="280"/>
      <c r="AB70" s="280"/>
      <c r="AC70" s="280"/>
      <c r="AD70" s="280"/>
      <c r="AE70" s="280"/>
      <c r="AF70" s="280"/>
      <c r="AG70" s="280"/>
    </row>
    <row r="71" spans="1:33" ht="15" customHeight="1">
      <c r="A71" s="16"/>
      <c r="B71" s="668" t="s">
        <v>439</v>
      </c>
      <c r="C71" s="669"/>
      <c r="D71" s="140">
        <v>280</v>
      </c>
      <c r="E71" s="49">
        <v>332</v>
      </c>
      <c r="F71" s="45">
        <v>368</v>
      </c>
      <c r="G71" s="49">
        <v>396</v>
      </c>
      <c r="H71" s="49">
        <v>427.68</v>
      </c>
      <c r="I71" s="45">
        <v>515</v>
      </c>
      <c r="J71" s="49">
        <v>471</v>
      </c>
      <c r="K71" s="50">
        <v>520</v>
      </c>
      <c r="L71" s="140">
        <v>530</v>
      </c>
      <c r="M71" s="45">
        <v>540</v>
      </c>
      <c r="N71" s="45">
        <v>530</v>
      </c>
      <c r="O71" s="45">
        <v>540</v>
      </c>
      <c r="P71" s="45">
        <v>530</v>
      </c>
      <c r="Q71" s="50">
        <v>550</v>
      </c>
      <c r="R71" s="573">
        <f t="shared" si="0"/>
        <v>9.1999999999999993</v>
      </c>
      <c r="S71" s="256">
        <f t="shared" si="1"/>
        <v>0.7</v>
      </c>
      <c r="T71" s="28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T72" s="283"/>
      <c r="U72" s="280"/>
      <c r="V72" s="280"/>
      <c r="W72" s="280"/>
      <c r="X72" s="280"/>
      <c r="Y72" s="280"/>
      <c r="Z72" s="280"/>
      <c r="AA72" s="280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222</v>
      </c>
      <c r="E73" s="49">
        <v>222</v>
      </c>
      <c r="F73" s="45">
        <v>222</v>
      </c>
      <c r="G73" s="49">
        <v>222</v>
      </c>
      <c r="H73" s="49">
        <v>222</v>
      </c>
      <c r="I73" s="45">
        <v>234.87</v>
      </c>
      <c r="J73" s="49">
        <v>248.96</v>
      </c>
      <c r="K73" s="50">
        <v>263.91000000000003</v>
      </c>
      <c r="L73" s="140">
        <v>279.74</v>
      </c>
      <c r="M73" s="45">
        <v>296.52</v>
      </c>
      <c r="N73" s="45">
        <v>314.31</v>
      </c>
      <c r="O73" s="45">
        <v>333</v>
      </c>
      <c r="P73" s="45">
        <v>353</v>
      </c>
      <c r="Q73" s="50">
        <v>374</v>
      </c>
      <c r="R73" s="573">
        <f t="shared" si="10"/>
        <v>2.5</v>
      </c>
      <c r="S73" s="256">
        <f t="shared" si="11"/>
        <v>6</v>
      </c>
      <c r="T73" s="283"/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90</v>
      </c>
      <c r="E74" s="496">
        <v>90</v>
      </c>
      <c r="F74" s="497">
        <v>90</v>
      </c>
      <c r="G74" s="497">
        <v>90</v>
      </c>
      <c r="H74" s="496">
        <v>40.925000000000004</v>
      </c>
      <c r="I74" s="497">
        <v>90</v>
      </c>
      <c r="J74" s="497">
        <v>90</v>
      </c>
      <c r="K74" s="502">
        <v>90</v>
      </c>
      <c r="L74" s="503">
        <v>90</v>
      </c>
      <c r="M74" s="496">
        <v>90</v>
      </c>
      <c r="N74" s="496">
        <v>90</v>
      </c>
      <c r="O74" s="496">
        <v>90</v>
      </c>
      <c r="P74" s="497">
        <v>90</v>
      </c>
      <c r="Q74" s="502">
        <v>90</v>
      </c>
      <c r="R74" s="573">
        <f t="shared" si="10"/>
        <v>0</v>
      </c>
      <c r="S74" s="256">
        <f t="shared" si="11"/>
        <v>0</v>
      </c>
      <c r="T74" s="283"/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48</v>
      </c>
      <c r="E75" s="49">
        <v>51</v>
      </c>
      <c r="F75" s="45">
        <v>55</v>
      </c>
      <c r="G75" s="49">
        <v>59</v>
      </c>
      <c r="H75" s="49">
        <v>63</v>
      </c>
      <c r="I75" s="45">
        <v>67</v>
      </c>
      <c r="J75" s="49">
        <v>71</v>
      </c>
      <c r="K75" s="50">
        <v>75</v>
      </c>
      <c r="L75" s="140">
        <v>80</v>
      </c>
      <c r="M75" s="45">
        <v>85</v>
      </c>
      <c r="N75" s="45">
        <v>90</v>
      </c>
      <c r="O75" s="45">
        <v>95</v>
      </c>
      <c r="P75" s="45">
        <v>101</v>
      </c>
      <c r="Q75" s="50">
        <v>107</v>
      </c>
      <c r="R75" s="573">
        <f t="shared" si="10"/>
        <v>6.6</v>
      </c>
      <c r="S75" s="256">
        <f t="shared" si="11"/>
        <v>6</v>
      </c>
      <c r="T75" s="283"/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4989</v>
      </c>
      <c r="E76" s="40">
        <v>4926</v>
      </c>
      <c r="F76" s="40">
        <v>5334</v>
      </c>
      <c r="G76" s="40">
        <v>5741</v>
      </c>
      <c r="H76" s="505">
        <v>4266</v>
      </c>
      <c r="I76" s="505">
        <v>4388</v>
      </c>
      <c r="J76" s="506">
        <v>4689</v>
      </c>
      <c r="K76" s="507">
        <v>4806</v>
      </c>
      <c r="L76" s="508">
        <v>4894</v>
      </c>
      <c r="M76" s="505">
        <v>4850</v>
      </c>
      <c r="N76" s="505">
        <v>4850</v>
      </c>
      <c r="O76" s="505">
        <v>4850</v>
      </c>
      <c r="P76" s="505">
        <v>4850</v>
      </c>
      <c r="Q76" s="509">
        <v>4850</v>
      </c>
      <c r="R76" s="573">
        <f t="shared" si="10"/>
        <v>-0.5</v>
      </c>
      <c r="S76" s="256">
        <f t="shared" si="11"/>
        <v>-0.2</v>
      </c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  <c r="AE76" s="283"/>
      <c r="AF76" s="283"/>
      <c r="AG76" s="283"/>
    </row>
    <row r="77" spans="1:33" ht="15.75" customHeight="1">
      <c r="A77" s="16"/>
      <c r="B77" s="674" t="s">
        <v>307</v>
      </c>
      <c r="C77" s="675"/>
      <c r="D77" s="95">
        <f>SUM(D65:D76)</f>
        <v>22332.923520674609</v>
      </c>
      <c r="E77" s="93">
        <f t="shared" ref="E77:Q77" si="12">SUM(E65:E76)</f>
        <v>22890.997292664448</v>
      </c>
      <c r="F77" s="93">
        <f t="shared" si="12"/>
        <v>24129.126198142982</v>
      </c>
      <c r="G77" s="93">
        <f t="shared" si="12"/>
        <v>24677.628501560001</v>
      </c>
      <c r="H77" s="93">
        <f t="shared" si="12"/>
        <v>22984.085786905238</v>
      </c>
      <c r="I77" s="93">
        <f t="shared" si="12"/>
        <v>23426.729162667343</v>
      </c>
      <c r="J77" s="93">
        <f t="shared" si="12"/>
        <v>24462.997712</v>
      </c>
      <c r="K77" s="96">
        <f t="shared" si="12"/>
        <v>25639.681747999999</v>
      </c>
      <c r="L77" s="95">
        <f t="shared" si="12"/>
        <v>27352.392000000003</v>
      </c>
      <c r="M77" s="93">
        <f t="shared" si="12"/>
        <v>29232.419600000001</v>
      </c>
      <c r="N77" s="93">
        <f t="shared" si="12"/>
        <v>31071.209600000002</v>
      </c>
      <c r="O77" s="93">
        <f t="shared" si="12"/>
        <v>32702.899600000001</v>
      </c>
      <c r="P77" s="93">
        <f t="shared" si="12"/>
        <v>34188.899600000004</v>
      </c>
      <c r="Q77" s="96">
        <f t="shared" si="12"/>
        <v>35913.899600000004</v>
      </c>
      <c r="R77" s="574">
        <f t="shared" si="10"/>
        <v>2</v>
      </c>
      <c r="S77" s="510">
        <f t="shared" si="11"/>
        <v>5.6</v>
      </c>
      <c r="T77" s="28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10</v>
      </c>
      <c r="E78" s="512">
        <v>10</v>
      </c>
      <c r="F78" s="512">
        <v>10</v>
      </c>
      <c r="G78" s="512">
        <v>10</v>
      </c>
      <c r="H78" s="512">
        <v>0.1</v>
      </c>
      <c r="I78" s="512">
        <v>0.1</v>
      </c>
      <c r="J78" s="513">
        <v>0.1</v>
      </c>
      <c r="K78" s="514">
        <v>0.1</v>
      </c>
      <c r="L78" s="511">
        <v>0.1</v>
      </c>
      <c r="M78" s="512">
        <v>0.1</v>
      </c>
      <c r="N78" s="512">
        <v>0.1</v>
      </c>
      <c r="O78" s="512">
        <v>0.1</v>
      </c>
      <c r="P78" s="513">
        <v>0</v>
      </c>
      <c r="Q78" s="514">
        <v>0</v>
      </c>
      <c r="R78" s="574">
        <f t="shared" si="10"/>
        <v>-48.2</v>
      </c>
      <c r="S78" s="510" t="str">
        <f t="shared" si="11"/>
        <v xml:space="preserve">     -</v>
      </c>
      <c r="T78" s="283"/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10</v>
      </c>
      <c r="E79" s="512">
        <v>10</v>
      </c>
      <c r="F79" s="512">
        <v>10</v>
      </c>
      <c r="G79" s="512">
        <v>10</v>
      </c>
      <c r="H79" s="512">
        <v>0.1</v>
      </c>
      <c r="I79" s="512">
        <v>0.1</v>
      </c>
      <c r="J79" s="513">
        <v>0.1</v>
      </c>
      <c r="K79" s="514">
        <v>0.1</v>
      </c>
      <c r="L79" s="511">
        <v>0.1</v>
      </c>
      <c r="M79" s="512">
        <v>0.1</v>
      </c>
      <c r="N79" s="512">
        <v>0.1</v>
      </c>
      <c r="O79" s="512">
        <v>0.1</v>
      </c>
      <c r="P79" s="513">
        <v>0</v>
      </c>
      <c r="Q79" s="514">
        <v>0</v>
      </c>
      <c r="R79" s="574">
        <f t="shared" si="10"/>
        <v>-48.2</v>
      </c>
      <c r="S79" s="510" t="str">
        <f t="shared" si="11"/>
        <v xml:space="preserve">     -</v>
      </c>
      <c r="T79" s="283"/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3130</v>
      </c>
      <c r="E80" s="538">
        <v>2860</v>
      </c>
      <c r="F80" s="538">
        <v>3685</v>
      </c>
      <c r="G80" s="538">
        <v>3574</v>
      </c>
      <c r="H80" s="538">
        <v>2973</v>
      </c>
      <c r="I80" s="538">
        <v>2853.6</v>
      </c>
      <c r="J80" s="515">
        <v>2723</v>
      </c>
      <c r="K80" s="536">
        <v>2697.6000000000004</v>
      </c>
      <c r="L80" s="537">
        <v>2674.2999999999997</v>
      </c>
      <c r="M80" s="538">
        <v>2773.7</v>
      </c>
      <c r="N80" s="538">
        <v>2837.1000000000004</v>
      </c>
      <c r="O80" s="538">
        <v>2804.4</v>
      </c>
      <c r="P80" s="515">
        <v>2804</v>
      </c>
      <c r="Q80" s="536">
        <v>2804</v>
      </c>
      <c r="R80" s="575">
        <f t="shared" si="10"/>
        <v>-2.1</v>
      </c>
      <c r="S80" s="517">
        <f t="shared" si="11"/>
        <v>1</v>
      </c>
      <c r="T80" s="28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2400</v>
      </c>
      <c r="E81" s="512">
        <v>2399</v>
      </c>
      <c r="F81" s="512">
        <v>3183</v>
      </c>
      <c r="G81" s="512">
        <v>3085</v>
      </c>
      <c r="H81" s="512">
        <v>2361</v>
      </c>
      <c r="I81" s="512">
        <v>2356</v>
      </c>
      <c r="J81" s="513">
        <v>2185.1999999999998</v>
      </c>
      <c r="K81" s="514">
        <v>2180.8000000000002</v>
      </c>
      <c r="L81" s="511">
        <v>2191.1999999999998</v>
      </c>
      <c r="M81" s="512">
        <v>2264.5</v>
      </c>
      <c r="N81" s="512">
        <v>2284.8000000000002</v>
      </c>
      <c r="O81" s="512">
        <v>2303.8000000000002</v>
      </c>
      <c r="P81" s="513">
        <v>2304</v>
      </c>
      <c r="Q81" s="514">
        <v>2304</v>
      </c>
      <c r="R81" s="574">
        <f t="shared" si="10"/>
        <v>-1.4</v>
      </c>
      <c r="S81" s="510">
        <f t="shared" si="11"/>
        <v>1</v>
      </c>
      <c r="T81" s="28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4000</v>
      </c>
      <c r="E82" s="496">
        <v>2400</v>
      </c>
      <c r="F82" s="496">
        <v>3220</v>
      </c>
      <c r="G82" s="496">
        <v>3300</v>
      </c>
      <c r="H82" s="496">
        <v>4150</v>
      </c>
      <c r="I82" s="496">
        <v>4200</v>
      </c>
      <c r="J82" s="497">
        <v>4200</v>
      </c>
      <c r="K82" s="502">
        <v>4200</v>
      </c>
      <c r="L82" s="503">
        <v>5013</v>
      </c>
      <c r="M82" s="496">
        <v>5825</v>
      </c>
      <c r="N82" s="496">
        <v>5825</v>
      </c>
      <c r="O82" s="496">
        <v>6723</v>
      </c>
      <c r="P82" s="497">
        <v>8825</v>
      </c>
      <c r="Q82" s="502">
        <v>8825</v>
      </c>
      <c r="R82" s="573">
        <f t="shared" si="10"/>
        <v>0.7</v>
      </c>
      <c r="S82" s="256">
        <f t="shared" si="11"/>
        <v>12</v>
      </c>
      <c r="T82" s="283"/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300</v>
      </c>
      <c r="F83" s="518">
        <v>200</v>
      </c>
      <c r="G83" s="518">
        <v>250</v>
      </c>
      <c r="H83" s="518">
        <v>820</v>
      </c>
      <c r="I83" s="518">
        <v>1043</v>
      </c>
      <c r="J83" s="519">
        <v>1043</v>
      </c>
      <c r="K83" s="514">
        <v>1043</v>
      </c>
      <c r="L83" s="511">
        <v>1855</v>
      </c>
      <c r="M83" s="518">
        <v>2668</v>
      </c>
      <c r="N83" s="518">
        <v>2668</v>
      </c>
      <c r="O83" s="518">
        <v>3918</v>
      </c>
      <c r="P83" s="519">
        <v>3918</v>
      </c>
      <c r="Q83" s="514">
        <v>3918</v>
      </c>
      <c r="R83" s="574" t="str">
        <f t="shared" si="10"/>
        <v xml:space="preserve">     -</v>
      </c>
      <c r="S83" s="510">
        <f t="shared" si="11"/>
        <v>16.100000000000001</v>
      </c>
      <c r="T83" s="283"/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120</v>
      </c>
      <c r="E84" s="518">
        <v>120</v>
      </c>
      <c r="F84" s="518">
        <v>0</v>
      </c>
      <c r="G84" s="518">
        <v>0</v>
      </c>
      <c r="H84" s="518">
        <v>0</v>
      </c>
      <c r="I84" s="518">
        <v>0</v>
      </c>
      <c r="J84" s="519">
        <v>255</v>
      </c>
      <c r="K84" s="514">
        <v>255</v>
      </c>
      <c r="L84" s="511">
        <v>255</v>
      </c>
      <c r="M84" s="518">
        <v>255</v>
      </c>
      <c r="N84" s="518">
        <v>255</v>
      </c>
      <c r="O84" s="518">
        <v>255</v>
      </c>
      <c r="P84" s="519">
        <v>255</v>
      </c>
      <c r="Q84" s="514">
        <v>255</v>
      </c>
      <c r="R84" s="574">
        <f t="shared" si="10"/>
        <v>11.4</v>
      </c>
      <c r="S84" s="510">
        <f t="shared" si="11"/>
        <v>0</v>
      </c>
      <c r="T84" s="283"/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501</v>
      </c>
      <c r="E85" s="521">
        <v>499.33</v>
      </c>
      <c r="F85" s="521">
        <v>671.71741999999995</v>
      </c>
      <c r="G85" s="521">
        <v>680.44974645999991</v>
      </c>
      <c r="H85" s="521">
        <v>587</v>
      </c>
      <c r="I85" s="521">
        <v>623</v>
      </c>
      <c r="J85" s="522">
        <v>609.79999999999995</v>
      </c>
      <c r="K85" s="523">
        <v>608</v>
      </c>
      <c r="L85" s="520">
        <v>617.72800000000007</v>
      </c>
      <c r="M85" s="521">
        <v>627.61164800000006</v>
      </c>
      <c r="N85" s="521">
        <v>637.65343436800003</v>
      </c>
      <c r="O85" s="521">
        <v>647.855889317888</v>
      </c>
      <c r="P85" s="522">
        <v>658.22158354697422</v>
      </c>
      <c r="Q85" s="523">
        <v>662</v>
      </c>
      <c r="R85" s="574">
        <f t="shared" si="10"/>
        <v>2.8</v>
      </c>
      <c r="S85" s="510">
        <f t="shared" si="11"/>
        <v>1.4</v>
      </c>
      <c r="T85" s="283"/>
      <c r="U85" s="318"/>
      <c r="V85" s="318"/>
      <c r="W85" s="318"/>
      <c r="X85" s="318"/>
      <c r="Y85" s="318"/>
      <c r="Z85" s="318"/>
      <c r="AA85" s="318"/>
      <c r="AB85" s="318"/>
      <c r="AC85" s="43"/>
      <c r="AD85" s="43"/>
      <c r="AE85" s="43"/>
      <c r="AF85" s="43"/>
      <c r="AG85" s="43"/>
    </row>
    <row r="86" spans="1:33" ht="15" customHeight="1">
      <c r="A86" s="16"/>
      <c r="B86" s="672" t="s">
        <v>316</v>
      </c>
      <c r="C86" s="673"/>
      <c r="D86" s="529">
        <v>4200</v>
      </c>
      <c r="E86" s="525">
        <v>4200</v>
      </c>
      <c r="F86" s="530">
        <v>4200</v>
      </c>
      <c r="G86" s="530">
        <v>4200</v>
      </c>
      <c r="H86" s="525">
        <v>4235</v>
      </c>
      <c r="I86" s="530">
        <v>4338</v>
      </c>
      <c r="J86" s="530">
        <v>4454</v>
      </c>
      <c r="K86" s="564">
        <v>4556</v>
      </c>
      <c r="L86" s="524">
        <v>4687</v>
      </c>
      <c r="M86" s="525">
        <v>4806</v>
      </c>
      <c r="N86" s="525">
        <v>4893</v>
      </c>
      <c r="O86" s="525">
        <v>4977</v>
      </c>
      <c r="P86" s="530">
        <v>5051</v>
      </c>
      <c r="Q86" s="564">
        <v>5120</v>
      </c>
      <c r="R86" s="573">
        <f t="shared" si="10"/>
        <v>1.2</v>
      </c>
      <c r="S86" s="256">
        <f t="shared" si="11"/>
        <v>1.8</v>
      </c>
      <c r="T86" s="28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600</v>
      </c>
      <c r="E87" s="525">
        <v>600</v>
      </c>
      <c r="F87" s="530">
        <v>610</v>
      </c>
      <c r="G87" s="530">
        <v>623</v>
      </c>
      <c r="H87" s="525">
        <v>637</v>
      </c>
      <c r="I87" s="530">
        <v>652</v>
      </c>
      <c r="J87" s="530">
        <v>668</v>
      </c>
      <c r="K87" s="564">
        <v>688</v>
      </c>
      <c r="L87" s="524">
        <v>702</v>
      </c>
      <c r="M87" s="525">
        <v>716</v>
      </c>
      <c r="N87" s="525">
        <v>729</v>
      </c>
      <c r="O87" s="525">
        <v>742</v>
      </c>
      <c r="P87" s="530">
        <v>754</v>
      </c>
      <c r="Q87" s="564">
        <v>766</v>
      </c>
      <c r="R87" s="573">
        <f t="shared" si="10"/>
        <v>2</v>
      </c>
      <c r="S87" s="256">
        <f t="shared" si="11"/>
        <v>1.8</v>
      </c>
      <c r="T87" s="28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</row>
    <row r="88" spans="1:33" ht="15.75" customHeight="1">
      <c r="A88" s="16"/>
      <c r="B88" s="674" t="s">
        <v>318</v>
      </c>
      <c r="C88" s="675"/>
      <c r="D88" s="95">
        <f>SUM(D86:D87)</f>
        <v>4800</v>
      </c>
      <c r="E88" s="92">
        <f t="shared" ref="E88:Q88" si="13">SUM(E86:E87)</f>
        <v>4800</v>
      </c>
      <c r="F88" s="92">
        <f t="shared" si="13"/>
        <v>4810</v>
      </c>
      <c r="G88" s="93">
        <f t="shared" si="13"/>
        <v>4823</v>
      </c>
      <c r="H88" s="93">
        <f t="shared" si="13"/>
        <v>4872</v>
      </c>
      <c r="I88" s="94">
        <f t="shared" si="13"/>
        <v>4990</v>
      </c>
      <c r="J88" s="94">
        <f t="shared" si="13"/>
        <v>5122</v>
      </c>
      <c r="K88" s="96">
        <f t="shared" si="13"/>
        <v>5244</v>
      </c>
      <c r="L88" s="95">
        <f t="shared" si="13"/>
        <v>5389</v>
      </c>
      <c r="M88" s="93">
        <f t="shared" si="13"/>
        <v>5522</v>
      </c>
      <c r="N88" s="93">
        <f t="shared" si="13"/>
        <v>5622</v>
      </c>
      <c r="O88" s="93">
        <f t="shared" si="13"/>
        <v>5719</v>
      </c>
      <c r="P88" s="93">
        <f t="shared" si="13"/>
        <v>5805</v>
      </c>
      <c r="Q88" s="96">
        <f t="shared" si="13"/>
        <v>5886</v>
      </c>
      <c r="R88" s="574">
        <f t="shared" si="10"/>
        <v>1.3</v>
      </c>
      <c r="S88" s="510">
        <f t="shared" si="11"/>
        <v>1.8</v>
      </c>
      <c r="T88" s="28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340.13536199999993</v>
      </c>
      <c r="E89" s="525">
        <v>350</v>
      </c>
      <c r="F89" s="530">
        <v>350</v>
      </c>
      <c r="G89" s="530">
        <v>358</v>
      </c>
      <c r="H89" s="525">
        <v>366</v>
      </c>
      <c r="I89" s="530">
        <v>376</v>
      </c>
      <c r="J89" s="530">
        <v>384</v>
      </c>
      <c r="K89" s="564">
        <v>392</v>
      </c>
      <c r="L89" s="565">
        <v>401</v>
      </c>
      <c r="M89" s="566">
        <v>411</v>
      </c>
      <c r="N89" s="566">
        <v>422</v>
      </c>
      <c r="O89" s="566">
        <v>434</v>
      </c>
      <c r="P89" s="566">
        <v>447</v>
      </c>
      <c r="Q89" s="567">
        <v>460</v>
      </c>
      <c r="R89" s="573">
        <f t="shared" si="10"/>
        <v>2</v>
      </c>
      <c r="S89" s="256">
        <f t="shared" si="11"/>
        <v>2.8</v>
      </c>
      <c r="T89" s="28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565</v>
      </c>
      <c r="E90" s="525">
        <v>571</v>
      </c>
      <c r="F90" s="530">
        <v>577</v>
      </c>
      <c r="G90" s="530">
        <v>235</v>
      </c>
      <c r="H90" s="525">
        <v>589</v>
      </c>
      <c r="I90" s="530">
        <v>590</v>
      </c>
      <c r="J90" s="530">
        <v>571</v>
      </c>
      <c r="K90" s="564">
        <v>577</v>
      </c>
      <c r="L90" s="524">
        <v>585</v>
      </c>
      <c r="M90" s="525">
        <v>599</v>
      </c>
      <c r="N90" s="525">
        <v>613</v>
      </c>
      <c r="O90" s="525">
        <v>627</v>
      </c>
      <c r="P90" s="530">
        <v>641</v>
      </c>
      <c r="Q90" s="564">
        <v>655</v>
      </c>
      <c r="R90" s="573">
        <f t="shared" si="10"/>
        <v>0.3</v>
      </c>
      <c r="S90" s="256">
        <f t="shared" si="11"/>
        <v>2.2999999999999998</v>
      </c>
      <c r="T90" s="28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270.07529699921753</v>
      </c>
      <c r="E91" s="525">
        <v>279.52793239419015</v>
      </c>
      <c r="F91" s="530">
        <v>289.31141002798677</v>
      </c>
      <c r="G91" s="530">
        <v>299.43730937896629</v>
      </c>
      <c r="H91" s="525">
        <v>309.91761520723009</v>
      </c>
      <c r="I91" s="530">
        <v>320.76473173948312</v>
      </c>
      <c r="J91" s="530">
        <v>319</v>
      </c>
      <c r="K91" s="568">
        <v>323</v>
      </c>
      <c r="L91" s="569">
        <v>327</v>
      </c>
      <c r="M91" s="570">
        <v>334</v>
      </c>
      <c r="N91" s="570">
        <v>343</v>
      </c>
      <c r="O91" s="570">
        <v>352</v>
      </c>
      <c r="P91" s="571">
        <v>362</v>
      </c>
      <c r="Q91" s="568">
        <v>372</v>
      </c>
      <c r="R91" s="573">
        <f t="shared" si="10"/>
        <v>2.6</v>
      </c>
      <c r="S91" s="256">
        <f t="shared" si="11"/>
        <v>2.6</v>
      </c>
      <c r="T91" s="283"/>
      <c r="U91" s="43"/>
      <c r="V91" s="43"/>
      <c r="W91" s="43"/>
      <c r="X91" s="43"/>
      <c r="Y91" s="283"/>
      <c r="Z91" s="283"/>
      <c r="AA91" s="283"/>
      <c r="AB91" s="283"/>
      <c r="AC91" s="283"/>
      <c r="AD91" s="28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1175.2106589992175</v>
      </c>
      <c r="E92" s="539">
        <f t="shared" ref="E92:Q92" si="14">SUM(E89:E91)</f>
        <v>1200.5279323941902</v>
      </c>
      <c r="F92" s="539">
        <f t="shared" si="14"/>
        <v>1216.3114100279868</v>
      </c>
      <c r="G92" s="100">
        <f t="shared" si="14"/>
        <v>892.43730937896635</v>
      </c>
      <c r="H92" s="100">
        <f t="shared" si="14"/>
        <v>1264.91761520723</v>
      </c>
      <c r="I92" s="100">
        <f t="shared" si="14"/>
        <v>1286.7647317394831</v>
      </c>
      <c r="J92" s="101">
        <f t="shared" si="14"/>
        <v>1274</v>
      </c>
      <c r="K92" s="104">
        <f t="shared" si="14"/>
        <v>1292</v>
      </c>
      <c r="L92" s="540">
        <f t="shared" si="14"/>
        <v>1313</v>
      </c>
      <c r="M92" s="100">
        <f t="shared" si="14"/>
        <v>1344</v>
      </c>
      <c r="N92" s="100">
        <f t="shared" si="14"/>
        <v>1378</v>
      </c>
      <c r="O92" s="100">
        <f t="shared" si="14"/>
        <v>1413</v>
      </c>
      <c r="P92" s="100">
        <f t="shared" si="14"/>
        <v>1450</v>
      </c>
      <c r="Q92" s="103">
        <f t="shared" si="14"/>
        <v>1487</v>
      </c>
      <c r="R92" s="576">
        <f t="shared" si="10"/>
        <v>1.4</v>
      </c>
      <c r="S92" s="541">
        <f t="shared" si="11"/>
        <v>2.5</v>
      </c>
      <c r="T92" s="28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36069.134179673827</v>
      </c>
      <c r="E93" s="543">
        <f t="shared" ref="E93:Q93" si="15">E77+E78+E80+E82+E84+E85+E88+E92</f>
        <v>34780.855225058636</v>
      </c>
      <c r="F93" s="543">
        <f t="shared" si="15"/>
        <v>37742.155028170971</v>
      </c>
      <c r="G93" s="544">
        <f t="shared" si="15"/>
        <v>37957.515557398969</v>
      </c>
      <c r="H93" s="544">
        <f t="shared" si="15"/>
        <v>36831.103402112465</v>
      </c>
      <c r="I93" s="544">
        <f t="shared" si="15"/>
        <v>37380.193894406817</v>
      </c>
      <c r="J93" s="545">
        <f t="shared" si="15"/>
        <v>38646.897711999998</v>
      </c>
      <c r="K93" s="546">
        <f t="shared" si="15"/>
        <v>39936.381748</v>
      </c>
      <c r="L93" s="547">
        <f t="shared" si="15"/>
        <v>42614.520000000004</v>
      </c>
      <c r="M93" s="544">
        <f t="shared" si="15"/>
        <v>45579.831247999995</v>
      </c>
      <c r="N93" s="544">
        <f t="shared" si="15"/>
        <v>47626.063034368002</v>
      </c>
      <c r="O93" s="544">
        <f t="shared" si="15"/>
        <v>50265.255489317882</v>
      </c>
      <c r="P93" s="544">
        <f t="shared" si="15"/>
        <v>53986.12118354698</v>
      </c>
      <c r="Q93" s="577">
        <f t="shared" si="15"/>
        <v>55832.899600000004</v>
      </c>
      <c r="R93" s="578">
        <f t="shared" si="10"/>
        <v>1.5</v>
      </c>
      <c r="S93" s="549">
        <f t="shared" si="11"/>
        <v>5.6</v>
      </c>
      <c r="T93" s="283"/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3:20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20" ht="13.5" customHeight="1">
      <c r="C98" s="617" t="s">
        <v>333</v>
      </c>
      <c r="E98" s="27"/>
      <c r="F98" s="27"/>
      <c r="G98" s="27"/>
      <c r="H98" s="27"/>
      <c r="I98" s="27"/>
      <c r="J98" s="27"/>
      <c r="K98" s="13"/>
      <c r="L98" s="13"/>
      <c r="M98" s="13"/>
      <c r="N98" s="13"/>
      <c r="O98" s="13"/>
      <c r="P98" s="13"/>
      <c r="Q98" s="13"/>
    </row>
    <row r="99" spans="3:20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20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</row>
    <row r="101" spans="3:20">
      <c r="E101" s="27"/>
      <c r="F101" s="27"/>
      <c r="G101" s="27"/>
      <c r="H101" s="27"/>
      <c r="I101" s="27"/>
      <c r="J101" s="27"/>
      <c r="K101" s="29"/>
      <c r="L101" s="29"/>
      <c r="M101" s="29"/>
      <c r="N101" s="29"/>
      <c r="O101" s="29"/>
      <c r="P101" s="29"/>
      <c r="Q101" s="29"/>
    </row>
    <row r="102" spans="3:20" ht="14.25">
      <c r="E102" s="27"/>
      <c r="F102" s="27"/>
      <c r="G102" s="27"/>
      <c r="H102" s="257"/>
      <c r="I102" s="83"/>
      <c r="J102" s="83"/>
      <c r="K102" s="83"/>
      <c r="L102" s="83"/>
      <c r="M102" s="83"/>
      <c r="N102" s="83"/>
      <c r="O102" s="27"/>
      <c r="P102" s="27"/>
      <c r="Q102" s="24"/>
    </row>
    <row r="103" spans="3:20">
      <c r="E103" s="426"/>
      <c r="F103" s="426"/>
      <c r="G103" s="426"/>
      <c r="H103" s="426"/>
      <c r="I103" s="426"/>
      <c r="J103" s="426"/>
      <c r="K103" s="426"/>
      <c r="L103" s="426"/>
      <c r="M103" s="426"/>
      <c r="N103" s="426"/>
      <c r="O103" s="426"/>
      <c r="P103" s="426"/>
      <c r="Q103" s="426"/>
    </row>
    <row r="104" spans="3:20"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4"/>
    </row>
    <row r="105" spans="3:20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20"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T106" s="283"/>
    </row>
    <row r="107" spans="3:20"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T107" s="283"/>
    </row>
    <row r="108" spans="3:20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T109" s="283"/>
    </row>
    <row r="110" spans="3:20"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T110" s="283"/>
    </row>
    <row r="111" spans="3:20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20"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T112" s="283"/>
    </row>
    <row r="113" spans="4:20"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T113" s="283"/>
    </row>
    <row r="114" spans="4:20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4:20"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</row>
    <row r="116" spans="4:20"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</row>
    <row r="117" spans="4:20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4:20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4:20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4:20">
      <c r="E120" s="27"/>
      <c r="F120" s="27"/>
      <c r="G120" s="24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4:20">
      <c r="E121" s="27"/>
      <c r="F121" s="27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4:20">
      <c r="E122" s="27"/>
      <c r="F122" s="27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4:20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4:20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4:20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4:20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4:20">
      <c r="E127" s="27"/>
      <c r="F127" s="27"/>
      <c r="G127" s="24"/>
      <c r="H127" s="27"/>
      <c r="I127" s="27"/>
      <c r="J127" s="27"/>
      <c r="K127" s="24"/>
      <c r="L127" s="27"/>
      <c r="M127" s="27"/>
      <c r="N127" s="27"/>
      <c r="O127" s="27"/>
      <c r="P127" s="27"/>
      <c r="Q127" s="27"/>
    </row>
    <row r="128" spans="4:20">
      <c r="E128" s="27"/>
      <c r="F128" s="27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 customFormat="1">
      <c r="E129" s="27"/>
      <c r="F129" s="27"/>
      <c r="G129" s="24"/>
      <c r="H129" s="27"/>
      <c r="I129" s="27"/>
      <c r="J129" s="27"/>
      <c r="K129" s="24"/>
      <c r="L129" s="27"/>
      <c r="M129" s="27"/>
      <c r="N129" s="27"/>
      <c r="O129" s="27"/>
      <c r="P129" s="27"/>
      <c r="Q129" s="24"/>
    </row>
    <row r="130" spans="5:17" customFormat="1">
      <c r="E130" s="27"/>
      <c r="F130" s="27"/>
      <c r="G130" s="24"/>
      <c r="H130" s="27"/>
      <c r="I130" s="27"/>
      <c r="J130" s="27"/>
      <c r="K130" s="24"/>
      <c r="L130" s="27"/>
      <c r="M130" s="27"/>
      <c r="N130" s="27"/>
      <c r="O130" s="27"/>
      <c r="P130" s="27"/>
      <c r="Q130" s="24"/>
    </row>
    <row r="131" spans="5:17" customFormat="1">
      <c r="E131" s="27"/>
      <c r="F131" s="27"/>
      <c r="G131" s="24"/>
      <c r="H131" s="27"/>
      <c r="I131" s="27"/>
      <c r="J131" s="27"/>
      <c r="K131" s="24"/>
      <c r="L131" s="27"/>
      <c r="M131" s="27"/>
      <c r="N131" s="27"/>
      <c r="O131" s="27"/>
      <c r="P131" s="27"/>
      <c r="Q131" s="24"/>
    </row>
    <row r="132" spans="5:17" customFormat="1">
      <c r="E132" s="27"/>
      <c r="F132" s="27"/>
      <c r="G132" s="24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 customFormat="1">
      <c r="E133" s="27"/>
      <c r="F133" s="27"/>
      <c r="G133" s="24"/>
      <c r="H133" s="27"/>
      <c r="I133" s="27"/>
      <c r="J133" s="27"/>
      <c r="K133" s="24"/>
      <c r="L133" s="27"/>
      <c r="M133" s="27"/>
      <c r="N133" s="27"/>
      <c r="O133" s="27"/>
      <c r="P133" s="27"/>
      <c r="Q133" s="24"/>
    </row>
    <row r="134" spans="5:17" customFormat="1">
      <c r="E134" s="27"/>
      <c r="F134" s="27"/>
      <c r="G134" s="24"/>
      <c r="H134" s="27"/>
      <c r="I134" s="27"/>
      <c r="J134" s="27"/>
      <c r="K134" s="24"/>
      <c r="L134" s="27"/>
      <c r="M134" s="27"/>
      <c r="N134" s="27"/>
      <c r="O134" s="27"/>
      <c r="P134" s="27"/>
      <c r="Q134" s="24"/>
    </row>
    <row r="135" spans="5:17" customFormat="1">
      <c r="E135" s="27"/>
      <c r="F135" s="27"/>
      <c r="G135" s="24"/>
      <c r="H135" s="27"/>
      <c r="I135" s="27"/>
      <c r="J135" s="27"/>
      <c r="K135" s="24"/>
      <c r="L135" s="27"/>
      <c r="M135" s="27"/>
      <c r="N135" s="27"/>
      <c r="O135" s="27"/>
      <c r="P135" s="27"/>
      <c r="Q135" s="24"/>
    </row>
    <row r="136" spans="5:17" customFormat="1">
      <c r="E136" s="27"/>
      <c r="F136" s="27"/>
      <c r="G136" s="24"/>
      <c r="H136" s="27"/>
      <c r="I136" s="27"/>
      <c r="J136" s="27"/>
      <c r="K136" s="24"/>
      <c r="L136" s="27"/>
      <c r="M136" s="27"/>
      <c r="N136" s="27"/>
      <c r="O136" s="27"/>
      <c r="P136" s="27"/>
      <c r="Q136" s="24"/>
    </row>
    <row r="137" spans="5:17" customFormat="1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 customFormat="1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 customFormat="1">
      <c r="E139" s="27"/>
      <c r="F139" s="27"/>
      <c r="G139" s="24"/>
      <c r="H139" s="27"/>
      <c r="I139" s="27"/>
      <c r="J139" s="27"/>
      <c r="K139" s="24"/>
      <c r="L139" s="27"/>
      <c r="M139" s="27"/>
      <c r="N139" s="27"/>
      <c r="O139" s="27"/>
      <c r="P139" s="27"/>
      <c r="Q139" s="24"/>
    </row>
    <row r="140" spans="5:17" customFormat="1">
      <c r="E140" s="27"/>
      <c r="F140" s="27"/>
      <c r="G140" s="24"/>
      <c r="H140" s="27"/>
      <c r="I140" s="27"/>
      <c r="J140" s="27"/>
      <c r="K140" s="24"/>
      <c r="L140" s="27"/>
      <c r="M140" s="27"/>
      <c r="N140" s="27"/>
      <c r="O140" s="27"/>
      <c r="P140" s="27"/>
      <c r="Q140" s="27"/>
    </row>
    <row r="141" spans="5:17" customFormat="1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 customFormat="1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 customFormat="1">
      <c r="E143" s="27"/>
      <c r="F143" s="27"/>
      <c r="G143" s="24"/>
      <c r="H143" s="27"/>
      <c r="I143" s="27"/>
      <c r="J143" s="27"/>
      <c r="K143" s="24"/>
      <c r="L143" s="27"/>
      <c r="M143" s="27"/>
      <c r="N143" s="27"/>
      <c r="O143" s="27"/>
      <c r="P143" s="27"/>
      <c r="Q143" s="24"/>
    </row>
    <row r="144" spans="5:17" customFormat="1">
      <c r="E144" s="27"/>
      <c r="F144" s="27"/>
      <c r="G144" s="24"/>
      <c r="H144" s="27"/>
      <c r="I144" s="27"/>
      <c r="J144" s="27"/>
      <c r="K144" s="24"/>
      <c r="L144" s="27"/>
      <c r="M144" s="27"/>
      <c r="N144" s="27"/>
      <c r="O144" s="27"/>
      <c r="P144" s="27"/>
      <c r="Q144" s="24"/>
    </row>
    <row r="145" spans="5:17" customFormat="1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 customFormat="1">
      <c r="E146" s="27"/>
      <c r="F146" s="27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</row>
    <row r="147" spans="5:17" customFormat="1">
      <c r="E147" s="27"/>
      <c r="F147" s="27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</row>
    <row r="148" spans="5:17" customFormat="1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 customFormat="1"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24"/>
    </row>
    <row r="150" spans="5:17" customFormat="1">
      <c r="E150" s="27"/>
      <c r="F150" s="27"/>
      <c r="G150" s="27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 spans="5:17" customFormat="1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 customFormat="1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 customFormat="1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 customFormat="1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 customFormat="1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 customFormat="1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 customFormat="1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 customFormat="1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 customFormat="1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 customFormat="1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 customFormat="1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 customFormat="1"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4"/>
    </row>
    <row r="163" spans="5:17" customFormat="1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</row>
    <row r="164" spans="5:17" customFormat="1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 customFormat="1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</row>
    <row r="166" spans="5:17" customFormat="1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 customFormat="1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 customFormat="1"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4"/>
    </row>
    <row r="169" spans="5:17" customFormat="1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</row>
    <row r="170" spans="5:17" customFormat="1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 customFormat="1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 customFormat="1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 customFormat="1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 customFormat="1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 customFormat="1">
      <c r="E175" s="27"/>
      <c r="F175" s="27"/>
      <c r="G175" s="27"/>
      <c r="H175" s="24"/>
      <c r="I175" s="24"/>
      <c r="J175" s="24"/>
      <c r="K175" s="24"/>
      <c r="L175" s="24"/>
      <c r="M175" s="24"/>
      <c r="N175" s="24"/>
      <c r="O175" s="24"/>
      <c r="P175" s="24"/>
      <c r="Q175" s="24"/>
    </row>
    <row r="176" spans="5:17" customFormat="1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</row>
    <row r="177" spans="5:17" customFormat="1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 customFormat="1">
      <c r="E178" s="27"/>
      <c r="F178" s="27"/>
      <c r="G178" s="27"/>
      <c r="H178" s="27"/>
      <c r="I178" s="24"/>
      <c r="J178" s="24"/>
      <c r="K178" s="24"/>
      <c r="L178" s="24"/>
      <c r="M178" s="24"/>
      <c r="N178" s="24"/>
      <c r="O178" s="24"/>
      <c r="P178" s="24"/>
      <c r="Q178" s="24"/>
    </row>
    <row r="179" spans="5:17" customFormat="1">
      <c r="E179" s="27"/>
      <c r="F179" s="27"/>
      <c r="G179" s="27"/>
      <c r="H179" s="24"/>
      <c r="I179" s="24"/>
      <c r="J179" s="24"/>
      <c r="K179" s="24"/>
      <c r="L179" s="24"/>
      <c r="M179" s="24"/>
      <c r="N179" s="24"/>
      <c r="O179" s="24"/>
      <c r="P179" s="24"/>
      <c r="Q179" s="24"/>
    </row>
    <row r="180" spans="5:17" customFormat="1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 customFormat="1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 customFormat="1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 spans="5:17" customFormat="1"/>
    <row r="184" spans="5:17" customFormat="1"/>
    <row r="185" spans="5:17" customFormat="1"/>
    <row r="186" spans="5:17" customFormat="1"/>
    <row r="187" spans="5:17" customFormat="1"/>
    <row r="188" spans="5:17" customFormat="1"/>
    <row r="189" spans="5:17" customFormat="1"/>
    <row r="190" spans="5:17" customFormat="1"/>
    <row r="191" spans="5:17" customFormat="1"/>
    <row r="192" spans="5:17" customFormat="1"/>
    <row r="193" customFormat="1"/>
    <row r="194" customFormat="1"/>
    <row r="195" customFormat="1"/>
    <row r="196" customFormat="1"/>
    <row r="197" customFormat="1"/>
    <row r="198" customFormat="1"/>
    <row r="199" customFormat="1"/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45" priority="5">
      <formula>CELL("protect",C97)=0</formula>
    </cfRule>
    <cfRule type="expression" dxfId="244" priority="6">
      <formula>CELL("protect",C97)=0</formula>
    </cfRule>
  </conditionalFormatting>
  <conditionalFormatting sqref="C95">
    <cfRule type="expression" dxfId="243" priority="3">
      <formula>CELL("protect",C95)=0</formula>
    </cfRule>
    <cfRule type="expression" dxfId="242" priority="4">
      <formula>CELL("protect",C95)=0</formula>
    </cfRule>
  </conditionalFormatting>
  <conditionalFormatting sqref="C97">
    <cfRule type="expression" dxfId="241" priority="1">
      <formula>CELL("protect",C97)=0</formula>
    </cfRule>
    <cfRule type="expression" dxfId="24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&amp;C158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rgb="FF00B0F0"/>
    <pageSetUpPr fitToPage="1"/>
  </sheetPr>
  <dimension ref="A1:AG199"/>
  <sheetViews>
    <sheetView showGridLines="0" view="pageBreakPreview" zoomScale="80" zoomScaleNormal="70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8" sqref="T8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17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4230</v>
      </c>
      <c r="E7" s="488">
        <v>5250</v>
      </c>
      <c r="F7" s="489">
        <v>6130</v>
      </c>
      <c r="G7" s="489">
        <v>6130</v>
      </c>
      <c r="H7" s="488">
        <v>9940</v>
      </c>
      <c r="I7" s="489">
        <v>9940</v>
      </c>
      <c r="J7" s="489">
        <v>9940</v>
      </c>
      <c r="K7" s="490">
        <v>10190</v>
      </c>
      <c r="L7" s="491">
        <v>10190</v>
      </c>
      <c r="M7" s="492">
        <v>10190</v>
      </c>
      <c r="N7" s="492">
        <v>10190</v>
      </c>
      <c r="O7" s="492">
        <v>10190</v>
      </c>
      <c r="P7" s="493">
        <v>10190</v>
      </c>
      <c r="Q7" s="490">
        <v>10190</v>
      </c>
      <c r="R7" s="572">
        <f>IF(D7=0,"     -",IF(K7=0,"     -",ROUND(((K7/D7)^(1/7)-1)*100,1)))</f>
        <v>13.4</v>
      </c>
      <c r="S7" s="494">
        <f>IF(L7=0,"     -",IF(Q7=0,"     -",ROUND(((Q7/L7)^(1/5)-1)*100,1)))</f>
        <v>0</v>
      </c>
      <c r="T7" s="28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2420</v>
      </c>
      <c r="E8" s="496">
        <v>2420</v>
      </c>
      <c r="F8" s="497">
        <v>2420</v>
      </c>
      <c r="G8" s="497">
        <v>2420</v>
      </c>
      <c r="H8" s="496">
        <v>2420</v>
      </c>
      <c r="I8" s="497">
        <v>1720</v>
      </c>
      <c r="J8" s="497">
        <v>1720</v>
      </c>
      <c r="K8" s="498">
        <v>1720</v>
      </c>
      <c r="L8" s="499">
        <v>1720</v>
      </c>
      <c r="M8" s="500">
        <v>1720</v>
      </c>
      <c r="N8" s="500">
        <v>1720</v>
      </c>
      <c r="O8" s="500">
        <v>1720</v>
      </c>
      <c r="P8" s="501">
        <v>1720</v>
      </c>
      <c r="Q8" s="498">
        <v>1720</v>
      </c>
      <c r="R8" s="573">
        <f t="shared" ref="R8:R71" si="0">IF(D8=0,"     -",IF(K8=0,"     -",ROUND(((K8/D8)^(1/7)-1)*100,1)))</f>
        <v>-4.8</v>
      </c>
      <c r="S8" s="256">
        <f t="shared" ref="S8:S71" si="1">IF(L8=0,"     -",IF(Q8=0,"     -",ROUND(((Q8/L8)^(1/5)-1)*100,1)))</f>
        <v>0</v>
      </c>
      <c r="T8" s="28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750</v>
      </c>
      <c r="E9" s="496">
        <v>750</v>
      </c>
      <c r="F9" s="497">
        <v>750</v>
      </c>
      <c r="G9" s="497">
        <v>830</v>
      </c>
      <c r="H9" s="496">
        <v>1630</v>
      </c>
      <c r="I9" s="497">
        <v>1630</v>
      </c>
      <c r="J9" s="497">
        <v>1630</v>
      </c>
      <c r="K9" s="502">
        <v>1630</v>
      </c>
      <c r="L9" s="503">
        <v>1630</v>
      </c>
      <c r="M9" s="496">
        <v>1630</v>
      </c>
      <c r="N9" s="496">
        <v>1630</v>
      </c>
      <c r="O9" s="496">
        <v>1630</v>
      </c>
      <c r="P9" s="279">
        <v>1630</v>
      </c>
      <c r="Q9" s="502">
        <v>1630</v>
      </c>
      <c r="R9" s="573">
        <f t="shared" si="0"/>
        <v>11.7</v>
      </c>
      <c r="S9" s="256">
        <f t="shared" si="1"/>
        <v>0</v>
      </c>
      <c r="T9" s="283"/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7185</v>
      </c>
      <c r="E10" s="496">
        <v>7545</v>
      </c>
      <c r="F10" s="497">
        <v>7340</v>
      </c>
      <c r="G10" s="497">
        <v>9530</v>
      </c>
      <c r="H10" s="496">
        <v>11730</v>
      </c>
      <c r="I10" s="497">
        <v>11010</v>
      </c>
      <c r="J10" s="497">
        <v>11710</v>
      </c>
      <c r="K10" s="502">
        <v>11740</v>
      </c>
      <c r="L10" s="503">
        <v>12055</v>
      </c>
      <c r="M10" s="496">
        <v>21330</v>
      </c>
      <c r="N10" s="496">
        <v>27180</v>
      </c>
      <c r="O10" s="496">
        <v>28880</v>
      </c>
      <c r="P10" s="279">
        <v>30680</v>
      </c>
      <c r="Q10" s="502">
        <v>33080</v>
      </c>
      <c r="R10" s="573">
        <f t="shared" si="0"/>
        <v>7.3</v>
      </c>
      <c r="S10" s="256">
        <f t="shared" si="1"/>
        <v>22.4</v>
      </c>
      <c r="T10" s="28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2185</v>
      </c>
      <c r="E11" s="496">
        <v>2185</v>
      </c>
      <c r="F11" s="497">
        <v>2185</v>
      </c>
      <c r="G11" s="497">
        <v>2255</v>
      </c>
      <c r="H11" s="496">
        <v>2255</v>
      </c>
      <c r="I11" s="497">
        <v>2255</v>
      </c>
      <c r="J11" s="497">
        <v>2370</v>
      </c>
      <c r="K11" s="502">
        <v>2370</v>
      </c>
      <c r="L11" s="503">
        <v>2370</v>
      </c>
      <c r="M11" s="496">
        <v>2370</v>
      </c>
      <c r="N11" s="496">
        <v>2370</v>
      </c>
      <c r="O11" s="496">
        <v>2370</v>
      </c>
      <c r="P11" s="279">
        <v>2370</v>
      </c>
      <c r="Q11" s="502">
        <v>2370</v>
      </c>
      <c r="R11" s="573">
        <f t="shared" si="0"/>
        <v>1.2</v>
      </c>
      <c r="S11" s="256">
        <f t="shared" si="1"/>
        <v>0</v>
      </c>
      <c r="T11" s="283"/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920</v>
      </c>
      <c r="E12" s="45">
        <v>920</v>
      </c>
      <c r="F12" s="49">
        <v>920</v>
      </c>
      <c r="G12" s="45">
        <v>920</v>
      </c>
      <c r="H12" s="49">
        <v>920</v>
      </c>
      <c r="I12" s="45">
        <v>920</v>
      </c>
      <c r="J12" s="49">
        <v>920</v>
      </c>
      <c r="K12" s="50">
        <v>920</v>
      </c>
      <c r="L12" s="504">
        <v>920</v>
      </c>
      <c r="M12" s="45">
        <v>920</v>
      </c>
      <c r="N12" s="45">
        <v>920</v>
      </c>
      <c r="O12" s="45">
        <v>920</v>
      </c>
      <c r="P12" s="45">
        <v>1085</v>
      </c>
      <c r="Q12" s="51">
        <v>1685</v>
      </c>
      <c r="R12" s="573">
        <f t="shared" si="0"/>
        <v>0</v>
      </c>
      <c r="S12" s="256">
        <f t="shared" si="1"/>
        <v>12.9</v>
      </c>
      <c r="T12" s="283"/>
      <c r="U12" s="280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</row>
    <row r="13" spans="1:33" ht="15" customHeight="1">
      <c r="A13" s="16"/>
      <c r="B13" s="668" t="s">
        <v>439</v>
      </c>
      <c r="C13" s="669"/>
      <c r="D13" s="140">
        <v>2411</v>
      </c>
      <c r="E13" s="49">
        <v>2411</v>
      </c>
      <c r="F13" s="45">
        <v>2411</v>
      </c>
      <c r="G13" s="49">
        <v>2411</v>
      </c>
      <c r="H13" s="49">
        <v>2411</v>
      </c>
      <c r="I13" s="45">
        <v>3200</v>
      </c>
      <c r="J13" s="49">
        <v>3665</v>
      </c>
      <c r="K13" s="50">
        <v>3665</v>
      </c>
      <c r="L13" s="140">
        <v>4005</v>
      </c>
      <c r="M13" s="45">
        <v>4005</v>
      </c>
      <c r="N13" s="45">
        <v>4005</v>
      </c>
      <c r="O13" s="45">
        <v>4005</v>
      </c>
      <c r="P13" s="45">
        <v>4005</v>
      </c>
      <c r="Q13" s="50">
        <v>4005</v>
      </c>
      <c r="R13" s="573">
        <f t="shared" si="0"/>
        <v>6.2</v>
      </c>
      <c r="S13" s="256">
        <f t="shared" si="1"/>
        <v>0</v>
      </c>
      <c r="T13" s="28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T15" s="283"/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500</v>
      </c>
      <c r="E16" s="496">
        <v>500</v>
      </c>
      <c r="F16" s="497">
        <v>500</v>
      </c>
      <c r="G16" s="497">
        <v>500</v>
      </c>
      <c r="H16" s="496">
        <v>500</v>
      </c>
      <c r="I16" s="497">
        <v>500</v>
      </c>
      <c r="J16" s="497">
        <v>500</v>
      </c>
      <c r="K16" s="502">
        <v>500</v>
      </c>
      <c r="L16" s="503">
        <v>500</v>
      </c>
      <c r="M16" s="496">
        <v>500</v>
      </c>
      <c r="N16" s="496">
        <v>500</v>
      </c>
      <c r="O16" s="496">
        <v>500</v>
      </c>
      <c r="P16" s="497">
        <v>500</v>
      </c>
      <c r="Q16" s="502">
        <v>500</v>
      </c>
      <c r="R16" s="573">
        <f t="shared" si="0"/>
        <v>0</v>
      </c>
      <c r="S16" s="256">
        <f t="shared" si="1"/>
        <v>0</v>
      </c>
      <c r="T16" s="283"/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9">
        <v>0</v>
      </c>
      <c r="F17" s="45">
        <v>0</v>
      </c>
      <c r="G17" s="49">
        <v>0</v>
      </c>
      <c r="H17" s="49">
        <v>0</v>
      </c>
      <c r="I17" s="45">
        <v>0</v>
      </c>
      <c r="J17" s="49">
        <v>0</v>
      </c>
      <c r="K17" s="50">
        <v>0</v>
      </c>
      <c r="L17" s="140">
        <v>700</v>
      </c>
      <c r="M17" s="45">
        <v>700</v>
      </c>
      <c r="N17" s="45">
        <v>700</v>
      </c>
      <c r="O17" s="45">
        <v>700</v>
      </c>
      <c r="P17" s="45">
        <v>700</v>
      </c>
      <c r="Q17" s="50">
        <v>700</v>
      </c>
      <c r="R17" s="573" t="str">
        <f t="shared" si="0"/>
        <v xml:space="preserve">     -</v>
      </c>
      <c r="S17" s="256">
        <f t="shared" si="1"/>
        <v>0</v>
      </c>
      <c r="T17" s="283"/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3935</v>
      </c>
      <c r="E18" s="40">
        <v>3935</v>
      </c>
      <c r="F18" s="40">
        <v>4018</v>
      </c>
      <c r="G18" s="40">
        <v>3950</v>
      </c>
      <c r="H18" s="40">
        <v>3682</v>
      </c>
      <c r="I18" s="505">
        <v>3682</v>
      </c>
      <c r="J18" s="506">
        <v>3682</v>
      </c>
      <c r="K18" s="507">
        <v>3682</v>
      </c>
      <c r="L18" s="508">
        <v>3682</v>
      </c>
      <c r="M18" s="505">
        <v>3682</v>
      </c>
      <c r="N18" s="505">
        <v>3682</v>
      </c>
      <c r="O18" s="505">
        <v>3682</v>
      </c>
      <c r="P18" s="505">
        <v>3682</v>
      </c>
      <c r="Q18" s="509">
        <v>3682</v>
      </c>
      <c r="R18" s="573">
        <f t="shared" si="0"/>
        <v>-0.9</v>
      </c>
      <c r="S18" s="256">
        <f t="shared" si="1"/>
        <v>0</v>
      </c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</row>
    <row r="19" spans="1:33" ht="15.75" customHeight="1">
      <c r="A19" s="16"/>
      <c r="B19" s="674" t="s">
        <v>307</v>
      </c>
      <c r="C19" s="675"/>
      <c r="D19" s="95">
        <f>SUM(D7:D18)</f>
        <v>24536</v>
      </c>
      <c r="E19" s="93">
        <f t="shared" ref="E19:Q19" si="2">SUM(E7:E18)</f>
        <v>25916</v>
      </c>
      <c r="F19" s="93">
        <f t="shared" si="2"/>
        <v>26674</v>
      </c>
      <c r="G19" s="93">
        <f t="shared" si="2"/>
        <v>28946</v>
      </c>
      <c r="H19" s="93">
        <f t="shared" si="2"/>
        <v>35488</v>
      </c>
      <c r="I19" s="93">
        <f t="shared" si="2"/>
        <v>34857</v>
      </c>
      <c r="J19" s="93">
        <f t="shared" si="2"/>
        <v>36137</v>
      </c>
      <c r="K19" s="96">
        <f t="shared" si="2"/>
        <v>36417</v>
      </c>
      <c r="L19" s="95">
        <f t="shared" si="2"/>
        <v>37772</v>
      </c>
      <c r="M19" s="93">
        <f t="shared" si="2"/>
        <v>47047</v>
      </c>
      <c r="N19" s="93">
        <f t="shared" si="2"/>
        <v>52897</v>
      </c>
      <c r="O19" s="93">
        <f t="shared" si="2"/>
        <v>54597</v>
      </c>
      <c r="P19" s="93">
        <f t="shared" si="2"/>
        <v>56562</v>
      </c>
      <c r="Q19" s="96">
        <f t="shared" si="2"/>
        <v>59562</v>
      </c>
      <c r="R19" s="574">
        <f t="shared" si="0"/>
        <v>5.8</v>
      </c>
      <c r="S19" s="510">
        <f t="shared" si="1"/>
        <v>9.5</v>
      </c>
      <c r="T19" s="28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T20" s="283"/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T21" s="283"/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2713</v>
      </c>
      <c r="E22" s="496">
        <v>2570</v>
      </c>
      <c r="F22" s="496">
        <v>2620</v>
      </c>
      <c r="G22" s="496">
        <v>2620</v>
      </c>
      <c r="H22" s="496">
        <v>2520</v>
      </c>
      <c r="I22" s="496">
        <v>2530</v>
      </c>
      <c r="J22" s="515">
        <v>2355</v>
      </c>
      <c r="K22" s="502">
        <v>2355</v>
      </c>
      <c r="L22" s="503">
        <v>2355</v>
      </c>
      <c r="M22" s="496">
        <v>2355</v>
      </c>
      <c r="N22" s="496">
        <v>2355</v>
      </c>
      <c r="O22" s="512">
        <v>2355</v>
      </c>
      <c r="P22" s="512">
        <v>2355</v>
      </c>
      <c r="Q22" s="514">
        <v>2355</v>
      </c>
      <c r="R22" s="575">
        <f t="shared" si="0"/>
        <v>-2</v>
      </c>
      <c r="S22" s="517">
        <f t="shared" si="1"/>
        <v>0</v>
      </c>
      <c r="T22" s="283"/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2225</v>
      </c>
      <c r="E23" s="512">
        <v>2170</v>
      </c>
      <c r="F23" s="512">
        <v>2220</v>
      </c>
      <c r="G23" s="512">
        <v>2220</v>
      </c>
      <c r="H23" s="512">
        <v>2120</v>
      </c>
      <c r="I23" s="512">
        <v>2130</v>
      </c>
      <c r="J23" s="513">
        <v>1955</v>
      </c>
      <c r="K23" s="514">
        <v>1955</v>
      </c>
      <c r="L23" s="511">
        <v>1955</v>
      </c>
      <c r="M23" s="512">
        <v>1955</v>
      </c>
      <c r="N23" s="512">
        <v>1955</v>
      </c>
      <c r="O23" s="512">
        <v>1955</v>
      </c>
      <c r="P23" s="512">
        <v>1955</v>
      </c>
      <c r="Q23" s="514">
        <v>1955</v>
      </c>
      <c r="R23" s="574">
        <f t="shared" si="0"/>
        <v>-1.8</v>
      </c>
      <c r="S23" s="510">
        <f t="shared" si="1"/>
        <v>0</v>
      </c>
      <c r="T23" s="28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3580</v>
      </c>
      <c r="E24" s="496">
        <v>3780</v>
      </c>
      <c r="F24" s="496">
        <v>3790</v>
      </c>
      <c r="G24" s="496">
        <v>3850</v>
      </c>
      <c r="H24" s="496">
        <v>4550</v>
      </c>
      <c r="I24" s="496">
        <v>4550</v>
      </c>
      <c r="J24" s="497">
        <v>4550</v>
      </c>
      <c r="K24" s="502">
        <v>4550</v>
      </c>
      <c r="L24" s="503">
        <v>5850</v>
      </c>
      <c r="M24" s="496">
        <v>5850</v>
      </c>
      <c r="N24" s="496">
        <v>5850</v>
      </c>
      <c r="O24" s="496">
        <v>6850</v>
      </c>
      <c r="P24" s="497">
        <v>6850</v>
      </c>
      <c r="Q24" s="502">
        <v>7690</v>
      </c>
      <c r="R24" s="574">
        <f t="shared" si="0"/>
        <v>3.5</v>
      </c>
      <c r="S24" s="510">
        <f t="shared" si="1"/>
        <v>5.6</v>
      </c>
      <c r="T24" s="283"/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380</v>
      </c>
      <c r="F25" s="518">
        <v>390</v>
      </c>
      <c r="G25" s="518">
        <v>450</v>
      </c>
      <c r="H25" s="518">
        <v>1000</v>
      </c>
      <c r="I25" s="518">
        <v>1150</v>
      </c>
      <c r="J25" s="519">
        <v>1150</v>
      </c>
      <c r="K25" s="514">
        <v>1150</v>
      </c>
      <c r="L25" s="511">
        <v>2450</v>
      </c>
      <c r="M25" s="518">
        <v>2450</v>
      </c>
      <c r="N25" s="518">
        <v>2450</v>
      </c>
      <c r="O25" s="518">
        <v>3450</v>
      </c>
      <c r="P25" s="519">
        <v>3450</v>
      </c>
      <c r="Q25" s="514">
        <v>3450</v>
      </c>
      <c r="R25" s="573" t="str">
        <f t="shared" si="0"/>
        <v xml:space="preserve">     -</v>
      </c>
      <c r="S25" s="256">
        <f t="shared" si="1"/>
        <v>7.1</v>
      </c>
      <c r="T25" s="283"/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0</v>
      </c>
      <c r="E26" s="518">
        <v>0</v>
      </c>
      <c r="F26" s="518">
        <v>0</v>
      </c>
      <c r="G26" s="518">
        <v>0</v>
      </c>
      <c r="H26" s="518">
        <v>0</v>
      </c>
      <c r="I26" s="518">
        <v>0</v>
      </c>
      <c r="J26" s="519">
        <v>240</v>
      </c>
      <c r="K26" s="514">
        <v>240</v>
      </c>
      <c r="L26" s="511">
        <v>240</v>
      </c>
      <c r="M26" s="518">
        <v>240</v>
      </c>
      <c r="N26" s="518">
        <v>240</v>
      </c>
      <c r="O26" s="518">
        <v>240</v>
      </c>
      <c r="P26" s="519">
        <v>240</v>
      </c>
      <c r="Q26" s="514">
        <v>240</v>
      </c>
      <c r="R26" s="574" t="str">
        <f t="shared" si="0"/>
        <v xml:space="preserve">     -</v>
      </c>
      <c r="S26" s="510">
        <f t="shared" si="1"/>
        <v>0</v>
      </c>
      <c r="T26" s="283"/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473</v>
      </c>
      <c r="E27" s="521">
        <v>473</v>
      </c>
      <c r="F27" s="521">
        <v>473</v>
      </c>
      <c r="G27" s="521">
        <v>503</v>
      </c>
      <c r="H27" s="521">
        <v>503</v>
      </c>
      <c r="I27" s="521">
        <v>503</v>
      </c>
      <c r="J27" s="522">
        <v>1015</v>
      </c>
      <c r="K27" s="523">
        <v>515</v>
      </c>
      <c r="L27" s="520">
        <v>615</v>
      </c>
      <c r="M27" s="521">
        <v>1275</v>
      </c>
      <c r="N27" s="521">
        <v>1275</v>
      </c>
      <c r="O27" s="521">
        <v>1275</v>
      </c>
      <c r="P27" s="522">
        <v>1275</v>
      </c>
      <c r="Q27" s="523">
        <v>1275</v>
      </c>
      <c r="R27" s="574">
        <f t="shared" si="0"/>
        <v>1.2</v>
      </c>
      <c r="S27" s="510">
        <f t="shared" si="1"/>
        <v>15.7</v>
      </c>
      <c r="T27" s="283"/>
      <c r="U27" s="280"/>
      <c r="V27" s="43"/>
      <c r="W27" s="43"/>
      <c r="X27" s="43"/>
      <c r="Y27" s="43"/>
      <c r="Z27" s="346"/>
      <c r="AA27" s="346"/>
      <c r="AB27" s="346"/>
      <c r="AC27" s="346"/>
      <c r="AD27" s="346"/>
      <c r="AE27" s="346"/>
      <c r="AF27" s="346"/>
      <c r="AG27" s="346"/>
    </row>
    <row r="28" spans="1:33" ht="15" customHeight="1">
      <c r="A28" s="16"/>
      <c r="B28" s="672" t="s">
        <v>316</v>
      </c>
      <c r="C28" s="673"/>
      <c r="D28" s="524">
        <v>3938</v>
      </c>
      <c r="E28" s="525">
        <v>3938</v>
      </c>
      <c r="F28" s="525">
        <v>3978</v>
      </c>
      <c r="G28" s="526">
        <v>4328</v>
      </c>
      <c r="H28" s="526">
        <v>4216</v>
      </c>
      <c r="I28" s="496">
        <v>3528</v>
      </c>
      <c r="J28" s="497">
        <v>3685</v>
      </c>
      <c r="K28" s="498">
        <v>3685</v>
      </c>
      <c r="L28" s="527">
        <v>3685</v>
      </c>
      <c r="M28" s="528">
        <v>3685</v>
      </c>
      <c r="N28" s="528">
        <v>3685</v>
      </c>
      <c r="O28" s="528">
        <v>3685</v>
      </c>
      <c r="P28" s="528">
        <v>3685</v>
      </c>
      <c r="Q28" s="498">
        <v>3685</v>
      </c>
      <c r="R28" s="573">
        <f t="shared" si="0"/>
        <v>-0.9</v>
      </c>
      <c r="S28" s="256">
        <f t="shared" si="1"/>
        <v>0</v>
      </c>
      <c r="T28" s="283"/>
      <c r="U28" s="43"/>
      <c r="V28" s="43"/>
      <c r="W28" s="43"/>
      <c r="X28" s="347"/>
      <c r="Y28" s="347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350</v>
      </c>
      <c r="E29" s="525">
        <v>350</v>
      </c>
      <c r="F29" s="530">
        <v>350</v>
      </c>
      <c r="G29" s="531">
        <v>350</v>
      </c>
      <c r="H29" s="526">
        <v>350</v>
      </c>
      <c r="I29" s="497">
        <v>350</v>
      </c>
      <c r="J29" s="497">
        <v>350</v>
      </c>
      <c r="K29" s="498">
        <v>350</v>
      </c>
      <c r="L29" s="499">
        <v>350</v>
      </c>
      <c r="M29" s="532">
        <v>350</v>
      </c>
      <c r="N29" s="532">
        <v>350</v>
      </c>
      <c r="O29" s="532">
        <v>350</v>
      </c>
      <c r="P29" s="532">
        <v>350</v>
      </c>
      <c r="Q29" s="498">
        <v>350</v>
      </c>
      <c r="R29" s="573">
        <f t="shared" si="0"/>
        <v>0</v>
      </c>
      <c r="S29" s="256">
        <f t="shared" si="1"/>
        <v>0</v>
      </c>
      <c r="T29" s="283"/>
      <c r="U29" s="43"/>
      <c r="V29" s="43"/>
      <c r="W29" s="43"/>
      <c r="X29" s="347"/>
      <c r="Y29" s="347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4288</v>
      </c>
      <c r="E30" s="92">
        <f t="shared" ref="E30:Q30" si="3">SUM(E28:E29)</f>
        <v>4288</v>
      </c>
      <c r="F30" s="92">
        <f t="shared" si="3"/>
        <v>4328</v>
      </c>
      <c r="G30" s="93">
        <f t="shared" si="3"/>
        <v>4678</v>
      </c>
      <c r="H30" s="93">
        <f t="shared" si="3"/>
        <v>4566</v>
      </c>
      <c r="I30" s="94">
        <f t="shared" si="3"/>
        <v>3878</v>
      </c>
      <c r="J30" s="94">
        <f t="shared" si="3"/>
        <v>4035</v>
      </c>
      <c r="K30" s="96">
        <f t="shared" si="3"/>
        <v>4035</v>
      </c>
      <c r="L30" s="95">
        <f t="shared" si="3"/>
        <v>4035</v>
      </c>
      <c r="M30" s="93">
        <f t="shared" si="3"/>
        <v>4035</v>
      </c>
      <c r="N30" s="93">
        <f t="shared" si="3"/>
        <v>4035</v>
      </c>
      <c r="O30" s="93">
        <f t="shared" si="3"/>
        <v>4035</v>
      </c>
      <c r="P30" s="93">
        <f t="shared" si="3"/>
        <v>4035</v>
      </c>
      <c r="Q30" s="96">
        <f t="shared" si="3"/>
        <v>4035</v>
      </c>
      <c r="R30" s="574">
        <f t="shared" si="0"/>
        <v>-0.9</v>
      </c>
      <c r="S30" s="510">
        <f t="shared" si="1"/>
        <v>0</v>
      </c>
      <c r="T30" s="28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0</v>
      </c>
      <c r="E31" s="525">
        <v>0</v>
      </c>
      <c r="F31" s="530">
        <v>0</v>
      </c>
      <c r="G31" s="531">
        <v>0</v>
      </c>
      <c r="H31" s="526">
        <v>0</v>
      </c>
      <c r="I31" s="497">
        <v>0</v>
      </c>
      <c r="J31" s="497">
        <v>0</v>
      </c>
      <c r="K31" s="498">
        <v>0</v>
      </c>
      <c r="L31" s="533">
        <v>0</v>
      </c>
      <c r="M31" s="534">
        <v>0</v>
      </c>
      <c r="N31" s="534">
        <v>0</v>
      </c>
      <c r="O31" s="534">
        <v>0</v>
      </c>
      <c r="P31" s="534">
        <v>0</v>
      </c>
      <c r="Q31" s="535">
        <v>0</v>
      </c>
      <c r="R31" s="573" t="str">
        <f t="shared" si="0"/>
        <v xml:space="preserve">     -</v>
      </c>
      <c r="S31" s="256" t="str">
        <f t="shared" si="1"/>
        <v xml:space="preserve">     -</v>
      </c>
      <c r="T31" s="283"/>
      <c r="U31" s="43"/>
      <c r="V31" s="43"/>
      <c r="W31" s="43"/>
      <c r="X31" s="347"/>
      <c r="Y31" s="347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205</v>
      </c>
      <c r="E32" s="525">
        <v>205</v>
      </c>
      <c r="F32" s="530">
        <v>205</v>
      </c>
      <c r="G32" s="531">
        <v>205</v>
      </c>
      <c r="H32" s="526">
        <v>205</v>
      </c>
      <c r="I32" s="497">
        <v>205</v>
      </c>
      <c r="J32" s="497">
        <v>205</v>
      </c>
      <c r="K32" s="502">
        <v>205</v>
      </c>
      <c r="L32" s="503">
        <v>205</v>
      </c>
      <c r="M32" s="496">
        <v>205</v>
      </c>
      <c r="N32" s="496">
        <v>205</v>
      </c>
      <c r="O32" s="496">
        <v>205</v>
      </c>
      <c r="P32" s="497">
        <v>205</v>
      </c>
      <c r="Q32" s="502">
        <v>205</v>
      </c>
      <c r="R32" s="573">
        <f t="shared" si="0"/>
        <v>0</v>
      </c>
      <c r="S32" s="256">
        <f t="shared" si="1"/>
        <v>0</v>
      </c>
      <c r="T32" s="283"/>
      <c r="U32" s="43"/>
      <c r="V32" s="43"/>
      <c r="W32" s="43"/>
      <c r="X32" s="347"/>
      <c r="Y32" s="347"/>
      <c r="Z32" s="43"/>
      <c r="AA32" s="43"/>
      <c r="AB32" s="43"/>
      <c r="AC32" s="43"/>
      <c r="AD32" s="43"/>
      <c r="AE32" s="43"/>
      <c r="AF32" s="43"/>
      <c r="AG32" s="43"/>
    </row>
    <row r="33" spans="1:33" ht="15" customHeight="1">
      <c r="A33" s="16"/>
      <c r="B33" s="670" t="s">
        <v>321</v>
      </c>
      <c r="C33" s="671"/>
      <c r="D33" s="529">
        <v>0</v>
      </c>
      <c r="E33" s="525">
        <v>0</v>
      </c>
      <c r="F33" s="530">
        <v>0</v>
      </c>
      <c r="G33" s="531">
        <v>0</v>
      </c>
      <c r="H33" s="526">
        <v>0</v>
      </c>
      <c r="I33" s="497">
        <v>0</v>
      </c>
      <c r="J33" s="497">
        <v>0</v>
      </c>
      <c r="K33" s="536">
        <v>0</v>
      </c>
      <c r="L33" s="537">
        <v>0</v>
      </c>
      <c r="M33" s="538">
        <v>0</v>
      </c>
      <c r="N33" s="538">
        <v>0</v>
      </c>
      <c r="O33" s="538">
        <v>0</v>
      </c>
      <c r="P33" s="515">
        <v>0</v>
      </c>
      <c r="Q33" s="502">
        <v>0</v>
      </c>
      <c r="R33" s="573" t="str">
        <f t="shared" si="0"/>
        <v xml:space="preserve">     -</v>
      </c>
      <c r="S33" s="256" t="str">
        <f t="shared" si="1"/>
        <v xml:space="preserve">     -</v>
      </c>
      <c r="T33" s="283"/>
      <c r="U33" s="43"/>
      <c r="V33" s="43"/>
      <c r="W33" s="43"/>
      <c r="X33" s="348"/>
      <c r="Y33" s="348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205</v>
      </c>
      <c r="E34" s="539">
        <f t="shared" ref="E34:Q34" si="4">SUM(E31:E33)</f>
        <v>205</v>
      </c>
      <c r="F34" s="539">
        <f t="shared" si="4"/>
        <v>205</v>
      </c>
      <c r="G34" s="100">
        <f t="shared" si="4"/>
        <v>205</v>
      </c>
      <c r="H34" s="100">
        <f t="shared" si="4"/>
        <v>205</v>
      </c>
      <c r="I34" s="100">
        <f t="shared" si="4"/>
        <v>205</v>
      </c>
      <c r="J34" s="101">
        <f t="shared" si="4"/>
        <v>205</v>
      </c>
      <c r="K34" s="104">
        <f t="shared" si="4"/>
        <v>205</v>
      </c>
      <c r="L34" s="540">
        <f t="shared" si="4"/>
        <v>205</v>
      </c>
      <c r="M34" s="100">
        <f t="shared" si="4"/>
        <v>205</v>
      </c>
      <c r="N34" s="100">
        <f t="shared" si="4"/>
        <v>205</v>
      </c>
      <c r="O34" s="100">
        <f t="shared" si="4"/>
        <v>205</v>
      </c>
      <c r="P34" s="100">
        <f t="shared" si="4"/>
        <v>205</v>
      </c>
      <c r="Q34" s="103">
        <f t="shared" si="4"/>
        <v>205</v>
      </c>
      <c r="R34" s="576">
        <f t="shared" si="0"/>
        <v>0</v>
      </c>
      <c r="S34" s="541">
        <f t="shared" si="1"/>
        <v>0</v>
      </c>
      <c r="T34" s="28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35795</v>
      </c>
      <c r="E35" s="543">
        <f t="shared" ref="E35:Q35" si="5">E19+E20+E22+E24+E26+E27+E30+E34</f>
        <v>37232</v>
      </c>
      <c r="F35" s="543">
        <f t="shared" si="5"/>
        <v>38090</v>
      </c>
      <c r="G35" s="544">
        <f t="shared" si="5"/>
        <v>40802</v>
      </c>
      <c r="H35" s="544">
        <f t="shared" si="5"/>
        <v>47832</v>
      </c>
      <c r="I35" s="544">
        <f t="shared" si="5"/>
        <v>46523</v>
      </c>
      <c r="J35" s="545">
        <f t="shared" si="5"/>
        <v>48537</v>
      </c>
      <c r="K35" s="546">
        <f t="shared" si="5"/>
        <v>48317</v>
      </c>
      <c r="L35" s="547">
        <f t="shared" si="5"/>
        <v>51072</v>
      </c>
      <c r="M35" s="544">
        <f t="shared" si="5"/>
        <v>61007</v>
      </c>
      <c r="N35" s="544">
        <f t="shared" si="5"/>
        <v>66857</v>
      </c>
      <c r="O35" s="544">
        <f t="shared" si="5"/>
        <v>69557</v>
      </c>
      <c r="P35" s="544">
        <f t="shared" si="5"/>
        <v>71522</v>
      </c>
      <c r="Q35" s="577">
        <f t="shared" si="5"/>
        <v>75362</v>
      </c>
      <c r="R35" s="578">
        <f t="shared" si="0"/>
        <v>4.4000000000000004</v>
      </c>
      <c r="S35" s="549">
        <f t="shared" si="1"/>
        <v>8.1</v>
      </c>
      <c r="T35" s="283"/>
    </row>
    <row r="36" spans="1:33" ht="15" customHeight="1">
      <c r="A36" s="613" t="s">
        <v>324</v>
      </c>
      <c r="B36" s="666" t="s">
        <v>433</v>
      </c>
      <c r="C36" s="667"/>
      <c r="D36" s="487">
        <v>4512</v>
      </c>
      <c r="E36" s="488">
        <v>5253</v>
      </c>
      <c r="F36" s="489">
        <v>5623</v>
      </c>
      <c r="G36" s="489">
        <v>5822</v>
      </c>
      <c r="H36" s="488">
        <v>7370</v>
      </c>
      <c r="I36" s="489">
        <v>8825</v>
      </c>
      <c r="J36" s="550">
        <v>9484</v>
      </c>
      <c r="K36" s="490">
        <v>10571</v>
      </c>
      <c r="L36" s="491">
        <v>9800</v>
      </c>
      <c r="M36" s="492">
        <v>9800</v>
      </c>
      <c r="N36" s="492">
        <v>9800</v>
      </c>
      <c r="O36" s="492">
        <v>10000</v>
      </c>
      <c r="P36" s="493">
        <v>10000</v>
      </c>
      <c r="Q36" s="498">
        <v>10000</v>
      </c>
      <c r="R36" s="573">
        <f t="shared" si="0"/>
        <v>12.9</v>
      </c>
      <c r="S36" s="256">
        <f t="shared" si="1"/>
        <v>0.4</v>
      </c>
      <c r="T36" s="28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2191</v>
      </c>
      <c r="E37" s="496">
        <v>2087</v>
      </c>
      <c r="F37" s="497">
        <v>2167</v>
      </c>
      <c r="G37" s="497">
        <v>2187</v>
      </c>
      <c r="H37" s="496">
        <v>1944</v>
      </c>
      <c r="I37" s="497">
        <v>1923</v>
      </c>
      <c r="J37" s="551">
        <v>1700</v>
      </c>
      <c r="K37" s="498">
        <v>1790</v>
      </c>
      <c r="L37" s="499">
        <v>1790</v>
      </c>
      <c r="M37" s="500">
        <v>1790</v>
      </c>
      <c r="N37" s="500">
        <v>1790</v>
      </c>
      <c r="O37" s="500">
        <v>1790</v>
      </c>
      <c r="P37" s="501">
        <v>1790</v>
      </c>
      <c r="Q37" s="498">
        <v>1790</v>
      </c>
      <c r="R37" s="573">
        <f t="shared" si="0"/>
        <v>-2.8</v>
      </c>
      <c r="S37" s="256">
        <f t="shared" si="1"/>
        <v>0</v>
      </c>
      <c r="T37" s="28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598</v>
      </c>
      <c r="E38" s="496">
        <v>674.322</v>
      </c>
      <c r="F38" s="497">
        <v>656</v>
      </c>
      <c r="G38" s="497">
        <v>671</v>
      </c>
      <c r="H38" s="496">
        <v>839.82600000000002</v>
      </c>
      <c r="I38" s="497">
        <v>692.59699999999998</v>
      </c>
      <c r="J38" s="497">
        <v>1047</v>
      </c>
      <c r="K38" s="502">
        <v>1627</v>
      </c>
      <c r="L38" s="503">
        <v>1549</v>
      </c>
      <c r="M38" s="496">
        <v>1549</v>
      </c>
      <c r="N38" s="496">
        <v>1549</v>
      </c>
      <c r="O38" s="496">
        <v>1549</v>
      </c>
      <c r="P38" s="279">
        <v>1549</v>
      </c>
      <c r="Q38" s="502">
        <v>1549</v>
      </c>
      <c r="R38" s="573">
        <f t="shared" si="0"/>
        <v>15.4</v>
      </c>
      <c r="S38" s="256">
        <f t="shared" si="1"/>
        <v>0</v>
      </c>
      <c r="T38" s="283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6435</v>
      </c>
      <c r="E39" s="496">
        <v>6690</v>
      </c>
      <c r="F39" s="497">
        <v>7050</v>
      </c>
      <c r="G39" s="497">
        <v>7868</v>
      </c>
      <c r="H39" s="496">
        <v>8773</v>
      </c>
      <c r="I39" s="497">
        <v>8558</v>
      </c>
      <c r="J39" s="497">
        <v>9064</v>
      </c>
      <c r="K39" s="502">
        <v>9371</v>
      </c>
      <c r="L39" s="503">
        <v>10840</v>
      </c>
      <c r="M39" s="496">
        <v>12795</v>
      </c>
      <c r="N39" s="496">
        <v>17300</v>
      </c>
      <c r="O39" s="496">
        <v>18100</v>
      </c>
      <c r="P39" s="279">
        <v>19700</v>
      </c>
      <c r="Q39" s="502">
        <v>20000</v>
      </c>
      <c r="R39" s="573">
        <f t="shared" si="0"/>
        <v>5.5</v>
      </c>
      <c r="S39" s="256">
        <f t="shared" si="1"/>
        <v>13</v>
      </c>
      <c r="T39" s="28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1967</v>
      </c>
      <c r="E40" s="496">
        <v>1973</v>
      </c>
      <c r="F40" s="497">
        <v>1975</v>
      </c>
      <c r="G40" s="497">
        <v>2010</v>
      </c>
      <c r="H40" s="496">
        <v>1737.3000489999999</v>
      </c>
      <c r="I40" s="497">
        <v>1677.4533500000005</v>
      </c>
      <c r="J40" s="497">
        <v>1920.8647600000002</v>
      </c>
      <c r="K40" s="502">
        <v>1842.30979</v>
      </c>
      <c r="L40" s="503">
        <v>2122.21</v>
      </c>
      <c r="M40" s="496">
        <v>2046.5830000000001</v>
      </c>
      <c r="N40" s="496">
        <v>2046.5830000000001</v>
      </c>
      <c r="O40" s="496">
        <v>2046.5830000000001</v>
      </c>
      <c r="P40" s="279">
        <v>2046.5830000000001</v>
      </c>
      <c r="Q40" s="502">
        <v>2046.5830000000001</v>
      </c>
      <c r="R40" s="573">
        <f t="shared" si="0"/>
        <v>-0.9</v>
      </c>
      <c r="S40" s="256">
        <f t="shared" si="1"/>
        <v>-0.7</v>
      </c>
      <c r="T40" s="283"/>
      <c r="U40" s="280"/>
      <c r="V40" s="280"/>
      <c r="W40" s="280"/>
      <c r="X40" s="280"/>
      <c r="Y40" s="280"/>
      <c r="Z40" s="280"/>
      <c r="AA40" s="280"/>
      <c r="AB40" s="280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468</v>
      </c>
      <c r="E41" s="45">
        <v>838</v>
      </c>
      <c r="F41" s="49">
        <v>251</v>
      </c>
      <c r="G41" s="45">
        <v>315</v>
      </c>
      <c r="H41" s="49">
        <v>285</v>
      </c>
      <c r="I41" s="45">
        <v>260</v>
      </c>
      <c r="J41" s="49">
        <v>260</v>
      </c>
      <c r="K41" s="50">
        <v>340</v>
      </c>
      <c r="L41" s="504">
        <v>400</v>
      </c>
      <c r="M41" s="45">
        <v>500</v>
      </c>
      <c r="N41" s="45">
        <v>550</v>
      </c>
      <c r="O41" s="45">
        <v>600</v>
      </c>
      <c r="P41" s="45">
        <v>700</v>
      </c>
      <c r="Q41" s="51">
        <v>1300</v>
      </c>
      <c r="R41" s="573">
        <f t="shared" si="0"/>
        <v>-4.5</v>
      </c>
      <c r="S41" s="256">
        <f t="shared" si="1"/>
        <v>26.6</v>
      </c>
      <c r="T41" s="283"/>
      <c r="U41" s="280"/>
      <c r="V41" s="280"/>
      <c r="W41" s="280"/>
      <c r="X41" s="280"/>
      <c r="Y41" s="280"/>
      <c r="Z41" s="280"/>
      <c r="AA41" s="280"/>
      <c r="AB41" s="280"/>
      <c r="AC41" s="280"/>
      <c r="AD41" s="280"/>
      <c r="AE41" s="280"/>
      <c r="AF41" s="280"/>
      <c r="AG41" s="280"/>
    </row>
    <row r="42" spans="1:33" ht="15" customHeight="1">
      <c r="A42" s="16"/>
      <c r="B42" s="668" t="s">
        <v>439</v>
      </c>
      <c r="C42" s="669"/>
      <c r="D42" s="140">
        <v>2088</v>
      </c>
      <c r="E42" s="49">
        <v>2300</v>
      </c>
      <c r="F42" s="45">
        <v>2400</v>
      </c>
      <c r="G42" s="49">
        <v>2258</v>
      </c>
      <c r="H42" s="49">
        <v>2200</v>
      </c>
      <c r="I42" s="45">
        <v>2000</v>
      </c>
      <c r="J42" s="49">
        <v>2200</v>
      </c>
      <c r="K42" s="50">
        <v>2200</v>
      </c>
      <c r="L42" s="504">
        <v>2300</v>
      </c>
      <c r="M42" s="45">
        <v>2400</v>
      </c>
      <c r="N42" s="45">
        <v>3000</v>
      </c>
      <c r="O42" s="45">
        <v>3200</v>
      </c>
      <c r="P42" s="49">
        <v>3500</v>
      </c>
      <c r="Q42" s="50">
        <v>3600</v>
      </c>
      <c r="R42" s="573">
        <f t="shared" si="0"/>
        <v>0.7</v>
      </c>
      <c r="S42" s="256">
        <f t="shared" si="1"/>
        <v>9.4</v>
      </c>
      <c r="T42" s="28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T43" s="283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80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T44" s="283"/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481</v>
      </c>
      <c r="E45" s="496">
        <v>480</v>
      </c>
      <c r="F45" s="497">
        <v>435</v>
      </c>
      <c r="G45" s="497">
        <v>542.56099999999992</v>
      </c>
      <c r="H45" s="496">
        <v>480</v>
      </c>
      <c r="I45" s="497">
        <v>480.43299999999999</v>
      </c>
      <c r="J45" s="497">
        <v>434.81600000000009</v>
      </c>
      <c r="K45" s="502">
        <v>489.41800000000001</v>
      </c>
      <c r="L45" s="503">
        <v>489.41800000000001</v>
      </c>
      <c r="M45" s="496">
        <v>489.41800000000001</v>
      </c>
      <c r="N45" s="496">
        <v>489.41800000000001</v>
      </c>
      <c r="O45" s="496">
        <v>489.41800000000001</v>
      </c>
      <c r="P45" s="497">
        <v>489.41800000000001</v>
      </c>
      <c r="Q45" s="502">
        <v>489.41800000000001</v>
      </c>
      <c r="R45" s="573">
        <f t="shared" si="0"/>
        <v>0.2</v>
      </c>
      <c r="S45" s="256">
        <f t="shared" si="1"/>
        <v>0</v>
      </c>
      <c r="T45" s="283"/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140">
        <v>700</v>
      </c>
      <c r="M46" s="45">
        <v>700</v>
      </c>
      <c r="N46" s="45">
        <v>700</v>
      </c>
      <c r="O46" s="45">
        <v>700</v>
      </c>
      <c r="P46" s="45">
        <v>700</v>
      </c>
      <c r="Q46" s="50">
        <v>700</v>
      </c>
      <c r="R46" s="573" t="str">
        <f t="shared" si="0"/>
        <v xml:space="preserve">     -</v>
      </c>
      <c r="S46" s="256">
        <f t="shared" si="1"/>
        <v>0</v>
      </c>
      <c r="T46" s="283"/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3177</v>
      </c>
      <c r="E47" s="496">
        <v>3202</v>
      </c>
      <c r="F47" s="497">
        <v>3552</v>
      </c>
      <c r="G47" s="497">
        <v>3871</v>
      </c>
      <c r="H47" s="496">
        <v>2829</v>
      </c>
      <c r="I47" s="497">
        <v>3093</v>
      </c>
      <c r="J47" s="497">
        <v>3285</v>
      </c>
      <c r="K47" s="502">
        <v>3469</v>
      </c>
      <c r="L47" s="503">
        <v>3374</v>
      </c>
      <c r="M47" s="496">
        <v>3470</v>
      </c>
      <c r="N47" s="496">
        <v>3370</v>
      </c>
      <c r="O47" s="496">
        <v>3470</v>
      </c>
      <c r="P47" s="497">
        <v>3370</v>
      </c>
      <c r="Q47" s="502">
        <v>3470</v>
      </c>
      <c r="R47" s="573">
        <f t="shared" si="0"/>
        <v>1.3</v>
      </c>
      <c r="S47" s="256">
        <f t="shared" si="1"/>
        <v>0.6</v>
      </c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</row>
    <row r="48" spans="1:33" ht="15.75" customHeight="1">
      <c r="A48" s="16"/>
      <c r="B48" s="674" t="s">
        <v>307</v>
      </c>
      <c r="C48" s="675"/>
      <c r="D48" s="95">
        <f>SUM(D36:D47)</f>
        <v>21917</v>
      </c>
      <c r="E48" s="93">
        <f t="shared" ref="E48:Q48" si="6">SUM(E36:E47)</f>
        <v>23497.322</v>
      </c>
      <c r="F48" s="93">
        <f t="shared" si="6"/>
        <v>24109</v>
      </c>
      <c r="G48" s="93">
        <f t="shared" si="6"/>
        <v>25544.561000000002</v>
      </c>
      <c r="H48" s="93">
        <f t="shared" si="6"/>
        <v>26458.126049000002</v>
      </c>
      <c r="I48" s="93">
        <f t="shared" si="6"/>
        <v>27509.483350000002</v>
      </c>
      <c r="J48" s="93">
        <f t="shared" si="6"/>
        <v>29395.680759999999</v>
      </c>
      <c r="K48" s="96">
        <f t="shared" si="6"/>
        <v>31699.727790000001</v>
      </c>
      <c r="L48" s="95">
        <f t="shared" si="6"/>
        <v>33364.627999999997</v>
      </c>
      <c r="M48" s="93">
        <f t="shared" si="6"/>
        <v>35540.001000000004</v>
      </c>
      <c r="N48" s="93">
        <f t="shared" si="6"/>
        <v>40595.000999999997</v>
      </c>
      <c r="O48" s="93">
        <f t="shared" si="6"/>
        <v>41945.000999999997</v>
      </c>
      <c r="P48" s="93">
        <f t="shared" si="6"/>
        <v>43845.000999999997</v>
      </c>
      <c r="Q48" s="96">
        <f t="shared" si="6"/>
        <v>44945.000999999997</v>
      </c>
      <c r="R48" s="574">
        <f t="shared" si="0"/>
        <v>5.4</v>
      </c>
      <c r="S48" s="510">
        <f t="shared" si="1"/>
        <v>6.1</v>
      </c>
      <c r="T48" s="28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T49" s="283"/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T50" s="283"/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2411</v>
      </c>
      <c r="E51" s="512">
        <v>2106</v>
      </c>
      <c r="F51" s="512">
        <v>2216</v>
      </c>
      <c r="G51" s="512">
        <v>2108</v>
      </c>
      <c r="H51" s="512">
        <v>1548.5</v>
      </c>
      <c r="I51" s="512">
        <v>1573.7</v>
      </c>
      <c r="J51" s="513">
        <v>1648.999939</v>
      </c>
      <c r="K51" s="514">
        <v>1698</v>
      </c>
      <c r="L51" s="511">
        <v>1725</v>
      </c>
      <c r="M51" s="512">
        <v>1764</v>
      </c>
      <c r="N51" s="512">
        <v>1851</v>
      </c>
      <c r="O51" s="512">
        <v>1855</v>
      </c>
      <c r="P51" s="513">
        <v>1862</v>
      </c>
      <c r="Q51" s="514">
        <v>1872</v>
      </c>
      <c r="R51" s="574">
        <f t="shared" si="0"/>
        <v>-4.9000000000000004</v>
      </c>
      <c r="S51" s="510">
        <f t="shared" si="1"/>
        <v>1.6</v>
      </c>
      <c r="T51" s="28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2100</v>
      </c>
      <c r="E52" s="512">
        <v>1881</v>
      </c>
      <c r="F52" s="512">
        <v>1889</v>
      </c>
      <c r="G52" s="512">
        <v>1787</v>
      </c>
      <c r="H52" s="512">
        <v>1201.3</v>
      </c>
      <c r="I52" s="512">
        <v>1199.7</v>
      </c>
      <c r="J52" s="513">
        <v>1295.1999510000001</v>
      </c>
      <c r="K52" s="514">
        <v>1396</v>
      </c>
      <c r="L52" s="511">
        <v>1376</v>
      </c>
      <c r="M52" s="512">
        <v>1430</v>
      </c>
      <c r="N52" s="512">
        <v>1534</v>
      </c>
      <c r="O52" s="512">
        <v>1540</v>
      </c>
      <c r="P52" s="513">
        <v>1546</v>
      </c>
      <c r="Q52" s="514">
        <v>1560</v>
      </c>
      <c r="R52" s="574">
        <f t="shared" si="0"/>
        <v>-5.7</v>
      </c>
      <c r="S52" s="510">
        <f t="shared" si="1"/>
        <v>2.5</v>
      </c>
      <c r="T52" s="28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2224</v>
      </c>
      <c r="E53" s="496">
        <v>2489</v>
      </c>
      <c r="F53" s="496">
        <v>2495</v>
      </c>
      <c r="G53" s="496">
        <v>2530</v>
      </c>
      <c r="H53" s="496">
        <v>3318</v>
      </c>
      <c r="I53" s="496">
        <v>3360</v>
      </c>
      <c r="J53" s="497">
        <v>3360</v>
      </c>
      <c r="K53" s="502">
        <v>3360</v>
      </c>
      <c r="L53" s="503">
        <v>4010</v>
      </c>
      <c r="M53" s="496">
        <v>4400</v>
      </c>
      <c r="N53" s="496">
        <v>4530</v>
      </c>
      <c r="O53" s="496">
        <v>5030</v>
      </c>
      <c r="P53" s="497">
        <v>5180</v>
      </c>
      <c r="Q53" s="502">
        <v>5750</v>
      </c>
      <c r="R53" s="573">
        <f t="shared" si="0"/>
        <v>6.1</v>
      </c>
      <c r="S53" s="256">
        <f t="shared" si="1"/>
        <v>7.5</v>
      </c>
      <c r="T53" s="283"/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243</v>
      </c>
      <c r="F54" s="518">
        <v>200</v>
      </c>
      <c r="G54" s="518">
        <v>250</v>
      </c>
      <c r="H54" s="518">
        <v>657</v>
      </c>
      <c r="I54" s="518">
        <v>834</v>
      </c>
      <c r="J54" s="519">
        <v>834</v>
      </c>
      <c r="K54" s="514">
        <v>834</v>
      </c>
      <c r="L54" s="511">
        <v>1484</v>
      </c>
      <c r="M54" s="518">
        <v>1874</v>
      </c>
      <c r="N54" s="518">
        <v>2004</v>
      </c>
      <c r="O54" s="518">
        <v>2504</v>
      </c>
      <c r="P54" s="519">
        <v>2654</v>
      </c>
      <c r="Q54" s="514">
        <v>3224</v>
      </c>
      <c r="R54" s="574" t="str">
        <f t="shared" si="0"/>
        <v xml:space="preserve">     -</v>
      </c>
      <c r="S54" s="510">
        <f t="shared" si="1"/>
        <v>16.8</v>
      </c>
      <c r="T54" s="283"/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0</v>
      </c>
      <c r="E55" s="518">
        <v>0</v>
      </c>
      <c r="F55" s="518">
        <v>0</v>
      </c>
      <c r="G55" s="518">
        <v>0</v>
      </c>
      <c r="H55" s="518">
        <v>0</v>
      </c>
      <c r="I55" s="518">
        <v>0</v>
      </c>
      <c r="J55" s="519">
        <v>204</v>
      </c>
      <c r="K55" s="514">
        <v>204</v>
      </c>
      <c r="L55" s="511">
        <v>204</v>
      </c>
      <c r="M55" s="518">
        <v>204</v>
      </c>
      <c r="N55" s="518">
        <v>204</v>
      </c>
      <c r="O55" s="518">
        <v>204</v>
      </c>
      <c r="P55" s="519">
        <v>204</v>
      </c>
      <c r="Q55" s="514">
        <v>204</v>
      </c>
      <c r="R55" s="574" t="str">
        <f t="shared" si="0"/>
        <v xml:space="preserve">     -</v>
      </c>
      <c r="S55" s="510">
        <f t="shared" si="1"/>
        <v>0</v>
      </c>
      <c r="T55" s="283"/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390</v>
      </c>
      <c r="E56" s="521">
        <v>389</v>
      </c>
      <c r="F56" s="521">
        <v>402.226</v>
      </c>
      <c r="G56" s="521">
        <v>407.45493799999997</v>
      </c>
      <c r="H56" s="521">
        <v>348</v>
      </c>
      <c r="I56" s="521">
        <v>335</v>
      </c>
      <c r="J56" s="522">
        <v>379.8</v>
      </c>
      <c r="K56" s="523">
        <v>380</v>
      </c>
      <c r="L56" s="520">
        <v>450</v>
      </c>
      <c r="M56" s="521">
        <v>800</v>
      </c>
      <c r="N56" s="521">
        <v>850</v>
      </c>
      <c r="O56" s="521">
        <v>943</v>
      </c>
      <c r="P56" s="522">
        <v>943</v>
      </c>
      <c r="Q56" s="523">
        <v>943</v>
      </c>
      <c r="R56" s="574">
        <f t="shared" si="0"/>
        <v>-0.4</v>
      </c>
      <c r="S56" s="510">
        <f t="shared" si="1"/>
        <v>15.9</v>
      </c>
      <c r="T56" s="283"/>
      <c r="U56" s="43"/>
      <c r="V56" s="43"/>
      <c r="W56" s="43"/>
      <c r="X56" s="43"/>
      <c r="Y56" s="43"/>
      <c r="Z56" s="349"/>
      <c r="AA56" s="349"/>
      <c r="AB56" s="349"/>
      <c r="AC56" s="349"/>
      <c r="AD56" s="349"/>
      <c r="AE56" s="349"/>
      <c r="AF56" s="349"/>
      <c r="AG56" s="349"/>
    </row>
    <row r="57" spans="1:33" ht="15" customHeight="1">
      <c r="A57" s="16"/>
      <c r="B57" s="672" t="s">
        <v>316</v>
      </c>
      <c r="C57" s="673"/>
      <c r="D57" s="553">
        <v>2906</v>
      </c>
      <c r="E57" s="526">
        <v>2886</v>
      </c>
      <c r="F57" s="530">
        <v>3560</v>
      </c>
      <c r="G57" s="497">
        <v>3560</v>
      </c>
      <c r="H57" s="496">
        <v>3560</v>
      </c>
      <c r="I57" s="497">
        <v>2998.7999999999997</v>
      </c>
      <c r="J57" s="551">
        <v>3032.7999999999997</v>
      </c>
      <c r="K57" s="554">
        <v>3132.25</v>
      </c>
      <c r="L57" s="527">
        <v>3132.25</v>
      </c>
      <c r="M57" s="528">
        <v>3132.25</v>
      </c>
      <c r="N57" s="528">
        <v>3132.25</v>
      </c>
      <c r="O57" s="528">
        <v>3132.25</v>
      </c>
      <c r="P57" s="500">
        <v>3132.25</v>
      </c>
      <c r="Q57" s="554">
        <v>3132</v>
      </c>
      <c r="R57" s="573">
        <f t="shared" si="0"/>
        <v>1.1000000000000001</v>
      </c>
      <c r="S57" s="256">
        <f t="shared" si="1"/>
        <v>0</v>
      </c>
      <c r="T57" s="283"/>
      <c r="U57" s="280"/>
      <c r="V57" s="280"/>
      <c r="W57" s="280"/>
      <c r="X57" s="281"/>
      <c r="Y57" s="281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256</v>
      </c>
      <c r="E58" s="526">
        <v>259</v>
      </c>
      <c r="F58" s="530">
        <v>277</v>
      </c>
      <c r="G58" s="497">
        <v>276</v>
      </c>
      <c r="H58" s="496">
        <v>283</v>
      </c>
      <c r="I58" s="497">
        <v>295</v>
      </c>
      <c r="J58" s="551">
        <v>306</v>
      </c>
      <c r="K58" s="498">
        <v>306</v>
      </c>
      <c r="L58" s="499">
        <v>306</v>
      </c>
      <c r="M58" s="532">
        <v>306</v>
      </c>
      <c r="N58" s="532">
        <v>306</v>
      </c>
      <c r="O58" s="532">
        <v>306</v>
      </c>
      <c r="P58" s="532">
        <v>306</v>
      </c>
      <c r="Q58" s="498">
        <v>306</v>
      </c>
      <c r="R58" s="573">
        <f t="shared" si="0"/>
        <v>2.6</v>
      </c>
      <c r="S58" s="256">
        <f t="shared" si="1"/>
        <v>0</v>
      </c>
      <c r="T58" s="283"/>
      <c r="U58" s="280"/>
      <c r="V58" s="280"/>
      <c r="W58" s="280"/>
      <c r="X58" s="281"/>
      <c r="Y58" s="280"/>
      <c r="Z58" s="280"/>
      <c r="AA58" s="280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3162</v>
      </c>
      <c r="E59" s="92">
        <f t="shared" ref="E59:Q59" si="7">SUM(E57:E58)</f>
        <v>3145</v>
      </c>
      <c r="F59" s="92">
        <f t="shared" si="7"/>
        <v>3837</v>
      </c>
      <c r="G59" s="93">
        <f t="shared" si="7"/>
        <v>3836</v>
      </c>
      <c r="H59" s="93">
        <f t="shared" si="7"/>
        <v>3843</v>
      </c>
      <c r="I59" s="94">
        <f t="shared" si="7"/>
        <v>3293.7999999999997</v>
      </c>
      <c r="J59" s="94">
        <f t="shared" si="7"/>
        <v>3338.7999999999997</v>
      </c>
      <c r="K59" s="96">
        <f t="shared" si="7"/>
        <v>3438.25</v>
      </c>
      <c r="L59" s="555">
        <f t="shared" si="7"/>
        <v>3438.25</v>
      </c>
      <c r="M59" s="556">
        <f t="shared" si="7"/>
        <v>3438.25</v>
      </c>
      <c r="N59" s="556">
        <f t="shared" si="7"/>
        <v>3438.25</v>
      </c>
      <c r="O59" s="556">
        <f t="shared" si="7"/>
        <v>3438.25</v>
      </c>
      <c r="P59" s="556">
        <f t="shared" si="7"/>
        <v>3438.25</v>
      </c>
      <c r="Q59" s="227">
        <f t="shared" si="7"/>
        <v>3438</v>
      </c>
      <c r="R59" s="574">
        <f t="shared" si="0"/>
        <v>1.2</v>
      </c>
      <c r="S59" s="510">
        <f t="shared" si="1"/>
        <v>0</v>
      </c>
      <c r="T59" s="28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0</v>
      </c>
      <c r="E60" s="526">
        <v>0</v>
      </c>
      <c r="F60" s="530">
        <v>0</v>
      </c>
      <c r="G60" s="497">
        <v>0</v>
      </c>
      <c r="H60" s="496">
        <v>0</v>
      </c>
      <c r="I60" s="497">
        <v>0</v>
      </c>
      <c r="J60" s="551">
        <v>0</v>
      </c>
      <c r="K60" s="498">
        <v>0</v>
      </c>
      <c r="L60" s="533">
        <v>0</v>
      </c>
      <c r="M60" s="534">
        <v>0</v>
      </c>
      <c r="N60" s="534">
        <v>0</v>
      </c>
      <c r="O60" s="534">
        <v>0</v>
      </c>
      <c r="P60" s="534">
        <v>0</v>
      </c>
      <c r="Q60" s="535">
        <v>0</v>
      </c>
      <c r="R60" s="573" t="str">
        <f t="shared" si="0"/>
        <v xml:space="preserve">     -</v>
      </c>
      <c r="S60" s="256" t="str">
        <f t="shared" si="1"/>
        <v xml:space="preserve">     -</v>
      </c>
      <c r="T60" s="283"/>
      <c r="U60" s="43"/>
      <c r="V60" s="43"/>
      <c r="W60" s="43"/>
      <c r="X60" s="281"/>
      <c r="Y60" s="281"/>
      <c r="Z60" s="280"/>
      <c r="AA60" s="280"/>
      <c r="AB60" s="280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139</v>
      </c>
      <c r="E61" s="526">
        <v>162</v>
      </c>
      <c r="F61" s="530">
        <v>166</v>
      </c>
      <c r="G61" s="497">
        <v>170</v>
      </c>
      <c r="H61" s="496">
        <v>174</v>
      </c>
      <c r="I61" s="497">
        <v>180</v>
      </c>
      <c r="J61" s="497">
        <v>182.7</v>
      </c>
      <c r="K61" s="502">
        <v>183</v>
      </c>
      <c r="L61" s="503">
        <v>183</v>
      </c>
      <c r="M61" s="496">
        <v>183</v>
      </c>
      <c r="N61" s="496">
        <v>183</v>
      </c>
      <c r="O61" s="496">
        <v>183</v>
      </c>
      <c r="P61" s="497">
        <v>183</v>
      </c>
      <c r="Q61" s="502">
        <v>183</v>
      </c>
      <c r="R61" s="573">
        <f t="shared" si="0"/>
        <v>4</v>
      </c>
      <c r="S61" s="256">
        <f t="shared" si="1"/>
        <v>0</v>
      </c>
      <c r="T61" s="283"/>
      <c r="U61" s="43"/>
      <c r="V61" s="43"/>
      <c r="W61" s="43"/>
      <c r="X61" s="281"/>
      <c r="Y61" s="281"/>
      <c r="Z61" s="280"/>
      <c r="AA61" s="280"/>
      <c r="AB61" s="280"/>
      <c r="AC61" s="281"/>
      <c r="AD61" s="347"/>
      <c r="AE61" s="347"/>
      <c r="AF61" s="347"/>
      <c r="AG61" s="347"/>
    </row>
    <row r="62" spans="1:33" ht="15" customHeight="1">
      <c r="A62" s="16"/>
      <c r="B62" s="670" t="s">
        <v>321</v>
      </c>
      <c r="C62" s="671"/>
      <c r="D62" s="553">
        <v>0</v>
      </c>
      <c r="E62" s="525">
        <v>0</v>
      </c>
      <c r="F62" s="530">
        <v>0</v>
      </c>
      <c r="G62" s="497">
        <v>0</v>
      </c>
      <c r="H62" s="496">
        <v>0</v>
      </c>
      <c r="I62" s="497">
        <v>0</v>
      </c>
      <c r="J62" s="497">
        <v>0</v>
      </c>
      <c r="K62" s="536">
        <v>0</v>
      </c>
      <c r="L62" s="537">
        <v>0</v>
      </c>
      <c r="M62" s="538">
        <v>0</v>
      </c>
      <c r="N62" s="538">
        <v>0</v>
      </c>
      <c r="O62" s="538">
        <v>0</v>
      </c>
      <c r="P62" s="515">
        <v>0</v>
      </c>
      <c r="Q62" s="536">
        <v>0</v>
      </c>
      <c r="R62" s="573" t="str">
        <f t="shared" si="0"/>
        <v xml:space="preserve">     -</v>
      </c>
      <c r="S62" s="256" t="str">
        <f t="shared" si="1"/>
        <v xml:space="preserve">     -</v>
      </c>
      <c r="T62" s="283"/>
      <c r="U62" s="43"/>
      <c r="V62" s="43"/>
      <c r="W62" s="43"/>
      <c r="X62" s="283"/>
      <c r="Y62" s="28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139</v>
      </c>
      <c r="E63" s="539">
        <f t="shared" ref="E63:Q63" si="8">SUM(E60:E62)</f>
        <v>162</v>
      </c>
      <c r="F63" s="539">
        <f t="shared" si="8"/>
        <v>166</v>
      </c>
      <c r="G63" s="100">
        <f t="shared" si="8"/>
        <v>170</v>
      </c>
      <c r="H63" s="100">
        <f t="shared" si="8"/>
        <v>174</v>
      </c>
      <c r="I63" s="100">
        <f t="shared" si="8"/>
        <v>180</v>
      </c>
      <c r="J63" s="101">
        <f t="shared" si="8"/>
        <v>182.7</v>
      </c>
      <c r="K63" s="104">
        <f t="shared" si="8"/>
        <v>183</v>
      </c>
      <c r="L63" s="540">
        <f t="shared" si="8"/>
        <v>183</v>
      </c>
      <c r="M63" s="100">
        <f t="shared" si="8"/>
        <v>183</v>
      </c>
      <c r="N63" s="100">
        <f t="shared" si="8"/>
        <v>183</v>
      </c>
      <c r="O63" s="100">
        <f t="shared" si="8"/>
        <v>183</v>
      </c>
      <c r="P63" s="100">
        <f t="shared" si="8"/>
        <v>183</v>
      </c>
      <c r="Q63" s="103">
        <f t="shared" si="8"/>
        <v>183</v>
      </c>
      <c r="R63" s="576">
        <f t="shared" si="0"/>
        <v>4</v>
      </c>
      <c r="S63" s="541">
        <f t="shared" si="1"/>
        <v>0</v>
      </c>
      <c r="T63" s="28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30243</v>
      </c>
      <c r="E64" s="543">
        <f t="shared" ref="E64:Q64" si="9">E48+E49+E51+E53+E55+E56+E59+E63</f>
        <v>31788.322</v>
      </c>
      <c r="F64" s="543">
        <f t="shared" si="9"/>
        <v>33225.225999999995</v>
      </c>
      <c r="G64" s="544">
        <f t="shared" si="9"/>
        <v>34596.015937999997</v>
      </c>
      <c r="H64" s="544">
        <f t="shared" si="9"/>
        <v>35689.626048999999</v>
      </c>
      <c r="I64" s="544">
        <f t="shared" si="9"/>
        <v>36251.98335000001</v>
      </c>
      <c r="J64" s="545">
        <f t="shared" si="9"/>
        <v>38509.980699000007</v>
      </c>
      <c r="K64" s="546">
        <f t="shared" si="9"/>
        <v>40962.977790000004</v>
      </c>
      <c r="L64" s="547">
        <f t="shared" si="9"/>
        <v>43374.877999999997</v>
      </c>
      <c r="M64" s="544">
        <f t="shared" si="9"/>
        <v>46329.251000000004</v>
      </c>
      <c r="N64" s="544">
        <f t="shared" si="9"/>
        <v>51651.250999999997</v>
      </c>
      <c r="O64" s="544">
        <f t="shared" si="9"/>
        <v>53598.250999999997</v>
      </c>
      <c r="P64" s="544">
        <f t="shared" si="9"/>
        <v>55655.250999999997</v>
      </c>
      <c r="Q64" s="577">
        <f t="shared" si="9"/>
        <v>57335.000999999997</v>
      </c>
      <c r="R64" s="579">
        <f t="shared" si="0"/>
        <v>4.4000000000000004</v>
      </c>
      <c r="S64" s="558">
        <f t="shared" si="1"/>
        <v>5.7</v>
      </c>
      <c r="T64" s="283"/>
    </row>
    <row r="65" spans="1:33" ht="15" customHeight="1">
      <c r="A65" s="616" t="s">
        <v>327</v>
      </c>
      <c r="B65" s="666" t="s">
        <v>433</v>
      </c>
      <c r="C65" s="667"/>
      <c r="D65" s="487">
        <v>4254</v>
      </c>
      <c r="E65" s="488">
        <v>4366</v>
      </c>
      <c r="F65" s="489">
        <v>4171</v>
      </c>
      <c r="G65" s="559">
        <v>3658</v>
      </c>
      <c r="H65" s="560">
        <v>3528</v>
      </c>
      <c r="I65" s="559">
        <v>3240</v>
      </c>
      <c r="J65" s="559">
        <v>3093</v>
      </c>
      <c r="K65" s="561">
        <v>3280</v>
      </c>
      <c r="L65" s="562">
        <v>3000</v>
      </c>
      <c r="M65" s="560">
        <v>3000</v>
      </c>
      <c r="N65" s="560">
        <v>3000</v>
      </c>
      <c r="O65" s="560">
        <v>3000</v>
      </c>
      <c r="P65" s="563">
        <v>3000</v>
      </c>
      <c r="Q65" s="561">
        <v>3000</v>
      </c>
      <c r="R65" s="573">
        <f t="shared" si="0"/>
        <v>-3.6</v>
      </c>
      <c r="S65" s="256">
        <f t="shared" si="1"/>
        <v>0</v>
      </c>
      <c r="T65" s="28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3483</v>
      </c>
      <c r="E66" s="525">
        <v>3494</v>
      </c>
      <c r="F66" s="530">
        <v>2930</v>
      </c>
      <c r="G66" s="497">
        <v>1887</v>
      </c>
      <c r="H66" s="496">
        <v>1640</v>
      </c>
      <c r="I66" s="497">
        <v>1688</v>
      </c>
      <c r="J66" s="551">
        <v>1480</v>
      </c>
      <c r="K66" s="498">
        <v>1500</v>
      </c>
      <c r="L66" s="499">
        <v>2500</v>
      </c>
      <c r="M66" s="500">
        <v>2500</v>
      </c>
      <c r="N66" s="500">
        <v>2500</v>
      </c>
      <c r="O66" s="500">
        <v>2500</v>
      </c>
      <c r="P66" s="501">
        <v>2500</v>
      </c>
      <c r="Q66" s="498">
        <v>2500</v>
      </c>
      <c r="R66" s="573">
        <f t="shared" si="0"/>
        <v>-11.3</v>
      </c>
      <c r="S66" s="256">
        <f t="shared" si="1"/>
        <v>0</v>
      </c>
      <c r="T66" s="28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T67" s="283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9752</v>
      </c>
      <c r="E68" s="496">
        <v>11324</v>
      </c>
      <c r="F68" s="497">
        <v>13179</v>
      </c>
      <c r="G68" s="497">
        <v>16810</v>
      </c>
      <c r="H68" s="496">
        <v>18691</v>
      </c>
      <c r="I68" s="497">
        <v>20102</v>
      </c>
      <c r="J68" s="497">
        <v>21373</v>
      </c>
      <c r="K68" s="502">
        <v>23774</v>
      </c>
      <c r="L68" s="503">
        <v>26740</v>
      </c>
      <c r="M68" s="496">
        <v>27895</v>
      </c>
      <c r="N68" s="496">
        <v>29400</v>
      </c>
      <c r="O68" s="496">
        <v>31200</v>
      </c>
      <c r="P68" s="497">
        <v>33000</v>
      </c>
      <c r="Q68" s="502">
        <v>33500</v>
      </c>
      <c r="R68" s="573">
        <f t="shared" si="0"/>
        <v>13.6</v>
      </c>
      <c r="S68" s="256">
        <f t="shared" si="1"/>
        <v>4.5999999999999996</v>
      </c>
      <c r="T68" s="28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1711</v>
      </c>
      <c r="E69" s="496">
        <v>1773</v>
      </c>
      <c r="F69" s="497">
        <v>1656</v>
      </c>
      <c r="G69" s="497">
        <v>1385.1729999999998</v>
      </c>
      <c r="H69" s="496">
        <v>1339.4650489999999</v>
      </c>
      <c r="I69" s="497">
        <v>1376.1833500000002</v>
      </c>
      <c r="J69" s="497">
        <v>1469.8647600000002</v>
      </c>
      <c r="K69" s="502">
        <v>1508.7307900000001</v>
      </c>
      <c r="L69" s="503">
        <v>1425.76</v>
      </c>
      <c r="M69" s="496">
        <v>1425.76</v>
      </c>
      <c r="N69" s="496">
        <v>1425.76</v>
      </c>
      <c r="O69" s="496">
        <v>1425.76</v>
      </c>
      <c r="P69" s="497">
        <v>1425.76</v>
      </c>
      <c r="Q69" s="502">
        <v>1425.76</v>
      </c>
      <c r="R69" s="573">
        <f t="shared" si="0"/>
        <v>-1.8</v>
      </c>
      <c r="S69" s="256">
        <f t="shared" si="1"/>
        <v>0</v>
      </c>
      <c r="T69" s="283"/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870</v>
      </c>
      <c r="E70" s="45">
        <v>895</v>
      </c>
      <c r="F70" s="49">
        <v>867</v>
      </c>
      <c r="G70" s="45">
        <v>936</v>
      </c>
      <c r="H70" s="49">
        <v>1028</v>
      </c>
      <c r="I70" s="45">
        <v>1109</v>
      </c>
      <c r="J70" s="49">
        <v>1109</v>
      </c>
      <c r="K70" s="50">
        <v>1160</v>
      </c>
      <c r="L70" s="140">
        <v>1220</v>
      </c>
      <c r="M70" s="45">
        <v>1280</v>
      </c>
      <c r="N70" s="45">
        <v>1350</v>
      </c>
      <c r="O70" s="45">
        <v>1420</v>
      </c>
      <c r="P70" s="45">
        <v>1490</v>
      </c>
      <c r="Q70" s="50">
        <v>1560</v>
      </c>
      <c r="R70" s="573">
        <f t="shared" si="0"/>
        <v>4.2</v>
      </c>
      <c r="S70" s="256">
        <f t="shared" si="1"/>
        <v>5</v>
      </c>
      <c r="T70" s="283"/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1997</v>
      </c>
      <c r="E71" s="49">
        <v>2424</v>
      </c>
      <c r="F71" s="45">
        <v>2263</v>
      </c>
      <c r="G71" s="49">
        <v>2290</v>
      </c>
      <c r="H71" s="49">
        <v>2870</v>
      </c>
      <c r="I71" s="45">
        <v>4500</v>
      </c>
      <c r="J71" s="49">
        <v>3214</v>
      </c>
      <c r="K71" s="50">
        <v>3500</v>
      </c>
      <c r="L71" s="140">
        <v>3800</v>
      </c>
      <c r="M71" s="45">
        <v>4200</v>
      </c>
      <c r="N71" s="45">
        <v>4500</v>
      </c>
      <c r="O71" s="45">
        <v>4700</v>
      </c>
      <c r="P71" s="45">
        <v>5200</v>
      </c>
      <c r="Q71" s="50">
        <v>5200</v>
      </c>
      <c r="R71" s="573">
        <f t="shared" si="0"/>
        <v>8.3000000000000007</v>
      </c>
      <c r="S71" s="256">
        <f t="shared" si="1"/>
        <v>6.5</v>
      </c>
      <c r="T71" s="28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T72" s="28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>
        <v>0</v>
      </c>
      <c r="R73" s="573" t="str">
        <f t="shared" si="10"/>
        <v xml:space="preserve">     -</v>
      </c>
      <c r="S73" s="256" t="str">
        <f t="shared" si="11"/>
        <v xml:space="preserve">     -</v>
      </c>
      <c r="T73" s="283"/>
      <c r="U73" s="280"/>
      <c r="V73" s="43"/>
      <c r="W73" s="280"/>
      <c r="X73" s="280"/>
      <c r="Y73" s="280"/>
      <c r="Z73" s="280"/>
      <c r="AA73" s="280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359.04</v>
      </c>
      <c r="E74" s="496">
        <v>368.03131200000001</v>
      </c>
      <c r="F74" s="497">
        <v>348</v>
      </c>
      <c r="G74" s="497">
        <v>388</v>
      </c>
      <c r="H74" s="496">
        <v>439.13499999999993</v>
      </c>
      <c r="I74" s="497">
        <v>335</v>
      </c>
      <c r="J74" s="497">
        <v>324.95000000000005</v>
      </c>
      <c r="K74" s="502">
        <v>353.76000000000005</v>
      </c>
      <c r="L74" s="503">
        <v>353.76000000000005</v>
      </c>
      <c r="M74" s="496">
        <v>353.76000000000005</v>
      </c>
      <c r="N74" s="496">
        <v>353.76000000000005</v>
      </c>
      <c r="O74" s="496">
        <v>353.76000000000005</v>
      </c>
      <c r="P74" s="497">
        <v>353.76000000000005</v>
      </c>
      <c r="Q74" s="502">
        <v>353.76000000000005</v>
      </c>
      <c r="R74" s="573">
        <f t="shared" si="10"/>
        <v>-0.2</v>
      </c>
      <c r="S74" s="256">
        <f t="shared" si="11"/>
        <v>0</v>
      </c>
      <c r="T74" s="283"/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0</v>
      </c>
      <c r="E75" s="49">
        <v>0</v>
      </c>
      <c r="F75" s="45">
        <v>0</v>
      </c>
      <c r="G75" s="49">
        <v>0</v>
      </c>
      <c r="H75" s="49">
        <v>0</v>
      </c>
      <c r="I75" s="45">
        <v>0</v>
      </c>
      <c r="J75" s="49">
        <v>0</v>
      </c>
      <c r="K75" s="50">
        <v>0</v>
      </c>
      <c r="L75" s="140">
        <v>0</v>
      </c>
      <c r="M75" s="45">
        <v>0</v>
      </c>
      <c r="N75" s="45">
        <v>0</v>
      </c>
      <c r="O75" s="45">
        <v>0</v>
      </c>
      <c r="P75" s="45">
        <v>0</v>
      </c>
      <c r="Q75" s="50">
        <v>0</v>
      </c>
      <c r="R75" s="573" t="str">
        <f t="shared" si="10"/>
        <v xml:space="preserve">     -</v>
      </c>
      <c r="S75" s="256" t="str">
        <f t="shared" si="11"/>
        <v xml:space="preserve">     -</v>
      </c>
      <c r="T75" s="283"/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835</v>
      </c>
      <c r="E76" s="40">
        <v>665</v>
      </c>
      <c r="F76" s="40">
        <v>508</v>
      </c>
      <c r="G76" s="40">
        <v>547</v>
      </c>
      <c r="H76" s="505">
        <v>478</v>
      </c>
      <c r="I76" s="505">
        <v>413</v>
      </c>
      <c r="J76" s="506">
        <v>330</v>
      </c>
      <c r="K76" s="507">
        <v>285</v>
      </c>
      <c r="L76" s="508">
        <v>288</v>
      </c>
      <c r="M76" s="505">
        <v>290</v>
      </c>
      <c r="N76" s="505">
        <v>290</v>
      </c>
      <c r="O76" s="505">
        <v>290</v>
      </c>
      <c r="P76" s="505">
        <v>290</v>
      </c>
      <c r="Q76" s="509">
        <v>290</v>
      </c>
      <c r="R76" s="573">
        <f t="shared" si="10"/>
        <v>-14.2</v>
      </c>
      <c r="S76" s="256">
        <f t="shared" si="11"/>
        <v>0.1</v>
      </c>
      <c r="T76" s="283"/>
      <c r="U76" s="283"/>
      <c r="V76" s="283"/>
      <c r="W76" s="283"/>
      <c r="X76" s="283"/>
      <c r="Y76" s="283"/>
      <c r="Z76" s="283"/>
      <c r="AA76" s="283"/>
      <c r="AB76" s="283"/>
      <c r="AC76" s="283"/>
      <c r="AD76" s="283"/>
      <c r="AE76" s="283"/>
      <c r="AF76" s="283"/>
      <c r="AG76" s="283"/>
    </row>
    <row r="77" spans="1:33" ht="15.75" customHeight="1">
      <c r="A77" s="16"/>
      <c r="B77" s="674" t="s">
        <v>307</v>
      </c>
      <c r="C77" s="675"/>
      <c r="D77" s="95">
        <f>SUM(D65:D76)</f>
        <v>23261.040000000001</v>
      </c>
      <c r="E77" s="93">
        <f t="shared" ref="E77:Q77" si="12">SUM(E65:E76)</f>
        <v>25309.031311999999</v>
      </c>
      <c r="F77" s="93">
        <f t="shared" si="12"/>
        <v>25922</v>
      </c>
      <c r="G77" s="93">
        <f t="shared" si="12"/>
        <v>27901.172999999999</v>
      </c>
      <c r="H77" s="93">
        <f t="shared" si="12"/>
        <v>30013.600048999997</v>
      </c>
      <c r="I77" s="93">
        <f t="shared" si="12"/>
        <v>32763.183349999999</v>
      </c>
      <c r="J77" s="93">
        <f t="shared" si="12"/>
        <v>32393.814760000001</v>
      </c>
      <c r="K77" s="96">
        <f t="shared" si="12"/>
        <v>35361.490790000003</v>
      </c>
      <c r="L77" s="95">
        <f t="shared" si="12"/>
        <v>39327.520000000004</v>
      </c>
      <c r="M77" s="93">
        <f t="shared" si="12"/>
        <v>40944.520000000004</v>
      </c>
      <c r="N77" s="93">
        <f t="shared" si="12"/>
        <v>42819.520000000004</v>
      </c>
      <c r="O77" s="93">
        <f t="shared" si="12"/>
        <v>44889.520000000004</v>
      </c>
      <c r="P77" s="93">
        <f t="shared" si="12"/>
        <v>47259.520000000004</v>
      </c>
      <c r="Q77" s="96">
        <f t="shared" si="12"/>
        <v>47829.520000000004</v>
      </c>
      <c r="R77" s="574">
        <f t="shared" si="10"/>
        <v>6.2</v>
      </c>
      <c r="S77" s="510">
        <f t="shared" si="11"/>
        <v>4</v>
      </c>
      <c r="T77" s="28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0</v>
      </c>
      <c r="E78" s="512">
        <v>0</v>
      </c>
      <c r="F78" s="512">
        <v>0</v>
      </c>
      <c r="G78" s="512">
        <v>0</v>
      </c>
      <c r="H78" s="512">
        <v>0</v>
      </c>
      <c r="I78" s="512">
        <v>0</v>
      </c>
      <c r="J78" s="513">
        <v>0</v>
      </c>
      <c r="K78" s="514">
        <v>0</v>
      </c>
      <c r="L78" s="511">
        <v>0</v>
      </c>
      <c r="M78" s="512">
        <v>0</v>
      </c>
      <c r="N78" s="512">
        <v>0</v>
      </c>
      <c r="O78" s="512">
        <v>0</v>
      </c>
      <c r="P78" s="513">
        <v>0</v>
      </c>
      <c r="Q78" s="514">
        <v>0</v>
      </c>
      <c r="R78" s="574" t="str">
        <f t="shared" si="10"/>
        <v xml:space="preserve">     -</v>
      </c>
      <c r="S78" s="510" t="str">
        <f t="shared" si="11"/>
        <v xml:space="preserve">     -</v>
      </c>
      <c r="T78" s="283"/>
      <c r="U78" s="280"/>
      <c r="V78" s="280"/>
      <c r="W78" s="280"/>
      <c r="X78" s="280"/>
      <c r="Y78" s="280"/>
      <c r="Z78" s="280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0</v>
      </c>
      <c r="E79" s="512">
        <v>0</v>
      </c>
      <c r="F79" s="512">
        <v>0</v>
      </c>
      <c r="G79" s="512">
        <v>0</v>
      </c>
      <c r="H79" s="512">
        <v>0</v>
      </c>
      <c r="I79" s="512">
        <v>0</v>
      </c>
      <c r="J79" s="513">
        <v>0</v>
      </c>
      <c r="K79" s="514">
        <v>0</v>
      </c>
      <c r="L79" s="511">
        <v>0</v>
      </c>
      <c r="M79" s="512">
        <v>0</v>
      </c>
      <c r="N79" s="512">
        <v>0</v>
      </c>
      <c r="O79" s="512">
        <v>0</v>
      </c>
      <c r="P79" s="513">
        <v>0</v>
      </c>
      <c r="Q79" s="514">
        <v>0</v>
      </c>
      <c r="R79" s="574" t="str">
        <f t="shared" si="10"/>
        <v xml:space="preserve">     -</v>
      </c>
      <c r="S79" s="510" t="str">
        <f t="shared" si="11"/>
        <v xml:space="preserve">     -</v>
      </c>
      <c r="T79" s="283"/>
      <c r="U79" s="280"/>
      <c r="V79" s="280"/>
      <c r="W79" s="280"/>
      <c r="X79" s="280"/>
      <c r="Y79" s="280"/>
      <c r="Z79" s="280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2170</v>
      </c>
      <c r="E80" s="538">
        <v>2080</v>
      </c>
      <c r="F80" s="538">
        <v>2301</v>
      </c>
      <c r="G80" s="538">
        <v>1998</v>
      </c>
      <c r="H80" s="538">
        <v>1360</v>
      </c>
      <c r="I80" s="538">
        <v>1304</v>
      </c>
      <c r="J80" s="515">
        <v>1348</v>
      </c>
      <c r="K80" s="536">
        <v>1410</v>
      </c>
      <c r="L80" s="537">
        <v>1435</v>
      </c>
      <c r="M80" s="538">
        <v>1574</v>
      </c>
      <c r="N80" s="538">
        <v>1661</v>
      </c>
      <c r="O80" s="538">
        <v>1805</v>
      </c>
      <c r="P80" s="515">
        <v>1812</v>
      </c>
      <c r="Q80" s="536">
        <v>1822</v>
      </c>
      <c r="R80" s="575">
        <f t="shared" si="10"/>
        <v>-6</v>
      </c>
      <c r="S80" s="517">
        <f t="shared" si="11"/>
        <v>4.9000000000000004</v>
      </c>
      <c r="T80" s="28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2075</v>
      </c>
      <c r="E81" s="512">
        <v>1833</v>
      </c>
      <c r="F81" s="512">
        <v>1977</v>
      </c>
      <c r="G81" s="512">
        <v>1677</v>
      </c>
      <c r="H81" s="512">
        <v>984</v>
      </c>
      <c r="I81" s="512">
        <v>930</v>
      </c>
      <c r="J81" s="513">
        <v>993</v>
      </c>
      <c r="K81" s="514">
        <v>1108</v>
      </c>
      <c r="L81" s="511">
        <v>1086</v>
      </c>
      <c r="M81" s="512">
        <v>1240</v>
      </c>
      <c r="N81" s="512">
        <v>1344</v>
      </c>
      <c r="O81" s="512">
        <v>1490</v>
      </c>
      <c r="P81" s="513">
        <v>1496</v>
      </c>
      <c r="Q81" s="514">
        <v>1510</v>
      </c>
      <c r="R81" s="574">
        <f t="shared" si="10"/>
        <v>-8.6</v>
      </c>
      <c r="S81" s="510">
        <f t="shared" si="11"/>
        <v>6.8</v>
      </c>
      <c r="T81" s="28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800</v>
      </c>
      <c r="E82" s="496">
        <v>616</v>
      </c>
      <c r="F82" s="496">
        <v>576</v>
      </c>
      <c r="G82" s="496">
        <v>480</v>
      </c>
      <c r="H82" s="496">
        <v>520</v>
      </c>
      <c r="I82" s="496">
        <v>333.3</v>
      </c>
      <c r="J82" s="497">
        <v>362.34000000000003</v>
      </c>
      <c r="K82" s="502">
        <v>557.70000000000005</v>
      </c>
      <c r="L82" s="503">
        <v>562.32000000000005</v>
      </c>
      <c r="M82" s="496">
        <v>592.02</v>
      </c>
      <c r="N82" s="496">
        <v>617.1</v>
      </c>
      <c r="O82" s="496">
        <v>594</v>
      </c>
      <c r="P82" s="497">
        <v>650.1</v>
      </c>
      <c r="Q82" s="502">
        <v>1016.4000000000001</v>
      </c>
      <c r="R82" s="573">
        <f t="shared" si="10"/>
        <v>-5</v>
      </c>
      <c r="S82" s="256">
        <f t="shared" si="11"/>
        <v>12.6</v>
      </c>
      <c r="T82" s="283"/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55</v>
      </c>
      <c r="F83" s="518">
        <v>55</v>
      </c>
      <c r="G83" s="518">
        <v>55</v>
      </c>
      <c r="H83" s="518">
        <v>72</v>
      </c>
      <c r="I83" s="518">
        <v>46.86</v>
      </c>
      <c r="J83" s="519">
        <v>28.380000000000003</v>
      </c>
      <c r="K83" s="514">
        <v>197.34</v>
      </c>
      <c r="L83" s="511">
        <v>190.08</v>
      </c>
      <c r="M83" s="518">
        <v>194.70000000000002</v>
      </c>
      <c r="N83" s="518">
        <v>192.72</v>
      </c>
      <c r="O83" s="518">
        <v>154.44</v>
      </c>
      <c r="P83" s="519">
        <v>191.4</v>
      </c>
      <c r="Q83" s="514">
        <v>259.38</v>
      </c>
      <c r="R83" s="574" t="str">
        <f t="shared" si="10"/>
        <v xml:space="preserve">     -</v>
      </c>
      <c r="S83" s="510">
        <f t="shared" si="11"/>
        <v>6.4</v>
      </c>
      <c r="T83" s="283"/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0</v>
      </c>
      <c r="E84" s="518">
        <v>0</v>
      </c>
      <c r="F84" s="518">
        <v>0</v>
      </c>
      <c r="G84" s="518">
        <v>0</v>
      </c>
      <c r="H84" s="518">
        <v>0</v>
      </c>
      <c r="I84" s="518">
        <v>0</v>
      </c>
      <c r="J84" s="519">
        <v>0</v>
      </c>
      <c r="K84" s="514">
        <v>0</v>
      </c>
      <c r="L84" s="511">
        <v>0</v>
      </c>
      <c r="M84" s="518">
        <v>0</v>
      </c>
      <c r="N84" s="518">
        <v>0</v>
      </c>
      <c r="O84" s="518">
        <v>0</v>
      </c>
      <c r="P84" s="519">
        <v>0</v>
      </c>
      <c r="Q84" s="514">
        <v>0</v>
      </c>
      <c r="R84" s="574" t="str">
        <f t="shared" si="10"/>
        <v xml:space="preserve">     -</v>
      </c>
      <c r="S84" s="510" t="str">
        <f t="shared" si="11"/>
        <v xml:space="preserve">     -</v>
      </c>
      <c r="T84" s="283"/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300</v>
      </c>
      <c r="E85" s="521">
        <v>299</v>
      </c>
      <c r="F85" s="521">
        <v>290.3</v>
      </c>
      <c r="G85" s="521">
        <v>294.75493799999998</v>
      </c>
      <c r="H85" s="521">
        <v>242</v>
      </c>
      <c r="I85" s="521">
        <v>233</v>
      </c>
      <c r="J85" s="522">
        <v>109.80000000000001</v>
      </c>
      <c r="K85" s="523">
        <v>210</v>
      </c>
      <c r="L85" s="520">
        <v>320</v>
      </c>
      <c r="M85" s="521">
        <v>623</v>
      </c>
      <c r="N85" s="521">
        <v>645</v>
      </c>
      <c r="O85" s="521">
        <v>645</v>
      </c>
      <c r="P85" s="522">
        <v>645</v>
      </c>
      <c r="Q85" s="523">
        <v>760</v>
      </c>
      <c r="R85" s="574">
        <f t="shared" si="10"/>
        <v>-5</v>
      </c>
      <c r="S85" s="510">
        <f t="shared" si="11"/>
        <v>18.899999999999999</v>
      </c>
      <c r="T85" s="283"/>
      <c r="U85" s="43"/>
      <c r="V85" s="43"/>
      <c r="W85" s="43"/>
      <c r="X85" s="43"/>
      <c r="Y85" s="43"/>
      <c r="Z85" s="346"/>
      <c r="AA85" s="346"/>
      <c r="AB85" s="346"/>
      <c r="AC85" s="346"/>
      <c r="AD85" s="346"/>
      <c r="AE85" s="346"/>
      <c r="AF85" s="346"/>
      <c r="AG85" s="346"/>
    </row>
    <row r="86" spans="1:33" ht="15" customHeight="1">
      <c r="A86" s="16"/>
      <c r="B86" s="672" t="s">
        <v>316</v>
      </c>
      <c r="C86" s="673"/>
      <c r="D86" s="529">
        <v>1858</v>
      </c>
      <c r="E86" s="525">
        <v>1760</v>
      </c>
      <c r="F86" s="530">
        <v>2270</v>
      </c>
      <c r="G86" s="530">
        <v>2270</v>
      </c>
      <c r="H86" s="525">
        <v>2280</v>
      </c>
      <c r="I86" s="530">
        <v>2730</v>
      </c>
      <c r="J86" s="530">
        <v>2773</v>
      </c>
      <c r="K86" s="564">
        <v>2837</v>
      </c>
      <c r="L86" s="524">
        <v>2919</v>
      </c>
      <c r="M86" s="525">
        <v>2993</v>
      </c>
      <c r="N86" s="525">
        <v>3047</v>
      </c>
      <c r="O86" s="525">
        <v>3100</v>
      </c>
      <c r="P86" s="530">
        <v>3146</v>
      </c>
      <c r="Q86" s="564">
        <v>3189</v>
      </c>
      <c r="R86" s="573">
        <f t="shared" si="10"/>
        <v>6.2</v>
      </c>
      <c r="S86" s="256">
        <f t="shared" si="11"/>
        <v>1.8</v>
      </c>
      <c r="T86" s="283"/>
      <c r="U86" s="280"/>
      <c r="V86" s="280"/>
      <c r="W86" s="280"/>
      <c r="X86" s="347"/>
      <c r="Y86" s="347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346</v>
      </c>
      <c r="E87" s="525">
        <v>346</v>
      </c>
      <c r="F87" s="530">
        <v>346</v>
      </c>
      <c r="G87" s="530">
        <v>346</v>
      </c>
      <c r="H87" s="525">
        <v>346</v>
      </c>
      <c r="I87" s="530">
        <v>346</v>
      </c>
      <c r="J87" s="530">
        <v>375</v>
      </c>
      <c r="K87" s="564">
        <v>386</v>
      </c>
      <c r="L87" s="524">
        <v>394</v>
      </c>
      <c r="M87" s="525">
        <v>402</v>
      </c>
      <c r="N87" s="525">
        <v>409</v>
      </c>
      <c r="O87" s="525">
        <v>416</v>
      </c>
      <c r="P87" s="530">
        <v>423</v>
      </c>
      <c r="Q87" s="564">
        <v>430</v>
      </c>
      <c r="R87" s="573">
        <f t="shared" si="10"/>
        <v>1.6</v>
      </c>
      <c r="S87" s="256">
        <f t="shared" si="11"/>
        <v>1.8</v>
      </c>
      <c r="T87" s="283"/>
      <c r="U87" s="280"/>
      <c r="V87" s="280"/>
      <c r="W87" s="280"/>
      <c r="X87" s="347"/>
      <c r="Y87" s="347"/>
      <c r="Z87" s="280"/>
      <c r="AA87" s="280"/>
      <c r="AB87" s="280"/>
      <c r="AC87" s="280"/>
      <c r="AD87" s="280"/>
      <c r="AE87" s="280"/>
      <c r="AF87" s="280"/>
      <c r="AG87" s="280"/>
    </row>
    <row r="88" spans="1:33" ht="15.75" customHeight="1">
      <c r="A88" s="16"/>
      <c r="B88" s="674" t="s">
        <v>318</v>
      </c>
      <c r="C88" s="675"/>
      <c r="D88" s="95">
        <f>SUM(D86:D87)</f>
        <v>2204</v>
      </c>
      <c r="E88" s="92">
        <f t="shared" ref="E88:Q88" si="13">SUM(E86:E87)</f>
        <v>2106</v>
      </c>
      <c r="F88" s="92">
        <f t="shared" si="13"/>
        <v>2616</v>
      </c>
      <c r="G88" s="93">
        <f t="shared" si="13"/>
        <v>2616</v>
      </c>
      <c r="H88" s="93">
        <f t="shared" si="13"/>
        <v>2626</v>
      </c>
      <c r="I88" s="94">
        <f t="shared" si="13"/>
        <v>3076</v>
      </c>
      <c r="J88" s="94">
        <f t="shared" si="13"/>
        <v>3148</v>
      </c>
      <c r="K88" s="96">
        <f t="shared" si="13"/>
        <v>3223</v>
      </c>
      <c r="L88" s="95">
        <f t="shared" si="13"/>
        <v>3313</v>
      </c>
      <c r="M88" s="93">
        <f t="shared" si="13"/>
        <v>3395</v>
      </c>
      <c r="N88" s="93">
        <f t="shared" si="13"/>
        <v>3456</v>
      </c>
      <c r="O88" s="93">
        <f t="shared" si="13"/>
        <v>3516</v>
      </c>
      <c r="P88" s="93">
        <f t="shared" si="13"/>
        <v>3569</v>
      </c>
      <c r="Q88" s="96">
        <f t="shared" si="13"/>
        <v>3619</v>
      </c>
      <c r="R88" s="574">
        <f t="shared" si="10"/>
        <v>5.6</v>
      </c>
      <c r="S88" s="510">
        <f t="shared" si="11"/>
        <v>1.8</v>
      </c>
      <c r="T88" s="28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882</v>
      </c>
      <c r="E89" s="525">
        <v>855</v>
      </c>
      <c r="F89" s="530">
        <v>936</v>
      </c>
      <c r="G89" s="530">
        <v>936</v>
      </c>
      <c r="H89" s="525">
        <v>936</v>
      </c>
      <c r="I89" s="530">
        <v>936</v>
      </c>
      <c r="J89" s="530">
        <v>936</v>
      </c>
      <c r="K89" s="564">
        <v>955</v>
      </c>
      <c r="L89" s="565">
        <v>976</v>
      </c>
      <c r="M89" s="566">
        <v>1001</v>
      </c>
      <c r="N89" s="566">
        <v>1028</v>
      </c>
      <c r="O89" s="566">
        <v>1057</v>
      </c>
      <c r="P89" s="566">
        <v>1088</v>
      </c>
      <c r="Q89" s="567">
        <v>1120</v>
      </c>
      <c r="R89" s="573">
        <f t="shared" si="10"/>
        <v>1.1000000000000001</v>
      </c>
      <c r="S89" s="256">
        <f t="shared" si="11"/>
        <v>2.8</v>
      </c>
      <c r="T89" s="283"/>
      <c r="U89" s="280"/>
      <c r="V89" s="280"/>
      <c r="W89" s="280"/>
      <c r="X89" s="280"/>
      <c r="Y89" s="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248</v>
      </c>
      <c r="E90" s="525">
        <v>251</v>
      </c>
      <c r="F90" s="530">
        <v>254</v>
      </c>
      <c r="G90" s="530">
        <v>257</v>
      </c>
      <c r="H90" s="525">
        <v>260</v>
      </c>
      <c r="I90" s="530">
        <v>260</v>
      </c>
      <c r="J90" s="530">
        <v>251</v>
      </c>
      <c r="K90" s="564">
        <v>254</v>
      </c>
      <c r="L90" s="524">
        <v>258</v>
      </c>
      <c r="M90" s="525">
        <v>264</v>
      </c>
      <c r="N90" s="525">
        <v>270</v>
      </c>
      <c r="O90" s="525">
        <v>276</v>
      </c>
      <c r="P90" s="530">
        <v>282</v>
      </c>
      <c r="Q90" s="564">
        <v>288</v>
      </c>
      <c r="R90" s="573">
        <f t="shared" si="10"/>
        <v>0.3</v>
      </c>
      <c r="S90" s="256">
        <f t="shared" si="11"/>
        <v>2.2000000000000002</v>
      </c>
      <c r="T90" s="283"/>
      <c r="U90" s="280"/>
      <c r="V90" s="280"/>
      <c r="W90" s="280"/>
      <c r="X90" s="280"/>
      <c r="Y90" s="280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0</v>
      </c>
      <c r="E91" s="525">
        <v>0</v>
      </c>
      <c r="F91" s="530">
        <v>0</v>
      </c>
      <c r="G91" s="530">
        <v>0</v>
      </c>
      <c r="H91" s="525">
        <v>0</v>
      </c>
      <c r="I91" s="530">
        <v>0</v>
      </c>
      <c r="J91" s="530">
        <v>0</v>
      </c>
      <c r="K91" s="568">
        <v>0</v>
      </c>
      <c r="L91" s="569">
        <v>0</v>
      </c>
      <c r="M91" s="570">
        <v>0</v>
      </c>
      <c r="N91" s="570">
        <v>0</v>
      </c>
      <c r="O91" s="570">
        <v>0</v>
      </c>
      <c r="P91" s="571">
        <v>0</v>
      </c>
      <c r="Q91" s="568">
        <v>0</v>
      </c>
      <c r="R91" s="573" t="str">
        <f t="shared" si="10"/>
        <v xml:space="preserve">     -</v>
      </c>
      <c r="S91" s="256" t="str">
        <f t="shared" si="11"/>
        <v xml:space="preserve">     -</v>
      </c>
      <c r="T91" s="283"/>
      <c r="U91" s="43"/>
      <c r="V91" s="43"/>
      <c r="W91" s="43"/>
      <c r="X91" s="348"/>
      <c r="Y91" s="348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1130</v>
      </c>
      <c r="E92" s="539">
        <f t="shared" ref="E92:Q92" si="14">SUM(E89:E91)</f>
        <v>1106</v>
      </c>
      <c r="F92" s="539">
        <f t="shared" si="14"/>
        <v>1190</v>
      </c>
      <c r="G92" s="100">
        <f t="shared" si="14"/>
        <v>1193</v>
      </c>
      <c r="H92" s="100">
        <f t="shared" si="14"/>
        <v>1196</v>
      </c>
      <c r="I92" s="100">
        <f t="shared" si="14"/>
        <v>1196</v>
      </c>
      <c r="J92" s="101">
        <f t="shared" si="14"/>
        <v>1187</v>
      </c>
      <c r="K92" s="104">
        <f t="shared" si="14"/>
        <v>1209</v>
      </c>
      <c r="L92" s="540">
        <f t="shared" si="14"/>
        <v>1234</v>
      </c>
      <c r="M92" s="100">
        <f t="shared" si="14"/>
        <v>1265</v>
      </c>
      <c r="N92" s="100">
        <f t="shared" si="14"/>
        <v>1298</v>
      </c>
      <c r="O92" s="100">
        <f t="shared" si="14"/>
        <v>1333</v>
      </c>
      <c r="P92" s="100">
        <f t="shared" si="14"/>
        <v>1370</v>
      </c>
      <c r="Q92" s="103">
        <f t="shared" si="14"/>
        <v>1408</v>
      </c>
      <c r="R92" s="576">
        <f t="shared" si="10"/>
        <v>1</v>
      </c>
      <c r="S92" s="541">
        <f t="shared" si="11"/>
        <v>2.7</v>
      </c>
      <c r="T92" s="28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29865.040000000001</v>
      </c>
      <c r="E93" s="543">
        <f t="shared" ref="E93:Q93" si="15">E77+E78+E80+E82+E84+E85+E88+E92</f>
        <v>31516.031311999999</v>
      </c>
      <c r="F93" s="543">
        <f t="shared" si="15"/>
        <v>32895.300000000003</v>
      </c>
      <c r="G93" s="544">
        <f t="shared" si="15"/>
        <v>34482.927937999993</v>
      </c>
      <c r="H93" s="544">
        <f t="shared" si="15"/>
        <v>35957.600049000001</v>
      </c>
      <c r="I93" s="544">
        <f t="shared" si="15"/>
        <v>38905.483350000002</v>
      </c>
      <c r="J93" s="545">
        <f t="shared" si="15"/>
        <v>38548.954760000001</v>
      </c>
      <c r="K93" s="546">
        <f t="shared" si="15"/>
        <v>41971.190790000001</v>
      </c>
      <c r="L93" s="547">
        <f t="shared" si="15"/>
        <v>46191.840000000004</v>
      </c>
      <c r="M93" s="544">
        <f t="shared" si="15"/>
        <v>48393.54</v>
      </c>
      <c r="N93" s="544">
        <f t="shared" si="15"/>
        <v>50496.62</v>
      </c>
      <c r="O93" s="544">
        <f t="shared" si="15"/>
        <v>52782.520000000004</v>
      </c>
      <c r="P93" s="544">
        <f t="shared" si="15"/>
        <v>55305.62</v>
      </c>
      <c r="Q93" s="577">
        <f t="shared" si="15"/>
        <v>56454.920000000006</v>
      </c>
      <c r="R93" s="578">
        <f t="shared" si="10"/>
        <v>5</v>
      </c>
      <c r="S93" s="549">
        <f t="shared" si="11"/>
        <v>4.0999999999999996</v>
      </c>
      <c r="T93" s="283"/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84"/>
      <c r="I96" s="85"/>
      <c r="J96" s="85"/>
      <c r="K96" s="85"/>
      <c r="L96" s="24"/>
      <c r="M96" s="24"/>
      <c r="N96" s="24"/>
      <c r="O96" s="24"/>
      <c r="P96" s="24"/>
      <c r="Q96" s="24"/>
    </row>
    <row r="97" spans="3:20" ht="13.5" customHeight="1">
      <c r="C97" t="s">
        <v>332</v>
      </c>
      <c r="E97" s="27"/>
      <c r="F97" s="27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3:20" ht="13.5" customHeight="1">
      <c r="C98" s="617" t="s">
        <v>333</v>
      </c>
      <c r="E98" s="27"/>
      <c r="F98" s="27"/>
      <c r="G98" s="27"/>
      <c r="H98" s="27"/>
      <c r="I98" s="27"/>
      <c r="J98" s="27"/>
      <c r="K98" s="13"/>
      <c r="L98" s="13"/>
      <c r="M98" s="13"/>
      <c r="N98" s="13"/>
      <c r="O98" s="13"/>
      <c r="P98" s="13"/>
      <c r="Q98" s="13"/>
    </row>
    <row r="99" spans="3:20">
      <c r="E99" s="27"/>
      <c r="F99" s="27"/>
      <c r="G99" s="27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3:20"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</row>
    <row r="101" spans="3:20">
      <c r="E101" s="27"/>
      <c r="F101" s="27"/>
      <c r="G101" s="27"/>
      <c r="H101" s="27"/>
      <c r="I101" s="27"/>
      <c r="J101" s="27"/>
      <c r="K101" s="29"/>
      <c r="L101" s="29"/>
      <c r="M101" s="29"/>
      <c r="N101" s="29"/>
      <c r="O101" s="29"/>
      <c r="P101" s="29"/>
      <c r="Q101" s="29"/>
    </row>
    <row r="102" spans="3:20">
      <c r="E102" s="426"/>
      <c r="F102" s="426"/>
      <c r="G102" s="426"/>
      <c r="H102" s="426"/>
      <c r="I102" s="426"/>
      <c r="J102" s="426"/>
      <c r="K102" s="426"/>
      <c r="L102" s="426"/>
      <c r="M102" s="426"/>
      <c r="N102" s="426"/>
      <c r="O102" s="426"/>
      <c r="P102" s="426"/>
      <c r="Q102" s="426"/>
    </row>
    <row r="103" spans="3:20">
      <c r="E103" s="426"/>
      <c r="F103" s="426"/>
      <c r="G103" s="426"/>
      <c r="H103" s="426"/>
      <c r="I103" s="426"/>
      <c r="J103" s="426"/>
      <c r="K103" s="426"/>
      <c r="L103" s="426"/>
      <c r="M103" s="426"/>
      <c r="N103" s="426"/>
      <c r="O103" s="426"/>
      <c r="P103" s="426"/>
      <c r="Q103" s="426"/>
    </row>
    <row r="104" spans="3:20"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</row>
    <row r="105" spans="3:20"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4"/>
    </row>
    <row r="106" spans="3:20"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T106" s="283"/>
    </row>
    <row r="107" spans="3:20">
      <c r="D107" s="283"/>
      <c r="E107" s="283"/>
      <c r="F107" s="283"/>
      <c r="G107" s="283"/>
      <c r="H107" s="283"/>
      <c r="I107" s="283"/>
      <c r="J107" s="283"/>
      <c r="K107" s="283"/>
      <c r="L107" s="283"/>
      <c r="M107" s="283"/>
      <c r="N107" s="283"/>
      <c r="O107" s="283"/>
      <c r="P107" s="283"/>
      <c r="Q107" s="283"/>
      <c r="T107" s="283"/>
    </row>
    <row r="108" spans="3:20"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T109" s="283"/>
    </row>
    <row r="110" spans="3:20"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T110" s="283"/>
    </row>
    <row r="111" spans="3:20"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4"/>
    </row>
    <row r="112" spans="3:20"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T112" s="283"/>
    </row>
    <row r="113" spans="4:20"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T113" s="283"/>
    </row>
    <row r="114" spans="4:20"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4"/>
    </row>
    <row r="115" spans="4:20"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</row>
    <row r="116" spans="4:20"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</row>
    <row r="117" spans="4:20">
      <c r="E117" s="27"/>
      <c r="F117" s="27"/>
      <c r="G117" s="27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4:20">
      <c r="E118" s="27"/>
      <c r="F118" s="27"/>
      <c r="G118" s="27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4:20"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4:20">
      <c r="E120" s="27"/>
      <c r="F120" s="27"/>
      <c r="G120" s="24"/>
      <c r="H120" s="27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4:20">
      <c r="E121" s="27"/>
      <c r="F121" s="27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4:20">
      <c r="E122" s="27"/>
      <c r="F122" s="27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4:20"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4:20"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4:20">
      <c r="E125" s="27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4:20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4:20">
      <c r="E127" s="27"/>
      <c r="F127" s="27"/>
      <c r="G127" s="24"/>
      <c r="H127" s="27"/>
      <c r="I127" s="27"/>
      <c r="J127" s="27"/>
      <c r="K127" s="24"/>
      <c r="L127" s="27"/>
      <c r="M127" s="27"/>
      <c r="N127" s="27"/>
      <c r="O127" s="27"/>
      <c r="P127" s="27"/>
      <c r="Q127" s="27"/>
    </row>
    <row r="128" spans="4:20">
      <c r="E128" s="27"/>
      <c r="F128" s="27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5:17" customFormat="1">
      <c r="E129" s="27"/>
      <c r="F129" s="27"/>
      <c r="G129" s="24"/>
      <c r="H129" s="27"/>
      <c r="I129" s="27"/>
      <c r="J129" s="27"/>
      <c r="K129" s="24"/>
      <c r="L129" s="27"/>
      <c r="M129" s="27"/>
      <c r="N129" s="27"/>
      <c r="O129" s="27"/>
      <c r="P129" s="27"/>
      <c r="Q129" s="24"/>
    </row>
    <row r="130" spans="5:17" customFormat="1">
      <c r="E130" s="27"/>
      <c r="F130" s="27"/>
      <c r="G130" s="24"/>
      <c r="H130" s="27"/>
      <c r="I130" s="27"/>
      <c r="J130" s="27"/>
      <c r="K130" s="24"/>
      <c r="L130" s="27"/>
      <c r="M130" s="27"/>
      <c r="N130" s="27"/>
      <c r="O130" s="27"/>
      <c r="P130" s="27"/>
      <c r="Q130" s="24"/>
    </row>
    <row r="131" spans="5:17" customFormat="1">
      <c r="E131" s="27"/>
      <c r="F131" s="27"/>
      <c r="G131" s="24"/>
      <c r="H131" s="27"/>
      <c r="I131" s="27"/>
      <c r="J131" s="27"/>
      <c r="K131" s="24"/>
      <c r="L131" s="27"/>
      <c r="M131" s="27"/>
      <c r="N131" s="27"/>
      <c r="O131" s="27"/>
      <c r="P131" s="27"/>
      <c r="Q131" s="24"/>
    </row>
    <row r="132" spans="5:17" customFormat="1">
      <c r="E132" s="27"/>
      <c r="F132" s="27"/>
      <c r="G132" s="24"/>
      <c r="H132" s="27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5:17" customFormat="1">
      <c r="E133" s="27"/>
      <c r="F133" s="27"/>
      <c r="G133" s="24"/>
      <c r="H133" s="27"/>
      <c r="I133" s="27"/>
      <c r="J133" s="27"/>
      <c r="K133" s="24"/>
      <c r="L133" s="27"/>
      <c r="M133" s="27"/>
      <c r="N133" s="27"/>
      <c r="O133" s="27"/>
      <c r="P133" s="27"/>
      <c r="Q133" s="24"/>
    </row>
    <row r="134" spans="5:17" customFormat="1">
      <c r="E134" s="27"/>
      <c r="F134" s="27"/>
      <c r="G134" s="24"/>
      <c r="H134" s="27"/>
      <c r="I134" s="27"/>
      <c r="J134" s="27"/>
      <c r="K134" s="24"/>
      <c r="L134" s="27"/>
      <c r="M134" s="27"/>
      <c r="N134" s="27"/>
      <c r="O134" s="27"/>
      <c r="P134" s="27"/>
      <c r="Q134" s="24"/>
    </row>
    <row r="135" spans="5:17" customFormat="1">
      <c r="E135" s="27"/>
      <c r="F135" s="27"/>
      <c r="G135" s="24"/>
      <c r="H135" s="27"/>
      <c r="I135" s="27"/>
      <c r="J135" s="27"/>
      <c r="K135" s="24"/>
      <c r="L135" s="27"/>
      <c r="M135" s="27"/>
      <c r="N135" s="27"/>
      <c r="O135" s="27"/>
      <c r="P135" s="27"/>
      <c r="Q135" s="24"/>
    </row>
    <row r="136" spans="5:17" customFormat="1">
      <c r="E136" s="27"/>
      <c r="F136" s="27"/>
      <c r="G136" s="24"/>
      <c r="H136" s="27"/>
      <c r="I136" s="27"/>
      <c r="J136" s="27"/>
      <c r="K136" s="24"/>
      <c r="L136" s="27"/>
      <c r="M136" s="27"/>
      <c r="N136" s="27"/>
      <c r="O136" s="27"/>
      <c r="P136" s="27"/>
      <c r="Q136" s="24"/>
    </row>
    <row r="137" spans="5:17" customFormat="1"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</row>
    <row r="138" spans="5:17" customFormat="1"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</row>
    <row r="139" spans="5:17" customFormat="1">
      <c r="E139" s="27"/>
      <c r="F139" s="27"/>
      <c r="G139" s="24"/>
      <c r="H139" s="27"/>
      <c r="I139" s="27"/>
      <c r="J139" s="27"/>
      <c r="K139" s="24"/>
      <c r="L139" s="27"/>
      <c r="M139" s="27"/>
      <c r="N139" s="27"/>
      <c r="O139" s="27"/>
      <c r="P139" s="27"/>
      <c r="Q139" s="24"/>
    </row>
    <row r="140" spans="5:17" customFormat="1">
      <c r="E140" s="27"/>
      <c r="F140" s="27"/>
      <c r="G140" s="24"/>
      <c r="H140" s="27"/>
      <c r="I140" s="27"/>
      <c r="J140" s="27"/>
      <c r="K140" s="24"/>
      <c r="L140" s="27"/>
      <c r="M140" s="27"/>
      <c r="N140" s="27"/>
      <c r="O140" s="27"/>
      <c r="P140" s="27"/>
      <c r="Q140" s="24"/>
    </row>
    <row r="141" spans="5:17" customFormat="1"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</row>
    <row r="142" spans="5:17" customFormat="1">
      <c r="E142" s="27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</row>
    <row r="143" spans="5:17" customFormat="1">
      <c r="E143" s="27"/>
      <c r="F143" s="27"/>
      <c r="G143" s="24"/>
      <c r="H143" s="27"/>
      <c r="I143" s="27"/>
      <c r="J143" s="27"/>
      <c r="K143" s="24"/>
      <c r="L143" s="27"/>
      <c r="M143" s="27"/>
      <c r="N143" s="27"/>
      <c r="O143" s="27"/>
      <c r="P143" s="27"/>
      <c r="Q143" s="24"/>
    </row>
    <row r="144" spans="5:17" customFormat="1">
      <c r="E144" s="27"/>
      <c r="F144" s="27"/>
      <c r="G144" s="24"/>
      <c r="H144" s="27"/>
      <c r="I144" s="27"/>
      <c r="J144" s="27"/>
      <c r="K144" s="24"/>
      <c r="L144" s="27"/>
      <c r="M144" s="27"/>
      <c r="N144" s="27"/>
      <c r="O144" s="27"/>
      <c r="P144" s="27"/>
      <c r="Q144" s="24"/>
    </row>
    <row r="145" spans="5:17" customFormat="1"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</row>
    <row r="146" spans="5:17" customFormat="1">
      <c r="E146" s="27"/>
      <c r="F146" s="27"/>
      <c r="G146" s="24"/>
      <c r="H146" s="24"/>
      <c r="I146" s="24"/>
      <c r="J146" s="24"/>
      <c r="K146" s="24"/>
      <c r="L146" s="27"/>
      <c r="M146" s="27"/>
      <c r="N146" s="27"/>
      <c r="O146" s="27"/>
      <c r="P146" s="27"/>
      <c r="Q146" s="27"/>
    </row>
    <row r="147" spans="5:17" customFormat="1">
      <c r="E147" s="27"/>
      <c r="F147" s="27"/>
      <c r="G147" s="24"/>
      <c r="H147" s="24"/>
      <c r="I147" s="24"/>
      <c r="J147" s="24"/>
      <c r="K147" s="24"/>
      <c r="L147" s="27"/>
      <c r="M147" s="27"/>
      <c r="N147" s="27"/>
      <c r="O147" s="27"/>
      <c r="P147" s="27"/>
      <c r="Q147" s="27"/>
    </row>
    <row r="148" spans="5:17" customFormat="1"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</row>
    <row r="149" spans="5:17" customFormat="1">
      <c r="E149" s="27"/>
      <c r="F149" s="27"/>
      <c r="G149" s="27"/>
      <c r="H149" s="27"/>
      <c r="I149" s="24"/>
      <c r="J149" s="24"/>
      <c r="K149" s="24"/>
      <c r="L149" s="24"/>
      <c r="M149" s="24"/>
      <c r="N149" s="24"/>
      <c r="O149" s="24"/>
      <c r="P149" s="24"/>
      <c r="Q149" s="24"/>
    </row>
    <row r="150" spans="5:17" customFormat="1">
      <c r="E150" s="27"/>
      <c r="F150" s="27"/>
      <c r="G150" s="27"/>
      <c r="H150" s="24"/>
      <c r="I150" s="24"/>
      <c r="J150" s="24"/>
      <c r="K150" s="24"/>
      <c r="L150" s="24"/>
      <c r="M150" s="24"/>
      <c r="N150" s="24"/>
      <c r="O150" s="24"/>
      <c r="P150" s="24"/>
      <c r="Q150" s="24"/>
    </row>
    <row r="151" spans="5:17" customFormat="1">
      <c r="E151" s="27"/>
      <c r="F151" s="27"/>
      <c r="G151" s="27"/>
      <c r="H151" s="24"/>
      <c r="I151" s="24"/>
      <c r="J151" s="24"/>
      <c r="K151" s="24"/>
      <c r="L151" s="24"/>
      <c r="M151" s="24"/>
      <c r="N151" s="24"/>
      <c r="O151" s="24"/>
      <c r="P151" s="24"/>
      <c r="Q151" s="24"/>
    </row>
    <row r="152" spans="5:17" customFormat="1"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</row>
    <row r="153" spans="5:17" customFormat="1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</row>
    <row r="154" spans="5:17" customFormat="1">
      <c r="E154" s="27"/>
      <c r="F154" s="27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</row>
    <row r="155" spans="5:17" customFormat="1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</row>
    <row r="156" spans="5:17" customFormat="1"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</row>
    <row r="157" spans="5:17" customFormat="1">
      <c r="E157" s="27"/>
      <c r="F157" s="27"/>
      <c r="G157" s="27"/>
      <c r="H157" s="24"/>
      <c r="I157" s="24"/>
      <c r="J157" s="24"/>
      <c r="K157" s="24"/>
      <c r="L157" s="24"/>
      <c r="M157" s="24"/>
      <c r="N157" s="24"/>
      <c r="O157" s="24"/>
      <c r="P157" s="24"/>
      <c r="Q157" s="24"/>
    </row>
    <row r="158" spans="5:17" customFormat="1"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4"/>
    </row>
    <row r="159" spans="5:17" customFormat="1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</row>
    <row r="160" spans="5:17" customFormat="1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</row>
    <row r="161" spans="5:17" customFormat="1">
      <c r="E161" s="27"/>
      <c r="F161" s="27"/>
      <c r="G161" s="27"/>
      <c r="H161" s="27"/>
      <c r="I161" s="24"/>
      <c r="J161" s="24"/>
      <c r="K161" s="24"/>
      <c r="L161" s="24"/>
      <c r="M161" s="24"/>
      <c r="N161" s="24"/>
      <c r="O161" s="24"/>
      <c r="P161" s="24"/>
      <c r="Q161" s="24"/>
    </row>
    <row r="162" spans="5:17" customFormat="1">
      <c r="E162" s="27"/>
      <c r="F162" s="27"/>
      <c r="G162" s="27"/>
      <c r="H162" s="27"/>
      <c r="I162" s="27"/>
      <c r="J162" s="24"/>
      <c r="K162" s="24"/>
      <c r="L162" s="24"/>
      <c r="M162" s="24"/>
      <c r="N162" s="24"/>
      <c r="O162" s="24"/>
      <c r="P162" s="24"/>
      <c r="Q162" s="24"/>
    </row>
    <row r="163" spans="5:17" customFormat="1">
      <c r="E163" s="27"/>
      <c r="F163" s="27"/>
      <c r="G163" s="27"/>
      <c r="H163" s="27"/>
      <c r="I163" s="27"/>
      <c r="J163" s="24"/>
      <c r="K163" s="27"/>
      <c r="L163" s="27"/>
      <c r="M163" s="27"/>
      <c r="N163" s="27"/>
      <c r="O163" s="27"/>
      <c r="P163" s="27"/>
      <c r="Q163" s="24"/>
    </row>
    <row r="164" spans="5:17" customFormat="1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</row>
    <row r="165" spans="5:17" customFormat="1">
      <c r="E165" s="27"/>
      <c r="F165" s="27"/>
      <c r="G165" s="27"/>
      <c r="H165" s="27"/>
      <c r="I165" s="27"/>
      <c r="J165" s="24"/>
      <c r="K165" s="27"/>
      <c r="L165" s="27"/>
      <c r="M165" s="27"/>
      <c r="N165" s="27"/>
      <c r="O165" s="27"/>
      <c r="P165" s="27"/>
      <c r="Q165" s="24"/>
    </row>
    <row r="166" spans="5:17" customFormat="1"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</row>
    <row r="167" spans="5:17" customFormat="1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</row>
    <row r="168" spans="5:17" customFormat="1">
      <c r="E168" s="27"/>
      <c r="F168" s="27"/>
      <c r="G168" s="27"/>
      <c r="H168" s="27"/>
      <c r="I168" s="27"/>
      <c r="J168" s="24"/>
      <c r="K168" s="24"/>
      <c r="L168" s="24"/>
      <c r="M168" s="24"/>
      <c r="N168" s="24"/>
      <c r="O168" s="24"/>
      <c r="P168" s="24"/>
      <c r="Q168" s="24"/>
    </row>
    <row r="169" spans="5:17" customFormat="1">
      <c r="E169" s="27"/>
      <c r="F169" s="27"/>
      <c r="G169" s="27"/>
      <c r="H169" s="27"/>
      <c r="I169" s="27"/>
      <c r="J169" s="24"/>
      <c r="K169" s="24"/>
      <c r="L169" s="24"/>
      <c r="M169" s="24"/>
      <c r="N169" s="24"/>
      <c r="O169" s="24"/>
      <c r="P169" s="24"/>
      <c r="Q169" s="24"/>
    </row>
    <row r="170" spans="5:17" customFormat="1"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</row>
    <row r="171" spans="5:17" customFormat="1">
      <c r="E171" s="27"/>
      <c r="F171" s="27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</row>
    <row r="172" spans="5:17" customFormat="1"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4"/>
    </row>
    <row r="173" spans="5:17" customFormat="1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</row>
    <row r="174" spans="5:17" customFormat="1"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</row>
    <row r="175" spans="5:17" customFormat="1">
      <c r="E175" s="27"/>
      <c r="F175" s="27"/>
      <c r="G175" s="27"/>
      <c r="H175" s="24"/>
      <c r="I175" s="24"/>
      <c r="J175" s="24"/>
      <c r="K175" s="27"/>
      <c r="L175" s="27"/>
      <c r="M175" s="27"/>
      <c r="N175" s="27"/>
      <c r="O175" s="27"/>
      <c r="P175" s="27"/>
      <c r="Q175" s="27"/>
    </row>
    <row r="176" spans="5:17" customFormat="1">
      <c r="E176" s="27"/>
      <c r="F176" s="27"/>
      <c r="G176" s="27"/>
      <c r="H176" s="24"/>
      <c r="I176" s="24"/>
      <c r="J176" s="24"/>
      <c r="K176" s="27"/>
      <c r="L176" s="27"/>
      <c r="M176" s="27"/>
      <c r="N176" s="27"/>
      <c r="O176" s="27"/>
      <c r="P176" s="27"/>
      <c r="Q176" s="27"/>
    </row>
    <row r="177" spans="5:17" customFormat="1"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</row>
    <row r="178" spans="5:17" customFormat="1">
      <c r="E178" s="27"/>
      <c r="F178" s="27"/>
      <c r="G178" s="27"/>
      <c r="H178" s="27"/>
      <c r="I178" s="24"/>
      <c r="J178" s="24"/>
      <c r="K178" s="27"/>
      <c r="L178" s="27"/>
      <c r="M178" s="27"/>
      <c r="N178" s="27"/>
      <c r="O178" s="27"/>
      <c r="P178" s="27"/>
      <c r="Q178" s="27"/>
    </row>
    <row r="179" spans="5:17" customFormat="1">
      <c r="E179" s="27"/>
      <c r="F179" s="27"/>
      <c r="G179" s="27"/>
      <c r="H179" s="24"/>
      <c r="I179" s="24"/>
      <c r="J179" s="24"/>
      <c r="K179" s="27"/>
      <c r="L179" s="27"/>
      <c r="M179" s="27"/>
      <c r="N179" s="27"/>
      <c r="O179" s="27"/>
      <c r="P179" s="27"/>
      <c r="Q179" s="27"/>
    </row>
    <row r="180" spans="5:17" customFormat="1">
      <c r="E180" s="27"/>
      <c r="F180" s="27"/>
      <c r="G180" s="27"/>
      <c r="H180" s="24"/>
      <c r="I180" s="24"/>
      <c r="J180" s="24"/>
      <c r="K180" s="24"/>
      <c r="L180" s="24"/>
      <c r="M180" s="24"/>
      <c r="N180" s="24"/>
      <c r="O180" s="24"/>
      <c r="P180" s="24"/>
      <c r="Q180" s="24"/>
    </row>
    <row r="181" spans="5:17" customFormat="1"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</row>
    <row r="182" spans="5:17" customFormat="1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</row>
    <row r="183" spans="5:17" customFormat="1"/>
    <row r="184" spans="5:17" customFormat="1"/>
    <row r="185" spans="5:17" customFormat="1"/>
    <row r="186" spans="5:17" customFormat="1"/>
    <row r="187" spans="5:17" customFormat="1"/>
    <row r="188" spans="5:17" customFormat="1"/>
    <row r="189" spans="5:17" customFormat="1"/>
    <row r="190" spans="5:17" customFormat="1"/>
    <row r="191" spans="5:17" customFormat="1"/>
    <row r="192" spans="5:17" customFormat="1"/>
    <row r="193" customFormat="1"/>
    <row r="194" customFormat="1"/>
    <row r="195" customFormat="1"/>
    <row r="196" customFormat="1"/>
    <row r="197" customFormat="1"/>
    <row r="198" customFormat="1"/>
    <row r="199" customFormat="1"/>
  </sheetData>
  <mergeCells count="97">
    <mergeCell ref="B2:C2"/>
    <mergeCell ref="F2:G2"/>
    <mergeCell ref="R3:S3"/>
    <mergeCell ref="D4:K4"/>
    <mergeCell ref="L4:Q4"/>
    <mergeCell ref="R4:S4"/>
    <mergeCell ref="B82:C82"/>
    <mergeCell ref="B84:C84"/>
    <mergeCell ref="B85:C85"/>
    <mergeCell ref="B48:C48"/>
    <mergeCell ref="B49:C49"/>
    <mergeCell ref="B51:C51"/>
    <mergeCell ref="B53:C53"/>
    <mergeCell ref="B60:C60"/>
    <mergeCell ref="B61:C61"/>
    <mergeCell ref="B64:C64"/>
    <mergeCell ref="B63:C63"/>
    <mergeCell ref="B62:C62"/>
    <mergeCell ref="B77:C77"/>
    <mergeCell ref="B78:C78"/>
    <mergeCell ref="B80:C80"/>
    <mergeCell ref="B73:C73"/>
    <mergeCell ref="B65:C65"/>
    <mergeCell ref="B66:C66"/>
    <mergeCell ref="B67:C67"/>
    <mergeCell ref="B36:C36"/>
    <mergeCell ref="B28:C28"/>
    <mergeCell ref="B29:C29"/>
    <mergeCell ref="B31:C31"/>
    <mergeCell ref="B32:C32"/>
    <mergeCell ref="B35:C35"/>
    <mergeCell ref="B34:C34"/>
    <mergeCell ref="B33:C33"/>
    <mergeCell ref="B30:C30"/>
    <mergeCell ref="B37:C37"/>
    <mergeCell ref="B38:C38"/>
    <mergeCell ref="B55:C55"/>
    <mergeCell ref="B56:C56"/>
    <mergeCell ref="B76:C76"/>
    <mergeCell ref="B68:C68"/>
    <mergeCell ref="B69:C69"/>
    <mergeCell ref="B70:C70"/>
    <mergeCell ref="B71:C71"/>
    <mergeCell ref="B74:C74"/>
    <mergeCell ref="B75:C75"/>
    <mergeCell ref="B93:C93"/>
    <mergeCell ref="B86:C86"/>
    <mergeCell ref="B87:C87"/>
    <mergeCell ref="B89:C89"/>
    <mergeCell ref="B90:C90"/>
    <mergeCell ref="B88:C88"/>
    <mergeCell ref="B92:C92"/>
    <mergeCell ref="B91:C91"/>
    <mergeCell ref="B59:C59"/>
    <mergeCell ref="B46:C46"/>
    <mergeCell ref="B47:C47"/>
    <mergeCell ref="B41:C41"/>
    <mergeCell ref="B42:C42"/>
    <mergeCell ref="B44:C44"/>
    <mergeCell ref="B57:C57"/>
    <mergeCell ref="B39:C39"/>
    <mergeCell ref="B40:C40"/>
    <mergeCell ref="B45:C45"/>
    <mergeCell ref="B58:C58"/>
    <mergeCell ref="B18:C18"/>
    <mergeCell ref="B19:C19"/>
    <mergeCell ref="B20:C20"/>
    <mergeCell ref="B22:C22"/>
    <mergeCell ref="B26:C26"/>
    <mergeCell ref="B27:C27"/>
    <mergeCell ref="B24:C24"/>
    <mergeCell ref="B17:C17"/>
    <mergeCell ref="B7:C7"/>
    <mergeCell ref="B8:C8"/>
    <mergeCell ref="B9:C9"/>
    <mergeCell ref="B10:C10"/>
    <mergeCell ref="B11:C11"/>
    <mergeCell ref="B12:C12"/>
    <mergeCell ref="B13:C13"/>
    <mergeCell ref="B15:C15"/>
    <mergeCell ref="B16:C16"/>
    <mergeCell ref="S5:S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O5:O6"/>
    <mergeCell ref="P5:P6"/>
    <mergeCell ref="Q5:Q6"/>
    <mergeCell ref="N5:N6"/>
    <mergeCell ref="R5:R6"/>
  </mergeCells>
  <phoneticPr fontId="6"/>
  <conditionalFormatting sqref="C97:C98">
    <cfRule type="expression" dxfId="239" priority="5">
      <formula>CELL("protect",C97)=0</formula>
    </cfRule>
    <cfRule type="expression" dxfId="238" priority="6">
      <formula>CELL("protect",C97)=0</formula>
    </cfRule>
  </conditionalFormatting>
  <conditionalFormatting sqref="C95">
    <cfRule type="expression" dxfId="237" priority="3">
      <formula>CELL("protect",C95)=0</formula>
    </cfRule>
    <cfRule type="expression" dxfId="236" priority="4">
      <formula>CELL("protect",C95)=0</formula>
    </cfRule>
  </conditionalFormatting>
  <conditionalFormatting sqref="C97">
    <cfRule type="expression" dxfId="235" priority="1">
      <formula>CELL("protect",C97)=0</formula>
    </cfRule>
    <cfRule type="expression" dxfId="23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&amp;C159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rgb="FF00B0F0"/>
    <pageSetUpPr fitToPage="1"/>
  </sheetPr>
  <dimension ref="A1:AG200"/>
  <sheetViews>
    <sheetView showGridLines="0" view="pageBreakPreview" zoomScale="80" zoomScaleNormal="75" zoomScaleSheetLayoutView="80" workbookViewId="0">
      <pane xSplit="3" ySplit="6" topLeftCell="D7" activePane="bottomRight" state="frozen"/>
      <selection activeCell="B7" sqref="B7:C18"/>
      <selection pane="topRight" activeCell="B7" sqref="B7:C18"/>
      <selection pane="bottomLeft" activeCell="B7" sqref="B7:C18"/>
      <selection pane="bottomRight"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1.875" style="26" customWidth="1"/>
    <col min="20" max="20" width="20.125" customWidth="1"/>
  </cols>
  <sheetData>
    <row r="1" spans="1:33" ht="13.5" customHeight="1">
      <c r="D1" s="24"/>
      <c r="E1" s="24"/>
      <c r="F1" s="24"/>
      <c r="G1" s="24"/>
      <c r="H1" s="24"/>
      <c r="I1" s="24"/>
      <c r="J1" s="24"/>
      <c r="L1" s="24"/>
      <c r="M1" s="24"/>
      <c r="N1" s="24"/>
      <c r="O1" s="24"/>
      <c r="P1" s="24"/>
    </row>
    <row r="2" spans="1:33" ht="41.45" customHeight="1">
      <c r="A2" s="2"/>
      <c r="B2" s="684" t="s">
        <v>295</v>
      </c>
      <c r="C2" s="684"/>
      <c r="F2" s="685" t="s">
        <v>296</v>
      </c>
      <c r="G2" s="685"/>
      <c r="H2" s="397" t="s">
        <v>18</v>
      </c>
      <c r="K2" s="14"/>
    </row>
    <row r="3" spans="1:33" ht="30" customHeight="1" thickBot="1">
      <c r="R3" s="686" t="s">
        <v>297</v>
      </c>
      <c r="S3" s="686"/>
    </row>
    <row r="4" spans="1:33" ht="30.6" customHeight="1">
      <c r="A4" s="5"/>
      <c r="B4" s="5"/>
      <c r="C4" s="89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300</v>
      </c>
      <c r="S4" s="691"/>
    </row>
    <row r="5" spans="1:33" ht="15" customHeight="1">
      <c r="A5" s="611" t="s">
        <v>301</v>
      </c>
      <c r="B5" s="6"/>
      <c r="C5" s="90"/>
      <c r="D5" s="660">
        <v>2010</v>
      </c>
      <c r="E5" s="660">
        <v>2011</v>
      </c>
      <c r="F5" s="660">
        <v>2012</v>
      </c>
      <c r="G5" s="660">
        <v>2013</v>
      </c>
      <c r="H5" s="660">
        <v>2014</v>
      </c>
      <c r="I5" s="693">
        <v>2015</v>
      </c>
      <c r="J5" s="693">
        <v>2016</v>
      </c>
      <c r="K5" s="662">
        <v>2017</v>
      </c>
      <c r="L5" s="664">
        <v>2018</v>
      </c>
      <c r="M5" s="660">
        <v>2019</v>
      </c>
      <c r="N5" s="660">
        <v>2020</v>
      </c>
      <c r="O5" s="660">
        <v>2021</v>
      </c>
      <c r="P5" s="693">
        <v>2022</v>
      </c>
      <c r="Q5" s="662">
        <v>2023</v>
      </c>
      <c r="R5" s="680" t="s">
        <v>222</v>
      </c>
      <c r="S5" s="682" t="s">
        <v>223</v>
      </c>
    </row>
    <row r="6" spans="1:33" ht="15" customHeight="1" thickBot="1">
      <c r="A6" s="612" t="s">
        <v>302</v>
      </c>
      <c r="B6" s="8"/>
      <c r="C6" s="79" t="s">
        <v>303</v>
      </c>
      <c r="D6" s="692"/>
      <c r="E6" s="692"/>
      <c r="F6" s="692"/>
      <c r="G6" s="692"/>
      <c r="H6" s="692"/>
      <c r="I6" s="694"/>
      <c r="J6" s="694"/>
      <c r="K6" s="695"/>
      <c r="L6" s="696"/>
      <c r="M6" s="692"/>
      <c r="N6" s="692"/>
      <c r="O6" s="692"/>
      <c r="P6" s="694"/>
      <c r="Q6" s="663"/>
      <c r="R6" s="681"/>
      <c r="S6" s="683"/>
    </row>
    <row r="7" spans="1:33" ht="15" customHeight="1">
      <c r="A7" s="613" t="s">
        <v>304</v>
      </c>
      <c r="B7" s="666" t="s">
        <v>433</v>
      </c>
      <c r="C7" s="667"/>
      <c r="D7" s="487">
        <v>6380</v>
      </c>
      <c r="E7" s="488">
        <v>6680</v>
      </c>
      <c r="F7" s="489">
        <v>6680</v>
      </c>
      <c r="G7" s="489">
        <v>6680</v>
      </c>
      <c r="H7" s="488">
        <v>6160</v>
      </c>
      <c r="I7" s="489">
        <v>5360</v>
      </c>
      <c r="J7" s="489">
        <v>5060</v>
      </c>
      <c r="K7" s="490">
        <v>5580</v>
      </c>
      <c r="L7" s="491">
        <v>5580</v>
      </c>
      <c r="M7" s="492">
        <v>5580</v>
      </c>
      <c r="N7" s="492">
        <v>5580</v>
      </c>
      <c r="O7" s="492">
        <v>5580</v>
      </c>
      <c r="P7" s="493">
        <v>5580</v>
      </c>
      <c r="Q7" s="490">
        <v>5580</v>
      </c>
      <c r="R7" s="572">
        <f>IF(D7=0,"     -",IF(K7=0,"     -",ROUND(((K7/D7)^(1/7)-1)*100,1)))</f>
        <v>-1.9</v>
      </c>
      <c r="S7" s="494">
        <f>IF(L7=0,"     -",IF(Q7=0,"     -",ROUND(((Q7/L7)^(1/5)-1)*100,1)))</f>
        <v>0</v>
      </c>
      <c r="T7" s="28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</row>
    <row r="8" spans="1:33" ht="15" customHeight="1">
      <c r="A8" s="614" t="s">
        <v>305</v>
      </c>
      <c r="B8" s="668" t="s">
        <v>434</v>
      </c>
      <c r="C8" s="669"/>
      <c r="D8" s="495">
        <v>5570</v>
      </c>
      <c r="E8" s="496">
        <v>5570</v>
      </c>
      <c r="F8" s="497">
        <v>5670</v>
      </c>
      <c r="G8" s="497">
        <v>5720</v>
      </c>
      <c r="H8" s="496">
        <v>5320</v>
      </c>
      <c r="I8" s="497">
        <v>3000</v>
      </c>
      <c r="J8" s="497">
        <v>3000</v>
      </c>
      <c r="K8" s="498">
        <v>4400</v>
      </c>
      <c r="L8" s="499">
        <v>4400</v>
      </c>
      <c r="M8" s="500">
        <v>4400</v>
      </c>
      <c r="N8" s="500">
        <v>4400</v>
      </c>
      <c r="O8" s="500">
        <v>4400</v>
      </c>
      <c r="P8" s="501">
        <v>4400</v>
      </c>
      <c r="Q8" s="498">
        <v>4400</v>
      </c>
      <c r="R8" s="573">
        <f t="shared" ref="R8:R71" si="0">IF(D8=0,"     -",IF(K8=0,"     -",ROUND(((K8/D8)^(1/7)-1)*100,1)))</f>
        <v>-3.3</v>
      </c>
      <c r="S8" s="256">
        <f t="shared" ref="S8:S71" si="1">IF(L8=0,"     -",IF(Q8=0,"     -",ROUND(((Q8/L8)^(1/5)-1)*100,1)))</f>
        <v>0</v>
      </c>
      <c r="T8" s="28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</row>
    <row r="9" spans="1:33" ht="15" customHeight="1">
      <c r="A9" s="16"/>
      <c r="B9" s="668" t="s">
        <v>435</v>
      </c>
      <c r="C9" s="669"/>
      <c r="D9" s="495">
        <v>0</v>
      </c>
      <c r="E9" s="496">
        <v>0</v>
      </c>
      <c r="F9" s="497">
        <v>0</v>
      </c>
      <c r="G9" s="497">
        <v>0</v>
      </c>
      <c r="H9" s="496">
        <v>0</v>
      </c>
      <c r="I9" s="497">
        <v>0</v>
      </c>
      <c r="J9" s="497">
        <v>0</v>
      </c>
      <c r="K9" s="502">
        <v>0</v>
      </c>
      <c r="L9" s="503">
        <v>0</v>
      </c>
      <c r="M9" s="496">
        <v>0</v>
      </c>
      <c r="N9" s="496">
        <v>0</v>
      </c>
      <c r="O9" s="496">
        <v>0</v>
      </c>
      <c r="P9" s="279">
        <v>0</v>
      </c>
      <c r="Q9" s="502">
        <v>0</v>
      </c>
      <c r="R9" s="573" t="str">
        <f t="shared" si="0"/>
        <v xml:space="preserve">     -</v>
      </c>
      <c r="S9" s="256" t="str">
        <f t="shared" si="1"/>
        <v xml:space="preserve">     -</v>
      </c>
      <c r="T9" s="283"/>
      <c r="U9" s="280"/>
      <c r="V9" s="280"/>
      <c r="W9" s="280"/>
      <c r="X9" s="280"/>
      <c r="Y9" s="280"/>
      <c r="Z9" s="280"/>
      <c r="AA9" s="280"/>
      <c r="AB9" s="280"/>
      <c r="AC9" s="280"/>
      <c r="AD9" s="280"/>
      <c r="AE9" s="280"/>
      <c r="AF9" s="280"/>
      <c r="AG9" s="280"/>
    </row>
    <row r="10" spans="1:33" ht="15" customHeight="1">
      <c r="A10" s="16"/>
      <c r="B10" s="668" t="s">
        <v>436</v>
      </c>
      <c r="C10" s="669"/>
      <c r="D10" s="495">
        <v>15170</v>
      </c>
      <c r="E10" s="496">
        <v>18120</v>
      </c>
      <c r="F10" s="497">
        <v>22595</v>
      </c>
      <c r="G10" s="497">
        <v>30750</v>
      </c>
      <c r="H10" s="496">
        <v>31980</v>
      </c>
      <c r="I10" s="497">
        <v>33655</v>
      </c>
      <c r="J10" s="497">
        <v>35500</v>
      </c>
      <c r="K10" s="502">
        <v>40185</v>
      </c>
      <c r="L10" s="503">
        <v>46170</v>
      </c>
      <c r="M10" s="496">
        <v>52420</v>
      </c>
      <c r="N10" s="496">
        <v>58670</v>
      </c>
      <c r="O10" s="496">
        <v>61820</v>
      </c>
      <c r="P10" s="279">
        <v>62440</v>
      </c>
      <c r="Q10" s="502">
        <v>63910</v>
      </c>
      <c r="R10" s="573">
        <f t="shared" si="0"/>
        <v>14.9</v>
      </c>
      <c r="S10" s="256">
        <f t="shared" si="1"/>
        <v>6.7</v>
      </c>
      <c r="T10" s="28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</row>
    <row r="11" spans="1:33" ht="15" customHeight="1">
      <c r="A11" s="16"/>
      <c r="B11" s="668" t="s">
        <v>437</v>
      </c>
      <c r="C11" s="669"/>
      <c r="D11" s="495">
        <v>2660</v>
      </c>
      <c r="E11" s="496">
        <v>2660</v>
      </c>
      <c r="F11" s="497">
        <v>2660</v>
      </c>
      <c r="G11" s="497">
        <v>2660</v>
      </c>
      <c r="H11" s="496">
        <v>2660</v>
      </c>
      <c r="I11" s="497">
        <v>2660</v>
      </c>
      <c r="J11" s="497">
        <v>2660</v>
      </c>
      <c r="K11" s="502">
        <v>2660</v>
      </c>
      <c r="L11" s="503">
        <v>2660</v>
      </c>
      <c r="M11" s="496">
        <v>2660</v>
      </c>
      <c r="N11" s="496">
        <v>2660</v>
      </c>
      <c r="O11" s="496">
        <v>2660</v>
      </c>
      <c r="P11" s="279">
        <v>2660</v>
      </c>
      <c r="Q11" s="502">
        <v>2660</v>
      </c>
      <c r="R11" s="573">
        <f t="shared" si="0"/>
        <v>0</v>
      </c>
      <c r="S11" s="256">
        <f t="shared" si="1"/>
        <v>0</v>
      </c>
      <c r="T11" s="283"/>
      <c r="U11" s="280"/>
      <c r="V11" s="280"/>
      <c r="W11" s="280"/>
      <c r="X11" s="280"/>
      <c r="Y11" s="280"/>
      <c r="Z11" s="280"/>
      <c r="AA11" s="280"/>
      <c r="AB11" s="43"/>
      <c r="AC11" s="43"/>
      <c r="AD11" s="43"/>
      <c r="AE11" s="43"/>
      <c r="AF11" s="43"/>
      <c r="AG11" s="43"/>
    </row>
    <row r="12" spans="1:33" ht="15" customHeight="1">
      <c r="A12" s="16"/>
      <c r="B12" s="668" t="s">
        <v>438</v>
      </c>
      <c r="C12" s="669"/>
      <c r="D12" s="140">
        <v>1440</v>
      </c>
      <c r="E12" s="45">
        <v>1440</v>
      </c>
      <c r="F12" s="49">
        <v>1840</v>
      </c>
      <c r="G12" s="45">
        <v>1840</v>
      </c>
      <c r="H12" s="280">
        <v>1840</v>
      </c>
      <c r="I12" s="45">
        <v>1840</v>
      </c>
      <c r="J12" s="49">
        <v>1840</v>
      </c>
      <c r="K12" s="50">
        <v>2240</v>
      </c>
      <c r="L12" s="504">
        <v>2240</v>
      </c>
      <c r="M12" s="45">
        <v>2240</v>
      </c>
      <c r="N12" s="45">
        <v>2240</v>
      </c>
      <c r="O12" s="45">
        <v>2240</v>
      </c>
      <c r="P12" s="45">
        <v>2240</v>
      </c>
      <c r="Q12" s="51">
        <v>2240</v>
      </c>
      <c r="R12" s="573">
        <f t="shared" si="0"/>
        <v>6.5</v>
      </c>
      <c r="S12" s="256">
        <f t="shared" si="1"/>
        <v>0</v>
      </c>
      <c r="T12" s="283"/>
      <c r="U12" s="280"/>
      <c r="V12" s="280"/>
      <c r="W12" s="280"/>
      <c r="X12" s="280"/>
      <c r="Y12" s="280"/>
      <c r="Z12" s="280"/>
      <c r="AA12" s="280"/>
      <c r="AB12" s="280"/>
      <c r="AC12" s="280"/>
      <c r="AD12" s="280"/>
      <c r="AE12" s="280"/>
      <c r="AF12" s="280"/>
      <c r="AG12" s="280"/>
    </row>
    <row r="13" spans="1:33" ht="15" customHeight="1">
      <c r="A13" s="16"/>
      <c r="B13" s="668" t="s">
        <v>439</v>
      </c>
      <c r="C13" s="669"/>
      <c r="D13" s="140">
        <v>3850</v>
      </c>
      <c r="E13" s="49">
        <v>3850</v>
      </c>
      <c r="F13" s="45">
        <v>3850</v>
      </c>
      <c r="G13" s="49">
        <v>3850</v>
      </c>
      <c r="H13" s="49">
        <v>5250</v>
      </c>
      <c r="I13" s="45">
        <v>6150</v>
      </c>
      <c r="J13" s="49">
        <v>6168</v>
      </c>
      <c r="K13" s="50">
        <v>6168</v>
      </c>
      <c r="L13" s="140">
        <v>7168</v>
      </c>
      <c r="M13" s="45">
        <v>8318</v>
      </c>
      <c r="N13" s="45">
        <v>8418</v>
      </c>
      <c r="O13" s="45">
        <v>8418</v>
      </c>
      <c r="P13" s="45">
        <v>8418</v>
      </c>
      <c r="Q13" s="50">
        <v>8418</v>
      </c>
      <c r="R13" s="573">
        <f t="shared" si="0"/>
        <v>7</v>
      </c>
      <c r="S13" s="256">
        <f t="shared" si="1"/>
        <v>3.3</v>
      </c>
      <c r="T13" s="28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</row>
    <row r="14" spans="1:33" ht="13.5" hidden="1" customHeight="1">
      <c r="A14" s="16"/>
      <c r="B14" s="16"/>
      <c r="C14" s="90" t="s">
        <v>306</v>
      </c>
      <c r="D14" s="138"/>
      <c r="E14" s="41"/>
      <c r="F14" s="40"/>
      <c r="G14" s="41"/>
      <c r="H14" s="41"/>
      <c r="I14" s="40"/>
      <c r="J14" s="41"/>
      <c r="K14" s="42"/>
      <c r="L14" s="138"/>
      <c r="M14" s="40"/>
      <c r="N14" s="40"/>
      <c r="O14" s="40"/>
      <c r="P14" s="40"/>
      <c r="Q14" s="42"/>
      <c r="R14" s="573" t="str">
        <f t="shared" si="0"/>
        <v xml:space="preserve">     -</v>
      </c>
      <c r="S14" s="256" t="str">
        <f t="shared" si="1"/>
        <v xml:space="preserve">     -</v>
      </c>
      <c r="T14" s="283"/>
      <c r="U14" s="280"/>
      <c r="V14" s="280"/>
      <c r="W14" s="280"/>
      <c r="X14" s="280"/>
      <c r="Y14" s="280"/>
      <c r="Z14" s="280"/>
      <c r="AA14" s="280"/>
      <c r="AB14" s="280"/>
      <c r="AC14" s="280"/>
      <c r="AD14" s="280"/>
      <c r="AE14" s="280"/>
      <c r="AF14" s="280"/>
      <c r="AG14" s="280"/>
    </row>
    <row r="15" spans="1:33" ht="15" customHeight="1">
      <c r="A15" s="16"/>
      <c r="B15" s="668" t="s">
        <v>440</v>
      </c>
      <c r="C15" s="669"/>
      <c r="D15" s="140">
        <v>0</v>
      </c>
      <c r="E15" s="49">
        <v>0</v>
      </c>
      <c r="F15" s="45">
        <v>0</v>
      </c>
      <c r="G15" s="49">
        <v>0</v>
      </c>
      <c r="H15" s="49">
        <v>0</v>
      </c>
      <c r="I15" s="45">
        <v>0</v>
      </c>
      <c r="J15" s="49">
        <v>0</v>
      </c>
      <c r="K15" s="50">
        <v>0</v>
      </c>
      <c r="L15" s="140">
        <v>0</v>
      </c>
      <c r="M15" s="45">
        <v>0</v>
      </c>
      <c r="N15" s="45">
        <v>0</v>
      </c>
      <c r="O15" s="45">
        <v>0</v>
      </c>
      <c r="P15" s="45">
        <v>0</v>
      </c>
      <c r="Q15" s="50">
        <v>0</v>
      </c>
      <c r="R15" s="573" t="str">
        <f t="shared" si="0"/>
        <v xml:space="preserve">     -</v>
      </c>
      <c r="S15" s="256" t="str">
        <f t="shared" si="1"/>
        <v xml:space="preserve">     -</v>
      </c>
      <c r="T15" s="283"/>
      <c r="U15" s="280"/>
      <c r="V15" s="280"/>
      <c r="W15" s="280"/>
      <c r="X15" s="280"/>
      <c r="Y15" s="280"/>
      <c r="Z15" s="280"/>
      <c r="AA15" s="280"/>
      <c r="AB15" s="43"/>
      <c r="AC15" s="43"/>
      <c r="AD15" s="43"/>
      <c r="AE15" s="43"/>
      <c r="AF15" s="43"/>
      <c r="AG15" s="43"/>
    </row>
    <row r="16" spans="1:33" ht="15" customHeight="1">
      <c r="A16" s="16"/>
      <c r="B16" s="668" t="s">
        <v>441</v>
      </c>
      <c r="C16" s="669"/>
      <c r="D16" s="495">
        <v>600</v>
      </c>
      <c r="E16" s="496">
        <v>600</v>
      </c>
      <c r="F16" s="497">
        <v>600</v>
      </c>
      <c r="G16" s="497">
        <v>600</v>
      </c>
      <c r="H16" s="496">
        <v>600</v>
      </c>
      <c r="I16" s="497">
        <v>600</v>
      </c>
      <c r="J16" s="497">
        <v>600</v>
      </c>
      <c r="K16" s="502">
        <v>600</v>
      </c>
      <c r="L16" s="503">
        <v>600</v>
      </c>
      <c r="M16" s="496">
        <v>600</v>
      </c>
      <c r="N16" s="496">
        <v>600</v>
      </c>
      <c r="O16" s="496">
        <v>600</v>
      </c>
      <c r="P16" s="497">
        <v>600</v>
      </c>
      <c r="Q16" s="502">
        <v>600</v>
      </c>
      <c r="R16" s="573">
        <f t="shared" si="0"/>
        <v>0</v>
      </c>
      <c r="S16" s="256">
        <f t="shared" si="1"/>
        <v>0</v>
      </c>
      <c r="T16" s="283"/>
      <c r="U16" s="280"/>
      <c r="V16" s="280"/>
      <c r="W16" s="280"/>
      <c r="X16" s="280"/>
      <c r="Y16" s="280"/>
      <c r="Z16" s="280"/>
      <c r="AA16" s="280"/>
      <c r="AB16" s="43"/>
      <c r="AC16" s="43"/>
      <c r="AD16" s="43"/>
      <c r="AE16" s="43"/>
      <c r="AF16" s="43"/>
      <c r="AG16" s="43"/>
    </row>
    <row r="17" spans="1:33" ht="15" customHeight="1">
      <c r="A17" s="16"/>
      <c r="B17" s="668" t="s">
        <v>442</v>
      </c>
      <c r="C17" s="669"/>
      <c r="D17" s="140">
        <v>0</v>
      </c>
      <c r="E17" s="45">
        <v>0</v>
      </c>
      <c r="F17" s="49">
        <v>0</v>
      </c>
      <c r="G17" s="45">
        <v>0</v>
      </c>
      <c r="H17" s="49">
        <v>0</v>
      </c>
      <c r="I17" s="49">
        <v>0</v>
      </c>
      <c r="J17" s="49">
        <v>0</v>
      </c>
      <c r="K17" s="50">
        <v>0</v>
      </c>
      <c r="L17" s="140">
        <v>0</v>
      </c>
      <c r="M17" s="45">
        <v>0</v>
      </c>
      <c r="N17" s="45">
        <v>0</v>
      </c>
      <c r="O17" s="45">
        <v>0</v>
      </c>
      <c r="P17" s="45">
        <v>0</v>
      </c>
      <c r="Q17" s="50">
        <v>0</v>
      </c>
      <c r="R17" s="573" t="str">
        <f t="shared" si="0"/>
        <v xml:space="preserve">     -</v>
      </c>
      <c r="S17" s="256" t="str">
        <f t="shared" si="1"/>
        <v xml:space="preserve">     -</v>
      </c>
      <c r="T17" s="283"/>
      <c r="U17" s="280"/>
      <c r="V17" s="280"/>
      <c r="W17" s="280"/>
      <c r="X17" s="280"/>
      <c r="Y17" s="280"/>
      <c r="Z17" s="280"/>
      <c r="AA17" s="280"/>
      <c r="AB17" s="43"/>
      <c r="AC17" s="43"/>
      <c r="AD17" s="43"/>
      <c r="AE17" s="43"/>
      <c r="AF17" s="43"/>
      <c r="AG17" s="43"/>
    </row>
    <row r="18" spans="1:33" ht="15" customHeight="1">
      <c r="A18" s="16"/>
      <c r="B18" s="670" t="s">
        <v>443</v>
      </c>
      <c r="C18" s="671"/>
      <c r="D18" s="138">
        <v>1150</v>
      </c>
      <c r="E18" s="40">
        <v>900</v>
      </c>
      <c r="F18" s="40">
        <v>900</v>
      </c>
      <c r="G18" s="40">
        <v>900</v>
      </c>
      <c r="H18" s="40">
        <v>900</v>
      </c>
      <c r="I18" s="505">
        <v>650</v>
      </c>
      <c r="J18" s="506">
        <v>650</v>
      </c>
      <c r="K18" s="507">
        <v>650</v>
      </c>
      <c r="L18" s="508">
        <v>650</v>
      </c>
      <c r="M18" s="505">
        <v>650</v>
      </c>
      <c r="N18" s="505">
        <v>650</v>
      </c>
      <c r="O18" s="505">
        <v>650</v>
      </c>
      <c r="P18" s="505">
        <v>650</v>
      </c>
      <c r="Q18" s="509">
        <v>650</v>
      </c>
      <c r="R18" s="573">
        <f t="shared" si="0"/>
        <v>-7.8</v>
      </c>
      <c r="S18" s="256">
        <f t="shared" si="1"/>
        <v>0</v>
      </c>
      <c r="T18" s="283"/>
      <c r="U18" s="318"/>
      <c r="V18" s="318"/>
      <c r="W18" s="318"/>
      <c r="X18" s="318"/>
      <c r="Y18" s="341"/>
      <c r="Z18" s="341"/>
      <c r="AA18" s="341"/>
      <c r="AB18" s="341"/>
      <c r="AC18" s="341"/>
      <c r="AD18" s="341"/>
      <c r="AE18" s="341"/>
      <c r="AF18" s="341"/>
      <c r="AG18" s="341"/>
    </row>
    <row r="19" spans="1:33" ht="15.75" customHeight="1">
      <c r="A19" s="16"/>
      <c r="B19" s="674" t="s">
        <v>307</v>
      </c>
      <c r="C19" s="675"/>
      <c r="D19" s="95">
        <f>SUM(D7:D18)</f>
        <v>36820</v>
      </c>
      <c r="E19" s="93">
        <f t="shared" ref="E19:Q19" si="2">SUM(E7:E18)</f>
        <v>39820</v>
      </c>
      <c r="F19" s="93">
        <f t="shared" si="2"/>
        <v>44795</v>
      </c>
      <c r="G19" s="93">
        <f t="shared" si="2"/>
        <v>53000</v>
      </c>
      <c r="H19" s="93">
        <f t="shared" si="2"/>
        <v>54710</v>
      </c>
      <c r="I19" s="93">
        <f t="shared" si="2"/>
        <v>53915</v>
      </c>
      <c r="J19" s="93">
        <f t="shared" si="2"/>
        <v>55478</v>
      </c>
      <c r="K19" s="96">
        <f t="shared" si="2"/>
        <v>62483</v>
      </c>
      <c r="L19" s="95">
        <f t="shared" si="2"/>
        <v>69468</v>
      </c>
      <c r="M19" s="93">
        <f t="shared" si="2"/>
        <v>76868</v>
      </c>
      <c r="N19" s="93">
        <f t="shared" si="2"/>
        <v>83218</v>
      </c>
      <c r="O19" s="93">
        <f t="shared" si="2"/>
        <v>86368</v>
      </c>
      <c r="P19" s="93">
        <f t="shared" si="2"/>
        <v>86988</v>
      </c>
      <c r="Q19" s="96">
        <f t="shared" si="2"/>
        <v>88458</v>
      </c>
      <c r="R19" s="574">
        <f t="shared" si="0"/>
        <v>7.8</v>
      </c>
      <c r="S19" s="510">
        <f t="shared" si="1"/>
        <v>5</v>
      </c>
      <c r="T19" s="28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</row>
    <row r="20" spans="1:33" ht="15.75" customHeight="1">
      <c r="A20" s="16"/>
      <c r="B20" s="672" t="s">
        <v>308</v>
      </c>
      <c r="C20" s="673"/>
      <c r="D20" s="511">
        <v>0</v>
      </c>
      <c r="E20" s="512">
        <v>0</v>
      </c>
      <c r="F20" s="512">
        <v>0</v>
      </c>
      <c r="G20" s="512">
        <v>0</v>
      </c>
      <c r="H20" s="512">
        <v>0</v>
      </c>
      <c r="I20" s="512">
        <v>0</v>
      </c>
      <c r="J20" s="513">
        <v>0</v>
      </c>
      <c r="K20" s="514">
        <v>0</v>
      </c>
      <c r="L20" s="511">
        <v>0</v>
      </c>
      <c r="M20" s="512">
        <v>0</v>
      </c>
      <c r="N20" s="512">
        <v>0</v>
      </c>
      <c r="O20" s="512">
        <v>0</v>
      </c>
      <c r="P20" s="513">
        <v>0</v>
      </c>
      <c r="Q20" s="514">
        <v>0</v>
      </c>
      <c r="R20" s="574" t="str">
        <f t="shared" si="0"/>
        <v xml:space="preserve">     -</v>
      </c>
      <c r="S20" s="510" t="str">
        <f t="shared" si="1"/>
        <v xml:space="preserve">     -</v>
      </c>
      <c r="T20" s="283"/>
      <c r="U20" s="280"/>
      <c r="V20" s="280"/>
      <c r="W20" s="280"/>
      <c r="X20" s="280"/>
      <c r="Y20" s="280"/>
      <c r="Z20" s="280"/>
      <c r="AA20" s="43"/>
      <c r="AB20" s="43"/>
      <c r="AC20" s="43"/>
      <c r="AD20" s="43"/>
      <c r="AE20" s="43"/>
      <c r="AF20" s="43"/>
      <c r="AG20" s="43"/>
    </row>
    <row r="21" spans="1:33" ht="15" customHeight="1">
      <c r="A21" s="16"/>
      <c r="B21" s="105"/>
      <c r="C21" s="97" t="s">
        <v>309</v>
      </c>
      <c r="D21" s="511">
        <v>0</v>
      </c>
      <c r="E21" s="512">
        <v>0</v>
      </c>
      <c r="F21" s="512">
        <v>0</v>
      </c>
      <c r="G21" s="512">
        <v>0</v>
      </c>
      <c r="H21" s="512">
        <v>0</v>
      </c>
      <c r="I21" s="512">
        <v>0</v>
      </c>
      <c r="J21" s="513">
        <v>0</v>
      </c>
      <c r="K21" s="514">
        <v>0</v>
      </c>
      <c r="L21" s="511">
        <v>0</v>
      </c>
      <c r="M21" s="512">
        <v>0</v>
      </c>
      <c r="N21" s="512">
        <v>0</v>
      </c>
      <c r="O21" s="512">
        <v>0</v>
      </c>
      <c r="P21" s="513">
        <v>0</v>
      </c>
      <c r="Q21" s="514">
        <v>0</v>
      </c>
      <c r="R21" s="574" t="str">
        <f t="shared" si="0"/>
        <v xml:space="preserve">     -</v>
      </c>
      <c r="S21" s="510" t="str">
        <f t="shared" si="1"/>
        <v xml:space="preserve">     -</v>
      </c>
      <c r="T21" s="283"/>
      <c r="U21" s="280"/>
      <c r="V21" s="280"/>
      <c r="W21" s="280"/>
      <c r="X21" s="280"/>
      <c r="Y21" s="280"/>
      <c r="Z21" s="280"/>
      <c r="AA21" s="43"/>
      <c r="AB21" s="43"/>
      <c r="AC21" s="43"/>
      <c r="AD21" s="43"/>
      <c r="AE21" s="43"/>
      <c r="AF21" s="43"/>
      <c r="AG21" s="43"/>
    </row>
    <row r="22" spans="1:33" ht="15.75" customHeight="1">
      <c r="A22" s="16"/>
      <c r="B22" s="672" t="s">
        <v>310</v>
      </c>
      <c r="C22" s="673"/>
      <c r="D22" s="503">
        <v>3254</v>
      </c>
      <c r="E22" s="496">
        <v>3500</v>
      </c>
      <c r="F22" s="496">
        <v>4445</v>
      </c>
      <c r="G22" s="496">
        <v>4130</v>
      </c>
      <c r="H22" s="496">
        <v>3655</v>
      </c>
      <c r="I22" s="496">
        <v>3905</v>
      </c>
      <c r="J22" s="515">
        <v>4090</v>
      </c>
      <c r="K22" s="502">
        <v>4090</v>
      </c>
      <c r="L22" s="503">
        <v>4090</v>
      </c>
      <c r="M22" s="496">
        <v>4090</v>
      </c>
      <c r="N22" s="496">
        <v>4090</v>
      </c>
      <c r="O22" s="512">
        <v>4090</v>
      </c>
      <c r="P22" s="512">
        <v>4090</v>
      </c>
      <c r="Q22" s="514">
        <v>4090</v>
      </c>
      <c r="R22" s="575">
        <f t="shared" si="0"/>
        <v>3.3</v>
      </c>
      <c r="S22" s="517">
        <f t="shared" si="1"/>
        <v>0</v>
      </c>
      <c r="T22" s="283"/>
      <c r="U22" s="280"/>
      <c r="V22" s="280"/>
      <c r="W22" s="280"/>
      <c r="X22" s="280"/>
      <c r="Y22" s="280"/>
      <c r="Z22" s="280"/>
      <c r="AA22" s="43"/>
      <c r="AB22" s="43"/>
      <c r="AC22" s="43"/>
      <c r="AD22" s="43"/>
      <c r="AE22" s="43"/>
      <c r="AF22" s="43"/>
      <c r="AG22" s="43"/>
    </row>
    <row r="23" spans="1:33" ht="15" customHeight="1">
      <c r="A23" s="16"/>
      <c r="B23" s="105"/>
      <c r="C23" s="615" t="s">
        <v>311</v>
      </c>
      <c r="D23" s="511">
        <v>3254</v>
      </c>
      <c r="E23" s="512">
        <v>3050</v>
      </c>
      <c r="F23" s="512">
        <v>3845</v>
      </c>
      <c r="G23" s="512">
        <v>3530</v>
      </c>
      <c r="H23" s="512">
        <v>3055</v>
      </c>
      <c r="I23" s="512">
        <v>3305</v>
      </c>
      <c r="J23" s="513">
        <v>3390</v>
      </c>
      <c r="K23" s="514">
        <v>3390</v>
      </c>
      <c r="L23" s="511">
        <v>3390</v>
      </c>
      <c r="M23" s="512">
        <v>3390</v>
      </c>
      <c r="N23" s="512">
        <v>3390</v>
      </c>
      <c r="O23" s="512">
        <v>3390</v>
      </c>
      <c r="P23" s="512">
        <v>3390</v>
      </c>
      <c r="Q23" s="514">
        <v>3390</v>
      </c>
      <c r="R23" s="574">
        <f t="shared" si="0"/>
        <v>0.6</v>
      </c>
      <c r="S23" s="510">
        <f t="shared" si="1"/>
        <v>0</v>
      </c>
      <c r="T23" s="28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</row>
    <row r="24" spans="1:33" ht="15.75" customHeight="1">
      <c r="A24" s="16"/>
      <c r="B24" s="672" t="s">
        <v>312</v>
      </c>
      <c r="C24" s="673"/>
      <c r="D24" s="503">
        <v>1100</v>
      </c>
      <c r="E24" s="496">
        <v>1180</v>
      </c>
      <c r="F24" s="496">
        <v>1180</v>
      </c>
      <c r="G24" s="496">
        <v>1510</v>
      </c>
      <c r="H24" s="496">
        <v>1510</v>
      </c>
      <c r="I24" s="496">
        <v>1510</v>
      </c>
      <c r="J24" s="497">
        <v>1510</v>
      </c>
      <c r="K24" s="502">
        <v>1510</v>
      </c>
      <c r="L24" s="503">
        <v>1510</v>
      </c>
      <c r="M24" s="496">
        <v>1510</v>
      </c>
      <c r="N24" s="496">
        <v>1510</v>
      </c>
      <c r="O24" s="496">
        <v>1510</v>
      </c>
      <c r="P24" s="497">
        <v>1510</v>
      </c>
      <c r="Q24" s="502">
        <v>1510</v>
      </c>
      <c r="R24" s="574">
        <f t="shared" si="0"/>
        <v>4.5999999999999996</v>
      </c>
      <c r="S24" s="510">
        <f t="shared" si="1"/>
        <v>0</v>
      </c>
      <c r="T24" s="283"/>
      <c r="U24" s="280"/>
      <c r="V24" s="280"/>
      <c r="W24" s="280"/>
      <c r="X24" s="280"/>
      <c r="Y24" s="280"/>
      <c r="Z24" s="280"/>
      <c r="AA24" s="280"/>
      <c r="AB24" s="280"/>
      <c r="AC24" s="43"/>
      <c r="AD24" s="43"/>
      <c r="AE24" s="43"/>
      <c r="AF24" s="43"/>
      <c r="AG24" s="43"/>
    </row>
    <row r="25" spans="1:33" ht="15" customHeight="1">
      <c r="A25" s="16"/>
      <c r="B25" s="16"/>
      <c r="C25" s="615" t="s">
        <v>313</v>
      </c>
      <c r="D25" s="511">
        <v>0</v>
      </c>
      <c r="E25" s="518">
        <v>400</v>
      </c>
      <c r="F25" s="518">
        <v>400</v>
      </c>
      <c r="G25" s="518">
        <v>650</v>
      </c>
      <c r="H25" s="518">
        <v>650</v>
      </c>
      <c r="I25" s="518">
        <v>650</v>
      </c>
      <c r="J25" s="519">
        <v>650</v>
      </c>
      <c r="K25" s="514">
        <v>650</v>
      </c>
      <c r="L25" s="511">
        <v>650</v>
      </c>
      <c r="M25" s="518">
        <v>650</v>
      </c>
      <c r="N25" s="518">
        <v>650</v>
      </c>
      <c r="O25" s="518">
        <v>650</v>
      </c>
      <c r="P25" s="519">
        <v>650</v>
      </c>
      <c r="Q25" s="514">
        <v>650</v>
      </c>
      <c r="R25" s="573" t="str">
        <f t="shared" si="0"/>
        <v xml:space="preserve">     -</v>
      </c>
      <c r="S25" s="256">
        <f t="shared" si="1"/>
        <v>0</v>
      </c>
      <c r="T25" s="283"/>
      <c r="U25" s="280"/>
      <c r="V25" s="280"/>
      <c r="W25" s="280"/>
      <c r="X25" s="280"/>
      <c r="Y25" s="280"/>
      <c r="Z25" s="280"/>
      <c r="AA25" s="280"/>
      <c r="AB25" s="280"/>
      <c r="AC25" s="43"/>
      <c r="AD25" s="43"/>
      <c r="AE25" s="43"/>
      <c r="AF25" s="43"/>
      <c r="AG25" s="43"/>
    </row>
    <row r="26" spans="1:33" ht="15.75" customHeight="1">
      <c r="A26" s="16"/>
      <c r="B26" s="674" t="s">
        <v>314</v>
      </c>
      <c r="C26" s="675"/>
      <c r="D26" s="511">
        <v>0</v>
      </c>
      <c r="E26" s="518">
        <v>0</v>
      </c>
      <c r="F26" s="518">
        <v>0</v>
      </c>
      <c r="G26" s="518">
        <v>0</v>
      </c>
      <c r="H26" s="518">
        <v>0</v>
      </c>
      <c r="I26" s="518">
        <v>0</v>
      </c>
      <c r="J26" s="519">
        <v>0</v>
      </c>
      <c r="K26" s="514">
        <v>0</v>
      </c>
      <c r="L26" s="511">
        <v>0</v>
      </c>
      <c r="M26" s="518">
        <v>0</v>
      </c>
      <c r="N26" s="518">
        <v>0</v>
      </c>
      <c r="O26" s="518">
        <v>0</v>
      </c>
      <c r="P26" s="519">
        <v>0</v>
      </c>
      <c r="Q26" s="514">
        <v>0</v>
      </c>
      <c r="R26" s="574" t="str">
        <f t="shared" si="0"/>
        <v xml:space="preserve">     -</v>
      </c>
      <c r="S26" s="510" t="str">
        <f t="shared" si="1"/>
        <v xml:space="preserve">     -</v>
      </c>
      <c r="T26" s="283"/>
      <c r="U26" s="280"/>
      <c r="V26" s="280"/>
      <c r="W26" s="280"/>
      <c r="X26" s="280"/>
      <c r="Y26" s="280"/>
      <c r="Z26" s="280"/>
      <c r="AA26" s="280"/>
      <c r="AB26" s="280"/>
      <c r="AC26" s="43"/>
      <c r="AD26" s="43"/>
      <c r="AE26" s="43"/>
      <c r="AF26" s="43"/>
      <c r="AG26" s="43"/>
    </row>
    <row r="27" spans="1:33" ht="15.75" customHeight="1">
      <c r="A27" s="16"/>
      <c r="B27" s="674" t="s">
        <v>315</v>
      </c>
      <c r="C27" s="675"/>
      <c r="D27" s="520">
        <v>240</v>
      </c>
      <c r="E27" s="521">
        <v>240</v>
      </c>
      <c r="F27" s="521">
        <v>240</v>
      </c>
      <c r="G27" s="521">
        <v>250</v>
      </c>
      <c r="H27" s="521">
        <v>250</v>
      </c>
      <c r="I27" s="521">
        <v>250</v>
      </c>
      <c r="J27" s="522">
        <v>260</v>
      </c>
      <c r="K27" s="523">
        <v>260</v>
      </c>
      <c r="L27" s="520">
        <v>260</v>
      </c>
      <c r="M27" s="521">
        <v>470</v>
      </c>
      <c r="N27" s="521">
        <v>470</v>
      </c>
      <c r="O27" s="521">
        <v>470</v>
      </c>
      <c r="P27" s="522">
        <v>470</v>
      </c>
      <c r="Q27" s="523">
        <v>470</v>
      </c>
      <c r="R27" s="574">
        <f t="shared" si="0"/>
        <v>1.2</v>
      </c>
      <c r="S27" s="510">
        <f t="shared" si="1"/>
        <v>12.6</v>
      </c>
      <c r="T27" s="283"/>
      <c r="U27" s="342"/>
      <c r="V27" s="342"/>
      <c r="W27" s="342"/>
      <c r="X27" s="342"/>
      <c r="Y27" s="342"/>
      <c r="Z27" s="342"/>
      <c r="AA27" s="342"/>
      <c r="AB27" s="342"/>
      <c r="AC27" s="342"/>
      <c r="AD27" s="342"/>
      <c r="AE27" s="342"/>
      <c r="AF27" s="342"/>
      <c r="AG27" s="342"/>
    </row>
    <row r="28" spans="1:33" ht="15" customHeight="1">
      <c r="A28" s="16"/>
      <c r="B28" s="672" t="s">
        <v>316</v>
      </c>
      <c r="C28" s="673"/>
      <c r="D28" s="524">
        <v>3770</v>
      </c>
      <c r="E28" s="525">
        <v>3770</v>
      </c>
      <c r="F28" s="525">
        <v>3770</v>
      </c>
      <c r="G28" s="526">
        <v>3770</v>
      </c>
      <c r="H28" s="526">
        <v>3650</v>
      </c>
      <c r="I28" s="496">
        <v>3180</v>
      </c>
      <c r="J28" s="497">
        <v>3200</v>
      </c>
      <c r="K28" s="498">
        <v>3525</v>
      </c>
      <c r="L28" s="527">
        <v>4500</v>
      </c>
      <c r="M28" s="528">
        <v>4500</v>
      </c>
      <c r="N28" s="528">
        <v>4500</v>
      </c>
      <c r="O28" s="528">
        <v>4500</v>
      </c>
      <c r="P28" s="528">
        <v>4500</v>
      </c>
      <c r="Q28" s="498">
        <v>4500</v>
      </c>
      <c r="R28" s="573">
        <f t="shared" si="0"/>
        <v>-1</v>
      </c>
      <c r="S28" s="256">
        <f t="shared" si="1"/>
        <v>0</v>
      </c>
      <c r="T28" s="283"/>
      <c r="U28" s="43"/>
      <c r="V28" s="43"/>
      <c r="W28" s="43"/>
      <c r="X28" s="343"/>
      <c r="Y28" s="343"/>
      <c r="Z28" s="43"/>
      <c r="AA28" s="43"/>
      <c r="AB28" s="43"/>
      <c r="AC28" s="43"/>
      <c r="AD28" s="43"/>
      <c r="AE28" s="43"/>
      <c r="AF28" s="43"/>
      <c r="AG28" s="43"/>
    </row>
    <row r="29" spans="1:33" ht="15" customHeight="1">
      <c r="A29" s="16"/>
      <c r="B29" s="670" t="s">
        <v>317</v>
      </c>
      <c r="C29" s="671"/>
      <c r="D29" s="529">
        <v>600</v>
      </c>
      <c r="E29" s="525">
        <v>600</v>
      </c>
      <c r="F29" s="530">
        <v>600</v>
      </c>
      <c r="G29" s="531">
        <v>600</v>
      </c>
      <c r="H29" s="526">
        <v>600</v>
      </c>
      <c r="I29" s="497">
        <v>600</v>
      </c>
      <c r="J29" s="497">
        <v>650</v>
      </c>
      <c r="K29" s="498">
        <v>650</v>
      </c>
      <c r="L29" s="499">
        <v>650</v>
      </c>
      <c r="M29" s="532">
        <v>650</v>
      </c>
      <c r="N29" s="532">
        <v>650</v>
      </c>
      <c r="O29" s="532">
        <v>650</v>
      </c>
      <c r="P29" s="532">
        <v>650</v>
      </c>
      <c r="Q29" s="498">
        <v>650</v>
      </c>
      <c r="R29" s="573">
        <f t="shared" si="0"/>
        <v>1.2</v>
      </c>
      <c r="S29" s="256">
        <f t="shared" si="1"/>
        <v>0</v>
      </c>
      <c r="T29" s="283"/>
      <c r="U29" s="43"/>
      <c r="V29" s="43"/>
      <c r="W29" s="43"/>
      <c r="X29" s="43"/>
      <c r="Y29" s="43"/>
      <c r="Z29" s="280"/>
      <c r="AA29" s="280"/>
      <c r="AB29" s="43"/>
      <c r="AC29" s="43"/>
      <c r="AD29" s="43"/>
      <c r="AE29" s="43"/>
      <c r="AF29" s="43"/>
      <c r="AG29" s="43"/>
    </row>
    <row r="30" spans="1:33" ht="15.75" customHeight="1">
      <c r="A30" s="16"/>
      <c r="B30" s="674" t="s">
        <v>318</v>
      </c>
      <c r="C30" s="675"/>
      <c r="D30" s="95">
        <f>SUM(D28:D29)</f>
        <v>4370</v>
      </c>
      <c r="E30" s="92">
        <f t="shared" ref="E30:Q30" si="3">SUM(E28:E29)</f>
        <v>4370</v>
      </c>
      <c r="F30" s="92">
        <f t="shared" si="3"/>
        <v>4370</v>
      </c>
      <c r="G30" s="93">
        <f t="shared" si="3"/>
        <v>4370</v>
      </c>
      <c r="H30" s="93">
        <f t="shared" si="3"/>
        <v>4250</v>
      </c>
      <c r="I30" s="94">
        <f t="shared" si="3"/>
        <v>3780</v>
      </c>
      <c r="J30" s="94">
        <f t="shared" si="3"/>
        <v>3850</v>
      </c>
      <c r="K30" s="96">
        <f t="shared" si="3"/>
        <v>4175</v>
      </c>
      <c r="L30" s="95">
        <f t="shared" si="3"/>
        <v>5150</v>
      </c>
      <c r="M30" s="93">
        <f t="shared" si="3"/>
        <v>5150</v>
      </c>
      <c r="N30" s="93">
        <f t="shared" si="3"/>
        <v>5150</v>
      </c>
      <c r="O30" s="93">
        <f t="shared" si="3"/>
        <v>5150</v>
      </c>
      <c r="P30" s="93">
        <f t="shared" si="3"/>
        <v>5150</v>
      </c>
      <c r="Q30" s="96">
        <f t="shared" si="3"/>
        <v>5150</v>
      </c>
      <c r="R30" s="574">
        <f t="shared" si="0"/>
        <v>-0.7</v>
      </c>
      <c r="S30" s="510">
        <f t="shared" si="1"/>
        <v>0</v>
      </c>
      <c r="T30" s="28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</row>
    <row r="31" spans="1:33" ht="15" customHeight="1">
      <c r="A31" s="16"/>
      <c r="B31" s="672" t="s">
        <v>319</v>
      </c>
      <c r="C31" s="673"/>
      <c r="D31" s="529">
        <v>1530</v>
      </c>
      <c r="E31" s="525">
        <v>1530</v>
      </c>
      <c r="F31" s="530">
        <v>1530</v>
      </c>
      <c r="G31" s="531">
        <v>1530</v>
      </c>
      <c r="H31" s="526">
        <v>1530</v>
      </c>
      <c r="I31" s="497">
        <v>1530</v>
      </c>
      <c r="J31" s="497">
        <v>1530</v>
      </c>
      <c r="K31" s="498">
        <v>1530</v>
      </c>
      <c r="L31" s="533">
        <v>1530</v>
      </c>
      <c r="M31" s="534">
        <v>1530</v>
      </c>
      <c r="N31" s="534">
        <v>1530</v>
      </c>
      <c r="O31" s="534">
        <v>1530</v>
      </c>
      <c r="P31" s="534">
        <v>1530</v>
      </c>
      <c r="Q31" s="535">
        <v>1530</v>
      </c>
      <c r="R31" s="573">
        <f t="shared" si="0"/>
        <v>0</v>
      </c>
      <c r="S31" s="256">
        <f t="shared" si="1"/>
        <v>0</v>
      </c>
      <c r="T31" s="283"/>
      <c r="U31" s="43"/>
      <c r="V31" s="43"/>
      <c r="W31" s="43"/>
      <c r="X31" s="343"/>
      <c r="Y31" s="343"/>
      <c r="Z31" s="280"/>
      <c r="AA31" s="280"/>
      <c r="AB31" s="43"/>
      <c r="AC31" s="43"/>
      <c r="AD31" s="43"/>
      <c r="AE31" s="43"/>
      <c r="AF31" s="43"/>
      <c r="AG31" s="43"/>
    </row>
    <row r="32" spans="1:33" ht="15" customHeight="1">
      <c r="A32" s="16"/>
      <c r="B32" s="668" t="s">
        <v>320</v>
      </c>
      <c r="C32" s="669"/>
      <c r="D32" s="529">
        <v>700</v>
      </c>
      <c r="E32" s="525">
        <v>700</v>
      </c>
      <c r="F32" s="530">
        <v>700</v>
      </c>
      <c r="G32" s="531">
        <v>700</v>
      </c>
      <c r="H32" s="526">
        <v>700</v>
      </c>
      <c r="I32" s="497">
        <v>700</v>
      </c>
      <c r="J32" s="497">
        <v>700</v>
      </c>
      <c r="K32" s="502">
        <v>700</v>
      </c>
      <c r="L32" s="503">
        <v>700</v>
      </c>
      <c r="M32" s="496">
        <v>700</v>
      </c>
      <c r="N32" s="496">
        <v>700</v>
      </c>
      <c r="O32" s="496">
        <v>700</v>
      </c>
      <c r="P32" s="497">
        <v>700</v>
      </c>
      <c r="Q32" s="502">
        <v>700</v>
      </c>
      <c r="R32" s="573">
        <f t="shared" si="0"/>
        <v>0</v>
      </c>
      <c r="S32" s="256">
        <f t="shared" si="1"/>
        <v>0</v>
      </c>
      <c r="T32" s="283"/>
      <c r="U32" s="43"/>
      <c r="V32" s="43"/>
      <c r="W32" s="43"/>
      <c r="X32" s="343"/>
      <c r="Y32" s="343"/>
      <c r="Z32" s="280"/>
      <c r="AA32" s="280"/>
      <c r="AB32" s="280"/>
      <c r="AC32" s="280"/>
      <c r="AD32" s="280"/>
      <c r="AE32" s="280"/>
      <c r="AF32" s="280"/>
      <c r="AG32" s="280"/>
    </row>
    <row r="33" spans="1:33" ht="15" customHeight="1">
      <c r="A33" s="16"/>
      <c r="B33" s="670" t="s">
        <v>321</v>
      </c>
      <c r="C33" s="671"/>
      <c r="D33" s="529">
        <v>0</v>
      </c>
      <c r="E33" s="525">
        <v>0</v>
      </c>
      <c r="F33" s="530">
        <v>0</v>
      </c>
      <c r="G33" s="531">
        <v>0</v>
      </c>
      <c r="H33" s="526">
        <v>0</v>
      </c>
      <c r="I33" s="497">
        <v>0</v>
      </c>
      <c r="J33" s="497">
        <v>0</v>
      </c>
      <c r="K33" s="536">
        <v>0</v>
      </c>
      <c r="L33" s="537">
        <v>0</v>
      </c>
      <c r="M33" s="538">
        <v>0</v>
      </c>
      <c r="N33" s="538">
        <v>0</v>
      </c>
      <c r="O33" s="538">
        <v>0</v>
      </c>
      <c r="P33" s="515">
        <v>0</v>
      </c>
      <c r="Q33" s="502">
        <v>0</v>
      </c>
      <c r="R33" s="573" t="str">
        <f t="shared" si="0"/>
        <v xml:space="preserve">     -</v>
      </c>
      <c r="S33" s="256" t="str">
        <f t="shared" si="1"/>
        <v xml:space="preserve">     -</v>
      </c>
      <c r="T33" s="283"/>
      <c r="U33" s="43"/>
      <c r="V33" s="43"/>
      <c r="W33" s="43"/>
      <c r="X33" s="283"/>
      <c r="Y33" s="283"/>
      <c r="Z33" s="43"/>
      <c r="AA33" s="43"/>
      <c r="AB33" s="43"/>
      <c r="AC33" s="43"/>
      <c r="AD33" s="43"/>
      <c r="AE33" s="43"/>
      <c r="AF33" s="43"/>
      <c r="AG33" s="43"/>
    </row>
    <row r="34" spans="1:33" ht="15.75" customHeight="1" thickBot="1">
      <c r="A34" s="16"/>
      <c r="B34" s="678" t="s">
        <v>322</v>
      </c>
      <c r="C34" s="679"/>
      <c r="D34" s="102">
        <f>SUM(D31:D33)</f>
        <v>2230</v>
      </c>
      <c r="E34" s="539">
        <f t="shared" ref="E34:Q34" si="4">SUM(E31:E33)</f>
        <v>2230</v>
      </c>
      <c r="F34" s="539">
        <f t="shared" si="4"/>
        <v>2230</v>
      </c>
      <c r="G34" s="100">
        <f t="shared" si="4"/>
        <v>2230</v>
      </c>
      <c r="H34" s="100">
        <f t="shared" si="4"/>
        <v>2230</v>
      </c>
      <c r="I34" s="100">
        <f t="shared" si="4"/>
        <v>2230</v>
      </c>
      <c r="J34" s="101">
        <f t="shared" si="4"/>
        <v>2230</v>
      </c>
      <c r="K34" s="104">
        <f t="shared" si="4"/>
        <v>2230</v>
      </c>
      <c r="L34" s="540">
        <f t="shared" si="4"/>
        <v>2230</v>
      </c>
      <c r="M34" s="100">
        <f t="shared" si="4"/>
        <v>2230</v>
      </c>
      <c r="N34" s="100">
        <f t="shared" si="4"/>
        <v>2230</v>
      </c>
      <c r="O34" s="100">
        <f t="shared" si="4"/>
        <v>2230</v>
      </c>
      <c r="P34" s="100">
        <f t="shared" si="4"/>
        <v>2230</v>
      </c>
      <c r="Q34" s="103">
        <f t="shared" si="4"/>
        <v>2230</v>
      </c>
      <c r="R34" s="576">
        <f t="shared" si="0"/>
        <v>0</v>
      </c>
      <c r="S34" s="541">
        <f t="shared" si="1"/>
        <v>0</v>
      </c>
      <c r="T34" s="28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</row>
    <row r="35" spans="1:33" ht="18" customHeight="1" thickTop="1" thickBot="1">
      <c r="A35" s="21"/>
      <c r="B35" s="676" t="s">
        <v>323</v>
      </c>
      <c r="C35" s="677"/>
      <c r="D35" s="542">
        <f>D19+D20+D22+D24+D26+D27+D30+D34</f>
        <v>48014</v>
      </c>
      <c r="E35" s="543">
        <f t="shared" ref="E35:Q35" si="5">E19+E20+E22+E24+E26+E27+E30+E34</f>
        <v>51340</v>
      </c>
      <c r="F35" s="543">
        <f t="shared" si="5"/>
        <v>57260</v>
      </c>
      <c r="G35" s="544">
        <f t="shared" si="5"/>
        <v>65490</v>
      </c>
      <c r="H35" s="544">
        <f t="shared" si="5"/>
        <v>66605</v>
      </c>
      <c r="I35" s="544">
        <f t="shared" si="5"/>
        <v>65590</v>
      </c>
      <c r="J35" s="545">
        <f t="shared" si="5"/>
        <v>67418</v>
      </c>
      <c r="K35" s="546">
        <f t="shared" si="5"/>
        <v>74748</v>
      </c>
      <c r="L35" s="547">
        <f t="shared" si="5"/>
        <v>82708</v>
      </c>
      <c r="M35" s="544">
        <f t="shared" si="5"/>
        <v>90318</v>
      </c>
      <c r="N35" s="544">
        <f t="shared" si="5"/>
        <v>96668</v>
      </c>
      <c r="O35" s="544">
        <f t="shared" si="5"/>
        <v>99818</v>
      </c>
      <c r="P35" s="544">
        <f t="shared" si="5"/>
        <v>100438</v>
      </c>
      <c r="Q35" s="577">
        <f t="shared" si="5"/>
        <v>101908</v>
      </c>
      <c r="R35" s="578">
        <f t="shared" si="0"/>
        <v>6.5</v>
      </c>
      <c r="S35" s="549">
        <f t="shared" si="1"/>
        <v>4.3</v>
      </c>
      <c r="T35" s="283"/>
    </row>
    <row r="36" spans="1:33" ht="15" customHeight="1">
      <c r="A36" s="613" t="s">
        <v>324</v>
      </c>
      <c r="B36" s="666" t="s">
        <v>433</v>
      </c>
      <c r="C36" s="667"/>
      <c r="D36" s="487">
        <v>6535</v>
      </c>
      <c r="E36" s="488">
        <v>6629</v>
      </c>
      <c r="F36" s="489">
        <v>6219</v>
      </c>
      <c r="G36" s="489">
        <v>5874</v>
      </c>
      <c r="H36" s="488">
        <v>5335</v>
      </c>
      <c r="I36" s="489">
        <v>4826</v>
      </c>
      <c r="J36" s="550">
        <v>4453</v>
      </c>
      <c r="K36" s="490">
        <v>4870</v>
      </c>
      <c r="L36" s="491">
        <v>4850</v>
      </c>
      <c r="M36" s="492">
        <v>4850</v>
      </c>
      <c r="N36" s="492">
        <v>4550</v>
      </c>
      <c r="O36" s="492">
        <v>4550</v>
      </c>
      <c r="P36" s="493">
        <v>4500</v>
      </c>
      <c r="Q36" s="498">
        <v>4500</v>
      </c>
      <c r="R36" s="573">
        <f t="shared" si="0"/>
        <v>-4.0999999999999996</v>
      </c>
      <c r="S36" s="256">
        <f t="shared" si="1"/>
        <v>-1.5</v>
      </c>
      <c r="T36" s="28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</row>
    <row r="37" spans="1:33" ht="15" customHeight="1">
      <c r="A37" s="614" t="s">
        <v>325</v>
      </c>
      <c r="B37" s="668" t="s">
        <v>434</v>
      </c>
      <c r="C37" s="669"/>
      <c r="D37" s="495">
        <v>5163</v>
      </c>
      <c r="E37" s="496">
        <v>5303</v>
      </c>
      <c r="F37" s="497">
        <v>4388</v>
      </c>
      <c r="G37" s="497">
        <v>2930</v>
      </c>
      <c r="H37" s="496">
        <v>2596</v>
      </c>
      <c r="I37" s="497">
        <v>2626</v>
      </c>
      <c r="J37" s="551">
        <v>2623</v>
      </c>
      <c r="K37" s="498">
        <v>2669</v>
      </c>
      <c r="L37" s="499">
        <v>3750</v>
      </c>
      <c r="M37" s="500">
        <v>3750</v>
      </c>
      <c r="N37" s="500">
        <v>3750</v>
      </c>
      <c r="O37" s="500">
        <v>3850</v>
      </c>
      <c r="P37" s="501">
        <v>3850</v>
      </c>
      <c r="Q37" s="498">
        <v>3850</v>
      </c>
      <c r="R37" s="573">
        <f t="shared" si="0"/>
        <v>-9</v>
      </c>
      <c r="S37" s="256">
        <f t="shared" si="1"/>
        <v>0.5</v>
      </c>
      <c r="T37" s="28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ht="15" customHeight="1">
      <c r="A38" s="16"/>
      <c r="B38" s="668" t="s">
        <v>435</v>
      </c>
      <c r="C38" s="669"/>
      <c r="D38" s="503">
        <v>0</v>
      </c>
      <c r="E38" s="496">
        <v>0</v>
      </c>
      <c r="F38" s="497">
        <v>0</v>
      </c>
      <c r="G38" s="497">
        <v>0</v>
      </c>
      <c r="H38" s="496">
        <v>0</v>
      </c>
      <c r="I38" s="497">
        <v>0</v>
      </c>
      <c r="J38" s="497">
        <v>0</v>
      </c>
      <c r="K38" s="502">
        <v>0</v>
      </c>
      <c r="L38" s="503">
        <v>0</v>
      </c>
      <c r="M38" s="496">
        <v>0</v>
      </c>
      <c r="N38" s="496">
        <v>0</v>
      </c>
      <c r="O38" s="496">
        <v>0</v>
      </c>
      <c r="P38" s="279">
        <v>0</v>
      </c>
      <c r="Q38" s="502">
        <v>0</v>
      </c>
      <c r="R38" s="573" t="str">
        <f t="shared" si="0"/>
        <v xml:space="preserve">     -</v>
      </c>
      <c r="S38" s="256" t="str">
        <f t="shared" si="1"/>
        <v xml:space="preserve">     -</v>
      </c>
      <c r="T38" s="283"/>
      <c r="U38" s="280"/>
      <c r="V38" s="280"/>
      <c r="W38" s="280"/>
      <c r="X38" s="280"/>
      <c r="Y38" s="280"/>
      <c r="Z38" s="280"/>
      <c r="AA38" s="280"/>
      <c r="AB38" s="280"/>
      <c r="AC38" s="280"/>
      <c r="AD38" s="280"/>
      <c r="AE38" s="280"/>
      <c r="AF38" s="280"/>
      <c r="AG38" s="280"/>
    </row>
    <row r="39" spans="1:33" ht="15" customHeight="1">
      <c r="A39" s="16"/>
      <c r="B39" s="668" t="s">
        <v>436</v>
      </c>
      <c r="C39" s="669"/>
      <c r="D39" s="495">
        <v>14550</v>
      </c>
      <c r="E39" s="496">
        <v>17000</v>
      </c>
      <c r="F39" s="497">
        <v>19345</v>
      </c>
      <c r="G39" s="497">
        <v>25062</v>
      </c>
      <c r="H39" s="496">
        <v>27930</v>
      </c>
      <c r="I39" s="497">
        <v>30600</v>
      </c>
      <c r="J39" s="497">
        <v>32359</v>
      </c>
      <c r="K39" s="502">
        <v>35690</v>
      </c>
      <c r="L39" s="503">
        <v>39252</v>
      </c>
      <c r="M39" s="496">
        <v>41882</v>
      </c>
      <c r="N39" s="496">
        <v>44646</v>
      </c>
      <c r="O39" s="496">
        <v>47458</v>
      </c>
      <c r="P39" s="497">
        <v>48500</v>
      </c>
      <c r="Q39" s="502">
        <v>50310</v>
      </c>
      <c r="R39" s="573">
        <f t="shared" si="0"/>
        <v>13.7</v>
      </c>
      <c r="S39" s="256">
        <f t="shared" si="1"/>
        <v>5.0999999999999996</v>
      </c>
      <c r="T39" s="28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ht="15" customHeight="1">
      <c r="A40" s="16"/>
      <c r="B40" s="668" t="s">
        <v>437</v>
      </c>
      <c r="C40" s="669"/>
      <c r="D40" s="495">
        <v>2723</v>
      </c>
      <c r="E40" s="496">
        <v>2726</v>
      </c>
      <c r="F40" s="497">
        <v>2502</v>
      </c>
      <c r="G40" s="497">
        <v>2067.422388059701</v>
      </c>
      <c r="H40" s="496">
        <v>2074.6268656716416</v>
      </c>
      <c r="I40" s="497">
        <v>2054.0050000000001</v>
      </c>
      <c r="J40" s="497">
        <v>2193.828</v>
      </c>
      <c r="K40" s="502">
        <v>2251.837</v>
      </c>
      <c r="L40" s="503">
        <v>2128</v>
      </c>
      <c r="M40" s="496">
        <v>2128</v>
      </c>
      <c r="N40" s="496">
        <v>2128</v>
      </c>
      <c r="O40" s="496">
        <v>2128</v>
      </c>
      <c r="P40" s="279">
        <v>2128</v>
      </c>
      <c r="Q40" s="502">
        <v>2128</v>
      </c>
      <c r="R40" s="573">
        <f t="shared" si="0"/>
        <v>-2.7</v>
      </c>
      <c r="S40" s="256">
        <f t="shared" si="1"/>
        <v>0</v>
      </c>
      <c r="T40" s="283"/>
      <c r="U40" s="280"/>
      <c r="V40" s="280"/>
      <c r="W40" s="280"/>
      <c r="X40" s="280"/>
      <c r="Y40" s="280"/>
      <c r="Z40" s="280"/>
      <c r="AA40" s="280"/>
      <c r="AB40" s="43"/>
      <c r="AC40" s="43"/>
      <c r="AD40" s="43"/>
      <c r="AE40" s="43"/>
      <c r="AF40" s="43"/>
      <c r="AG40" s="43"/>
    </row>
    <row r="41" spans="1:33" ht="15" customHeight="1">
      <c r="A41" s="16"/>
      <c r="B41" s="668" t="s">
        <v>438</v>
      </c>
      <c r="C41" s="669"/>
      <c r="D41" s="140">
        <v>1332</v>
      </c>
      <c r="E41" s="45">
        <v>1782</v>
      </c>
      <c r="F41" s="49">
        <v>1782</v>
      </c>
      <c r="G41" s="45">
        <v>1782</v>
      </c>
      <c r="H41" s="49">
        <v>1827</v>
      </c>
      <c r="I41" s="45">
        <v>1512</v>
      </c>
      <c r="J41" s="49">
        <v>1512</v>
      </c>
      <c r="K41" s="50">
        <v>1512</v>
      </c>
      <c r="L41" s="504">
        <v>1570</v>
      </c>
      <c r="M41" s="45">
        <v>1650</v>
      </c>
      <c r="N41" s="45">
        <v>1730</v>
      </c>
      <c r="O41" s="45">
        <v>1820</v>
      </c>
      <c r="P41" s="45">
        <v>1910</v>
      </c>
      <c r="Q41" s="51">
        <v>2000</v>
      </c>
      <c r="R41" s="573">
        <f t="shared" si="0"/>
        <v>1.8</v>
      </c>
      <c r="S41" s="256">
        <f t="shared" si="1"/>
        <v>5</v>
      </c>
      <c r="T41" s="283"/>
      <c r="U41" s="280"/>
      <c r="V41" s="280"/>
      <c r="W41" s="280"/>
      <c r="X41" s="280"/>
      <c r="Y41" s="280"/>
      <c r="Z41" s="280"/>
      <c r="AA41" s="280"/>
      <c r="AB41" s="280"/>
      <c r="AC41" s="43"/>
      <c r="AD41" s="43"/>
      <c r="AE41" s="43"/>
      <c r="AF41" s="43"/>
      <c r="AG41" s="43"/>
    </row>
    <row r="42" spans="1:33" ht="15" customHeight="1">
      <c r="A42" s="16"/>
      <c r="B42" s="668" t="s">
        <v>439</v>
      </c>
      <c r="C42" s="669"/>
      <c r="D42" s="140">
        <v>3570</v>
      </c>
      <c r="E42" s="49">
        <v>3497</v>
      </c>
      <c r="F42" s="45">
        <v>3736</v>
      </c>
      <c r="G42" s="49">
        <v>3450</v>
      </c>
      <c r="H42" s="49">
        <v>3800</v>
      </c>
      <c r="I42" s="45">
        <v>5053</v>
      </c>
      <c r="J42" s="49">
        <v>3432</v>
      </c>
      <c r="K42" s="50">
        <v>4400</v>
      </c>
      <c r="L42" s="504">
        <v>4500</v>
      </c>
      <c r="M42" s="45">
        <v>5000</v>
      </c>
      <c r="N42" s="45">
        <v>5000</v>
      </c>
      <c r="O42" s="45">
        <v>6800</v>
      </c>
      <c r="P42" s="49">
        <v>6800</v>
      </c>
      <c r="Q42" s="50">
        <v>7000</v>
      </c>
      <c r="R42" s="573">
        <f t="shared" si="0"/>
        <v>3</v>
      </c>
      <c r="S42" s="256">
        <f t="shared" si="1"/>
        <v>9.1999999999999993</v>
      </c>
      <c r="T42" s="28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 ht="13.5" hidden="1" customHeight="1">
      <c r="A43" s="16"/>
      <c r="B43" s="16"/>
      <c r="C43" s="90" t="s">
        <v>306</v>
      </c>
      <c r="D43" s="138"/>
      <c r="E43" s="41"/>
      <c r="F43" s="40"/>
      <c r="G43" s="41"/>
      <c r="H43" s="41"/>
      <c r="I43" s="40"/>
      <c r="J43" s="41"/>
      <c r="K43" s="42"/>
      <c r="L43" s="552"/>
      <c r="M43" s="40"/>
      <c r="N43" s="40"/>
      <c r="O43" s="40"/>
      <c r="P43" s="40"/>
      <c r="Q43" s="44"/>
      <c r="R43" s="573" t="str">
        <f t="shared" si="0"/>
        <v xml:space="preserve">     -</v>
      </c>
      <c r="S43" s="256" t="str">
        <f t="shared" si="1"/>
        <v xml:space="preserve">     -</v>
      </c>
      <c r="T43" s="283"/>
      <c r="U43" s="280"/>
      <c r="V43" s="280"/>
      <c r="W43" s="280"/>
      <c r="X43" s="280"/>
      <c r="Y43" s="280"/>
      <c r="Z43" s="280"/>
      <c r="AA43" s="280"/>
      <c r="AB43" s="43"/>
      <c r="AC43" s="43"/>
      <c r="AD43" s="43"/>
      <c r="AE43" s="43"/>
      <c r="AF43" s="43"/>
      <c r="AG43" s="43"/>
    </row>
    <row r="44" spans="1:33" ht="15" customHeight="1">
      <c r="A44" s="16"/>
      <c r="B44" s="668" t="s">
        <v>440</v>
      </c>
      <c r="C44" s="669"/>
      <c r="D44" s="140">
        <v>0</v>
      </c>
      <c r="E44" s="49">
        <v>0</v>
      </c>
      <c r="F44" s="45">
        <v>0</v>
      </c>
      <c r="G44" s="49">
        <v>0</v>
      </c>
      <c r="H44" s="49">
        <v>0</v>
      </c>
      <c r="I44" s="45">
        <v>0</v>
      </c>
      <c r="J44" s="49">
        <v>0</v>
      </c>
      <c r="K44" s="50">
        <v>0</v>
      </c>
      <c r="L44" s="504">
        <v>0</v>
      </c>
      <c r="M44" s="45">
        <v>0</v>
      </c>
      <c r="N44" s="45">
        <v>0</v>
      </c>
      <c r="O44" s="45">
        <v>0</v>
      </c>
      <c r="P44" s="45">
        <v>0</v>
      </c>
      <c r="Q44" s="51">
        <v>0</v>
      </c>
      <c r="R44" s="573" t="str">
        <f t="shared" si="0"/>
        <v xml:space="preserve">     -</v>
      </c>
      <c r="S44" s="256" t="str">
        <f t="shared" si="1"/>
        <v xml:space="preserve">     -</v>
      </c>
      <c r="T44" s="283"/>
      <c r="U44" s="280"/>
      <c r="V44" s="280"/>
      <c r="W44" s="280"/>
      <c r="X44" s="280"/>
      <c r="Y44" s="280"/>
      <c r="Z44" s="280"/>
      <c r="AA44" s="280"/>
      <c r="AB44" s="43"/>
      <c r="AC44" s="43"/>
      <c r="AD44" s="43"/>
      <c r="AE44" s="43"/>
      <c r="AF44" s="43"/>
      <c r="AG44" s="43"/>
    </row>
    <row r="45" spans="1:33" ht="15" customHeight="1">
      <c r="A45" s="16"/>
      <c r="B45" s="668" t="s">
        <v>441</v>
      </c>
      <c r="C45" s="669"/>
      <c r="D45" s="495">
        <v>544</v>
      </c>
      <c r="E45" s="496">
        <v>557.6232</v>
      </c>
      <c r="F45" s="497">
        <v>520</v>
      </c>
      <c r="G45" s="497">
        <v>579.1044776119403</v>
      </c>
      <c r="H45" s="496">
        <v>567.16417910447763</v>
      </c>
      <c r="I45" s="497">
        <v>500</v>
      </c>
      <c r="J45" s="497">
        <v>485</v>
      </c>
      <c r="K45" s="502">
        <v>528</v>
      </c>
      <c r="L45" s="503">
        <v>528</v>
      </c>
      <c r="M45" s="496">
        <v>528</v>
      </c>
      <c r="N45" s="496">
        <v>528</v>
      </c>
      <c r="O45" s="496">
        <v>528</v>
      </c>
      <c r="P45" s="497">
        <v>528</v>
      </c>
      <c r="Q45" s="502">
        <v>528</v>
      </c>
      <c r="R45" s="573">
        <f t="shared" si="0"/>
        <v>-0.4</v>
      </c>
      <c r="S45" s="256">
        <f t="shared" si="1"/>
        <v>0</v>
      </c>
      <c r="T45" s="283"/>
      <c r="U45" s="280"/>
      <c r="V45" s="280"/>
      <c r="W45" s="280"/>
      <c r="X45" s="280"/>
      <c r="Y45" s="280"/>
      <c r="Z45" s="280"/>
      <c r="AA45" s="280"/>
      <c r="AB45" s="43"/>
      <c r="AC45" s="43"/>
      <c r="AD45" s="43"/>
      <c r="AE45" s="43"/>
      <c r="AF45" s="43"/>
      <c r="AG45" s="43"/>
    </row>
    <row r="46" spans="1:33" ht="15" customHeight="1">
      <c r="A46" s="16"/>
      <c r="B46" s="668" t="s">
        <v>442</v>
      </c>
      <c r="C46" s="669"/>
      <c r="D46" s="140">
        <v>0</v>
      </c>
      <c r="E46" s="49">
        <v>0</v>
      </c>
      <c r="F46" s="45">
        <v>0</v>
      </c>
      <c r="G46" s="49">
        <v>0</v>
      </c>
      <c r="H46" s="49">
        <v>0</v>
      </c>
      <c r="I46" s="45">
        <v>0</v>
      </c>
      <c r="J46" s="49">
        <v>0</v>
      </c>
      <c r="K46" s="50">
        <v>0</v>
      </c>
      <c r="L46" s="504">
        <v>0</v>
      </c>
      <c r="M46" s="45">
        <v>0</v>
      </c>
      <c r="N46" s="45">
        <v>0</v>
      </c>
      <c r="O46" s="45">
        <v>0</v>
      </c>
      <c r="P46" s="45">
        <v>0</v>
      </c>
      <c r="Q46" s="51">
        <v>0</v>
      </c>
      <c r="R46" s="573" t="str">
        <f t="shared" si="0"/>
        <v xml:space="preserve">     -</v>
      </c>
      <c r="S46" s="256" t="str">
        <f t="shared" si="1"/>
        <v xml:space="preserve">     -</v>
      </c>
      <c r="T46" s="283"/>
      <c r="U46" s="280"/>
      <c r="V46" s="280"/>
      <c r="W46" s="280"/>
      <c r="X46" s="280"/>
      <c r="Y46" s="280"/>
      <c r="Z46" s="280"/>
      <c r="AA46" s="280"/>
      <c r="AB46" s="43"/>
      <c r="AC46" s="43"/>
      <c r="AD46" s="43"/>
      <c r="AE46" s="43"/>
      <c r="AF46" s="43"/>
      <c r="AG46" s="43"/>
    </row>
    <row r="47" spans="1:33" ht="15" customHeight="1">
      <c r="A47" s="16"/>
      <c r="B47" s="670" t="s">
        <v>443</v>
      </c>
      <c r="C47" s="671"/>
      <c r="D47" s="495">
        <v>1131</v>
      </c>
      <c r="E47" s="496">
        <v>886</v>
      </c>
      <c r="F47" s="497">
        <v>715</v>
      </c>
      <c r="G47" s="497">
        <v>754</v>
      </c>
      <c r="H47" s="496">
        <v>660</v>
      </c>
      <c r="I47" s="497">
        <v>534</v>
      </c>
      <c r="J47" s="497">
        <v>487</v>
      </c>
      <c r="K47" s="502">
        <v>466</v>
      </c>
      <c r="L47" s="503">
        <v>470</v>
      </c>
      <c r="M47" s="496">
        <v>470</v>
      </c>
      <c r="N47" s="496">
        <v>470</v>
      </c>
      <c r="O47" s="496">
        <v>470</v>
      </c>
      <c r="P47" s="497">
        <v>470</v>
      </c>
      <c r="Q47" s="502">
        <v>470</v>
      </c>
      <c r="R47" s="573">
        <f t="shared" si="0"/>
        <v>-11.9</v>
      </c>
      <c r="S47" s="256">
        <f t="shared" si="1"/>
        <v>0</v>
      </c>
      <c r="T47" s="283"/>
      <c r="U47" s="280"/>
      <c r="V47" s="280"/>
      <c r="W47" s="280"/>
      <c r="X47" s="280"/>
      <c r="Y47" s="280"/>
      <c r="Z47" s="280"/>
      <c r="AA47" s="280"/>
      <c r="AB47" s="43"/>
      <c r="AC47" s="43"/>
      <c r="AD47" s="43"/>
      <c r="AE47" s="43"/>
      <c r="AF47" s="43"/>
      <c r="AG47" s="43"/>
    </row>
    <row r="48" spans="1:33" ht="15.75" customHeight="1">
      <c r="A48" s="16"/>
      <c r="B48" s="674" t="s">
        <v>307</v>
      </c>
      <c r="C48" s="675"/>
      <c r="D48" s="95">
        <f>SUM(D36:D47)</f>
        <v>35548</v>
      </c>
      <c r="E48" s="93">
        <f t="shared" ref="E48:Q48" si="6">SUM(E36:E47)</f>
        <v>38380.623200000002</v>
      </c>
      <c r="F48" s="93">
        <f t="shared" si="6"/>
        <v>39207</v>
      </c>
      <c r="G48" s="93">
        <f t="shared" si="6"/>
        <v>42498.526865671636</v>
      </c>
      <c r="H48" s="93">
        <f t="shared" si="6"/>
        <v>44789.791044776117</v>
      </c>
      <c r="I48" s="93">
        <f t="shared" si="6"/>
        <v>47705.004999999997</v>
      </c>
      <c r="J48" s="93">
        <f t="shared" si="6"/>
        <v>47544.828000000001</v>
      </c>
      <c r="K48" s="96">
        <f t="shared" si="6"/>
        <v>52386.837</v>
      </c>
      <c r="L48" s="95">
        <f t="shared" si="6"/>
        <v>57048</v>
      </c>
      <c r="M48" s="93">
        <f t="shared" si="6"/>
        <v>60258</v>
      </c>
      <c r="N48" s="93">
        <f t="shared" si="6"/>
        <v>62802</v>
      </c>
      <c r="O48" s="93">
        <f t="shared" si="6"/>
        <v>67604</v>
      </c>
      <c r="P48" s="93">
        <f t="shared" si="6"/>
        <v>68686</v>
      </c>
      <c r="Q48" s="96">
        <f t="shared" si="6"/>
        <v>70786</v>
      </c>
      <c r="R48" s="574">
        <f t="shared" si="0"/>
        <v>5.7</v>
      </c>
      <c r="S48" s="510">
        <f t="shared" si="1"/>
        <v>4.4000000000000004</v>
      </c>
      <c r="T48" s="28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</row>
    <row r="49" spans="1:33" ht="15.75" customHeight="1">
      <c r="A49" s="16"/>
      <c r="B49" s="672" t="s">
        <v>308</v>
      </c>
      <c r="C49" s="673"/>
      <c r="D49" s="511">
        <v>0</v>
      </c>
      <c r="E49" s="512">
        <v>0</v>
      </c>
      <c r="F49" s="512">
        <v>0</v>
      </c>
      <c r="G49" s="512">
        <v>0</v>
      </c>
      <c r="H49" s="512">
        <v>0</v>
      </c>
      <c r="I49" s="512">
        <v>0</v>
      </c>
      <c r="J49" s="513">
        <v>0</v>
      </c>
      <c r="K49" s="514">
        <v>0</v>
      </c>
      <c r="L49" s="511">
        <v>0</v>
      </c>
      <c r="M49" s="512">
        <v>0</v>
      </c>
      <c r="N49" s="512">
        <v>0</v>
      </c>
      <c r="O49" s="512">
        <v>0</v>
      </c>
      <c r="P49" s="513">
        <v>0</v>
      </c>
      <c r="Q49" s="514">
        <v>0</v>
      </c>
      <c r="R49" s="574" t="str">
        <f t="shared" si="0"/>
        <v xml:space="preserve">     -</v>
      </c>
      <c r="S49" s="510" t="str">
        <f t="shared" si="1"/>
        <v xml:space="preserve">     -</v>
      </c>
      <c r="T49" s="283"/>
      <c r="U49" s="280"/>
      <c r="V49" s="280"/>
      <c r="W49" s="280"/>
      <c r="X49" s="280"/>
      <c r="Y49" s="280"/>
      <c r="Z49" s="280"/>
      <c r="AA49" s="43"/>
      <c r="AB49" s="43"/>
      <c r="AC49" s="43"/>
      <c r="AD49" s="43"/>
      <c r="AE49" s="43"/>
      <c r="AF49" s="43"/>
      <c r="AG49" s="43"/>
    </row>
    <row r="50" spans="1:33" ht="15" customHeight="1">
      <c r="A50" s="16"/>
      <c r="B50" s="105"/>
      <c r="C50" s="97" t="s">
        <v>309</v>
      </c>
      <c r="D50" s="511">
        <v>0</v>
      </c>
      <c r="E50" s="512">
        <v>0</v>
      </c>
      <c r="F50" s="512">
        <v>0</v>
      </c>
      <c r="G50" s="512">
        <v>0</v>
      </c>
      <c r="H50" s="512">
        <v>0</v>
      </c>
      <c r="I50" s="512">
        <v>0</v>
      </c>
      <c r="J50" s="513">
        <v>0</v>
      </c>
      <c r="K50" s="514">
        <v>0</v>
      </c>
      <c r="L50" s="511">
        <v>0</v>
      </c>
      <c r="M50" s="512">
        <v>0</v>
      </c>
      <c r="N50" s="512">
        <v>0</v>
      </c>
      <c r="O50" s="512">
        <v>0</v>
      </c>
      <c r="P50" s="513">
        <v>0</v>
      </c>
      <c r="Q50" s="514">
        <v>0</v>
      </c>
      <c r="R50" s="574" t="str">
        <f t="shared" si="0"/>
        <v xml:space="preserve">     -</v>
      </c>
      <c r="S50" s="510" t="str">
        <f t="shared" si="1"/>
        <v xml:space="preserve">     -</v>
      </c>
      <c r="T50" s="283"/>
      <c r="U50" s="280"/>
      <c r="V50" s="280"/>
      <c r="W50" s="280"/>
      <c r="X50" s="280"/>
      <c r="Y50" s="280"/>
      <c r="Z50" s="280"/>
      <c r="AA50" s="43"/>
      <c r="AB50" s="43"/>
      <c r="AC50" s="43"/>
      <c r="AD50" s="43"/>
      <c r="AE50" s="43"/>
      <c r="AF50" s="43"/>
      <c r="AG50" s="43"/>
    </row>
    <row r="51" spans="1:33" ht="15.75" customHeight="1">
      <c r="A51" s="16"/>
      <c r="B51" s="672" t="s">
        <v>310</v>
      </c>
      <c r="C51" s="673"/>
      <c r="D51" s="511">
        <v>2518.674</v>
      </c>
      <c r="E51" s="512">
        <v>2793.2159999999999</v>
      </c>
      <c r="F51" s="512">
        <v>3101.7139999999999</v>
      </c>
      <c r="G51" s="512">
        <v>2854.547</v>
      </c>
      <c r="H51" s="512">
        <v>2311.0929999999998</v>
      </c>
      <c r="I51" s="512">
        <v>2214.5360000000001</v>
      </c>
      <c r="J51" s="513">
        <v>2385.7439999999997</v>
      </c>
      <c r="K51" s="514">
        <v>2363.7800000000002</v>
      </c>
      <c r="L51" s="511">
        <v>2665.8779999999997</v>
      </c>
      <c r="M51" s="512">
        <v>3371.413</v>
      </c>
      <c r="N51" s="512">
        <v>3383.857</v>
      </c>
      <c r="O51" s="512">
        <v>3388.48</v>
      </c>
      <c r="P51" s="513">
        <v>3339.576</v>
      </c>
      <c r="Q51" s="514">
        <v>3388.12</v>
      </c>
      <c r="R51" s="574">
        <f t="shared" si="0"/>
        <v>-0.9</v>
      </c>
      <c r="S51" s="510">
        <f t="shared" si="1"/>
        <v>4.9000000000000004</v>
      </c>
      <c r="T51" s="28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</row>
    <row r="52" spans="1:33" ht="15" customHeight="1">
      <c r="A52" s="16"/>
      <c r="B52" s="105"/>
      <c r="C52" s="615" t="s">
        <v>311</v>
      </c>
      <c r="D52" s="511">
        <v>2518.674</v>
      </c>
      <c r="E52" s="512">
        <v>2453.1880000000001</v>
      </c>
      <c r="F52" s="512">
        <v>2630.5079999999998</v>
      </c>
      <c r="G52" s="512">
        <v>2302.2179999999998</v>
      </c>
      <c r="H52" s="512">
        <v>1746.9409999999998</v>
      </c>
      <c r="I52" s="512">
        <v>1630.5630000000001</v>
      </c>
      <c r="J52" s="513">
        <v>1784.6550000000002</v>
      </c>
      <c r="K52" s="514">
        <v>1845.2530000000002</v>
      </c>
      <c r="L52" s="511">
        <v>2144.33</v>
      </c>
      <c r="M52" s="512">
        <v>2743.1459999999997</v>
      </c>
      <c r="N52" s="512">
        <v>2757.5889999999999</v>
      </c>
      <c r="O52" s="512">
        <v>2764.232</v>
      </c>
      <c r="P52" s="513">
        <v>2705.2599999999998</v>
      </c>
      <c r="Q52" s="514">
        <v>2723.5990000000002</v>
      </c>
      <c r="R52" s="574">
        <f t="shared" si="0"/>
        <v>-4.3</v>
      </c>
      <c r="S52" s="510">
        <f t="shared" si="1"/>
        <v>4.9000000000000004</v>
      </c>
      <c r="T52" s="28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</row>
    <row r="53" spans="1:33" ht="15.75" customHeight="1">
      <c r="A53" s="16"/>
      <c r="B53" s="672" t="s">
        <v>312</v>
      </c>
      <c r="C53" s="673"/>
      <c r="D53" s="503">
        <v>696</v>
      </c>
      <c r="E53" s="496">
        <v>673.49599999999998</v>
      </c>
      <c r="F53" s="496">
        <v>624.447</v>
      </c>
      <c r="G53" s="496">
        <v>474</v>
      </c>
      <c r="H53" s="496">
        <v>524</v>
      </c>
      <c r="I53" s="496">
        <v>505</v>
      </c>
      <c r="J53" s="497">
        <v>549</v>
      </c>
      <c r="K53" s="502">
        <v>845</v>
      </c>
      <c r="L53" s="503">
        <v>852</v>
      </c>
      <c r="M53" s="496">
        <v>897</v>
      </c>
      <c r="N53" s="496">
        <v>935</v>
      </c>
      <c r="O53" s="496">
        <v>900</v>
      </c>
      <c r="P53" s="497">
        <v>985</v>
      </c>
      <c r="Q53" s="502">
        <v>985</v>
      </c>
      <c r="R53" s="573">
        <f t="shared" si="0"/>
        <v>2.8</v>
      </c>
      <c r="S53" s="256">
        <f t="shared" si="1"/>
        <v>2.9</v>
      </c>
      <c r="T53" s="283"/>
      <c r="U53" s="280"/>
      <c r="V53" s="280"/>
      <c r="W53" s="280"/>
      <c r="X53" s="280"/>
      <c r="Y53" s="280"/>
      <c r="Z53" s="280"/>
      <c r="AA53" s="280"/>
      <c r="AB53" s="280"/>
      <c r="AC53" s="43"/>
      <c r="AD53" s="43"/>
      <c r="AE53" s="43"/>
      <c r="AF53" s="43"/>
      <c r="AG53" s="43"/>
    </row>
    <row r="54" spans="1:33" ht="15" customHeight="1">
      <c r="A54" s="16"/>
      <c r="B54" s="16"/>
      <c r="C54" s="615" t="s">
        <v>313</v>
      </c>
      <c r="D54" s="511">
        <v>0</v>
      </c>
      <c r="E54" s="518">
        <v>320</v>
      </c>
      <c r="F54" s="518">
        <v>200.21899999999999</v>
      </c>
      <c r="G54" s="518">
        <v>83.281000000000006</v>
      </c>
      <c r="H54" s="518">
        <v>107</v>
      </c>
      <c r="I54" s="518">
        <v>71</v>
      </c>
      <c r="J54" s="519">
        <v>43</v>
      </c>
      <c r="K54" s="514">
        <v>299.178</v>
      </c>
      <c r="L54" s="511">
        <v>287.959</v>
      </c>
      <c r="M54" s="518">
        <v>295.43799999999999</v>
      </c>
      <c r="N54" s="518">
        <v>291.69900000000001</v>
      </c>
      <c r="O54" s="518">
        <v>290</v>
      </c>
      <c r="P54" s="519">
        <v>289.82900000000001</v>
      </c>
      <c r="Q54" s="514">
        <v>289.82900000000001</v>
      </c>
      <c r="R54" s="574" t="str">
        <f t="shared" si="0"/>
        <v xml:space="preserve">     -</v>
      </c>
      <c r="S54" s="510">
        <f t="shared" si="1"/>
        <v>0.1</v>
      </c>
      <c r="T54" s="283"/>
      <c r="U54" s="280"/>
      <c r="V54" s="280"/>
      <c r="W54" s="280"/>
      <c r="X54" s="280"/>
      <c r="Y54" s="280"/>
      <c r="Z54" s="280"/>
      <c r="AA54" s="280"/>
      <c r="AB54" s="280"/>
      <c r="AC54" s="43"/>
      <c r="AD54" s="43"/>
      <c r="AE54" s="43"/>
      <c r="AF54" s="43"/>
      <c r="AG54" s="43"/>
    </row>
    <row r="55" spans="1:33" ht="15.75" customHeight="1">
      <c r="A55" s="16"/>
      <c r="B55" s="674" t="s">
        <v>314</v>
      </c>
      <c r="C55" s="675"/>
      <c r="D55" s="511">
        <v>0</v>
      </c>
      <c r="E55" s="518">
        <v>0</v>
      </c>
      <c r="F55" s="518">
        <v>0</v>
      </c>
      <c r="G55" s="518">
        <v>0</v>
      </c>
      <c r="H55" s="518">
        <v>0</v>
      </c>
      <c r="I55" s="518">
        <v>0</v>
      </c>
      <c r="J55" s="519">
        <v>0</v>
      </c>
      <c r="K55" s="514">
        <v>0</v>
      </c>
      <c r="L55" s="511">
        <v>0</v>
      </c>
      <c r="M55" s="518">
        <v>0</v>
      </c>
      <c r="N55" s="518">
        <v>0</v>
      </c>
      <c r="O55" s="518">
        <v>0</v>
      </c>
      <c r="P55" s="519">
        <v>0</v>
      </c>
      <c r="Q55" s="514">
        <v>0</v>
      </c>
      <c r="R55" s="574" t="str">
        <f t="shared" si="0"/>
        <v xml:space="preserve">     -</v>
      </c>
      <c r="S55" s="510" t="str">
        <f t="shared" si="1"/>
        <v xml:space="preserve">     -</v>
      </c>
      <c r="T55" s="283"/>
      <c r="U55" s="280"/>
      <c r="V55" s="280"/>
      <c r="W55" s="280"/>
      <c r="X55" s="280"/>
      <c r="Y55" s="280"/>
      <c r="Z55" s="280"/>
      <c r="AA55" s="280"/>
      <c r="AB55" s="280"/>
      <c r="AC55" s="43"/>
      <c r="AD55" s="43"/>
      <c r="AE55" s="43"/>
      <c r="AF55" s="43"/>
      <c r="AG55" s="43"/>
    </row>
    <row r="56" spans="1:33" ht="15.75" customHeight="1">
      <c r="A56" s="16"/>
      <c r="B56" s="674" t="s">
        <v>315</v>
      </c>
      <c r="C56" s="675"/>
      <c r="D56" s="520">
        <v>240</v>
      </c>
      <c r="E56" s="521">
        <v>238</v>
      </c>
      <c r="F56" s="521">
        <v>252</v>
      </c>
      <c r="G56" s="521">
        <v>259.7</v>
      </c>
      <c r="H56" s="521">
        <v>252</v>
      </c>
      <c r="I56" s="521">
        <v>265</v>
      </c>
      <c r="J56" s="522">
        <v>263.14499999999998</v>
      </c>
      <c r="K56" s="523">
        <v>260</v>
      </c>
      <c r="L56" s="520">
        <v>260</v>
      </c>
      <c r="M56" s="521">
        <v>350</v>
      </c>
      <c r="N56" s="521">
        <v>385</v>
      </c>
      <c r="O56" s="521">
        <v>400</v>
      </c>
      <c r="P56" s="522">
        <v>410</v>
      </c>
      <c r="Q56" s="523">
        <v>415</v>
      </c>
      <c r="R56" s="574">
        <f t="shared" si="0"/>
        <v>1.2</v>
      </c>
      <c r="S56" s="510">
        <f t="shared" si="1"/>
        <v>9.8000000000000007</v>
      </c>
      <c r="T56" s="283"/>
      <c r="U56" s="342"/>
      <c r="V56" s="342"/>
      <c r="W56" s="342"/>
      <c r="X56" s="342"/>
      <c r="Y56" s="342"/>
      <c r="Z56" s="342"/>
      <c r="AA56" s="342"/>
      <c r="AB56" s="342"/>
      <c r="AC56" s="342"/>
      <c r="AD56" s="342"/>
      <c r="AE56" s="342"/>
      <c r="AF56" s="342"/>
      <c r="AG56" s="342"/>
    </row>
    <row r="57" spans="1:33" ht="15" customHeight="1">
      <c r="A57" s="16"/>
      <c r="B57" s="672" t="s">
        <v>316</v>
      </c>
      <c r="C57" s="673"/>
      <c r="D57" s="553">
        <v>2686.78</v>
      </c>
      <c r="E57" s="526">
        <v>2712.1550000000002</v>
      </c>
      <c r="F57" s="530">
        <v>3320</v>
      </c>
      <c r="G57" s="497">
        <v>3320</v>
      </c>
      <c r="H57" s="496">
        <v>3320</v>
      </c>
      <c r="I57" s="497">
        <v>2862</v>
      </c>
      <c r="J57" s="551">
        <v>2880</v>
      </c>
      <c r="K57" s="554">
        <v>3172.5</v>
      </c>
      <c r="L57" s="527">
        <v>4050</v>
      </c>
      <c r="M57" s="528">
        <v>4050</v>
      </c>
      <c r="N57" s="528">
        <v>4050</v>
      </c>
      <c r="O57" s="528">
        <v>4050</v>
      </c>
      <c r="P57" s="500">
        <v>4050</v>
      </c>
      <c r="Q57" s="554">
        <v>4060</v>
      </c>
      <c r="R57" s="573">
        <f t="shared" si="0"/>
        <v>2.4</v>
      </c>
      <c r="S57" s="256">
        <f t="shared" si="1"/>
        <v>0</v>
      </c>
      <c r="T57" s="283"/>
      <c r="U57" s="280"/>
      <c r="V57" s="280"/>
      <c r="W57" s="280"/>
      <c r="X57" s="343"/>
      <c r="Y57" s="343"/>
      <c r="Z57" s="43"/>
      <c r="AA57" s="43"/>
      <c r="AB57" s="43"/>
      <c r="AC57" s="43"/>
      <c r="AD57" s="43"/>
      <c r="AE57" s="43"/>
      <c r="AF57" s="43"/>
      <c r="AG57" s="43"/>
    </row>
    <row r="58" spans="1:33" ht="15" customHeight="1">
      <c r="A58" s="16"/>
      <c r="B58" s="670" t="s">
        <v>317</v>
      </c>
      <c r="C58" s="671"/>
      <c r="D58" s="553">
        <v>510</v>
      </c>
      <c r="E58" s="526">
        <v>510</v>
      </c>
      <c r="F58" s="530">
        <v>510</v>
      </c>
      <c r="G58" s="497">
        <v>510</v>
      </c>
      <c r="H58" s="496">
        <v>510</v>
      </c>
      <c r="I58" s="497">
        <v>510</v>
      </c>
      <c r="J58" s="551">
        <v>553</v>
      </c>
      <c r="K58" s="498">
        <v>552.5</v>
      </c>
      <c r="L58" s="499">
        <v>552.5</v>
      </c>
      <c r="M58" s="532">
        <v>552.5</v>
      </c>
      <c r="N58" s="532">
        <v>552.5</v>
      </c>
      <c r="O58" s="532">
        <v>552.5</v>
      </c>
      <c r="P58" s="532">
        <v>552.5</v>
      </c>
      <c r="Q58" s="498">
        <v>553</v>
      </c>
      <c r="R58" s="573">
        <f t="shared" si="0"/>
        <v>1.2</v>
      </c>
      <c r="S58" s="256">
        <f t="shared" si="1"/>
        <v>0</v>
      </c>
      <c r="T58" s="283"/>
      <c r="U58" s="280"/>
      <c r="V58" s="280"/>
      <c r="W58" s="280"/>
      <c r="X58" s="343"/>
      <c r="Y58" s="343"/>
      <c r="Z58" s="280"/>
      <c r="AA58" s="280"/>
      <c r="AB58" s="43"/>
      <c r="AC58" s="43"/>
      <c r="AD58" s="43"/>
      <c r="AE58" s="43"/>
      <c r="AF58" s="43"/>
      <c r="AG58" s="43"/>
    </row>
    <row r="59" spans="1:33" ht="15.75" customHeight="1">
      <c r="A59" s="16"/>
      <c r="B59" s="674" t="s">
        <v>318</v>
      </c>
      <c r="C59" s="675"/>
      <c r="D59" s="95">
        <f>SUM(D57:D58)</f>
        <v>3196.78</v>
      </c>
      <c r="E59" s="92">
        <f t="shared" ref="E59:Q59" si="7">SUM(E57:E58)</f>
        <v>3222.1550000000002</v>
      </c>
      <c r="F59" s="92">
        <f t="shared" si="7"/>
        <v>3830</v>
      </c>
      <c r="G59" s="93">
        <f t="shared" si="7"/>
        <v>3830</v>
      </c>
      <c r="H59" s="93">
        <f t="shared" si="7"/>
        <v>3830</v>
      </c>
      <c r="I59" s="94">
        <f t="shared" si="7"/>
        <v>3372</v>
      </c>
      <c r="J59" s="94">
        <f t="shared" si="7"/>
        <v>3433</v>
      </c>
      <c r="K59" s="96">
        <f t="shared" si="7"/>
        <v>3725</v>
      </c>
      <c r="L59" s="555">
        <f t="shared" si="7"/>
        <v>4602.5</v>
      </c>
      <c r="M59" s="556">
        <f t="shared" si="7"/>
        <v>4602.5</v>
      </c>
      <c r="N59" s="556">
        <f t="shared" si="7"/>
        <v>4602.5</v>
      </c>
      <c r="O59" s="556">
        <f t="shared" si="7"/>
        <v>4602.5</v>
      </c>
      <c r="P59" s="556">
        <f t="shared" si="7"/>
        <v>4602.5</v>
      </c>
      <c r="Q59" s="227">
        <f t="shared" si="7"/>
        <v>4613</v>
      </c>
      <c r="R59" s="574">
        <f t="shared" si="0"/>
        <v>2.2000000000000002</v>
      </c>
      <c r="S59" s="510">
        <f t="shared" si="1"/>
        <v>0</v>
      </c>
      <c r="T59" s="28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</row>
    <row r="60" spans="1:33" ht="15" customHeight="1">
      <c r="A60" s="16"/>
      <c r="B60" s="672" t="s">
        <v>319</v>
      </c>
      <c r="C60" s="673"/>
      <c r="D60" s="553">
        <v>1301</v>
      </c>
      <c r="E60" s="526">
        <v>1261</v>
      </c>
      <c r="F60" s="530">
        <v>1380</v>
      </c>
      <c r="G60" s="497">
        <v>1380</v>
      </c>
      <c r="H60" s="496">
        <v>1380</v>
      </c>
      <c r="I60" s="497">
        <v>1380</v>
      </c>
      <c r="J60" s="551">
        <v>1380</v>
      </c>
      <c r="K60" s="498">
        <v>1380</v>
      </c>
      <c r="L60" s="533">
        <v>1380</v>
      </c>
      <c r="M60" s="534">
        <v>1380</v>
      </c>
      <c r="N60" s="534">
        <v>1380</v>
      </c>
      <c r="O60" s="534">
        <v>1380</v>
      </c>
      <c r="P60" s="534">
        <v>1380</v>
      </c>
      <c r="Q60" s="535">
        <v>1380</v>
      </c>
      <c r="R60" s="573">
        <f t="shared" si="0"/>
        <v>0.8</v>
      </c>
      <c r="S60" s="256">
        <f t="shared" si="1"/>
        <v>0</v>
      </c>
      <c r="T60" s="283"/>
      <c r="U60" s="280"/>
      <c r="V60" s="280"/>
      <c r="W60" s="280"/>
      <c r="X60" s="280"/>
      <c r="Y60" s="280"/>
      <c r="Z60" s="280"/>
      <c r="AA60" s="280"/>
      <c r="AB60" s="43"/>
      <c r="AC60" s="43"/>
      <c r="AD60" s="43"/>
      <c r="AE60" s="43"/>
      <c r="AF60" s="43"/>
      <c r="AG60" s="43"/>
    </row>
    <row r="61" spans="1:33" ht="15" customHeight="1">
      <c r="A61" s="16"/>
      <c r="B61" s="668" t="s">
        <v>320</v>
      </c>
      <c r="C61" s="669"/>
      <c r="D61" s="553">
        <v>595</v>
      </c>
      <c r="E61" s="526">
        <v>595</v>
      </c>
      <c r="F61" s="530">
        <v>595</v>
      </c>
      <c r="G61" s="497">
        <v>595</v>
      </c>
      <c r="H61" s="496">
        <v>595</v>
      </c>
      <c r="I61" s="497">
        <v>595</v>
      </c>
      <c r="J61" s="497">
        <v>595</v>
      </c>
      <c r="K61" s="502">
        <v>595</v>
      </c>
      <c r="L61" s="503">
        <v>595</v>
      </c>
      <c r="M61" s="496">
        <v>595</v>
      </c>
      <c r="N61" s="496">
        <v>595</v>
      </c>
      <c r="O61" s="496">
        <v>595</v>
      </c>
      <c r="P61" s="497">
        <v>595</v>
      </c>
      <c r="Q61" s="502">
        <v>595</v>
      </c>
      <c r="R61" s="573">
        <f t="shared" si="0"/>
        <v>0</v>
      </c>
      <c r="S61" s="256">
        <f t="shared" si="1"/>
        <v>0</v>
      </c>
      <c r="T61" s="283"/>
      <c r="U61" s="280"/>
      <c r="V61" s="280"/>
      <c r="W61" s="280"/>
      <c r="X61" s="280"/>
      <c r="Y61" s="280"/>
      <c r="Z61" s="280"/>
      <c r="AA61" s="280"/>
      <c r="AB61" s="280"/>
      <c r="AC61" s="43"/>
      <c r="AD61" s="43"/>
      <c r="AE61" s="43"/>
      <c r="AF61" s="43"/>
      <c r="AG61" s="43"/>
    </row>
    <row r="62" spans="1:33" ht="15" customHeight="1">
      <c r="A62" s="16"/>
      <c r="B62" s="670" t="s">
        <v>321</v>
      </c>
      <c r="C62" s="671"/>
      <c r="D62" s="553">
        <v>0</v>
      </c>
      <c r="E62" s="525">
        <v>0</v>
      </c>
      <c r="F62" s="530">
        <v>0</v>
      </c>
      <c r="G62" s="497">
        <v>0</v>
      </c>
      <c r="H62" s="496">
        <v>0</v>
      </c>
      <c r="I62" s="497">
        <v>0</v>
      </c>
      <c r="J62" s="497">
        <v>0</v>
      </c>
      <c r="K62" s="536">
        <v>0</v>
      </c>
      <c r="L62" s="537">
        <v>0</v>
      </c>
      <c r="M62" s="538">
        <v>0</v>
      </c>
      <c r="N62" s="538">
        <v>0</v>
      </c>
      <c r="O62" s="538">
        <v>0</v>
      </c>
      <c r="P62" s="515">
        <v>0</v>
      </c>
      <c r="Q62" s="536">
        <v>0</v>
      </c>
      <c r="R62" s="573" t="str">
        <f t="shared" si="0"/>
        <v xml:space="preserve">     -</v>
      </c>
      <c r="S62" s="256" t="str">
        <f t="shared" si="1"/>
        <v xml:space="preserve">     -</v>
      </c>
      <c r="T62" s="28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</row>
    <row r="63" spans="1:33" ht="15.75" customHeight="1" thickBot="1">
      <c r="A63" s="16"/>
      <c r="B63" s="678" t="s">
        <v>322</v>
      </c>
      <c r="C63" s="679"/>
      <c r="D63" s="102">
        <f>SUM(D60:D62)</f>
        <v>1896</v>
      </c>
      <c r="E63" s="539">
        <f t="shared" ref="E63:Q63" si="8">SUM(E60:E62)</f>
        <v>1856</v>
      </c>
      <c r="F63" s="539">
        <f t="shared" si="8"/>
        <v>1975</v>
      </c>
      <c r="G63" s="100">
        <f t="shared" si="8"/>
        <v>1975</v>
      </c>
      <c r="H63" s="100">
        <f t="shared" si="8"/>
        <v>1975</v>
      </c>
      <c r="I63" s="100">
        <f t="shared" si="8"/>
        <v>1975</v>
      </c>
      <c r="J63" s="101">
        <f t="shared" si="8"/>
        <v>1975</v>
      </c>
      <c r="K63" s="104">
        <f t="shared" si="8"/>
        <v>1975</v>
      </c>
      <c r="L63" s="540">
        <f t="shared" si="8"/>
        <v>1975</v>
      </c>
      <c r="M63" s="100">
        <f t="shared" si="8"/>
        <v>1975</v>
      </c>
      <c r="N63" s="100">
        <f t="shared" si="8"/>
        <v>1975</v>
      </c>
      <c r="O63" s="100">
        <f t="shared" si="8"/>
        <v>1975</v>
      </c>
      <c r="P63" s="100">
        <f t="shared" si="8"/>
        <v>1975</v>
      </c>
      <c r="Q63" s="103">
        <f t="shared" si="8"/>
        <v>1975</v>
      </c>
      <c r="R63" s="576">
        <f t="shared" si="0"/>
        <v>0.6</v>
      </c>
      <c r="S63" s="541">
        <f t="shared" si="1"/>
        <v>0</v>
      </c>
      <c r="T63" s="28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</row>
    <row r="64" spans="1:33" ht="18" customHeight="1" thickTop="1" thickBot="1">
      <c r="A64" s="16"/>
      <c r="B64" s="676" t="s">
        <v>326</v>
      </c>
      <c r="C64" s="677"/>
      <c r="D64" s="542">
        <f>D48+D49+D51+D53+D55+D56+D59+D63</f>
        <v>44095.453999999998</v>
      </c>
      <c r="E64" s="543">
        <f t="shared" ref="E64:Q64" si="9">E48+E49+E51+E53+E55+E56+E59+E63</f>
        <v>47163.4902</v>
      </c>
      <c r="F64" s="543">
        <f t="shared" si="9"/>
        <v>48990.161</v>
      </c>
      <c r="G64" s="544">
        <f t="shared" si="9"/>
        <v>51891.773865671632</v>
      </c>
      <c r="H64" s="544">
        <f t="shared" si="9"/>
        <v>53681.884044776118</v>
      </c>
      <c r="I64" s="544">
        <f t="shared" si="9"/>
        <v>56036.540999999997</v>
      </c>
      <c r="J64" s="545">
        <f t="shared" si="9"/>
        <v>56150.716999999997</v>
      </c>
      <c r="K64" s="546">
        <f t="shared" si="9"/>
        <v>61555.616999999998</v>
      </c>
      <c r="L64" s="547">
        <f t="shared" si="9"/>
        <v>67403.377999999997</v>
      </c>
      <c r="M64" s="544">
        <f t="shared" si="9"/>
        <v>71453.913</v>
      </c>
      <c r="N64" s="544">
        <f t="shared" si="9"/>
        <v>74083.357000000004</v>
      </c>
      <c r="O64" s="544">
        <f t="shared" si="9"/>
        <v>78869.98</v>
      </c>
      <c r="P64" s="544">
        <f t="shared" si="9"/>
        <v>79998.076000000001</v>
      </c>
      <c r="Q64" s="577">
        <f t="shared" si="9"/>
        <v>82162.12</v>
      </c>
      <c r="R64" s="579">
        <f t="shared" si="0"/>
        <v>4.9000000000000004</v>
      </c>
      <c r="S64" s="558">
        <f t="shared" si="1"/>
        <v>4</v>
      </c>
      <c r="T64" s="283"/>
    </row>
    <row r="65" spans="1:33" ht="15" customHeight="1">
      <c r="A65" s="616" t="s">
        <v>327</v>
      </c>
      <c r="B65" s="666" t="s">
        <v>433</v>
      </c>
      <c r="C65" s="667"/>
      <c r="D65" s="487">
        <v>2884</v>
      </c>
      <c r="E65" s="488">
        <v>3010</v>
      </c>
      <c r="F65" s="489">
        <v>2947</v>
      </c>
      <c r="G65" s="559">
        <v>2915</v>
      </c>
      <c r="H65" s="560">
        <v>2708</v>
      </c>
      <c r="I65" s="559">
        <v>2511</v>
      </c>
      <c r="J65" s="559">
        <v>2678</v>
      </c>
      <c r="K65" s="561">
        <v>2931</v>
      </c>
      <c r="L65" s="562">
        <v>2800</v>
      </c>
      <c r="M65" s="560">
        <v>2800</v>
      </c>
      <c r="N65" s="560">
        <v>2800</v>
      </c>
      <c r="O65" s="560">
        <v>2800</v>
      </c>
      <c r="P65" s="563">
        <v>2800</v>
      </c>
      <c r="Q65" s="561">
        <v>2800</v>
      </c>
      <c r="R65" s="573">
        <f t="shared" si="0"/>
        <v>0.2</v>
      </c>
      <c r="S65" s="256">
        <f t="shared" si="1"/>
        <v>0</v>
      </c>
      <c r="T65" s="28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</row>
    <row r="66" spans="1:33" ht="15" customHeight="1">
      <c r="A66" s="614" t="s">
        <v>328</v>
      </c>
      <c r="B66" s="668" t="s">
        <v>434</v>
      </c>
      <c r="C66" s="669"/>
      <c r="D66" s="529">
        <v>2496</v>
      </c>
      <c r="E66" s="525">
        <v>2342</v>
      </c>
      <c r="F66" s="530">
        <v>2452</v>
      </c>
      <c r="G66" s="497">
        <v>2432</v>
      </c>
      <c r="H66" s="496">
        <v>2390</v>
      </c>
      <c r="I66" s="497">
        <v>2472</v>
      </c>
      <c r="J66" s="551">
        <v>2423</v>
      </c>
      <c r="K66" s="498">
        <v>2496</v>
      </c>
      <c r="L66" s="499">
        <v>2500</v>
      </c>
      <c r="M66" s="500">
        <v>2500</v>
      </c>
      <c r="N66" s="500">
        <v>2500</v>
      </c>
      <c r="O66" s="500">
        <v>2550</v>
      </c>
      <c r="P66" s="501">
        <v>2550</v>
      </c>
      <c r="Q66" s="498">
        <v>2550</v>
      </c>
      <c r="R66" s="573">
        <f t="shared" si="0"/>
        <v>0</v>
      </c>
      <c r="S66" s="256">
        <f t="shared" si="1"/>
        <v>0.4</v>
      </c>
      <c r="T66" s="28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</row>
    <row r="67" spans="1:33" ht="15" customHeight="1">
      <c r="A67" s="16"/>
      <c r="B67" s="668" t="s">
        <v>435</v>
      </c>
      <c r="C67" s="669"/>
      <c r="D67" s="503">
        <v>0</v>
      </c>
      <c r="E67" s="496">
        <v>0</v>
      </c>
      <c r="F67" s="497">
        <v>0</v>
      </c>
      <c r="G67" s="497">
        <v>0</v>
      </c>
      <c r="H67" s="496">
        <v>0</v>
      </c>
      <c r="I67" s="497">
        <v>0</v>
      </c>
      <c r="J67" s="497">
        <v>0</v>
      </c>
      <c r="K67" s="502">
        <v>0</v>
      </c>
      <c r="L67" s="503">
        <v>0</v>
      </c>
      <c r="M67" s="496">
        <v>0</v>
      </c>
      <c r="N67" s="496">
        <v>0</v>
      </c>
      <c r="O67" s="496">
        <v>0</v>
      </c>
      <c r="P67" s="497">
        <v>0</v>
      </c>
      <c r="Q67" s="502">
        <v>0</v>
      </c>
      <c r="R67" s="573" t="str">
        <f t="shared" si="0"/>
        <v xml:space="preserve">     -</v>
      </c>
      <c r="S67" s="256" t="str">
        <f t="shared" si="1"/>
        <v xml:space="preserve">     -</v>
      </c>
      <c r="T67" s="283"/>
      <c r="U67" s="280"/>
      <c r="V67" s="280"/>
      <c r="W67" s="280"/>
      <c r="X67" s="280"/>
      <c r="Y67" s="280"/>
      <c r="Z67" s="280"/>
      <c r="AA67" s="280"/>
      <c r="AB67" s="280"/>
      <c r="AC67" s="280"/>
      <c r="AD67" s="280"/>
      <c r="AE67" s="280"/>
      <c r="AF67" s="280"/>
      <c r="AG67" s="280"/>
    </row>
    <row r="68" spans="1:33" ht="15" customHeight="1">
      <c r="A68" s="16"/>
      <c r="B68" s="668" t="s">
        <v>436</v>
      </c>
      <c r="C68" s="669"/>
      <c r="D68" s="495">
        <v>21274</v>
      </c>
      <c r="E68" s="496">
        <v>23633</v>
      </c>
      <c r="F68" s="497">
        <v>24831</v>
      </c>
      <c r="G68" s="497">
        <v>27772</v>
      </c>
      <c r="H68" s="496">
        <v>28975</v>
      </c>
      <c r="I68" s="497">
        <v>30652</v>
      </c>
      <c r="J68" s="497">
        <v>32242</v>
      </c>
      <c r="K68" s="502">
        <v>35704</v>
      </c>
      <c r="L68" s="503">
        <v>39194</v>
      </c>
      <c r="M68" s="496">
        <v>41682</v>
      </c>
      <c r="N68" s="496">
        <v>44246</v>
      </c>
      <c r="O68" s="496">
        <v>46858</v>
      </c>
      <c r="P68" s="497">
        <v>47700</v>
      </c>
      <c r="Q68" s="502">
        <v>49310</v>
      </c>
      <c r="R68" s="573">
        <f t="shared" si="0"/>
        <v>7.7</v>
      </c>
      <c r="S68" s="256">
        <f t="shared" si="1"/>
        <v>4.7</v>
      </c>
      <c r="T68" s="28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</row>
    <row r="69" spans="1:33" ht="15" customHeight="1">
      <c r="A69" s="16"/>
      <c r="B69" s="668" t="s">
        <v>437</v>
      </c>
      <c r="C69" s="669"/>
      <c r="D69" s="495">
        <v>1286</v>
      </c>
      <c r="E69" s="496">
        <v>1210</v>
      </c>
      <c r="F69" s="497">
        <v>1073</v>
      </c>
      <c r="G69" s="497">
        <v>1110.625388059701</v>
      </c>
      <c r="H69" s="496">
        <v>1182.1188656716415</v>
      </c>
      <c r="I69" s="497">
        <v>1200</v>
      </c>
      <c r="J69" s="497">
        <v>1254</v>
      </c>
      <c r="K69" s="502">
        <v>1291</v>
      </c>
      <c r="L69" s="503">
        <v>1315</v>
      </c>
      <c r="M69" s="496">
        <v>1365.759</v>
      </c>
      <c r="N69" s="496">
        <v>1416.1555071</v>
      </c>
      <c r="O69" s="496">
        <v>1466.4290276020502</v>
      </c>
      <c r="P69" s="497">
        <v>1517.7540435681217</v>
      </c>
      <c r="Q69" s="502">
        <v>1571.786087519147</v>
      </c>
      <c r="R69" s="573">
        <f t="shared" si="0"/>
        <v>0.1</v>
      </c>
      <c r="S69" s="256">
        <f t="shared" si="1"/>
        <v>3.6</v>
      </c>
      <c r="T69" s="283"/>
      <c r="U69" s="280"/>
      <c r="V69" s="280"/>
      <c r="W69" s="280"/>
      <c r="X69" s="280"/>
      <c r="Y69" s="280"/>
      <c r="Z69" s="280"/>
      <c r="AA69" s="280"/>
      <c r="AB69" s="43"/>
      <c r="AC69" s="43"/>
      <c r="AD69" s="43"/>
      <c r="AE69" s="43"/>
      <c r="AF69" s="43"/>
      <c r="AG69" s="43"/>
    </row>
    <row r="70" spans="1:33" ht="15" customHeight="1">
      <c r="A70" s="16"/>
      <c r="B70" s="668" t="s">
        <v>438</v>
      </c>
      <c r="C70" s="669"/>
      <c r="D70" s="140">
        <v>1321</v>
      </c>
      <c r="E70" s="45">
        <v>1340</v>
      </c>
      <c r="F70" s="49">
        <v>1316</v>
      </c>
      <c r="G70" s="45">
        <v>1390</v>
      </c>
      <c r="H70" s="49">
        <v>1432</v>
      </c>
      <c r="I70" s="45">
        <v>1432</v>
      </c>
      <c r="J70" s="49">
        <v>1432</v>
      </c>
      <c r="K70" s="50">
        <v>1500</v>
      </c>
      <c r="L70" s="140">
        <v>1570</v>
      </c>
      <c r="M70" s="45">
        <v>1650</v>
      </c>
      <c r="N70" s="45">
        <v>1730</v>
      </c>
      <c r="O70" s="45">
        <v>1820</v>
      </c>
      <c r="P70" s="45">
        <v>1910</v>
      </c>
      <c r="Q70" s="50">
        <v>2000</v>
      </c>
      <c r="R70" s="573">
        <f t="shared" si="0"/>
        <v>1.8</v>
      </c>
      <c r="S70" s="256">
        <f t="shared" si="1"/>
        <v>5</v>
      </c>
      <c r="T70" s="283"/>
      <c r="U70" s="280"/>
      <c r="V70" s="280"/>
      <c r="W70" s="280"/>
      <c r="X70" s="280"/>
      <c r="Y70" s="280"/>
      <c r="Z70" s="280"/>
      <c r="AA70" s="280"/>
      <c r="AB70" s="280"/>
      <c r="AC70" s="43"/>
      <c r="AD70" s="43"/>
      <c r="AE70" s="43"/>
      <c r="AF70" s="43"/>
      <c r="AG70" s="43"/>
    </row>
    <row r="71" spans="1:33" ht="15" customHeight="1">
      <c r="A71" s="16"/>
      <c r="B71" s="668" t="s">
        <v>439</v>
      </c>
      <c r="C71" s="669"/>
      <c r="D71" s="140">
        <v>3909</v>
      </c>
      <c r="E71" s="49">
        <v>4153</v>
      </c>
      <c r="F71" s="45">
        <v>4485</v>
      </c>
      <c r="G71" s="49">
        <v>4389</v>
      </c>
      <c r="H71" s="49">
        <v>4650</v>
      </c>
      <c r="I71" s="45">
        <v>5880</v>
      </c>
      <c r="J71" s="49">
        <v>3956</v>
      </c>
      <c r="K71" s="50">
        <v>4200</v>
      </c>
      <c r="L71" s="140">
        <v>4500</v>
      </c>
      <c r="M71" s="45">
        <v>5000</v>
      </c>
      <c r="N71" s="45">
        <v>5000</v>
      </c>
      <c r="O71" s="45">
        <v>5500</v>
      </c>
      <c r="P71" s="45">
        <v>5500</v>
      </c>
      <c r="Q71" s="50">
        <v>5500</v>
      </c>
      <c r="R71" s="573">
        <f t="shared" si="0"/>
        <v>1</v>
      </c>
      <c r="S71" s="256">
        <f t="shared" si="1"/>
        <v>4.0999999999999996</v>
      </c>
      <c r="T71" s="28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</row>
    <row r="72" spans="1:33" ht="13.5" hidden="1" customHeight="1">
      <c r="A72" s="16"/>
      <c r="B72" s="16"/>
      <c r="C72" s="90" t="s">
        <v>306</v>
      </c>
      <c r="D72" s="138"/>
      <c r="E72" s="41"/>
      <c r="F72" s="40"/>
      <c r="G72" s="41"/>
      <c r="H72" s="41"/>
      <c r="I72" s="40"/>
      <c r="J72" s="41"/>
      <c r="K72" s="42"/>
      <c r="L72" s="138"/>
      <c r="M72" s="40"/>
      <c r="N72" s="40"/>
      <c r="O72" s="40"/>
      <c r="P72" s="40"/>
      <c r="Q72" s="42"/>
      <c r="R72" s="573" t="str">
        <f t="shared" ref="R72:R93" si="10">IF(D72=0,"     -",IF(K72=0,"     -",ROUND(((K72/D72)^(1/7)-1)*100,1)))</f>
        <v xml:space="preserve">     -</v>
      </c>
      <c r="S72" s="256" t="str">
        <f t="shared" ref="S72:S93" si="11">IF(L72=0,"     -",IF(Q72=0,"     -",ROUND(((Q72/L72)^(1/5)-1)*100,1)))</f>
        <v xml:space="preserve">     -</v>
      </c>
      <c r="T72" s="283"/>
      <c r="U72" s="280"/>
      <c r="V72" s="280"/>
      <c r="W72" s="280"/>
      <c r="X72" s="280"/>
      <c r="Y72" s="43"/>
      <c r="Z72" s="43"/>
      <c r="AA72" s="43"/>
      <c r="AB72" s="43"/>
      <c r="AC72" s="43"/>
      <c r="AD72" s="43"/>
      <c r="AE72" s="43"/>
      <c r="AF72" s="43"/>
      <c r="AG72" s="43"/>
    </row>
    <row r="73" spans="1:33" ht="15" customHeight="1">
      <c r="A73" s="16"/>
      <c r="B73" s="668" t="s">
        <v>440</v>
      </c>
      <c r="C73" s="669"/>
      <c r="D73" s="140">
        <v>0</v>
      </c>
      <c r="E73" s="49">
        <v>0</v>
      </c>
      <c r="F73" s="45">
        <v>0</v>
      </c>
      <c r="G73" s="49">
        <v>0</v>
      </c>
      <c r="H73" s="49">
        <v>0</v>
      </c>
      <c r="I73" s="45">
        <v>0</v>
      </c>
      <c r="J73" s="49">
        <v>0</v>
      </c>
      <c r="K73" s="50">
        <v>0</v>
      </c>
      <c r="L73" s="140">
        <v>0</v>
      </c>
      <c r="M73" s="45">
        <v>0</v>
      </c>
      <c r="N73" s="45">
        <v>0</v>
      </c>
      <c r="O73" s="45">
        <v>0</v>
      </c>
      <c r="P73" s="45">
        <v>0</v>
      </c>
      <c r="Q73" s="50">
        <v>0</v>
      </c>
      <c r="R73" s="573" t="str">
        <f t="shared" si="10"/>
        <v xml:space="preserve">     -</v>
      </c>
      <c r="S73" s="256" t="str">
        <f t="shared" si="11"/>
        <v xml:space="preserve">     -</v>
      </c>
      <c r="T73" s="283"/>
      <c r="U73" s="280"/>
      <c r="V73" s="280"/>
      <c r="W73" s="280"/>
      <c r="X73" s="43"/>
      <c r="Y73" s="43"/>
      <c r="Z73" s="43"/>
      <c r="AA73" s="43"/>
      <c r="AB73" s="43"/>
      <c r="AC73" s="43"/>
      <c r="AD73" s="43"/>
      <c r="AE73" s="43"/>
      <c r="AF73" s="43"/>
      <c r="AG73" s="43"/>
    </row>
    <row r="74" spans="1:33" ht="15" customHeight="1">
      <c r="A74" s="16"/>
      <c r="B74" s="668" t="s">
        <v>441</v>
      </c>
      <c r="C74" s="669"/>
      <c r="D74" s="495">
        <v>503.52</v>
      </c>
      <c r="E74" s="496">
        <v>521.14319999999998</v>
      </c>
      <c r="F74" s="497">
        <v>483</v>
      </c>
      <c r="G74" s="497">
        <v>501.43047761194026</v>
      </c>
      <c r="H74" s="496">
        <v>546.55517910447759</v>
      </c>
      <c r="I74" s="497">
        <v>478.09399999999999</v>
      </c>
      <c r="J74" s="497">
        <v>500.31400000000002</v>
      </c>
      <c r="K74" s="502">
        <v>500.358</v>
      </c>
      <c r="L74" s="503">
        <v>500.358</v>
      </c>
      <c r="M74" s="496">
        <v>500.358</v>
      </c>
      <c r="N74" s="496">
        <v>500.358</v>
      </c>
      <c r="O74" s="496">
        <v>500.358</v>
      </c>
      <c r="P74" s="497">
        <v>500.358</v>
      </c>
      <c r="Q74" s="502">
        <v>500.358</v>
      </c>
      <c r="R74" s="573">
        <f t="shared" si="10"/>
        <v>-0.1</v>
      </c>
      <c r="S74" s="256">
        <f t="shared" si="11"/>
        <v>0</v>
      </c>
      <c r="T74" s="283"/>
      <c r="U74" s="280"/>
      <c r="V74" s="280"/>
      <c r="W74" s="280"/>
      <c r="X74" s="280"/>
      <c r="Y74" s="280"/>
      <c r="Z74" s="280"/>
      <c r="AA74" s="280"/>
      <c r="AB74" s="43"/>
      <c r="AC74" s="43"/>
      <c r="AD74" s="43"/>
      <c r="AE74" s="43"/>
      <c r="AF74" s="43"/>
      <c r="AG74" s="43"/>
    </row>
    <row r="75" spans="1:33" ht="15" customHeight="1">
      <c r="A75" s="16"/>
      <c r="B75" s="668" t="s">
        <v>442</v>
      </c>
      <c r="C75" s="669"/>
      <c r="D75" s="140">
        <v>236</v>
      </c>
      <c r="E75" s="49">
        <v>386</v>
      </c>
      <c r="F75" s="45">
        <v>412</v>
      </c>
      <c r="G75" s="49">
        <v>440</v>
      </c>
      <c r="H75" s="49">
        <v>470</v>
      </c>
      <c r="I75" s="45">
        <v>502</v>
      </c>
      <c r="J75" s="49">
        <v>206</v>
      </c>
      <c r="K75" s="50">
        <v>339</v>
      </c>
      <c r="L75" s="140">
        <v>359</v>
      </c>
      <c r="M75" s="45">
        <v>381</v>
      </c>
      <c r="N75" s="45">
        <v>404</v>
      </c>
      <c r="O75" s="45">
        <v>428</v>
      </c>
      <c r="P75" s="45">
        <v>454</v>
      </c>
      <c r="Q75" s="50">
        <v>481</v>
      </c>
      <c r="R75" s="573">
        <f t="shared" si="10"/>
        <v>5.3</v>
      </c>
      <c r="S75" s="256">
        <f t="shared" si="11"/>
        <v>6</v>
      </c>
      <c r="T75" s="283"/>
      <c r="U75" s="280"/>
      <c r="V75" s="280"/>
      <c r="W75" s="280"/>
      <c r="X75" s="280"/>
      <c r="Y75" s="280"/>
      <c r="Z75" s="280"/>
      <c r="AA75" s="280"/>
      <c r="AB75" s="43"/>
      <c r="AC75" s="43"/>
      <c r="AD75" s="43"/>
      <c r="AE75" s="43"/>
      <c r="AF75" s="43"/>
      <c r="AG75" s="43"/>
    </row>
    <row r="76" spans="1:33" ht="15" customHeight="1">
      <c r="A76" s="16"/>
      <c r="B76" s="670" t="s">
        <v>443</v>
      </c>
      <c r="C76" s="671"/>
      <c r="D76" s="138">
        <v>820</v>
      </c>
      <c r="E76" s="40">
        <v>765</v>
      </c>
      <c r="F76" s="40">
        <v>673</v>
      </c>
      <c r="G76" s="40">
        <v>646</v>
      </c>
      <c r="H76" s="505">
        <v>600</v>
      </c>
      <c r="I76" s="505">
        <v>580</v>
      </c>
      <c r="J76" s="506">
        <v>570</v>
      </c>
      <c r="K76" s="507">
        <v>550</v>
      </c>
      <c r="L76" s="508">
        <v>547</v>
      </c>
      <c r="M76" s="505">
        <v>550</v>
      </c>
      <c r="N76" s="505">
        <v>550</v>
      </c>
      <c r="O76" s="505">
        <v>550</v>
      </c>
      <c r="P76" s="505">
        <v>550</v>
      </c>
      <c r="Q76" s="509">
        <v>550</v>
      </c>
      <c r="R76" s="573">
        <f t="shared" si="10"/>
        <v>-5.5</v>
      </c>
      <c r="S76" s="256">
        <f t="shared" si="11"/>
        <v>0.1</v>
      </c>
      <c r="T76" s="283"/>
      <c r="U76" s="280"/>
      <c r="V76" s="280"/>
      <c r="W76" s="280"/>
      <c r="X76" s="280"/>
      <c r="Y76" s="280"/>
      <c r="Z76" s="280"/>
      <c r="AA76" s="280"/>
      <c r="AB76" s="43"/>
      <c r="AC76" s="43"/>
      <c r="AD76" s="43"/>
      <c r="AE76" s="43"/>
      <c r="AF76" s="43"/>
      <c r="AG76" s="43"/>
    </row>
    <row r="77" spans="1:33" ht="15.75" customHeight="1">
      <c r="A77" s="16"/>
      <c r="B77" s="674" t="s">
        <v>307</v>
      </c>
      <c r="C77" s="675"/>
      <c r="D77" s="95">
        <f>SUM(D65:D76)</f>
        <v>34729.519999999997</v>
      </c>
      <c r="E77" s="93">
        <f t="shared" ref="E77:Q77" si="12">SUM(E65:E76)</f>
        <v>37360.143199999999</v>
      </c>
      <c r="F77" s="93">
        <f t="shared" si="12"/>
        <v>38672</v>
      </c>
      <c r="G77" s="93">
        <f t="shared" si="12"/>
        <v>41596.055865671638</v>
      </c>
      <c r="H77" s="93">
        <f t="shared" si="12"/>
        <v>42953.674044776119</v>
      </c>
      <c r="I77" s="93">
        <f t="shared" si="12"/>
        <v>45707.093999999997</v>
      </c>
      <c r="J77" s="93">
        <f t="shared" si="12"/>
        <v>45261.313999999998</v>
      </c>
      <c r="K77" s="96">
        <f t="shared" si="12"/>
        <v>49511.358</v>
      </c>
      <c r="L77" s="95">
        <f t="shared" si="12"/>
        <v>53285.358</v>
      </c>
      <c r="M77" s="93">
        <f t="shared" si="12"/>
        <v>56429.116999999998</v>
      </c>
      <c r="N77" s="93">
        <f t="shared" si="12"/>
        <v>59146.513507099997</v>
      </c>
      <c r="O77" s="93">
        <f t="shared" si="12"/>
        <v>62472.787027602048</v>
      </c>
      <c r="P77" s="93">
        <f t="shared" si="12"/>
        <v>63482.112043568122</v>
      </c>
      <c r="Q77" s="96">
        <f t="shared" si="12"/>
        <v>65263.144087519147</v>
      </c>
      <c r="R77" s="574">
        <f t="shared" si="10"/>
        <v>5.2</v>
      </c>
      <c r="S77" s="510">
        <f t="shared" si="11"/>
        <v>4.0999999999999996</v>
      </c>
      <c r="T77" s="28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</row>
    <row r="78" spans="1:33" ht="15.75" customHeight="1">
      <c r="A78" s="16"/>
      <c r="B78" s="672" t="s">
        <v>308</v>
      </c>
      <c r="C78" s="673"/>
      <c r="D78" s="511">
        <v>55.692</v>
      </c>
      <c r="E78" s="512">
        <v>55.692</v>
      </c>
      <c r="F78" s="512">
        <v>0</v>
      </c>
      <c r="G78" s="512">
        <v>0</v>
      </c>
      <c r="H78" s="512">
        <v>0</v>
      </c>
      <c r="I78" s="512">
        <v>0</v>
      </c>
      <c r="J78" s="513">
        <v>1.792</v>
      </c>
      <c r="K78" s="514">
        <v>2</v>
      </c>
      <c r="L78" s="511">
        <v>2</v>
      </c>
      <c r="M78" s="512">
        <v>2</v>
      </c>
      <c r="N78" s="512">
        <v>2</v>
      </c>
      <c r="O78" s="512">
        <v>2</v>
      </c>
      <c r="P78" s="513">
        <v>2</v>
      </c>
      <c r="Q78" s="514">
        <v>2</v>
      </c>
      <c r="R78" s="574">
        <f t="shared" si="10"/>
        <v>-37.799999999999997</v>
      </c>
      <c r="S78" s="510">
        <f t="shared" si="11"/>
        <v>0</v>
      </c>
      <c r="T78" s="283"/>
      <c r="U78" s="280"/>
      <c r="V78" s="280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</row>
    <row r="79" spans="1:33" ht="15" customHeight="1">
      <c r="A79" s="16"/>
      <c r="B79" s="105"/>
      <c r="C79" s="97" t="s">
        <v>309</v>
      </c>
      <c r="D79" s="511">
        <v>55.692</v>
      </c>
      <c r="E79" s="512">
        <v>55.692</v>
      </c>
      <c r="F79" s="512">
        <v>0</v>
      </c>
      <c r="G79" s="512">
        <v>0</v>
      </c>
      <c r="H79" s="512">
        <v>0</v>
      </c>
      <c r="I79" s="512">
        <v>0</v>
      </c>
      <c r="J79" s="513">
        <v>1.792</v>
      </c>
      <c r="K79" s="514">
        <v>2</v>
      </c>
      <c r="L79" s="511">
        <v>2</v>
      </c>
      <c r="M79" s="512">
        <v>2</v>
      </c>
      <c r="N79" s="512">
        <v>2</v>
      </c>
      <c r="O79" s="512">
        <v>2</v>
      </c>
      <c r="P79" s="513">
        <v>2</v>
      </c>
      <c r="Q79" s="514">
        <v>2</v>
      </c>
      <c r="R79" s="574">
        <f t="shared" si="10"/>
        <v>-37.799999999999997</v>
      </c>
      <c r="S79" s="510">
        <f t="shared" si="11"/>
        <v>0</v>
      </c>
      <c r="T79" s="283"/>
      <c r="U79" s="280"/>
      <c r="V79" s="280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</row>
    <row r="80" spans="1:33" ht="15.75" customHeight="1">
      <c r="A80" s="16"/>
      <c r="B80" s="672" t="s">
        <v>310</v>
      </c>
      <c r="C80" s="673"/>
      <c r="D80" s="537">
        <v>2481.1389999999997</v>
      </c>
      <c r="E80" s="538">
        <v>2568.511</v>
      </c>
      <c r="F80" s="538">
        <v>2555.5810000000001</v>
      </c>
      <c r="G80" s="538">
        <v>2487.0590000000002</v>
      </c>
      <c r="H80" s="538">
        <v>2581.7509999999997</v>
      </c>
      <c r="I80" s="538">
        <v>2942.8159999999998</v>
      </c>
      <c r="J80" s="515">
        <v>3059.0070000000001</v>
      </c>
      <c r="K80" s="536">
        <v>3089.1659999999997</v>
      </c>
      <c r="L80" s="537">
        <v>3129.7129999999997</v>
      </c>
      <c r="M80" s="538">
        <v>3250.3490000000002</v>
      </c>
      <c r="N80" s="538">
        <v>3289.4390000000003</v>
      </c>
      <c r="O80" s="538">
        <v>3281.319</v>
      </c>
      <c r="P80" s="515">
        <v>3288.8440000000001</v>
      </c>
      <c r="Q80" s="536">
        <v>3546.8590000000004</v>
      </c>
      <c r="R80" s="575">
        <f t="shared" si="10"/>
        <v>3.2</v>
      </c>
      <c r="S80" s="517">
        <f t="shared" si="11"/>
        <v>2.5</v>
      </c>
      <c r="T80" s="28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</row>
    <row r="81" spans="1:33" ht="15" customHeight="1">
      <c r="A81" s="16"/>
      <c r="B81" s="105"/>
      <c r="C81" s="615" t="s">
        <v>311</v>
      </c>
      <c r="D81" s="511">
        <v>2371.4690000000001</v>
      </c>
      <c r="E81" s="512">
        <v>2454.6820000000002</v>
      </c>
      <c r="F81" s="512">
        <v>2431.348</v>
      </c>
      <c r="G81" s="512">
        <v>2348.2550000000001</v>
      </c>
      <c r="H81" s="512">
        <v>2448.9430000000002</v>
      </c>
      <c r="I81" s="512">
        <v>2752.3109999999997</v>
      </c>
      <c r="J81" s="513">
        <v>2851.1309999999999</v>
      </c>
      <c r="K81" s="514">
        <v>2837.2639999999997</v>
      </c>
      <c r="L81" s="511">
        <v>2893.3300000000004</v>
      </c>
      <c r="M81" s="512">
        <v>3006.857</v>
      </c>
      <c r="N81" s="512">
        <v>3021.2390000000005</v>
      </c>
      <c r="O81" s="512">
        <v>3019.4029999999998</v>
      </c>
      <c r="P81" s="513">
        <v>3022.6439999999998</v>
      </c>
      <c r="Q81" s="514">
        <v>3282.9429999999998</v>
      </c>
      <c r="R81" s="574">
        <f t="shared" si="10"/>
        <v>2.6</v>
      </c>
      <c r="S81" s="510">
        <f t="shared" si="11"/>
        <v>2.6</v>
      </c>
      <c r="T81" s="28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</row>
    <row r="82" spans="1:33" ht="15.75" customHeight="1">
      <c r="A82" s="16"/>
      <c r="B82" s="672" t="s">
        <v>312</v>
      </c>
      <c r="C82" s="673"/>
      <c r="D82" s="503">
        <v>1136</v>
      </c>
      <c r="E82" s="496">
        <v>1465.912</v>
      </c>
      <c r="F82" s="496">
        <v>1444.748</v>
      </c>
      <c r="G82" s="496">
        <v>1773</v>
      </c>
      <c r="H82" s="496">
        <v>1923</v>
      </c>
      <c r="I82" s="496">
        <v>1952</v>
      </c>
      <c r="J82" s="497">
        <v>1906</v>
      </c>
      <c r="K82" s="502">
        <v>2178.971</v>
      </c>
      <c r="L82" s="503">
        <v>2342.9839999999999</v>
      </c>
      <c r="M82" s="496">
        <v>2692.1660000000002</v>
      </c>
      <c r="N82" s="496">
        <v>2923.4760000000001</v>
      </c>
      <c r="O82" s="496">
        <v>3214.4259999999999</v>
      </c>
      <c r="P82" s="497">
        <v>3463.5479999999998</v>
      </c>
      <c r="Q82" s="502">
        <v>3634</v>
      </c>
      <c r="R82" s="573">
        <f t="shared" si="10"/>
        <v>9.8000000000000007</v>
      </c>
      <c r="S82" s="256">
        <f t="shared" si="11"/>
        <v>9.1999999999999993</v>
      </c>
      <c r="T82" s="283"/>
      <c r="U82" s="280"/>
      <c r="V82" s="280"/>
      <c r="W82" s="280"/>
      <c r="X82" s="280"/>
      <c r="Y82" s="280"/>
      <c r="Z82" s="280"/>
      <c r="AA82" s="280"/>
      <c r="AB82" s="280"/>
      <c r="AC82" s="43"/>
      <c r="AD82" s="43"/>
      <c r="AE82" s="43"/>
      <c r="AF82" s="43"/>
      <c r="AG82" s="43"/>
    </row>
    <row r="83" spans="1:33" ht="15" customHeight="1">
      <c r="A83" s="16"/>
      <c r="B83" s="16"/>
      <c r="C83" s="615" t="s">
        <v>313</v>
      </c>
      <c r="D83" s="511">
        <v>0</v>
      </c>
      <c r="E83" s="518">
        <v>236.465</v>
      </c>
      <c r="F83" s="518">
        <v>212.48099999999999</v>
      </c>
      <c r="G83" s="518">
        <v>231.32900000000001</v>
      </c>
      <c r="H83" s="518">
        <v>223</v>
      </c>
      <c r="I83" s="518">
        <v>131</v>
      </c>
      <c r="J83" s="519">
        <v>129</v>
      </c>
      <c r="K83" s="514">
        <v>317.01</v>
      </c>
      <c r="L83" s="511">
        <v>312.73200000000003</v>
      </c>
      <c r="M83" s="518">
        <v>325.584</v>
      </c>
      <c r="N83" s="518">
        <v>308.44799999999998</v>
      </c>
      <c r="O83" s="518">
        <v>257.04000000000002</v>
      </c>
      <c r="P83" s="519">
        <v>299.88</v>
      </c>
      <c r="Q83" s="514">
        <v>299.88</v>
      </c>
      <c r="R83" s="574" t="str">
        <f t="shared" si="10"/>
        <v xml:space="preserve">     -</v>
      </c>
      <c r="S83" s="510">
        <f t="shared" si="11"/>
        <v>-0.8</v>
      </c>
      <c r="T83" s="283"/>
      <c r="U83" s="280"/>
      <c r="V83" s="280"/>
      <c r="W83" s="280"/>
      <c r="X83" s="280"/>
      <c r="Y83" s="280"/>
      <c r="Z83" s="280"/>
      <c r="AA83" s="280"/>
      <c r="AB83" s="280"/>
      <c r="AC83" s="43"/>
      <c r="AD83" s="43"/>
      <c r="AE83" s="43"/>
      <c r="AF83" s="43"/>
      <c r="AG83" s="43"/>
    </row>
    <row r="84" spans="1:33" ht="15.75" customHeight="1">
      <c r="A84" s="16"/>
      <c r="B84" s="674" t="s">
        <v>314</v>
      </c>
      <c r="C84" s="675"/>
      <c r="D84" s="511">
        <v>107</v>
      </c>
      <c r="E84" s="518">
        <v>97.819000000000003</v>
      </c>
      <c r="F84" s="518">
        <v>112.91500000000001</v>
      </c>
      <c r="G84" s="518">
        <v>117.55500000000001</v>
      </c>
      <c r="H84" s="518">
        <v>213</v>
      </c>
      <c r="I84" s="518">
        <v>140</v>
      </c>
      <c r="J84" s="519">
        <v>107</v>
      </c>
      <c r="K84" s="514">
        <v>333.726</v>
      </c>
      <c r="L84" s="511">
        <v>331.72800000000001</v>
      </c>
      <c r="M84" s="518">
        <v>346.86</v>
      </c>
      <c r="N84" s="518">
        <v>329.72399999999999</v>
      </c>
      <c r="O84" s="518">
        <v>328</v>
      </c>
      <c r="P84" s="519">
        <v>322.68</v>
      </c>
      <c r="Q84" s="514">
        <v>322.68</v>
      </c>
      <c r="R84" s="574">
        <f t="shared" si="10"/>
        <v>17.600000000000001</v>
      </c>
      <c r="S84" s="510">
        <f t="shared" si="11"/>
        <v>-0.6</v>
      </c>
      <c r="T84" s="283"/>
      <c r="U84" s="280"/>
      <c r="V84" s="280"/>
      <c r="W84" s="280"/>
      <c r="X84" s="280"/>
      <c r="Y84" s="280"/>
      <c r="Z84" s="280"/>
      <c r="AA84" s="280"/>
      <c r="AB84" s="280"/>
      <c r="AC84" s="43"/>
      <c r="AD84" s="43"/>
      <c r="AE84" s="43"/>
      <c r="AF84" s="43"/>
      <c r="AG84" s="43"/>
    </row>
    <row r="85" spans="1:33" ht="15.75" customHeight="1">
      <c r="A85" s="16"/>
      <c r="B85" s="674" t="s">
        <v>315</v>
      </c>
      <c r="C85" s="675"/>
      <c r="D85" s="520">
        <v>299</v>
      </c>
      <c r="E85" s="521">
        <v>341</v>
      </c>
      <c r="F85" s="521">
        <v>389.7</v>
      </c>
      <c r="G85" s="521">
        <v>393.79999999999995</v>
      </c>
      <c r="H85" s="521">
        <v>342</v>
      </c>
      <c r="I85" s="521">
        <v>458</v>
      </c>
      <c r="J85" s="522">
        <v>433.14499999999998</v>
      </c>
      <c r="K85" s="523">
        <v>472</v>
      </c>
      <c r="L85" s="520">
        <v>500</v>
      </c>
      <c r="M85" s="521">
        <v>525</v>
      </c>
      <c r="N85" s="521">
        <v>552</v>
      </c>
      <c r="O85" s="521">
        <v>586</v>
      </c>
      <c r="P85" s="522">
        <v>608</v>
      </c>
      <c r="Q85" s="523">
        <v>639</v>
      </c>
      <c r="R85" s="574">
        <f t="shared" si="10"/>
        <v>6.7</v>
      </c>
      <c r="S85" s="510">
        <f t="shared" si="11"/>
        <v>5</v>
      </c>
      <c r="T85" s="283"/>
      <c r="U85" s="342"/>
      <c r="V85" s="342"/>
      <c r="W85" s="342"/>
      <c r="X85" s="342"/>
      <c r="Y85" s="342"/>
      <c r="Z85" s="344"/>
      <c r="AA85" s="344"/>
      <c r="AB85" s="344"/>
      <c r="AC85" s="344"/>
      <c r="AD85" s="344"/>
      <c r="AE85" s="344"/>
      <c r="AF85" s="344"/>
      <c r="AG85" s="344"/>
    </row>
    <row r="86" spans="1:33" ht="15" customHeight="1">
      <c r="A86" s="16"/>
      <c r="B86" s="672" t="s">
        <v>316</v>
      </c>
      <c r="C86" s="673"/>
      <c r="D86" s="529">
        <v>2274</v>
      </c>
      <c r="E86" s="525">
        <v>2320</v>
      </c>
      <c r="F86" s="530">
        <v>2367</v>
      </c>
      <c r="G86" s="530">
        <v>3415</v>
      </c>
      <c r="H86" s="525">
        <v>3485</v>
      </c>
      <c r="I86" s="530">
        <v>3570</v>
      </c>
      <c r="J86" s="530">
        <v>3626</v>
      </c>
      <c r="K86" s="564">
        <v>3709</v>
      </c>
      <c r="L86" s="524">
        <v>3816</v>
      </c>
      <c r="M86" s="525">
        <v>3913</v>
      </c>
      <c r="N86" s="525">
        <v>3984</v>
      </c>
      <c r="O86" s="525">
        <v>4053</v>
      </c>
      <c r="P86" s="530">
        <v>4113</v>
      </c>
      <c r="Q86" s="564">
        <v>4170</v>
      </c>
      <c r="R86" s="573">
        <f t="shared" si="10"/>
        <v>7.2</v>
      </c>
      <c r="S86" s="256">
        <f t="shared" si="11"/>
        <v>1.8</v>
      </c>
      <c r="T86" s="283"/>
      <c r="U86" s="43"/>
      <c r="V86" s="43"/>
      <c r="W86" s="43"/>
      <c r="X86" s="343"/>
      <c r="Y86" s="343"/>
      <c r="Z86" s="43"/>
      <c r="AA86" s="43"/>
      <c r="AB86" s="43"/>
      <c r="AC86" s="43"/>
      <c r="AD86" s="43"/>
      <c r="AE86" s="43"/>
      <c r="AF86" s="43"/>
      <c r="AG86" s="43"/>
    </row>
    <row r="87" spans="1:33" ht="15" customHeight="1">
      <c r="A87" s="16"/>
      <c r="B87" s="670" t="s">
        <v>317</v>
      </c>
      <c r="C87" s="671"/>
      <c r="D87" s="553">
        <v>520</v>
      </c>
      <c r="E87" s="525">
        <v>520</v>
      </c>
      <c r="F87" s="530">
        <v>520</v>
      </c>
      <c r="G87" s="530">
        <v>531</v>
      </c>
      <c r="H87" s="525">
        <v>543</v>
      </c>
      <c r="I87" s="530">
        <v>556</v>
      </c>
      <c r="J87" s="530">
        <v>562</v>
      </c>
      <c r="K87" s="564">
        <v>579</v>
      </c>
      <c r="L87" s="524">
        <v>591</v>
      </c>
      <c r="M87" s="525">
        <v>603</v>
      </c>
      <c r="N87" s="525">
        <v>614</v>
      </c>
      <c r="O87" s="525">
        <v>625</v>
      </c>
      <c r="P87" s="530">
        <v>635</v>
      </c>
      <c r="Q87" s="564">
        <v>645</v>
      </c>
      <c r="R87" s="573">
        <f t="shared" si="10"/>
        <v>1.5</v>
      </c>
      <c r="S87" s="256">
        <f t="shared" si="11"/>
        <v>1.8</v>
      </c>
      <c r="T87" s="283"/>
      <c r="U87" s="43"/>
      <c r="V87" s="43"/>
      <c r="W87" s="43"/>
      <c r="X87" s="343"/>
      <c r="Y87" s="343"/>
      <c r="Z87" s="280"/>
      <c r="AA87" s="280"/>
      <c r="AB87" s="280"/>
      <c r="AC87" s="280"/>
      <c r="AD87" s="280"/>
      <c r="AE87" s="280"/>
      <c r="AF87" s="280"/>
      <c r="AG87" s="280"/>
    </row>
    <row r="88" spans="1:33" ht="15.75" customHeight="1">
      <c r="A88" s="16"/>
      <c r="B88" s="674" t="s">
        <v>318</v>
      </c>
      <c r="C88" s="675"/>
      <c r="D88" s="95">
        <f>SUM(D86:D87)</f>
        <v>2794</v>
      </c>
      <c r="E88" s="92">
        <f t="shared" ref="E88:Q88" si="13">SUM(E86:E87)</f>
        <v>2840</v>
      </c>
      <c r="F88" s="92">
        <f t="shared" si="13"/>
        <v>2887</v>
      </c>
      <c r="G88" s="93">
        <f t="shared" si="13"/>
        <v>3946</v>
      </c>
      <c r="H88" s="93">
        <f t="shared" si="13"/>
        <v>4028</v>
      </c>
      <c r="I88" s="94">
        <f t="shared" si="13"/>
        <v>4126</v>
      </c>
      <c r="J88" s="94">
        <f t="shared" si="13"/>
        <v>4188</v>
      </c>
      <c r="K88" s="96">
        <f t="shared" si="13"/>
        <v>4288</v>
      </c>
      <c r="L88" s="95">
        <f t="shared" si="13"/>
        <v>4407</v>
      </c>
      <c r="M88" s="93">
        <f t="shared" si="13"/>
        <v>4516</v>
      </c>
      <c r="N88" s="93">
        <f t="shared" si="13"/>
        <v>4598</v>
      </c>
      <c r="O88" s="93">
        <f t="shared" si="13"/>
        <v>4678</v>
      </c>
      <c r="P88" s="93">
        <f t="shared" si="13"/>
        <v>4748</v>
      </c>
      <c r="Q88" s="96">
        <f t="shared" si="13"/>
        <v>4815</v>
      </c>
      <c r="R88" s="574">
        <f t="shared" si="10"/>
        <v>6.3</v>
      </c>
      <c r="S88" s="510">
        <f t="shared" si="11"/>
        <v>1.8</v>
      </c>
      <c r="T88" s="28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</row>
    <row r="89" spans="1:33" ht="15" customHeight="1">
      <c r="A89" s="16"/>
      <c r="B89" s="672" t="s">
        <v>319</v>
      </c>
      <c r="C89" s="673"/>
      <c r="D89" s="553">
        <v>1003.21</v>
      </c>
      <c r="E89" s="525">
        <v>964</v>
      </c>
      <c r="F89" s="530">
        <v>800</v>
      </c>
      <c r="G89" s="530">
        <v>800</v>
      </c>
      <c r="H89" s="525">
        <v>800</v>
      </c>
      <c r="I89" s="530">
        <v>800</v>
      </c>
      <c r="J89" s="530">
        <v>817</v>
      </c>
      <c r="K89" s="564">
        <v>833</v>
      </c>
      <c r="L89" s="565">
        <v>851</v>
      </c>
      <c r="M89" s="566">
        <v>872</v>
      </c>
      <c r="N89" s="566">
        <v>896</v>
      </c>
      <c r="O89" s="566">
        <v>922</v>
      </c>
      <c r="P89" s="566">
        <v>949</v>
      </c>
      <c r="Q89" s="567">
        <v>977</v>
      </c>
      <c r="R89" s="573">
        <f t="shared" si="10"/>
        <v>-2.6</v>
      </c>
      <c r="S89" s="256">
        <f t="shared" si="11"/>
        <v>2.8</v>
      </c>
      <c r="T89" s="283"/>
      <c r="U89" s="280"/>
      <c r="V89" s="280"/>
      <c r="W89" s="280"/>
      <c r="X89" s="343"/>
      <c r="Y89" s="343"/>
      <c r="Z89" s="43"/>
      <c r="AA89" s="43"/>
      <c r="AB89" s="43"/>
      <c r="AC89" s="43"/>
      <c r="AD89" s="43"/>
      <c r="AE89" s="43"/>
      <c r="AF89" s="43"/>
      <c r="AG89" s="43"/>
    </row>
    <row r="90" spans="1:33" ht="15" customHeight="1">
      <c r="A90" s="16"/>
      <c r="B90" s="668" t="s">
        <v>320</v>
      </c>
      <c r="C90" s="669"/>
      <c r="D90" s="553">
        <v>700</v>
      </c>
      <c r="E90" s="525">
        <v>714</v>
      </c>
      <c r="F90" s="530">
        <v>729</v>
      </c>
      <c r="G90" s="530">
        <v>744</v>
      </c>
      <c r="H90" s="525">
        <v>759</v>
      </c>
      <c r="I90" s="530">
        <v>760</v>
      </c>
      <c r="J90" s="530">
        <v>735</v>
      </c>
      <c r="K90" s="564">
        <v>743</v>
      </c>
      <c r="L90" s="524">
        <v>754</v>
      </c>
      <c r="M90" s="525">
        <v>772</v>
      </c>
      <c r="N90" s="525">
        <v>790</v>
      </c>
      <c r="O90" s="525">
        <v>808</v>
      </c>
      <c r="P90" s="530">
        <v>826</v>
      </c>
      <c r="Q90" s="564">
        <v>844</v>
      </c>
      <c r="R90" s="573">
        <f t="shared" si="10"/>
        <v>0.9</v>
      </c>
      <c r="S90" s="256">
        <f t="shared" si="11"/>
        <v>2.2999999999999998</v>
      </c>
      <c r="T90" s="283"/>
      <c r="U90" s="280"/>
      <c r="V90" s="280"/>
      <c r="W90" s="280"/>
      <c r="X90" s="281"/>
      <c r="Y90" s="281"/>
      <c r="Z90" s="280"/>
      <c r="AA90" s="280"/>
      <c r="AB90" s="43"/>
      <c r="AC90" s="43"/>
      <c r="AD90" s="43"/>
      <c r="AE90" s="43"/>
      <c r="AF90" s="43"/>
      <c r="AG90" s="43"/>
    </row>
    <row r="91" spans="1:33" ht="15" customHeight="1">
      <c r="A91" s="16"/>
      <c r="B91" s="670" t="s">
        <v>321</v>
      </c>
      <c r="C91" s="671"/>
      <c r="D91" s="553">
        <v>191.45</v>
      </c>
      <c r="E91" s="525">
        <v>189.07</v>
      </c>
      <c r="F91" s="530">
        <v>189.22499999999999</v>
      </c>
      <c r="G91" s="530">
        <v>189.22499999999999</v>
      </c>
      <c r="H91" s="525">
        <v>189.22499999999999</v>
      </c>
      <c r="I91" s="530">
        <v>184</v>
      </c>
      <c r="J91" s="530">
        <v>183</v>
      </c>
      <c r="K91" s="568">
        <v>185</v>
      </c>
      <c r="L91" s="569">
        <v>187</v>
      </c>
      <c r="M91" s="570">
        <v>191</v>
      </c>
      <c r="N91" s="570">
        <v>196</v>
      </c>
      <c r="O91" s="570">
        <v>201</v>
      </c>
      <c r="P91" s="571">
        <v>207</v>
      </c>
      <c r="Q91" s="568">
        <v>213</v>
      </c>
      <c r="R91" s="573">
        <f t="shared" si="10"/>
        <v>-0.5</v>
      </c>
      <c r="S91" s="256">
        <f t="shared" si="11"/>
        <v>2.6</v>
      </c>
      <c r="T91" s="283"/>
      <c r="U91" s="43"/>
      <c r="V91" s="43"/>
      <c r="W91" s="43"/>
      <c r="X91" s="345"/>
      <c r="Y91" s="345"/>
      <c r="Z91" s="280"/>
      <c r="AA91" s="280"/>
      <c r="AB91" s="43"/>
      <c r="AC91" s="43"/>
      <c r="AD91" s="43"/>
      <c r="AE91" s="43"/>
      <c r="AF91" s="43"/>
      <c r="AG91" s="43"/>
    </row>
    <row r="92" spans="1:33" ht="15.75" customHeight="1" thickBot="1">
      <c r="A92" s="16"/>
      <c r="B92" s="678" t="s">
        <v>322</v>
      </c>
      <c r="C92" s="679"/>
      <c r="D92" s="102">
        <f>SUM(D89:D91)</f>
        <v>1894.66</v>
      </c>
      <c r="E92" s="539">
        <f t="shared" ref="E92:Q92" si="14">SUM(E89:E91)</f>
        <v>1867.07</v>
      </c>
      <c r="F92" s="539">
        <f t="shared" si="14"/>
        <v>1718.2249999999999</v>
      </c>
      <c r="G92" s="100">
        <f t="shared" si="14"/>
        <v>1733.2249999999999</v>
      </c>
      <c r="H92" s="100">
        <f t="shared" si="14"/>
        <v>1748.2249999999999</v>
      </c>
      <c r="I92" s="100">
        <f t="shared" si="14"/>
        <v>1744</v>
      </c>
      <c r="J92" s="101">
        <f t="shared" si="14"/>
        <v>1735</v>
      </c>
      <c r="K92" s="104">
        <f t="shared" si="14"/>
        <v>1761</v>
      </c>
      <c r="L92" s="540">
        <f t="shared" si="14"/>
        <v>1792</v>
      </c>
      <c r="M92" s="100">
        <f t="shared" si="14"/>
        <v>1835</v>
      </c>
      <c r="N92" s="100">
        <f t="shared" si="14"/>
        <v>1882</v>
      </c>
      <c r="O92" s="100">
        <f t="shared" si="14"/>
        <v>1931</v>
      </c>
      <c r="P92" s="100">
        <f t="shared" si="14"/>
        <v>1982</v>
      </c>
      <c r="Q92" s="103">
        <f t="shared" si="14"/>
        <v>2034</v>
      </c>
      <c r="R92" s="576">
        <f t="shared" si="10"/>
        <v>-1</v>
      </c>
      <c r="S92" s="541">
        <f t="shared" si="11"/>
        <v>2.6</v>
      </c>
      <c r="T92" s="28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</row>
    <row r="93" spans="1:33" ht="18" customHeight="1" thickTop="1" thickBot="1">
      <c r="A93" s="21"/>
      <c r="B93" s="676" t="s">
        <v>329</v>
      </c>
      <c r="C93" s="677"/>
      <c r="D93" s="542">
        <f>D77+D78+D80+D82+D84+D85+D88+D92</f>
        <v>43497.011000000006</v>
      </c>
      <c r="E93" s="543">
        <f t="shared" ref="E93:Q93" si="15">E77+E78+E80+E82+E84+E85+E88+E92</f>
        <v>46596.147199999999</v>
      </c>
      <c r="F93" s="543">
        <f t="shared" si="15"/>
        <v>47780.168999999994</v>
      </c>
      <c r="G93" s="544">
        <f t="shared" si="15"/>
        <v>52046.694865671641</v>
      </c>
      <c r="H93" s="544">
        <f t="shared" si="15"/>
        <v>53789.650044776114</v>
      </c>
      <c r="I93" s="544">
        <f t="shared" si="15"/>
        <v>57069.909999999996</v>
      </c>
      <c r="J93" s="545">
        <f t="shared" si="15"/>
        <v>56691.257999999994</v>
      </c>
      <c r="K93" s="546">
        <f t="shared" si="15"/>
        <v>61636.220999999998</v>
      </c>
      <c r="L93" s="547">
        <f t="shared" si="15"/>
        <v>65790.782999999996</v>
      </c>
      <c r="M93" s="544">
        <f t="shared" si="15"/>
        <v>69596.491999999998</v>
      </c>
      <c r="N93" s="544">
        <f t="shared" si="15"/>
        <v>72723.152507099992</v>
      </c>
      <c r="O93" s="544">
        <f t="shared" si="15"/>
        <v>76493.53202760205</v>
      </c>
      <c r="P93" s="544">
        <f t="shared" si="15"/>
        <v>77897.184043568108</v>
      </c>
      <c r="Q93" s="577">
        <f t="shared" si="15"/>
        <v>80256.683087519137</v>
      </c>
      <c r="R93" s="578">
        <f t="shared" si="10"/>
        <v>5.0999999999999996</v>
      </c>
      <c r="S93" s="549">
        <f t="shared" si="11"/>
        <v>4.0999999999999996</v>
      </c>
      <c r="T93" s="283"/>
    </row>
    <row r="94" spans="1:33" ht="9" customHeight="1"/>
    <row r="95" spans="1:33" ht="13.5" customHeight="1">
      <c r="C95" t="s">
        <v>330</v>
      </c>
    </row>
    <row r="96" spans="1:33" ht="13.5" customHeight="1">
      <c r="C96" s="617" t="s">
        <v>331</v>
      </c>
      <c r="E96" s="27"/>
      <c r="F96" s="27"/>
      <c r="G96" s="24"/>
      <c r="H96" s="84"/>
      <c r="I96" s="85"/>
      <c r="J96" s="85"/>
      <c r="K96" s="85"/>
      <c r="L96" s="24"/>
      <c r="M96" s="24"/>
      <c r="N96" s="24"/>
      <c r="O96" s="24"/>
      <c r="P96" s="24"/>
      <c r="Q96" s="24"/>
    </row>
    <row r="97" spans="3:20" ht="13.5" customHeight="1">
      <c r="C97" t="s">
        <v>332</v>
      </c>
      <c r="E97" s="27"/>
      <c r="F97" s="27"/>
      <c r="G97" s="24"/>
      <c r="H97" s="84"/>
      <c r="I97" s="85"/>
      <c r="J97" s="85"/>
      <c r="K97" s="85"/>
      <c r="L97" s="24"/>
      <c r="M97" s="24"/>
      <c r="N97" s="24"/>
      <c r="O97" s="24"/>
      <c r="P97" s="24"/>
      <c r="Q97" s="24"/>
    </row>
    <row r="98" spans="3:20" ht="13.5" customHeight="1">
      <c r="C98" s="617" t="s">
        <v>333</v>
      </c>
      <c r="E98" s="27"/>
      <c r="F98" s="27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3:20" hidden="1">
      <c r="C99" t="s">
        <v>45</v>
      </c>
      <c r="E99" s="27"/>
      <c r="F99" s="27"/>
      <c r="G99" s="27"/>
      <c r="H99" s="27"/>
      <c r="I99" s="27"/>
      <c r="J99" s="27"/>
      <c r="K99" s="13">
        <f>+K38+K40+K41+K44+K45+K46</f>
        <v>4291.8369999999995</v>
      </c>
      <c r="L99" s="13"/>
      <c r="M99" s="13"/>
      <c r="N99" s="13"/>
      <c r="O99" s="13"/>
      <c r="P99" s="13"/>
      <c r="Q99" s="13">
        <f>+Q38+Q40+Q41+Q44+Q45+Q46</f>
        <v>4656</v>
      </c>
    </row>
    <row r="100" spans="3:20" hidden="1">
      <c r="C100" t="s">
        <v>46</v>
      </c>
      <c r="E100" s="27"/>
      <c r="F100" s="27"/>
      <c r="G100" s="27"/>
      <c r="H100" s="24"/>
      <c r="I100" s="24"/>
      <c r="J100" s="24"/>
      <c r="K100" s="24">
        <f>+K67+K69+K70+K73+K74+K75</f>
        <v>3630.3580000000002</v>
      </c>
      <c r="L100" s="24"/>
      <c r="M100" s="24"/>
      <c r="N100" s="24"/>
      <c r="O100" s="24"/>
      <c r="P100" s="24"/>
      <c r="Q100" s="24">
        <f>+Q67+Q69+Q70+Q73+Q74+Q75</f>
        <v>4553.1440875191474</v>
      </c>
    </row>
    <row r="101" spans="3:20" hidden="1">
      <c r="C101" t="s">
        <v>55</v>
      </c>
      <c r="E101" s="27"/>
      <c r="F101" s="27"/>
      <c r="G101" s="27"/>
      <c r="H101" s="27"/>
      <c r="I101" s="27"/>
      <c r="J101" s="27"/>
      <c r="K101" s="27">
        <f>+K99-K100</f>
        <v>661.47899999999936</v>
      </c>
      <c r="L101" s="27"/>
      <c r="M101" s="27"/>
      <c r="N101" s="27"/>
      <c r="O101" s="27"/>
      <c r="P101" s="27"/>
      <c r="Q101" s="27">
        <f>+Q99-Q100</f>
        <v>102.85591248085257</v>
      </c>
    </row>
    <row r="102" spans="3:20" hidden="1">
      <c r="E102" s="27"/>
      <c r="F102" s="27"/>
      <c r="G102" s="27"/>
      <c r="H102" s="27"/>
      <c r="I102" s="27"/>
      <c r="J102" s="27"/>
      <c r="K102" s="29">
        <f>+K101/1000</f>
        <v>0.66147899999999937</v>
      </c>
      <c r="L102" s="29"/>
      <c r="M102" s="29"/>
      <c r="N102" s="29"/>
      <c r="O102" s="29"/>
      <c r="P102" s="29"/>
      <c r="Q102" s="29">
        <f>+Q101/1000</f>
        <v>0.10285591248085256</v>
      </c>
    </row>
    <row r="103" spans="3:20">
      <c r="E103" s="426"/>
      <c r="F103" s="426"/>
      <c r="G103" s="426"/>
      <c r="H103" s="426"/>
      <c r="I103" s="426"/>
      <c r="J103" s="426"/>
      <c r="K103" s="426"/>
      <c r="L103" s="426"/>
      <c r="M103" s="426"/>
      <c r="N103" s="426"/>
      <c r="O103" s="426"/>
      <c r="P103" s="426"/>
      <c r="Q103" s="426"/>
    </row>
    <row r="104" spans="3:20"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</row>
    <row r="105" spans="3:20">
      <c r="E105" s="426"/>
      <c r="F105" s="426"/>
      <c r="G105" s="426"/>
      <c r="H105" s="426"/>
      <c r="I105" s="426"/>
      <c r="J105" s="426"/>
      <c r="K105" s="426"/>
      <c r="L105" s="426"/>
      <c r="M105" s="426"/>
      <c r="N105" s="426"/>
      <c r="O105" s="426"/>
      <c r="P105" s="426"/>
      <c r="Q105" s="426"/>
    </row>
    <row r="106" spans="3:20"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4"/>
    </row>
    <row r="107" spans="3:20"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4"/>
    </row>
    <row r="108" spans="3:20">
      <c r="D108" s="283"/>
      <c r="E108" s="283"/>
      <c r="F108" s="283"/>
      <c r="G108" s="283"/>
      <c r="H108" s="283"/>
      <c r="I108" s="283"/>
      <c r="J108" s="283"/>
      <c r="K108" s="283"/>
      <c r="L108" s="283"/>
      <c r="M108" s="283"/>
      <c r="N108" s="283"/>
      <c r="O108" s="283"/>
      <c r="P108" s="283"/>
      <c r="Q108" s="283"/>
      <c r="T108" s="283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T109" s="283"/>
    </row>
    <row r="110" spans="3:20"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 spans="3:20"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T111" s="283"/>
    </row>
    <row r="112" spans="3:20"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T112" s="283"/>
    </row>
    <row r="113" spans="4:20"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4:20">
      <c r="D114" s="283"/>
      <c r="E114" s="283"/>
      <c r="F114" s="283"/>
      <c r="G114" s="283"/>
      <c r="H114" s="283"/>
      <c r="I114" s="283"/>
      <c r="J114" s="283"/>
      <c r="K114" s="283"/>
      <c r="L114" s="283"/>
      <c r="M114" s="283"/>
      <c r="N114" s="283"/>
      <c r="O114" s="283"/>
      <c r="P114" s="283"/>
      <c r="Q114" s="283"/>
      <c r="T114" s="283"/>
    </row>
    <row r="115" spans="4:20">
      <c r="D115" s="283"/>
      <c r="E115" s="283"/>
      <c r="F115" s="283"/>
      <c r="G115" s="283"/>
      <c r="H115" s="283"/>
      <c r="I115" s="283"/>
      <c r="J115" s="283"/>
      <c r="K115" s="283"/>
      <c r="L115" s="283"/>
      <c r="M115" s="283"/>
      <c r="N115" s="283"/>
      <c r="O115" s="283"/>
      <c r="P115" s="283"/>
      <c r="Q115" s="283"/>
      <c r="T115" s="283"/>
    </row>
    <row r="116" spans="4:20"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4"/>
    </row>
    <row r="117" spans="4:20"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</row>
    <row r="118" spans="4:20"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</row>
    <row r="119" spans="4:20">
      <c r="E119" s="27"/>
      <c r="F119" s="27"/>
      <c r="G119" s="27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4:20"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4:20">
      <c r="E121" s="27"/>
      <c r="F121" s="27"/>
      <c r="G121" s="27"/>
      <c r="H121" s="27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4:20">
      <c r="E122" s="27"/>
      <c r="F122" s="27"/>
      <c r="G122" s="27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4:20">
      <c r="E123" s="27"/>
      <c r="F123" s="27"/>
      <c r="G123" s="27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4:20">
      <c r="E124" s="24"/>
      <c r="F124" s="27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4:20">
      <c r="E125" s="24"/>
      <c r="F125" s="27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4:20">
      <c r="E126" s="27"/>
      <c r="F126" s="27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4:20">
      <c r="E127" s="27"/>
      <c r="F127" s="27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4:20">
      <c r="E128" s="27"/>
      <c r="F128" s="27"/>
      <c r="G128" s="27"/>
      <c r="H128" s="27"/>
      <c r="I128" s="27"/>
      <c r="J128" s="24"/>
      <c r="K128" s="27"/>
      <c r="L128" s="27"/>
      <c r="M128" s="27"/>
      <c r="N128" s="27"/>
      <c r="O128" s="27"/>
      <c r="P128" s="27"/>
      <c r="Q128" s="27"/>
    </row>
    <row r="129" spans="5:19">
      <c r="E129" s="27"/>
      <c r="F129" s="27"/>
      <c r="G129" s="27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5:19">
      <c r="E130" s="27"/>
      <c r="F130" s="27"/>
      <c r="G130" s="27"/>
      <c r="H130" s="27"/>
      <c r="I130" s="27"/>
      <c r="J130" s="24"/>
      <c r="K130" s="27"/>
      <c r="L130" s="27"/>
      <c r="M130" s="27"/>
      <c r="N130" s="27"/>
      <c r="O130" s="27"/>
      <c r="P130" s="27"/>
      <c r="Q130" s="24"/>
      <c r="R130"/>
      <c r="S130"/>
    </row>
    <row r="131" spans="5:19">
      <c r="E131" s="27"/>
      <c r="F131" s="27"/>
      <c r="G131" s="27"/>
      <c r="H131" s="27"/>
      <c r="I131" s="27"/>
      <c r="J131" s="24"/>
      <c r="K131" s="27"/>
      <c r="L131" s="27"/>
      <c r="M131" s="27"/>
      <c r="N131" s="27"/>
      <c r="O131" s="27"/>
      <c r="P131" s="27"/>
      <c r="Q131" s="24"/>
      <c r="R131"/>
      <c r="S131"/>
    </row>
    <row r="132" spans="5:19">
      <c r="E132" s="27"/>
      <c r="F132" s="27"/>
      <c r="G132" s="27"/>
      <c r="H132" s="27"/>
      <c r="I132" s="27"/>
      <c r="J132" s="24"/>
      <c r="K132" s="27"/>
      <c r="L132" s="27"/>
      <c r="M132" s="27"/>
      <c r="N132" s="27"/>
      <c r="O132" s="27"/>
      <c r="P132" s="27"/>
      <c r="Q132" s="24"/>
      <c r="R132"/>
      <c r="S132"/>
    </row>
    <row r="133" spans="5:19">
      <c r="E133" s="27"/>
      <c r="F133" s="27"/>
      <c r="G133" s="27"/>
      <c r="H133" s="27"/>
      <c r="I133" s="24"/>
      <c r="J133" s="24"/>
      <c r="K133" s="24"/>
      <c r="L133" s="24"/>
      <c r="M133" s="24"/>
      <c r="N133" s="24"/>
      <c r="O133" s="24"/>
      <c r="P133" s="24"/>
      <c r="Q133" s="24"/>
      <c r="R133"/>
      <c r="S133"/>
    </row>
    <row r="134" spans="5:19">
      <c r="E134" s="27"/>
      <c r="F134" s="27"/>
      <c r="G134" s="27"/>
      <c r="H134" s="27"/>
      <c r="I134" s="27"/>
      <c r="J134" s="24"/>
      <c r="K134" s="27"/>
      <c r="L134" s="27"/>
      <c r="M134" s="27"/>
      <c r="N134" s="27"/>
      <c r="O134" s="27"/>
      <c r="P134" s="27"/>
      <c r="Q134" s="24"/>
      <c r="R134"/>
      <c r="S134"/>
    </row>
    <row r="135" spans="5:19">
      <c r="E135" s="27"/>
      <c r="F135" s="27"/>
      <c r="G135" s="27"/>
      <c r="H135" s="27"/>
      <c r="I135" s="27"/>
      <c r="J135" s="24"/>
      <c r="K135" s="27"/>
      <c r="L135" s="27"/>
      <c r="M135" s="27"/>
      <c r="N135" s="27"/>
      <c r="O135" s="27"/>
      <c r="P135" s="27"/>
      <c r="Q135" s="24"/>
      <c r="R135"/>
      <c r="S135"/>
    </row>
    <row r="136" spans="5:19">
      <c r="E136" s="27"/>
      <c r="F136" s="27"/>
      <c r="G136" s="27"/>
      <c r="H136" s="27"/>
      <c r="I136" s="27"/>
      <c r="J136" s="24"/>
      <c r="K136" s="27"/>
      <c r="L136" s="27"/>
      <c r="M136" s="27"/>
      <c r="N136" s="27"/>
      <c r="O136" s="27"/>
      <c r="P136" s="27"/>
      <c r="Q136" s="24"/>
      <c r="R136"/>
      <c r="S136"/>
    </row>
    <row r="137" spans="5:19">
      <c r="E137" s="27"/>
      <c r="F137" s="27"/>
      <c r="G137" s="27"/>
      <c r="H137" s="27"/>
      <c r="I137" s="27"/>
      <c r="J137" s="24"/>
      <c r="K137" s="27"/>
      <c r="L137" s="27"/>
      <c r="M137" s="27"/>
      <c r="N137" s="27"/>
      <c r="O137" s="27"/>
      <c r="P137" s="27"/>
      <c r="Q137" s="24"/>
      <c r="R137"/>
      <c r="S137"/>
    </row>
    <row r="138" spans="5:19">
      <c r="E138" s="24"/>
      <c r="F138" s="27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/>
      <c r="S138"/>
    </row>
    <row r="139" spans="5:19">
      <c r="E139" s="24"/>
      <c r="F139" s="27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/>
      <c r="S139"/>
    </row>
    <row r="140" spans="5:19">
      <c r="E140" s="27"/>
      <c r="F140" s="27"/>
      <c r="G140" s="27"/>
      <c r="H140" s="27"/>
      <c r="I140" s="27"/>
      <c r="J140" s="24"/>
      <c r="K140" s="27"/>
      <c r="L140" s="27"/>
      <c r="M140" s="27"/>
      <c r="N140" s="27"/>
      <c r="O140" s="27"/>
      <c r="P140" s="27"/>
      <c r="Q140" s="24"/>
      <c r="R140"/>
      <c r="S140"/>
    </row>
    <row r="141" spans="5:19">
      <c r="E141" s="27"/>
      <c r="F141" s="27"/>
      <c r="G141" s="27"/>
      <c r="H141" s="27"/>
      <c r="I141" s="27"/>
      <c r="J141" s="24"/>
      <c r="K141" s="27"/>
      <c r="L141" s="27"/>
      <c r="M141" s="27"/>
      <c r="N141" s="27"/>
      <c r="O141" s="27"/>
      <c r="P141" s="27"/>
      <c r="Q141" s="24"/>
      <c r="R141"/>
      <c r="S141"/>
    </row>
    <row r="142" spans="5:19">
      <c r="E142" s="24"/>
      <c r="F142" s="27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/>
      <c r="S142"/>
    </row>
    <row r="143" spans="5:19">
      <c r="E143" s="27"/>
      <c r="F143" s="27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/>
      <c r="S143"/>
    </row>
    <row r="144" spans="5:19">
      <c r="E144" s="27"/>
      <c r="F144" s="27"/>
      <c r="G144" s="27"/>
      <c r="H144" s="27"/>
      <c r="I144" s="27"/>
      <c r="J144" s="24"/>
      <c r="K144" s="27"/>
      <c r="L144" s="27"/>
      <c r="M144" s="27"/>
      <c r="N144" s="27"/>
      <c r="O144" s="27"/>
      <c r="P144" s="27"/>
      <c r="Q144" s="24"/>
      <c r="R144"/>
      <c r="S144"/>
    </row>
    <row r="145" spans="4:19">
      <c r="E145" s="27"/>
      <c r="F145" s="27"/>
      <c r="G145" s="27"/>
      <c r="H145" s="27"/>
      <c r="I145" s="27"/>
      <c r="J145" s="24"/>
      <c r="K145" s="27"/>
      <c r="L145" s="27"/>
      <c r="M145" s="27"/>
      <c r="N145" s="27"/>
      <c r="O145" s="27"/>
      <c r="P145" s="27"/>
      <c r="Q145" s="24"/>
      <c r="R145"/>
      <c r="S145"/>
    </row>
    <row r="146" spans="4:19">
      <c r="E146" s="24"/>
      <c r="F146" s="27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/>
      <c r="S146"/>
    </row>
    <row r="147" spans="4:19">
      <c r="E147" s="27"/>
      <c r="F147" s="27"/>
      <c r="G147" s="27"/>
      <c r="H147" s="24"/>
      <c r="I147" s="24"/>
      <c r="J147" s="24"/>
      <c r="K147" s="27"/>
      <c r="L147" s="27"/>
      <c r="M147" s="27"/>
      <c r="N147" s="27"/>
      <c r="O147" s="27"/>
      <c r="P147" s="27"/>
      <c r="Q147" s="27"/>
      <c r="R147"/>
      <c r="S147"/>
    </row>
    <row r="148" spans="4:19">
      <c r="E148" s="27"/>
      <c r="F148" s="27"/>
      <c r="G148" s="27"/>
      <c r="H148" s="24"/>
      <c r="I148" s="24"/>
      <c r="J148" s="24"/>
      <c r="K148" s="27"/>
      <c r="L148" s="27"/>
      <c r="M148" s="27"/>
      <c r="N148" s="27"/>
      <c r="O148" s="27"/>
      <c r="P148" s="27"/>
      <c r="Q148" s="27"/>
      <c r="R148"/>
      <c r="S148"/>
    </row>
    <row r="149" spans="4:19">
      <c r="E149" s="24"/>
      <c r="F149" s="27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/>
      <c r="S149"/>
    </row>
    <row r="150" spans="4:19">
      <c r="E150" s="27"/>
      <c r="F150" s="27"/>
      <c r="G150" s="27"/>
      <c r="H150" s="27"/>
      <c r="I150" s="24"/>
      <c r="J150" s="24"/>
      <c r="K150" s="27"/>
      <c r="L150" s="27"/>
      <c r="M150" s="27"/>
      <c r="N150" s="27"/>
      <c r="O150" s="27"/>
      <c r="P150" s="27"/>
      <c r="Q150" s="27"/>
      <c r="R150"/>
      <c r="S150"/>
    </row>
    <row r="151" spans="4:19"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/>
      <c r="S151"/>
    </row>
    <row r="152" spans="4:19">
      <c r="E152" s="27"/>
      <c r="F152" s="27"/>
      <c r="G152" s="27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/>
      <c r="S152"/>
    </row>
    <row r="153" spans="4:19"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/>
      <c r="S153"/>
    </row>
    <row r="154" spans="4:19"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/>
      <c r="S154"/>
    </row>
    <row r="155" spans="4:19">
      <c r="E155" s="27"/>
      <c r="F155" s="27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/>
      <c r="S155"/>
    </row>
    <row r="156" spans="4:19">
      <c r="E156" s="27"/>
      <c r="F156" s="27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/>
      <c r="S156"/>
    </row>
    <row r="157" spans="4:19"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/>
      <c r="S157"/>
    </row>
    <row r="158" spans="4:19">
      <c r="E158" s="27"/>
      <c r="F158" s="27"/>
      <c r="G158" s="27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/>
      <c r="S158"/>
    </row>
    <row r="159" spans="4:19"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4"/>
      <c r="R159"/>
      <c r="S159"/>
    </row>
    <row r="160" spans="4:19"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4"/>
      <c r="R160"/>
      <c r="S160"/>
    </row>
    <row r="161" spans="5:19"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4"/>
      <c r="R161"/>
      <c r="S161"/>
    </row>
    <row r="162" spans="5:19">
      <c r="E162" s="27"/>
      <c r="F162" s="27"/>
      <c r="G162" s="27"/>
      <c r="H162" s="27"/>
      <c r="I162" s="24"/>
      <c r="J162" s="24"/>
      <c r="K162" s="24"/>
      <c r="L162" s="24"/>
      <c r="M162" s="24"/>
      <c r="N162" s="24"/>
      <c r="O162" s="24"/>
      <c r="P162" s="24"/>
      <c r="Q162" s="24"/>
      <c r="R162"/>
      <c r="S162"/>
    </row>
    <row r="163" spans="5:19"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4"/>
      <c r="R163"/>
      <c r="S163"/>
    </row>
    <row r="164" spans="5:19"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4"/>
      <c r="R164"/>
      <c r="S164"/>
    </row>
    <row r="165" spans="5:19"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4"/>
      <c r="R165"/>
      <c r="S165"/>
    </row>
    <row r="166" spans="5:19"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4"/>
      <c r="R166"/>
      <c r="S166"/>
    </row>
    <row r="167" spans="5:19"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/>
      <c r="S167"/>
    </row>
    <row r="168" spans="5:19"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/>
      <c r="S168"/>
    </row>
    <row r="169" spans="5:19"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4"/>
      <c r="R169"/>
      <c r="S169"/>
    </row>
    <row r="170" spans="5:19"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/>
      <c r="S170"/>
    </row>
    <row r="171" spans="5:19"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/>
      <c r="S171"/>
    </row>
    <row r="172" spans="5:19">
      <c r="E172" s="27"/>
      <c r="F172" s="27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/>
      <c r="S172"/>
    </row>
    <row r="173" spans="5:19"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4"/>
      <c r="R173"/>
      <c r="S173"/>
    </row>
    <row r="174" spans="5:19"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4"/>
      <c r="R174"/>
      <c r="S174"/>
    </row>
    <row r="175" spans="5:19"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/>
      <c r="S175"/>
    </row>
    <row r="176" spans="5:19">
      <c r="E176" s="27"/>
      <c r="F176" s="27"/>
      <c r="G176" s="27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/>
      <c r="S176"/>
    </row>
    <row r="177" spans="5:19">
      <c r="E177" s="27"/>
      <c r="F177" s="27"/>
      <c r="G177" s="27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/>
      <c r="S177"/>
    </row>
    <row r="178" spans="5:19"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/>
      <c r="S178"/>
    </row>
    <row r="179" spans="5:19">
      <c r="E179" s="27"/>
      <c r="F179" s="27"/>
      <c r="G179" s="27"/>
      <c r="H179" s="27"/>
      <c r="I179" s="24"/>
      <c r="J179" s="24"/>
      <c r="K179" s="27"/>
      <c r="L179" s="27"/>
      <c r="M179" s="27"/>
      <c r="N179" s="27"/>
      <c r="O179" s="27"/>
      <c r="P179" s="27"/>
      <c r="Q179" s="27"/>
      <c r="R179"/>
      <c r="S179"/>
    </row>
    <row r="180" spans="5:19">
      <c r="E180" s="27"/>
      <c r="F180" s="27"/>
      <c r="G180" s="27"/>
      <c r="H180" s="24"/>
      <c r="I180" s="24"/>
      <c r="J180" s="24"/>
      <c r="K180" s="27"/>
      <c r="L180" s="27"/>
      <c r="M180" s="27"/>
      <c r="N180" s="27"/>
      <c r="O180" s="27"/>
      <c r="P180" s="27"/>
      <c r="Q180" s="27"/>
      <c r="R180"/>
      <c r="S180"/>
    </row>
    <row r="181" spans="5:19">
      <c r="E181" s="27"/>
      <c r="F181" s="27"/>
      <c r="G181" s="27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/>
      <c r="S181"/>
    </row>
    <row r="182" spans="5:19"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/>
      <c r="S182"/>
    </row>
    <row r="183" spans="5:19"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/>
      <c r="S183"/>
    </row>
    <row r="184" spans="5:19">
      <c r="R184"/>
      <c r="S184"/>
    </row>
    <row r="185" spans="5:19">
      <c r="R185"/>
      <c r="S185"/>
    </row>
    <row r="186" spans="5:19">
      <c r="R186"/>
      <c r="S186"/>
    </row>
    <row r="187" spans="5:19">
      <c r="R187"/>
      <c r="S187"/>
    </row>
    <row r="188" spans="5:19">
      <c r="R188"/>
      <c r="S188"/>
    </row>
    <row r="189" spans="5:19">
      <c r="R189"/>
      <c r="S189"/>
    </row>
    <row r="190" spans="5:19">
      <c r="R190"/>
      <c r="S190"/>
    </row>
    <row r="191" spans="5:19">
      <c r="R191"/>
      <c r="S191"/>
    </row>
    <row r="192" spans="5:19">
      <c r="R192"/>
      <c r="S192"/>
    </row>
    <row r="193" spans="18:19">
      <c r="R193"/>
      <c r="S193"/>
    </row>
    <row r="194" spans="18:19">
      <c r="R194"/>
      <c r="S194"/>
    </row>
    <row r="195" spans="18:19">
      <c r="R195"/>
      <c r="S195"/>
    </row>
    <row r="196" spans="18:19">
      <c r="R196"/>
      <c r="S196"/>
    </row>
    <row r="197" spans="18:19">
      <c r="R197"/>
      <c r="S197"/>
    </row>
    <row r="198" spans="18:19">
      <c r="R198"/>
      <c r="S198"/>
    </row>
    <row r="199" spans="18:19">
      <c r="R199"/>
      <c r="S199"/>
    </row>
    <row r="200" spans="18:19">
      <c r="R200"/>
      <c r="S200"/>
    </row>
  </sheetData>
  <mergeCells count="97">
    <mergeCell ref="B2:C2"/>
    <mergeCell ref="F2:G2"/>
    <mergeCell ref="R3:S3"/>
    <mergeCell ref="D4:K4"/>
    <mergeCell ref="L4:Q4"/>
    <mergeCell ref="B82:C82"/>
    <mergeCell ref="B84:C84"/>
    <mergeCell ref="B85:C85"/>
    <mergeCell ref="B19:C19"/>
    <mergeCell ref="B20:C20"/>
    <mergeCell ref="B22:C22"/>
    <mergeCell ref="B26:C26"/>
    <mergeCell ref="B27:C27"/>
    <mergeCell ref="B24:C24"/>
    <mergeCell ref="B48:C48"/>
    <mergeCell ref="B49:C49"/>
    <mergeCell ref="B51:C51"/>
    <mergeCell ref="B53:C53"/>
    <mergeCell ref="B45:C45"/>
    <mergeCell ref="B36:C36"/>
    <mergeCell ref="B39:C39"/>
    <mergeCell ref="B80:C80"/>
    <mergeCell ref="B73:C73"/>
    <mergeCell ref="B74:C74"/>
    <mergeCell ref="B75:C75"/>
    <mergeCell ref="B71:C71"/>
    <mergeCell ref="B77:C77"/>
    <mergeCell ref="B78:C78"/>
    <mergeCell ref="B93:C93"/>
    <mergeCell ref="B86:C86"/>
    <mergeCell ref="B87:C87"/>
    <mergeCell ref="B89:C89"/>
    <mergeCell ref="B90:C90"/>
    <mergeCell ref="B91:C91"/>
    <mergeCell ref="B88:C88"/>
    <mergeCell ref="B92:C92"/>
    <mergeCell ref="B60:C60"/>
    <mergeCell ref="B61:C61"/>
    <mergeCell ref="B64:C64"/>
    <mergeCell ref="B63:C63"/>
    <mergeCell ref="B62:C62"/>
    <mergeCell ref="B65:C65"/>
    <mergeCell ref="B66:C66"/>
    <mergeCell ref="B67:C67"/>
    <mergeCell ref="B76:C76"/>
    <mergeCell ref="B68:C68"/>
    <mergeCell ref="B69:C69"/>
    <mergeCell ref="B70:C70"/>
    <mergeCell ref="B37:C37"/>
    <mergeCell ref="B38:C38"/>
    <mergeCell ref="B55:C55"/>
    <mergeCell ref="B56:C56"/>
    <mergeCell ref="B59:C59"/>
    <mergeCell ref="B46:C46"/>
    <mergeCell ref="B47:C47"/>
    <mergeCell ref="B58:C58"/>
    <mergeCell ref="B40:C40"/>
    <mergeCell ref="B41:C41"/>
    <mergeCell ref="B42:C42"/>
    <mergeCell ref="B44:C44"/>
    <mergeCell ref="B57:C57"/>
    <mergeCell ref="B28:C28"/>
    <mergeCell ref="B29:C29"/>
    <mergeCell ref="B31:C31"/>
    <mergeCell ref="B32:C32"/>
    <mergeCell ref="B35:C35"/>
    <mergeCell ref="B34:C34"/>
    <mergeCell ref="B33:C33"/>
    <mergeCell ref="B30:C30"/>
    <mergeCell ref="B18:C18"/>
    <mergeCell ref="B11:C11"/>
    <mergeCell ref="B12:C12"/>
    <mergeCell ref="B13:C13"/>
    <mergeCell ref="B15:C15"/>
    <mergeCell ref="B16:C16"/>
    <mergeCell ref="B17:C17"/>
    <mergeCell ref="B7:C7"/>
    <mergeCell ref="B8:C8"/>
    <mergeCell ref="B9:C9"/>
    <mergeCell ref="B10:C10"/>
    <mergeCell ref="D5:D6"/>
    <mergeCell ref="E5:E6"/>
    <mergeCell ref="F5:F6"/>
    <mergeCell ref="G5:G6"/>
    <mergeCell ref="R4:S4"/>
    <mergeCell ref="O5:O6"/>
    <mergeCell ref="P5:P6"/>
    <mergeCell ref="Q5:Q6"/>
    <mergeCell ref="N5:N6"/>
    <mergeCell ref="H5:H6"/>
    <mergeCell ref="I5:I6"/>
    <mergeCell ref="J5:J6"/>
    <mergeCell ref="K5:K6"/>
    <mergeCell ref="L5:L6"/>
    <mergeCell ref="M5:M6"/>
    <mergeCell ref="R5:R6"/>
    <mergeCell ref="S5:S6"/>
  </mergeCells>
  <phoneticPr fontId="6"/>
  <conditionalFormatting sqref="C97:C98">
    <cfRule type="expression" dxfId="233" priority="5">
      <formula>CELL("protect",C97)=0</formula>
    </cfRule>
    <cfRule type="expression" dxfId="232" priority="6">
      <formula>CELL("protect",C97)=0</formula>
    </cfRule>
  </conditionalFormatting>
  <conditionalFormatting sqref="C95">
    <cfRule type="expression" dxfId="231" priority="3">
      <formula>CELL("protect",C95)=0</formula>
    </cfRule>
    <cfRule type="expression" dxfId="230" priority="4">
      <formula>CELL("protect",C95)=0</formula>
    </cfRule>
  </conditionalFormatting>
  <conditionalFormatting sqref="C97">
    <cfRule type="expression" dxfId="229" priority="1">
      <formula>CELL("protect",C97)=0</formula>
    </cfRule>
    <cfRule type="expression" dxfId="228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&amp;C160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>
    <tabColor indexed="22"/>
    <pageSetUpPr fitToPage="1"/>
  </sheetPr>
  <dimension ref="A11:P14"/>
  <sheetViews>
    <sheetView view="pageBreakPreview" topLeftCell="A25" zoomScale="70" zoomScaleNormal="70" zoomScaleSheetLayoutView="70" workbookViewId="0"/>
  </sheetViews>
  <sheetFormatPr defaultColWidth="9" defaultRowHeight="13.5"/>
  <sheetData>
    <row r="11" spans="1:16" ht="2.25" customHeight="1"/>
    <row r="12" spans="1:16" hidden="1"/>
    <row r="13" spans="1:16" ht="34.5" customHeight="1">
      <c r="A13" s="658" t="s">
        <v>334</v>
      </c>
      <c r="B13" s="659"/>
      <c r="C13" s="659"/>
      <c r="D13" s="659"/>
      <c r="E13" s="659"/>
      <c r="F13" s="659"/>
      <c r="G13" s="659"/>
      <c r="H13" s="659"/>
      <c r="I13" s="659"/>
      <c r="J13" s="659"/>
      <c r="K13" s="659"/>
      <c r="L13" s="659"/>
      <c r="M13" s="659"/>
      <c r="N13" s="659"/>
      <c r="O13" s="659"/>
      <c r="P13" s="659"/>
    </row>
    <row r="14" spans="1:16" ht="286.5" customHeight="1">
      <c r="A14" s="659"/>
      <c r="B14" s="659"/>
      <c r="C14" s="659"/>
      <c r="D14" s="659"/>
      <c r="E14" s="659"/>
      <c r="F14" s="659"/>
      <c r="G14" s="659"/>
      <c r="H14" s="659"/>
      <c r="I14" s="659"/>
      <c r="J14" s="659"/>
      <c r="K14" s="659"/>
      <c r="L14" s="659"/>
      <c r="M14" s="659"/>
      <c r="N14" s="659"/>
      <c r="O14" s="659"/>
      <c r="P14" s="659"/>
    </row>
  </sheetData>
  <mergeCells count="1">
    <mergeCell ref="A13:P14"/>
  </mergeCells>
  <phoneticPr fontId="6"/>
  <printOptions horizontalCentered="1"/>
  <pageMargins left="0.39370078740157483" right="0.39370078740157483" top="0.78740157480314965" bottom="0.39370078740157483" header="0.51181102362204722" footer="0.31496062992125984"/>
  <pageSetup paperSize="9" scale="67" firstPageNumber="161" fitToHeight="0" orientation="portrait" useFirstPageNumber="1" r:id="rId1"/>
  <headerFooter scaleWithDoc="0" alignWithMargins="0">
    <oddFooter xml:space="preserve">&amp;C&amp;P </oddFooter>
    <firstFooter>&amp;C163</first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rgb="FFC00000"/>
    <pageSetUpPr fitToPage="1"/>
  </sheetPr>
  <dimension ref="A1:S76"/>
  <sheetViews>
    <sheetView showGridLines="0" view="pageBreakPreview" zoomScaleNormal="75" zoomScaleSheetLayoutView="100" workbookViewId="0">
      <selection activeCell="O22" sqref="O22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1:19" ht="13.5" customHeight="1">
      <c r="R1" s="26"/>
      <c r="S1" s="26"/>
    </row>
    <row r="2" spans="1:19" s="2" customFormat="1" ht="33" customHeight="1">
      <c r="A2"/>
      <c r="B2" s="685" t="s">
        <v>335</v>
      </c>
      <c r="C2" s="685"/>
      <c r="F2" s="685" t="s">
        <v>296</v>
      </c>
      <c r="G2" s="685"/>
      <c r="H2" s="397" t="s">
        <v>0</v>
      </c>
    </row>
    <row r="3" spans="1:19" ht="33" customHeight="1" thickBot="1">
      <c r="P3" s="686" t="s">
        <v>297</v>
      </c>
      <c r="Q3" s="686"/>
    </row>
    <row r="4" spans="1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1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1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1:19" ht="17.25" customHeight="1">
      <c r="B7" s="644" t="s">
        <v>433</v>
      </c>
      <c r="C7" s="645"/>
      <c r="D7" s="265">
        <f>'ETHYLENE-A1'!D36-'ETHYLENE-A1'!D65</f>
        <v>358</v>
      </c>
      <c r="E7" s="266">
        <f>'ETHYLENE-A1'!E36-'ETHYLENE-A1'!E65</f>
        <v>587</v>
      </c>
      <c r="F7" s="266">
        <f>'ETHYLENE-A1'!F36-'ETHYLENE-A1'!F65</f>
        <v>898</v>
      </c>
      <c r="G7" s="266">
        <f>'ETHYLENE-A1'!G36-'ETHYLENE-A1'!G65</f>
        <v>976</v>
      </c>
      <c r="H7" s="266">
        <f>'ETHYLENE-A1'!H36-'ETHYLENE-A1'!H65</f>
        <v>560</v>
      </c>
      <c r="I7" s="266">
        <f>'ETHYLENE-A1'!I36-'ETHYLENE-A1'!I65</f>
        <v>429</v>
      </c>
      <c r="J7" s="266">
        <f>'ETHYLENE-A1'!J36-'ETHYLENE-A1'!J65</f>
        <v>606</v>
      </c>
      <c r="K7" s="267">
        <f>'ETHYLENE-A1'!K36-'ETHYLENE-A1'!K65</f>
        <v>707</v>
      </c>
      <c r="L7" s="265">
        <f>'ETHYLENE-A1'!L36-'ETHYLENE-A1'!L65</f>
        <v>700</v>
      </c>
      <c r="M7" s="266">
        <f>'ETHYLENE-A1'!M36-'ETHYLENE-A1'!M65</f>
        <v>1070</v>
      </c>
      <c r="N7" s="266">
        <f>'ETHYLENE-A1'!N36-'ETHYLENE-A1'!N65</f>
        <v>1140</v>
      </c>
      <c r="O7" s="266">
        <f>'ETHYLENE-A1'!O36-'ETHYLENE-A1'!O65</f>
        <v>2650</v>
      </c>
      <c r="P7" s="266">
        <f>'ETHYLENE-A1'!P36-'ETHYLENE-A1'!P65</f>
        <v>1860</v>
      </c>
      <c r="Q7" s="267">
        <f>'ETHYLENE-A1'!Q36-'ETHYLENE-A1'!Q65</f>
        <v>1500</v>
      </c>
    </row>
    <row r="8" spans="1:19" ht="16.5" customHeight="1">
      <c r="B8" s="605" t="s">
        <v>434</v>
      </c>
      <c r="C8" s="606"/>
      <c r="D8" s="265">
        <f>'ETHYLENE-A1'!D37-'ETHYLENE-A1'!D66</f>
        <v>-183</v>
      </c>
      <c r="E8" s="266">
        <f>'ETHYLENE-A1'!E37-'ETHYLENE-A1'!E66</f>
        <v>-273</v>
      </c>
      <c r="F8" s="266">
        <f>'ETHYLENE-A1'!F37-'ETHYLENE-A1'!F66</f>
        <v>-226</v>
      </c>
      <c r="G8" s="266">
        <f>'ETHYLENE-A1'!G37-'ETHYLENE-A1'!G66</f>
        <v>-61</v>
      </c>
      <c r="H8" s="266">
        <f>'ETHYLENE-A1'!H37-'ETHYLENE-A1'!H66</f>
        <v>70</v>
      </c>
      <c r="I8" s="266">
        <f>'ETHYLENE-A1'!I37-'ETHYLENE-A1'!I66</f>
        <v>111</v>
      </c>
      <c r="J8" s="266">
        <f>'ETHYLENE-A1'!J37-'ETHYLENE-A1'!J66</f>
        <v>-57</v>
      </c>
      <c r="K8" s="267">
        <f>'ETHYLENE-A1'!K37-'ETHYLENE-A1'!K66</f>
        <v>-260</v>
      </c>
      <c r="L8" s="265">
        <f>'ETHYLENE-A1'!L37-'ETHYLENE-A1'!L66</f>
        <v>-100</v>
      </c>
      <c r="M8" s="266">
        <f>'ETHYLENE-A1'!M37-'ETHYLENE-A1'!M66</f>
        <v>-100</v>
      </c>
      <c r="N8" s="266">
        <f>'ETHYLENE-A1'!N37-'ETHYLENE-A1'!N66</f>
        <v>-100</v>
      </c>
      <c r="O8" s="266">
        <f>'ETHYLENE-A1'!O37-'ETHYLENE-A1'!O66</f>
        <v>-100</v>
      </c>
      <c r="P8" s="266">
        <f>'ETHYLENE-A1'!P37-'ETHYLENE-A1'!P66</f>
        <v>-150</v>
      </c>
      <c r="Q8" s="267">
        <f>'ETHYLENE-A1'!Q37-'ETHYLENE-A1'!Q66</f>
        <v>-150</v>
      </c>
    </row>
    <row r="9" spans="1:19" ht="16.5" customHeight="1">
      <c r="B9" s="605" t="s">
        <v>435</v>
      </c>
      <c r="C9" s="606"/>
      <c r="D9" s="265">
        <f>'ETHYLENE-A1'!D38-'ETHYLENE-A1'!D67</f>
        <v>221</v>
      </c>
      <c r="E9" s="266">
        <f>'ETHYLENE-A1'!E38-'ETHYLENE-A1'!E67</f>
        <v>32.701000000000022</v>
      </c>
      <c r="F9" s="266">
        <f>'ETHYLENE-A1'!F38-'ETHYLENE-A1'!F67</f>
        <v>56.753999999999905</v>
      </c>
      <c r="G9" s="266">
        <f>'ETHYLENE-A1'!G38-'ETHYLENE-A1'!G67</f>
        <v>127.64799999999968</v>
      </c>
      <c r="H9" s="266">
        <f>'ETHYLENE-A1'!H38-'ETHYLENE-A1'!H67</f>
        <v>228.29100000000017</v>
      </c>
      <c r="I9" s="266">
        <f>'ETHYLENE-A1'!I38-'ETHYLENE-A1'!I67</f>
        <v>230.32799999999997</v>
      </c>
      <c r="J9" s="266">
        <f>'ETHYLENE-A1'!J38-'ETHYLENE-A1'!J67</f>
        <v>23</v>
      </c>
      <c r="K9" s="267">
        <f>'ETHYLENE-A1'!K38-'ETHYLENE-A1'!K67</f>
        <v>423</v>
      </c>
      <c r="L9" s="265">
        <f>'ETHYLENE-A1'!L38-'ETHYLENE-A1'!L67</f>
        <v>83</v>
      </c>
      <c r="M9" s="266">
        <f>'ETHYLENE-A1'!M38-'ETHYLENE-A1'!M67</f>
        <v>68</v>
      </c>
      <c r="N9" s="266">
        <f>'ETHYLENE-A1'!N38-'ETHYLENE-A1'!N67</f>
        <v>58</v>
      </c>
      <c r="O9" s="266">
        <f>'ETHYLENE-A1'!O38-'ETHYLENE-A1'!O67</f>
        <v>28</v>
      </c>
      <c r="P9" s="266">
        <f>'ETHYLENE-A1'!P38-'ETHYLENE-A1'!P67</f>
        <v>60</v>
      </c>
      <c r="Q9" s="267">
        <f>'ETHYLENE-A1'!Q38-'ETHYLENE-A1'!Q67</f>
        <v>10</v>
      </c>
    </row>
    <row r="10" spans="1:19" ht="16.5" customHeight="1">
      <c r="B10" s="605" t="s">
        <v>436</v>
      </c>
      <c r="C10" s="606"/>
      <c r="D10" s="265">
        <f>'ETHYLENE-A1'!D39-'ETHYLENE-A1'!D68</f>
        <v>-782</v>
      </c>
      <c r="E10" s="266">
        <f>'ETHYLENE-A1'!E39-'ETHYLENE-A1'!E68</f>
        <v>-1047</v>
      </c>
      <c r="F10" s="266">
        <f>'ETHYLENE-A1'!F39-'ETHYLENE-A1'!F68</f>
        <v>-1422</v>
      </c>
      <c r="G10" s="266">
        <f>'ETHYLENE-A1'!G39-'ETHYLENE-A1'!G68</f>
        <v>-1704</v>
      </c>
      <c r="H10" s="266">
        <f>'ETHYLENE-A1'!H39-'ETHYLENE-A1'!H68</f>
        <v>-1497</v>
      </c>
      <c r="I10" s="266">
        <f>'ETHYLENE-A1'!I39-'ETHYLENE-A1'!I68</f>
        <v>-1521</v>
      </c>
      <c r="J10" s="266">
        <f>'ETHYLENE-A1'!J39-'ETHYLENE-A1'!J68</f>
        <v>-1649</v>
      </c>
      <c r="K10" s="267">
        <f>'ETHYLENE-A1'!K39-'ETHYLENE-A1'!K68</f>
        <v>-2151</v>
      </c>
      <c r="L10" s="265">
        <f>'ETHYLENE-A1'!L39-'ETHYLENE-A1'!L68</f>
        <v>-1730</v>
      </c>
      <c r="M10" s="266">
        <f>'ETHYLENE-A1'!M39-'ETHYLENE-A1'!M68</f>
        <v>-1810</v>
      </c>
      <c r="N10" s="266">
        <f>'ETHYLENE-A1'!N39-'ETHYLENE-A1'!N68</f>
        <v>-1850</v>
      </c>
      <c r="O10" s="266">
        <f>'ETHYLENE-A1'!O39-'ETHYLENE-A1'!O68</f>
        <v>-1860</v>
      </c>
      <c r="P10" s="266">
        <f>'ETHYLENE-A1'!P39-'ETHYLENE-A1'!P68</f>
        <v>-1890</v>
      </c>
      <c r="Q10" s="267">
        <f>'ETHYLENE-A1'!Q39-'ETHYLENE-A1'!Q68</f>
        <v>-1500</v>
      </c>
    </row>
    <row r="11" spans="1:19" ht="16.5" customHeight="1">
      <c r="B11" s="605" t="s">
        <v>437</v>
      </c>
      <c r="C11" s="606"/>
      <c r="D11" s="265">
        <f>'ETHYLENE-A1'!D40-'ETHYLENE-A1'!D69</f>
        <v>-430.82000000000016</v>
      </c>
      <c r="E11" s="266">
        <f>'ETHYLENE-A1'!E40-'ETHYLENE-A1'!E69</f>
        <v>-41</v>
      </c>
      <c r="F11" s="266">
        <f>'ETHYLENE-A1'!F40-'ETHYLENE-A1'!F69</f>
        <v>-55</v>
      </c>
      <c r="G11" s="266">
        <f>'ETHYLENE-A1'!G40-'ETHYLENE-A1'!G69</f>
        <v>-68.059999999999945</v>
      </c>
      <c r="H11" s="266">
        <f>'ETHYLENE-A1'!H40-'ETHYLENE-A1'!H69</f>
        <v>35.594480000000203</v>
      </c>
      <c r="I11" s="266">
        <f>'ETHYLENE-A1'!I40-'ETHYLENE-A1'!I69</f>
        <v>47.118999999999687</v>
      </c>
      <c r="J11" s="266">
        <f>'ETHYLENE-A1'!J40-'ETHYLENE-A1'!J69</f>
        <v>-71.484000000000378</v>
      </c>
      <c r="K11" s="267">
        <f>'ETHYLENE-A1'!K40-'ETHYLENE-A1'!K69</f>
        <v>100.90400000000045</v>
      </c>
      <c r="L11" s="265">
        <f>'ETHYLENE-A1'!L40-'ETHYLENE-A1'!L69</f>
        <v>-12</v>
      </c>
      <c r="M11" s="266">
        <f>'ETHYLENE-A1'!M40-'ETHYLENE-A1'!M69</f>
        <v>-150</v>
      </c>
      <c r="N11" s="266">
        <f>'ETHYLENE-A1'!N40-'ETHYLENE-A1'!N69</f>
        <v>-190</v>
      </c>
      <c r="O11" s="266">
        <f>'ETHYLENE-A1'!O40-'ETHYLENE-A1'!O69</f>
        <v>110</v>
      </c>
      <c r="P11" s="266">
        <f>'ETHYLENE-A1'!P40-'ETHYLENE-A1'!P69</f>
        <v>90</v>
      </c>
      <c r="Q11" s="267">
        <f>'ETHYLENE-A1'!Q40-'ETHYLENE-A1'!Q69</f>
        <v>50</v>
      </c>
    </row>
    <row r="12" spans="1:19" ht="16.5" customHeight="1">
      <c r="B12" s="605" t="s">
        <v>438</v>
      </c>
      <c r="C12" s="606"/>
      <c r="D12" s="265">
        <f>'ETHYLENE-A1'!D41-'ETHYLENE-A1'!D70</f>
        <v>-636.61302526941517</v>
      </c>
      <c r="E12" s="266">
        <f>'ETHYLENE-A1'!E41-'ETHYLENE-A1'!E70</f>
        <v>-510.6339792403918</v>
      </c>
      <c r="F12" s="266">
        <f>'ETHYLENE-A1'!F41-'ETHYLENE-A1'!F70</f>
        <v>-568</v>
      </c>
      <c r="G12" s="266">
        <f>'ETHYLENE-A1'!G41-'ETHYLENE-A1'!G70</f>
        <v>-536</v>
      </c>
      <c r="H12" s="266">
        <f>'ETHYLENE-A1'!H41-'ETHYLENE-A1'!H70</f>
        <v>-536</v>
      </c>
      <c r="I12" s="266">
        <f>'ETHYLENE-A1'!I41-'ETHYLENE-A1'!I70</f>
        <v>-550</v>
      </c>
      <c r="J12" s="266">
        <f>'ETHYLENE-A1'!J41-'ETHYLENE-A1'!J70</f>
        <v>-550</v>
      </c>
      <c r="K12" s="267">
        <f>'ETHYLENE-A1'!K41-'ETHYLENE-A1'!K70</f>
        <v>-500</v>
      </c>
      <c r="L12" s="265">
        <f>'ETHYLENE-A1'!L41-'ETHYLENE-A1'!L70</f>
        <v>-620</v>
      </c>
      <c r="M12" s="657">
        <f>'ETHYLENE-A1'!M41-'ETHYLENE-A1'!M70</f>
        <v>-690</v>
      </c>
      <c r="N12" s="657">
        <f>'ETHYLENE-A1'!N41-'ETHYLENE-A1'!N70</f>
        <v>-730</v>
      </c>
      <c r="O12" s="657">
        <f>'ETHYLENE-A1'!O41-'ETHYLENE-A1'!O70</f>
        <v>-800</v>
      </c>
      <c r="P12" s="657">
        <f>'ETHYLENE-A1'!P41-'ETHYLENE-A1'!P70</f>
        <v>-880</v>
      </c>
      <c r="Q12" s="274">
        <f>'ETHYLENE-A1'!Q41-'ETHYLENE-A1'!Q70</f>
        <v>-220</v>
      </c>
    </row>
    <row r="13" spans="1:19" ht="16.5" customHeight="1">
      <c r="B13" s="605" t="s">
        <v>439</v>
      </c>
      <c r="C13" s="606"/>
      <c r="D13" s="265">
        <f>'ETHYLENE-A1'!D42-'ETHYLENE-A1'!D71</f>
        <v>0</v>
      </c>
      <c r="E13" s="266">
        <f>'ETHYLENE-A1'!E42-'ETHYLENE-A1'!E71</f>
        <v>-56</v>
      </c>
      <c r="F13" s="266">
        <f>'ETHYLENE-A1'!F42-'ETHYLENE-A1'!F71</f>
        <v>-23</v>
      </c>
      <c r="G13" s="266">
        <f>'ETHYLENE-A1'!G42-'ETHYLENE-A1'!G71</f>
        <v>-50</v>
      </c>
      <c r="H13" s="266">
        <f>'ETHYLENE-A1'!H42-'ETHYLENE-A1'!H71</f>
        <v>-33</v>
      </c>
      <c r="I13" s="266">
        <f>'ETHYLENE-A1'!I42-'ETHYLENE-A1'!I71</f>
        <v>-23</v>
      </c>
      <c r="J13" s="266">
        <f>'ETHYLENE-A1'!J42-'ETHYLENE-A1'!J71</f>
        <v>-23</v>
      </c>
      <c r="K13" s="267">
        <f>'ETHYLENE-A1'!K42-'ETHYLENE-A1'!K71</f>
        <v>-50</v>
      </c>
      <c r="L13" s="265">
        <f>'ETHYLENE-A1'!L42-'ETHYLENE-A1'!L71</f>
        <v>-100</v>
      </c>
      <c r="M13" s="266">
        <f>'ETHYLENE-A1'!M42-'ETHYLENE-A1'!M71</f>
        <v>-100</v>
      </c>
      <c r="N13" s="266">
        <f>'ETHYLENE-A1'!N42-'ETHYLENE-A1'!N71</f>
        <v>100</v>
      </c>
      <c r="O13" s="266">
        <f>'ETHYLENE-A1'!O42-'ETHYLENE-A1'!O71</f>
        <v>100</v>
      </c>
      <c r="P13" s="266">
        <f>'ETHYLENE-A1'!P42-'ETHYLENE-A1'!P71</f>
        <v>-200</v>
      </c>
      <c r="Q13" s="267">
        <f>'ETHYLENE-A1'!Q42-'ETHYLENE-A1'!Q71</f>
        <v>-200</v>
      </c>
    </row>
    <row r="14" spans="1:19" ht="18" hidden="1" customHeight="1">
      <c r="B14" s="16"/>
      <c r="C14" s="90" t="s">
        <v>306</v>
      </c>
      <c r="D14" s="265">
        <f>'ETHYLENE-A1'!D43-'ETHYLENE-A1'!D72</f>
        <v>0</v>
      </c>
      <c r="E14" s="266">
        <f>'ETHYLENE-A1'!E43-'ETHYLENE-A1'!E72</f>
        <v>0</v>
      </c>
      <c r="F14" s="266">
        <f>'ETHYLENE-A1'!F43-'ETHYLENE-A1'!F72</f>
        <v>0</v>
      </c>
      <c r="G14" s="266">
        <f>'ETHYLENE-A1'!G43-'ETHYLENE-A1'!G72</f>
        <v>0</v>
      </c>
      <c r="H14" s="266">
        <f>'ETHYLENE-A1'!H43-'ETHYLENE-A1'!H72</f>
        <v>0</v>
      </c>
      <c r="I14" s="266">
        <f>'ETHYLENE-A1'!I43-'ETHYLENE-A1'!I72</f>
        <v>0</v>
      </c>
      <c r="J14" s="266">
        <f>'ETHYLENE-A1'!J43-'ETHYLENE-A1'!J72</f>
        <v>0</v>
      </c>
      <c r="K14" s="267">
        <f>'ETHYLENE-A1'!K43-'ETHYLENE-A1'!K72</f>
        <v>0</v>
      </c>
      <c r="L14" s="265">
        <f>'ETHYLENE-A1'!L43-'ETHYLENE-A1'!L72</f>
        <v>0</v>
      </c>
      <c r="M14" s="266">
        <f>'ETHYLENE-A1'!M43-'ETHYLENE-A1'!M72</f>
        <v>0</v>
      </c>
      <c r="N14" s="266">
        <f>'ETHYLENE-A1'!N43-'ETHYLENE-A1'!N72</f>
        <v>0</v>
      </c>
      <c r="O14" s="266">
        <f>'ETHYLENE-A1'!O43-'ETHYLENE-A1'!O72</f>
        <v>0</v>
      </c>
      <c r="P14" s="266">
        <f>'ETHYLENE-A1'!P43-'ETHYLENE-A1'!P72</f>
        <v>0</v>
      </c>
      <c r="Q14" s="267">
        <f>'ETHYLENE-A1'!Q43-'ETHYLENE-A1'!Q72</f>
        <v>0</v>
      </c>
    </row>
    <row r="15" spans="1:19" ht="16.5" customHeight="1">
      <c r="B15" s="605" t="s">
        <v>440</v>
      </c>
      <c r="C15" s="606"/>
      <c r="D15" s="265">
        <f>'ETHYLENE-A1'!D44-'ETHYLENE-A1'!D73</f>
        <v>0</v>
      </c>
      <c r="E15" s="266">
        <f>'ETHYLENE-A1'!E44-'ETHYLENE-A1'!E73</f>
        <v>0</v>
      </c>
      <c r="F15" s="266">
        <f>'ETHYLENE-A1'!F44-'ETHYLENE-A1'!F73</f>
        <v>0</v>
      </c>
      <c r="G15" s="266">
        <f>'ETHYLENE-A1'!G44-'ETHYLENE-A1'!G73</f>
        <v>0</v>
      </c>
      <c r="H15" s="266">
        <f>'ETHYLENE-A1'!H44-'ETHYLENE-A1'!H73</f>
        <v>-50</v>
      </c>
      <c r="I15" s="266">
        <f>'ETHYLENE-A1'!I44-'ETHYLENE-A1'!I73</f>
        <v>0</v>
      </c>
      <c r="J15" s="266">
        <f>'ETHYLENE-A1'!J44-'ETHYLENE-A1'!J73</f>
        <v>0</v>
      </c>
      <c r="K15" s="267">
        <f>'ETHYLENE-A1'!K44-'ETHYLENE-A1'!K73</f>
        <v>0</v>
      </c>
      <c r="L15" s="265">
        <f>'ETHYLENE-A1'!L44-'ETHYLENE-A1'!L73</f>
        <v>0</v>
      </c>
      <c r="M15" s="266">
        <f>'ETHYLENE-A1'!M44-'ETHYLENE-A1'!M73</f>
        <v>0</v>
      </c>
      <c r="N15" s="266">
        <f>'ETHYLENE-A1'!N44-'ETHYLENE-A1'!N73</f>
        <v>0</v>
      </c>
      <c r="O15" s="266">
        <f>'ETHYLENE-A1'!O44-'ETHYLENE-A1'!O73</f>
        <v>0</v>
      </c>
      <c r="P15" s="266">
        <f>'ETHYLENE-A1'!P44-'ETHYLENE-A1'!P73</f>
        <v>0</v>
      </c>
      <c r="Q15" s="267">
        <f>'ETHYLENE-A1'!Q44-'ETHYLENE-A1'!Q73</f>
        <v>0</v>
      </c>
    </row>
    <row r="16" spans="1:19" ht="16.5" customHeight="1">
      <c r="B16" s="605" t="s">
        <v>441</v>
      </c>
      <c r="C16" s="606"/>
      <c r="D16" s="265">
        <f>'ETHYLENE-A1'!D45-'ETHYLENE-A1'!D74</f>
        <v>49.839999999999918</v>
      </c>
      <c r="E16" s="266">
        <f>'ETHYLENE-A1'!E45-'ETHYLENE-A1'!E74</f>
        <v>111</v>
      </c>
      <c r="F16" s="266">
        <f>'ETHYLENE-A1'!F45-'ETHYLENE-A1'!F74</f>
        <v>94</v>
      </c>
      <c r="G16" s="266">
        <f>'ETHYLENE-A1'!G45-'ETHYLENE-A1'!G74</f>
        <v>71.912000000000035</v>
      </c>
      <c r="H16" s="266">
        <f>'ETHYLENE-A1'!H45-'ETHYLENE-A1'!H74</f>
        <v>98.913999999999987</v>
      </c>
      <c r="I16" s="266">
        <f>'ETHYLENE-A1'!I45-'ETHYLENE-A1'!I74</f>
        <v>110.57000000000016</v>
      </c>
      <c r="J16" s="266">
        <f>'ETHYLENE-A1'!J45-'ETHYLENE-A1'!J74</f>
        <v>195.61200000000008</v>
      </c>
      <c r="K16" s="267">
        <f>'ETHYLENE-A1'!K45-'ETHYLENE-A1'!K74</f>
        <v>138.86899999999991</v>
      </c>
      <c r="L16" s="265">
        <f>'ETHYLENE-A1'!L45-'ETHYLENE-A1'!L74</f>
        <v>325.29999999999995</v>
      </c>
      <c r="M16" s="266">
        <f>'ETHYLENE-A1'!M45-'ETHYLENE-A1'!M74</f>
        <v>170</v>
      </c>
      <c r="N16" s="266">
        <f>'ETHYLENE-A1'!N45-'ETHYLENE-A1'!N74</f>
        <v>280</v>
      </c>
      <c r="O16" s="266">
        <f>'ETHYLENE-A1'!O45-'ETHYLENE-A1'!O74</f>
        <v>320</v>
      </c>
      <c r="P16" s="266">
        <f>'ETHYLENE-A1'!P45-'ETHYLENE-A1'!P74</f>
        <v>300</v>
      </c>
      <c r="Q16" s="267">
        <f>'ETHYLENE-A1'!Q45-'ETHYLENE-A1'!Q74</f>
        <v>300</v>
      </c>
    </row>
    <row r="17" spans="2:17" ht="16.5" customHeight="1">
      <c r="B17" s="605" t="s">
        <v>442</v>
      </c>
      <c r="C17" s="606"/>
      <c r="D17" s="265">
        <f>'ETHYLENE-A1'!D46-'ETHYLENE-A1'!D75</f>
        <v>0</v>
      </c>
      <c r="E17" s="266">
        <f>'ETHYLENE-A1'!E46-'ETHYLENE-A1'!E75</f>
        <v>0</v>
      </c>
      <c r="F17" s="266">
        <f>'ETHYLENE-A1'!F46-'ETHYLENE-A1'!F75</f>
        <v>0</v>
      </c>
      <c r="G17" s="266">
        <f>'ETHYLENE-A1'!G46-'ETHYLENE-A1'!G75</f>
        <v>0</v>
      </c>
      <c r="H17" s="266">
        <f>'ETHYLENE-A1'!H46-'ETHYLENE-A1'!H75</f>
        <v>0</v>
      </c>
      <c r="I17" s="266">
        <f>'ETHYLENE-A1'!I46-'ETHYLENE-A1'!I75</f>
        <v>0</v>
      </c>
      <c r="J17" s="266">
        <f>'ETHYLENE-A1'!J46-'ETHYLENE-A1'!J75</f>
        <v>0</v>
      </c>
      <c r="K17" s="267">
        <f>'ETHYLENE-A1'!K46-'ETHYLENE-A1'!K75</f>
        <v>0</v>
      </c>
      <c r="L17" s="265">
        <f>'ETHYLENE-A1'!L46-'ETHYLENE-A1'!L75</f>
        <v>0</v>
      </c>
      <c r="M17" s="266">
        <f>'ETHYLENE-A1'!M46-'ETHYLENE-A1'!M75</f>
        <v>0</v>
      </c>
      <c r="N17" s="266">
        <f>'ETHYLENE-A1'!N46-'ETHYLENE-A1'!N75</f>
        <v>0</v>
      </c>
      <c r="O17" s="266">
        <f>'ETHYLENE-A1'!O46-'ETHYLENE-A1'!O75</f>
        <v>0</v>
      </c>
      <c r="P17" s="266">
        <f>'ETHYLENE-A1'!P46-'ETHYLENE-A1'!P75</f>
        <v>-1200</v>
      </c>
      <c r="Q17" s="267">
        <f>'ETHYLENE-A1'!Q46-'ETHYLENE-A1'!Q75</f>
        <v>1200</v>
      </c>
    </row>
    <row r="18" spans="2:17" ht="16.5" customHeight="1">
      <c r="B18" s="607" t="s">
        <v>443</v>
      </c>
      <c r="C18" s="608"/>
      <c r="D18" s="265">
        <f>'ETHYLENE-A1'!D47-'ETHYLENE-A1'!D76</f>
        <v>399</v>
      </c>
      <c r="E18" s="266">
        <f>'ETHYLENE-A1'!E47-'ETHYLENE-A1'!E76</f>
        <v>501.10000000000036</v>
      </c>
      <c r="F18" s="266">
        <f>'ETHYLENE-A1'!F47-'ETHYLENE-A1'!F76</f>
        <v>569.70000000000073</v>
      </c>
      <c r="G18" s="266">
        <f>'ETHYLENE-A1'!G47-'ETHYLENE-A1'!G76</f>
        <v>872.19999999999982</v>
      </c>
      <c r="H18" s="266">
        <f>'ETHYLENE-A1'!H47-'ETHYLENE-A1'!H76</f>
        <v>787.30000000000018</v>
      </c>
      <c r="I18" s="266">
        <f>'ETHYLENE-A1'!I47-'ETHYLENE-A1'!I76</f>
        <v>922.60000000000036</v>
      </c>
      <c r="J18" s="266">
        <f>'ETHYLENE-A1'!J47-'ETHYLENE-A1'!J76</f>
        <v>561.5</v>
      </c>
      <c r="K18" s="267">
        <f>'ETHYLENE-A1'!K47-'ETHYLENE-A1'!K76</f>
        <v>569</v>
      </c>
      <c r="L18" s="265">
        <f>'ETHYLENE-A1'!L47-'ETHYLENE-A1'!L76</f>
        <v>483.60000000000036</v>
      </c>
      <c r="M18" s="266">
        <f>'ETHYLENE-A1'!M47-'ETHYLENE-A1'!M76</f>
        <v>630</v>
      </c>
      <c r="N18" s="266">
        <f>'ETHYLENE-A1'!N47-'ETHYLENE-A1'!N76</f>
        <v>605</v>
      </c>
      <c r="O18" s="266">
        <f>'ETHYLENE-A1'!O47-'ETHYLENE-A1'!O76</f>
        <v>555</v>
      </c>
      <c r="P18" s="266">
        <f>'ETHYLENE-A1'!P47-'ETHYLENE-A1'!P76</f>
        <v>530</v>
      </c>
      <c r="Q18" s="267">
        <f>'ETHYLENE-A1'!Q47-'ETHYLENE-A1'!Q76</f>
        <v>480</v>
      </c>
    </row>
    <row r="19" spans="2:17" ht="17.25" customHeight="1">
      <c r="B19" s="674" t="s">
        <v>307</v>
      </c>
      <c r="C19" s="675"/>
      <c r="D19" s="244">
        <f t="shared" ref="D19:Q19" si="0">SUM(D7:D18)</f>
        <v>-1004.5930252694154</v>
      </c>
      <c r="E19" s="245">
        <f t="shared" si="0"/>
        <v>-695.83297924039152</v>
      </c>
      <c r="F19" s="245">
        <f t="shared" si="0"/>
        <v>-675.54599999999937</v>
      </c>
      <c r="G19" s="245">
        <f t="shared" si="0"/>
        <v>-371.30000000000041</v>
      </c>
      <c r="H19" s="245">
        <f t="shared" si="0"/>
        <v>-335.90051999999946</v>
      </c>
      <c r="I19" s="245">
        <f t="shared" si="0"/>
        <v>-243.38299999999981</v>
      </c>
      <c r="J19" s="245">
        <f t="shared" si="0"/>
        <v>-964.3720000000003</v>
      </c>
      <c r="K19" s="246">
        <f t="shared" si="0"/>
        <v>-1022.2269999999996</v>
      </c>
      <c r="L19" s="247">
        <f t="shared" si="0"/>
        <v>-970.09999999999968</v>
      </c>
      <c r="M19" s="245">
        <f t="shared" si="0"/>
        <v>-912</v>
      </c>
      <c r="N19" s="245">
        <f t="shared" si="0"/>
        <v>-687</v>
      </c>
      <c r="O19" s="245">
        <f t="shared" si="0"/>
        <v>1003</v>
      </c>
      <c r="P19" s="245">
        <f t="shared" si="0"/>
        <v>-1480</v>
      </c>
      <c r="Q19" s="248">
        <f t="shared" si="0"/>
        <v>1470</v>
      </c>
    </row>
    <row r="20" spans="2:17" ht="17.25" customHeight="1">
      <c r="B20" s="672" t="s">
        <v>308</v>
      </c>
      <c r="C20" s="673"/>
      <c r="D20" s="268">
        <f>'ETHYLENE-A1'!D49-'ETHYLENE-A1'!D78</f>
        <v>0</v>
      </c>
      <c r="E20" s="269">
        <f>'ETHYLENE-A1'!E49-'ETHYLENE-A1'!E78</f>
        <v>0</v>
      </c>
      <c r="F20" s="269">
        <f>'ETHYLENE-A1'!F49-'ETHYLENE-A1'!F78</f>
        <v>0</v>
      </c>
      <c r="G20" s="269">
        <f>'ETHYLENE-A1'!G49-'ETHYLENE-A1'!G78</f>
        <v>0</v>
      </c>
      <c r="H20" s="269">
        <f>'ETHYLENE-A1'!H49-'ETHYLENE-A1'!H78</f>
        <v>0</v>
      </c>
      <c r="I20" s="269">
        <f>'ETHYLENE-A1'!I49-'ETHYLENE-A1'!I78</f>
        <v>0</v>
      </c>
      <c r="J20" s="269">
        <f>'ETHYLENE-A1'!J49-'ETHYLENE-A1'!J78</f>
        <v>0</v>
      </c>
      <c r="K20" s="270">
        <f>'ETHYLENE-A1'!K49-'ETHYLENE-A1'!K78</f>
        <v>0</v>
      </c>
      <c r="L20" s="271">
        <f>'ETHYLENE-A1'!L49-'ETHYLENE-A1'!L78</f>
        <v>0</v>
      </c>
      <c r="M20" s="269">
        <f>'ETHYLENE-A1'!M49-'ETHYLENE-A1'!M78</f>
        <v>0</v>
      </c>
      <c r="N20" s="269">
        <f>'ETHYLENE-A1'!N49-'ETHYLENE-A1'!N78</f>
        <v>0</v>
      </c>
      <c r="O20" s="269">
        <f>'ETHYLENE-A1'!O49-'ETHYLENE-A1'!O78</f>
        <v>0</v>
      </c>
      <c r="P20" s="269">
        <f>'ETHYLENE-A1'!P49-'ETHYLENE-A1'!P78</f>
        <v>0</v>
      </c>
      <c r="Q20" s="272">
        <f>'ETHYLENE-A1'!Q49-'ETHYLENE-A1'!Q78</f>
        <v>0</v>
      </c>
    </row>
    <row r="21" spans="2:17" ht="16.5" customHeight="1">
      <c r="B21" s="105"/>
      <c r="C21" s="97" t="s">
        <v>309</v>
      </c>
      <c r="D21" s="268">
        <f>'ETHYLENE-A1'!D50-'ETHYLENE-A1'!D79</f>
        <v>0</v>
      </c>
      <c r="E21" s="269">
        <f>'ETHYLENE-A1'!E50-'ETHYLENE-A1'!E79</f>
        <v>0</v>
      </c>
      <c r="F21" s="269">
        <f>'ETHYLENE-A1'!F50-'ETHYLENE-A1'!F79</f>
        <v>0</v>
      </c>
      <c r="G21" s="269">
        <f>'ETHYLENE-A1'!G50-'ETHYLENE-A1'!G79</f>
        <v>0</v>
      </c>
      <c r="H21" s="269">
        <f>'ETHYLENE-A1'!H50-'ETHYLENE-A1'!H79</f>
        <v>0</v>
      </c>
      <c r="I21" s="269">
        <f>'ETHYLENE-A1'!I50-'ETHYLENE-A1'!I79</f>
        <v>0</v>
      </c>
      <c r="J21" s="269">
        <f>'ETHYLENE-A1'!J50-'ETHYLENE-A1'!J79</f>
        <v>0</v>
      </c>
      <c r="K21" s="270">
        <f>'ETHYLENE-A1'!K50-'ETHYLENE-A1'!K79</f>
        <v>0</v>
      </c>
      <c r="L21" s="271">
        <f>'ETHYLENE-A1'!L50-'ETHYLENE-A1'!L79</f>
        <v>0</v>
      </c>
      <c r="M21" s="269">
        <f>'ETHYLENE-A1'!M50-'ETHYLENE-A1'!M79</f>
        <v>0</v>
      </c>
      <c r="N21" s="269">
        <f>'ETHYLENE-A1'!N50-'ETHYLENE-A1'!N79</f>
        <v>0</v>
      </c>
      <c r="O21" s="269">
        <f>'ETHYLENE-A1'!O50-'ETHYLENE-A1'!O79</f>
        <v>0</v>
      </c>
      <c r="P21" s="269">
        <f>'ETHYLENE-A1'!P50-'ETHYLENE-A1'!P79</f>
        <v>0</v>
      </c>
      <c r="Q21" s="272">
        <f>'ETHYLENE-A1'!Q50-'ETHYLENE-A1'!Q79</f>
        <v>0</v>
      </c>
    </row>
    <row r="22" spans="2:17" ht="17.25" customHeight="1">
      <c r="B22" s="672" t="s">
        <v>310</v>
      </c>
      <c r="C22" s="673"/>
      <c r="D22" s="265">
        <f>'ETHYLENE-A1'!D51-'ETHYLENE-A1'!D80</f>
        <v>-138</v>
      </c>
      <c r="E22" s="266">
        <f>'ETHYLENE-A1'!E51-'ETHYLENE-A1'!E80</f>
        <v>-226</v>
      </c>
      <c r="F22" s="266">
        <f>'ETHYLENE-A1'!F51-'ETHYLENE-A1'!F80</f>
        <v>-701</v>
      </c>
      <c r="G22" s="266">
        <f>'ETHYLENE-A1'!G51-'ETHYLENE-A1'!G80</f>
        <v>-959</v>
      </c>
      <c r="H22" s="266">
        <f>'ETHYLENE-A1'!H51-'ETHYLENE-A1'!H80</f>
        <v>-411</v>
      </c>
      <c r="I22" s="266">
        <f>'ETHYLENE-A1'!I51-'ETHYLENE-A1'!I80</f>
        <v>-384.42999999999665</v>
      </c>
      <c r="J22" s="266">
        <f>'ETHYLENE-A1'!J51-'ETHYLENE-A1'!J80</f>
        <v>184.22172499999579</v>
      </c>
      <c r="K22" s="267">
        <f>'ETHYLENE-A1'!K51-'ETHYLENE-A1'!K80</f>
        <v>624.64464099999896</v>
      </c>
      <c r="L22" s="273">
        <f>'ETHYLENE-A1'!L51-'ETHYLENE-A1'!L80</f>
        <v>500.40335799999957</v>
      </c>
      <c r="M22" s="266">
        <f>'ETHYLENE-A1'!M51-'ETHYLENE-A1'!M80</f>
        <v>493.92457800000193</v>
      </c>
      <c r="N22" s="266">
        <f>'ETHYLENE-A1'!N51-'ETHYLENE-A1'!N80</f>
        <v>474.17025500000091</v>
      </c>
      <c r="O22" s="266">
        <f>'ETHYLENE-A1'!O51-'ETHYLENE-A1'!O80</f>
        <v>398.81565499999851</v>
      </c>
      <c r="P22" s="266">
        <f>'ETHYLENE-A1'!P51-'ETHYLENE-A1'!P80</f>
        <v>236.65061799999967</v>
      </c>
      <c r="Q22" s="274">
        <f>'ETHYLENE-A1'!Q51-'ETHYLENE-A1'!Q80</f>
        <v>64.16718100000071</v>
      </c>
    </row>
    <row r="23" spans="2:17" ht="16.5" customHeight="1">
      <c r="B23" s="105"/>
      <c r="C23" s="615" t="s">
        <v>311</v>
      </c>
      <c r="D23" s="268">
        <f>'ETHYLENE-A1'!D52-'ETHYLENE-A1'!D81</f>
        <v>-51</v>
      </c>
      <c r="E23" s="269">
        <f>'ETHYLENE-A1'!E52-'ETHYLENE-A1'!E81</f>
        <v>554</v>
      </c>
      <c r="F23" s="269">
        <f>'ETHYLENE-A1'!F52-'ETHYLENE-A1'!F81</f>
        <v>-606</v>
      </c>
      <c r="G23" s="269">
        <f>'ETHYLENE-A1'!G52-'ETHYLENE-A1'!G81</f>
        <v>-853</v>
      </c>
      <c r="H23" s="269">
        <f>'ETHYLENE-A1'!H52-'ETHYLENE-A1'!H81</f>
        <v>-339</v>
      </c>
      <c r="I23" s="269">
        <f>'ETHYLENE-A1'!I52-'ETHYLENE-A1'!I81</f>
        <v>-180.91999999999825</v>
      </c>
      <c r="J23" s="269">
        <f>'ETHYLENE-A1'!J52-'ETHYLENE-A1'!J81</f>
        <v>474.19982999999775</v>
      </c>
      <c r="K23" s="270">
        <f>'ETHYLENE-A1'!K52-'ETHYLENE-A1'!K81</f>
        <v>674.04067500000019</v>
      </c>
      <c r="L23" s="271">
        <f>'ETHYLENE-A1'!L52-'ETHYLENE-A1'!L81</f>
        <v>546</v>
      </c>
      <c r="M23" s="269">
        <f>'ETHYLENE-A1'!M52-'ETHYLENE-A1'!M81</f>
        <v>569</v>
      </c>
      <c r="N23" s="269">
        <f>'ETHYLENE-A1'!N52-'ETHYLENE-A1'!N81</f>
        <v>569</v>
      </c>
      <c r="O23" s="269">
        <f>'ETHYLENE-A1'!O52-'ETHYLENE-A1'!O81</f>
        <v>506</v>
      </c>
      <c r="P23" s="269">
        <f>'ETHYLENE-A1'!P52-'ETHYLENE-A1'!P81</f>
        <v>351</v>
      </c>
      <c r="Q23" s="272">
        <f>'ETHYLENE-A1'!Q52-'ETHYLENE-A1'!Q81</f>
        <v>181.16479500000059</v>
      </c>
    </row>
    <row r="24" spans="2:17" ht="17.25" customHeight="1">
      <c r="B24" s="672" t="s">
        <v>312</v>
      </c>
      <c r="C24" s="673"/>
      <c r="D24" s="265">
        <f>'ETHYLENE-A1'!D53-'ETHYLENE-A1'!D82</f>
        <v>660</v>
      </c>
      <c r="E24" s="266">
        <f>'ETHYLENE-A1'!E53-'ETHYLENE-A1'!E82</f>
        <v>1239</v>
      </c>
      <c r="F24" s="266">
        <f>'ETHYLENE-A1'!F53-'ETHYLENE-A1'!F82</f>
        <v>1247</v>
      </c>
      <c r="G24" s="266">
        <f>'ETHYLENE-A1'!G53-'ETHYLENE-A1'!G82</f>
        <v>747</v>
      </c>
      <c r="H24" s="266">
        <f>'ETHYLENE-A1'!H53-'ETHYLENE-A1'!H82</f>
        <v>873</v>
      </c>
      <c r="I24" s="266">
        <f>'ETHYLENE-A1'!I53-'ETHYLENE-A1'!I82</f>
        <v>270</v>
      </c>
      <c r="J24" s="266">
        <f>'ETHYLENE-A1'!J53-'ETHYLENE-A1'!J82</f>
        <v>185</v>
      </c>
      <c r="K24" s="267">
        <f>'ETHYLENE-A1'!K53-'ETHYLENE-A1'!K82</f>
        <v>500</v>
      </c>
      <c r="L24" s="273">
        <f>'ETHYLENE-A1'!L53-'ETHYLENE-A1'!L82</f>
        <v>517</v>
      </c>
      <c r="M24" s="266">
        <f>'ETHYLENE-A1'!M53-'ETHYLENE-A1'!M82</f>
        <v>576</v>
      </c>
      <c r="N24" s="266">
        <f>'ETHYLENE-A1'!N53-'ETHYLENE-A1'!N82</f>
        <v>760</v>
      </c>
      <c r="O24" s="266">
        <f>'ETHYLENE-A1'!O53-'ETHYLENE-A1'!O82</f>
        <v>585</v>
      </c>
      <c r="P24" s="266">
        <f>'ETHYLENE-A1'!P53-'ETHYLENE-A1'!P82</f>
        <v>388</v>
      </c>
      <c r="Q24" s="274">
        <f>'ETHYLENE-A1'!Q53-'ETHYLENE-A1'!Q82</f>
        <v>250</v>
      </c>
    </row>
    <row r="25" spans="2:17" ht="16.5" customHeight="1">
      <c r="B25" s="16"/>
      <c r="C25" s="615" t="s">
        <v>313</v>
      </c>
      <c r="D25" s="268">
        <f>'ETHYLENE-A1'!D54-'ETHYLENE-A1'!D83</f>
        <v>472</v>
      </c>
      <c r="E25" s="269">
        <f>'ETHYLENE-A1'!E54-'ETHYLENE-A1'!E83</f>
        <v>472</v>
      </c>
      <c r="F25" s="269">
        <f>'ETHYLENE-A1'!F54-'ETHYLENE-A1'!F83</f>
        <v>654</v>
      </c>
      <c r="G25" s="269">
        <f>'ETHYLENE-A1'!G54-'ETHYLENE-A1'!G83</f>
        <v>205</v>
      </c>
      <c r="H25" s="269">
        <f>'ETHYLENE-A1'!H54-'ETHYLENE-A1'!H83</f>
        <v>100</v>
      </c>
      <c r="I25" s="269">
        <f>'ETHYLENE-A1'!I54-'ETHYLENE-A1'!I83</f>
        <v>125</v>
      </c>
      <c r="J25" s="269">
        <f>'ETHYLENE-A1'!J54-'ETHYLENE-A1'!J83</f>
        <v>350</v>
      </c>
      <c r="K25" s="270">
        <f>'ETHYLENE-A1'!K54-'ETHYLENE-A1'!K83</f>
        <v>345</v>
      </c>
      <c r="L25" s="271">
        <f>'ETHYLENE-A1'!L54-'ETHYLENE-A1'!L83</f>
        <v>302</v>
      </c>
      <c r="M25" s="269">
        <f>'ETHYLENE-A1'!M54-'ETHYLENE-A1'!M83</f>
        <v>328</v>
      </c>
      <c r="N25" s="269">
        <f>'ETHYLENE-A1'!N54-'ETHYLENE-A1'!N83</f>
        <v>313</v>
      </c>
      <c r="O25" s="269">
        <f>'ETHYLENE-A1'!O54-'ETHYLENE-A1'!O83</f>
        <v>273</v>
      </c>
      <c r="P25" s="269">
        <f>'ETHYLENE-A1'!P54-'ETHYLENE-A1'!P83</f>
        <v>219</v>
      </c>
      <c r="Q25" s="272">
        <f>'ETHYLENE-A1'!Q54-'ETHYLENE-A1'!Q83</f>
        <v>110</v>
      </c>
    </row>
    <row r="26" spans="2:17" ht="17.25" customHeight="1">
      <c r="B26" s="674" t="s">
        <v>314</v>
      </c>
      <c r="C26" s="675"/>
      <c r="D26" s="268">
        <f>'ETHYLENE-A1'!D55-'ETHYLENE-A1'!D84</f>
        <v>507</v>
      </c>
      <c r="E26" s="269">
        <f>'ETHYLENE-A1'!E55-'ETHYLENE-A1'!E84</f>
        <v>146</v>
      </c>
      <c r="F26" s="269">
        <f>'ETHYLENE-A1'!F55-'ETHYLENE-A1'!F84</f>
        <v>105</v>
      </c>
      <c r="G26" s="269">
        <f>'ETHYLENE-A1'!G55-'ETHYLENE-A1'!G84</f>
        <v>177</v>
      </c>
      <c r="H26" s="269">
        <f>'ETHYLENE-A1'!H55-'ETHYLENE-A1'!H84</f>
        <v>126</v>
      </c>
      <c r="I26" s="269">
        <f>'ETHYLENE-A1'!I55-'ETHYLENE-A1'!I84</f>
        <v>202</v>
      </c>
      <c r="J26" s="269">
        <f>'ETHYLENE-A1'!J55-'ETHYLENE-A1'!J84</f>
        <v>0</v>
      </c>
      <c r="K26" s="270">
        <f>'ETHYLENE-A1'!K55-'ETHYLENE-A1'!K84</f>
        <v>50</v>
      </c>
      <c r="L26" s="271">
        <f>'ETHYLENE-A1'!L55-'ETHYLENE-A1'!L84</f>
        <v>60</v>
      </c>
      <c r="M26" s="269">
        <f>'ETHYLENE-A1'!M55-'ETHYLENE-A1'!M84</f>
        <v>60</v>
      </c>
      <c r="N26" s="269">
        <f>'ETHYLENE-A1'!N55-'ETHYLENE-A1'!N84</f>
        <v>70</v>
      </c>
      <c r="O26" s="269">
        <f>'ETHYLENE-A1'!O55-'ETHYLENE-A1'!O84</f>
        <v>60</v>
      </c>
      <c r="P26" s="269">
        <f>'ETHYLENE-A1'!P55-'ETHYLENE-A1'!P84</f>
        <v>45</v>
      </c>
      <c r="Q26" s="272">
        <f>'ETHYLENE-A1'!Q55-'ETHYLENE-A1'!Q84</f>
        <v>25</v>
      </c>
    </row>
    <row r="27" spans="2:17" ht="17.25" customHeight="1">
      <c r="B27" s="674" t="s">
        <v>315</v>
      </c>
      <c r="C27" s="675"/>
      <c r="D27" s="268">
        <f>'ETHYLENE-A1'!D56-'ETHYLENE-A1'!D85</f>
        <v>0</v>
      </c>
      <c r="E27" s="269">
        <f>'ETHYLENE-A1'!E56-'ETHYLENE-A1'!E85</f>
        <v>11</v>
      </c>
      <c r="F27" s="269">
        <f>'ETHYLENE-A1'!F56-'ETHYLENE-A1'!F85</f>
        <v>4</v>
      </c>
      <c r="G27" s="269">
        <f>'ETHYLENE-A1'!G56-'ETHYLENE-A1'!G85</f>
        <v>0</v>
      </c>
      <c r="H27" s="269">
        <f>'ETHYLENE-A1'!H56-'ETHYLENE-A1'!H85</f>
        <v>0</v>
      </c>
      <c r="I27" s="269">
        <f>'ETHYLENE-A1'!I56-'ETHYLENE-A1'!I85</f>
        <v>0</v>
      </c>
      <c r="J27" s="269">
        <f>'ETHYLENE-A1'!J56-'ETHYLENE-A1'!J85</f>
        <v>0</v>
      </c>
      <c r="K27" s="270">
        <f>'ETHYLENE-A1'!K56-'ETHYLENE-A1'!K85</f>
        <v>0</v>
      </c>
      <c r="L27" s="275">
        <f>'ETHYLENE-A1'!L56-'ETHYLENE-A1'!L85</f>
        <v>0</v>
      </c>
      <c r="M27" s="269">
        <f>'ETHYLENE-A1'!M56-'ETHYLENE-A1'!M85</f>
        <v>0</v>
      </c>
      <c r="N27" s="269">
        <f>'ETHYLENE-A1'!N56-'ETHYLENE-A1'!N85</f>
        <v>0</v>
      </c>
      <c r="O27" s="269">
        <f>'ETHYLENE-A1'!O56-'ETHYLENE-A1'!O85</f>
        <v>0</v>
      </c>
      <c r="P27" s="269">
        <f>'ETHYLENE-A1'!P56-'ETHYLENE-A1'!P85</f>
        <v>0</v>
      </c>
      <c r="Q27" s="272">
        <f>'ETHYLENE-A1'!Q56-'ETHYLENE-A1'!Q85</f>
        <v>0</v>
      </c>
    </row>
    <row r="28" spans="2:17" ht="16.5" customHeight="1">
      <c r="B28" s="672" t="s">
        <v>316</v>
      </c>
      <c r="C28" s="673"/>
      <c r="D28" s="265">
        <f>'ETHYLENE-A1'!D57-'ETHYLENE-A1'!D86</f>
        <v>4900</v>
      </c>
      <c r="E28" s="266">
        <f>'ETHYLENE-A1'!E57-'ETHYLENE-A1'!E86</f>
        <v>8</v>
      </c>
      <c r="F28" s="266">
        <f>'ETHYLENE-A1'!F57-'ETHYLENE-A1'!F86</f>
        <v>0</v>
      </c>
      <c r="G28" s="266">
        <f>'ETHYLENE-A1'!G57-'ETHYLENE-A1'!G86</f>
        <v>89</v>
      </c>
      <c r="H28" s="266">
        <f>'ETHYLENE-A1'!H57-'ETHYLENE-A1'!H86</f>
        <v>-2</v>
      </c>
      <c r="I28" s="266">
        <f>'ETHYLENE-A1'!I57-'ETHYLENE-A1'!I86</f>
        <v>139</v>
      </c>
      <c r="J28" s="266">
        <f>'ETHYLENE-A1'!J57-'ETHYLENE-A1'!J86</f>
        <v>-390.20000000000073</v>
      </c>
      <c r="K28" s="267">
        <f>'ETHYLENE-A1'!K57-'ETHYLENE-A1'!K86</f>
        <v>192</v>
      </c>
      <c r="L28" s="273">
        <f>'ETHYLENE-A1'!L57-'ETHYLENE-A1'!L86</f>
        <v>207</v>
      </c>
      <c r="M28" s="266">
        <f>'ETHYLENE-A1'!M57-'ETHYLENE-A1'!M86</f>
        <v>376</v>
      </c>
      <c r="N28" s="266">
        <f>'ETHYLENE-A1'!N57-'ETHYLENE-A1'!N86</f>
        <v>1051</v>
      </c>
      <c r="O28" s="266">
        <f>'ETHYLENE-A1'!O57-'ETHYLENE-A1'!O86</f>
        <v>553.20000000000437</v>
      </c>
      <c r="P28" s="266">
        <f>'ETHYLENE-A1'!P57-'ETHYLENE-A1'!P86</f>
        <v>1143.2000000000044</v>
      </c>
      <c r="Q28" s="274">
        <f>'ETHYLENE-A1'!Q57-'ETHYLENE-A1'!Q86</f>
        <v>1883.0999999999985</v>
      </c>
    </row>
    <row r="29" spans="2:17" ht="16.5" customHeight="1">
      <c r="B29" s="670" t="s">
        <v>317</v>
      </c>
      <c r="C29" s="671"/>
      <c r="D29" s="265">
        <f>'ETHYLENE-A1'!D58-'ETHYLENE-A1'!D87</f>
        <v>318.52642559153264</v>
      </c>
      <c r="E29" s="266">
        <f>'ETHYLENE-A1'!E58-'ETHYLENE-A1'!E87</f>
        <v>426.60000000000036</v>
      </c>
      <c r="F29" s="266">
        <f>'ETHYLENE-A1'!F58-'ETHYLENE-A1'!F87</f>
        <v>3.1999999999998181</v>
      </c>
      <c r="G29" s="266">
        <f>'ETHYLENE-A1'!G58-'ETHYLENE-A1'!G87</f>
        <v>136.19999999999982</v>
      </c>
      <c r="H29" s="266">
        <f>'ETHYLENE-A1'!H58-'ETHYLENE-A1'!H87</f>
        <v>31.199999999999818</v>
      </c>
      <c r="I29" s="266">
        <f>'ETHYLENE-A1'!I58-'ETHYLENE-A1'!I87</f>
        <v>-15.75</v>
      </c>
      <c r="J29" s="266">
        <f>'ETHYLENE-A1'!J58-'ETHYLENE-A1'!J87</f>
        <v>-175.65000000000055</v>
      </c>
      <c r="K29" s="267">
        <f>'ETHYLENE-A1'!K58-'ETHYLENE-A1'!K87</f>
        <v>-38</v>
      </c>
      <c r="L29" s="273">
        <f>'ETHYLENE-A1'!L58-'ETHYLENE-A1'!L87</f>
        <v>-137</v>
      </c>
      <c r="M29" s="266">
        <f>'ETHYLENE-A1'!M58-'ETHYLENE-A1'!M87</f>
        <v>-227</v>
      </c>
      <c r="N29" s="266">
        <f>'ETHYLENE-A1'!N58-'ETHYLENE-A1'!N87</f>
        <v>-317</v>
      </c>
      <c r="O29" s="266">
        <f>'ETHYLENE-A1'!O58-'ETHYLENE-A1'!O87</f>
        <v>-318</v>
      </c>
      <c r="P29" s="266">
        <f>'ETHYLENE-A1'!P58-'ETHYLENE-A1'!P87</f>
        <v>-404</v>
      </c>
      <c r="Q29" s="274">
        <f>'ETHYLENE-A1'!Q58-'ETHYLENE-A1'!Q87</f>
        <v>-489</v>
      </c>
    </row>
    <row r="30" spans="2:17" ht="17.25" customHeight="1">
      <c r="B30" s="674" t="s">
        <v>318</v>
      </c>
      <c r="C30" s="675"/>
      <c r="D30" s="244">
        <f>SUM(D28:D29)</f>
        <v>5218.5264255915326</v>
      </c>
      <c r="E30" s="245">
        <f t="shared" ref="E30:Q30" si="1">SUM(E28:E29)</f>
        <v>434.60000000000036</v>
      </c>
      <c r="F30" s="245">
        <f t="shared" si="1"/>
        <v>3.1999999999998181</v>
      </c>
      <c r="G30" s="245">
        <f t="shared" si="1"/>
        <v>225.19999999999982</v>
      </c>
      <c r="H30" s="245">
        <f t="shared" si="1"/>
        <v>29.199999999999818</v>
      </c>
      <c r="I30" s="245">
        <f t="shared" si="1"/>
        <v>123.25</v>
      </c>
      <c r="J30" s="245">
        <f t="shared" si="1"/>
        <v>-565.85000000000127</v>
      </c>
      <c r="K30" s="246">
        <f t="shared" si="1"/>
        <v>154</v>
      </c>
      <c r="L30" s="247">
        <f t="shared" si="1"/>
        <v>70</v>
      </c>
      <c r="M30" s="245">
        <f t="shared" si="1"/>
        <v>149</v>
      </c>
      <c r="N30" s="245">
        <f t="shared" si="1"/>
        <v>734</v>
      </c>
      <c r="O30" s="245">
        <f t="shared" si="1"/>
        <v>235.20000000000437</v>
      </c>
      <c r="P30" s="245">
        <f t="shared" si="1"/>
        <v>739.20000000000437</v>
      </c>
      <c r="Q30" s="248">
        <f t="shared" si="1"/>
        <v>1394.0999999999985</v>
      </c>
    </row>
    <row r="31" spans="2:17" ht="16.5" customHeight="1">
      <c r="B31" s="672" t="s">
        <v>319</v>
      </c>
      <c r="C31" s="673"/>
      <c r="D31" s="265">
        <f>'ETHYLENE-A1'!D60-'ETHYLENE-A1'!D89</f>
        <v>-148</v>
      </c>
      <c r="E31" s="266">
        <f>'ETHYLENE-A1'!E60-'ETHYLENE-A1'!E89</f>
        <v>-174</v>
      </c>
      <c r="F31" s="266">
        <f>'ETHYLENE-A1'!F60-'ETHYLENE-A1'!F89</f>
        <v>-157</v>
      </c>
      <c r="G31" s="266">
        <f>'ETHYLENE-A1'!G60-'ETHYLENE-A1'!G89</f>
        <v>-82</v>
      </c>
      <c r="H31" s="266">
        <f>'ETHYLENE-A1'!H60-'ETHYLENE-A1'!H89</f>
        <v>-6</v>
      </c>
      <c r="I31" s="266">
        <f>'ETHYLENE-A1'!I60-'ETHYLENE-A1'!I89</f>
        <v>18</v>
      </c>
      <c r="J31" s="266">
        <f>'ETHYLENE-A1'!J60-'ETHYLENE-A1'!J89</f>
        <v>526.60000000000014</v>
      </c>
      <c r="K31" s="267">
        <f>'ETHYLENE-A1'!K60-'ETHYLENE-A1'!K89</f>
        <v>578</v>
      </c>
      <c r="L31" s="273">
        <f>'ETHYLENE-A1'!L60-'ETHYLENE-A1'!L89</f>
        <v>546</v>
      </c>
      <c r="M31" s="266">
        <f>'ETHYLENE-A1'!M60-'ETHYLENE-A1'!M89</f>
        <v>509</v>
      </c>
      <c r="N31" s="266">
        <f>'ETHYLENE-A1'!N60-'ETHYLENE-A1'!N89</f>
        <v>468</v>
      </c>
      <c r="O31" s="266">
        <f>'ETHYLENE-A1'!O60-'ETHYLENE-A1'!O89</f>
        <v>423</v>
      </c>
      <c r="P31" s="266">
        <f>'ETHYLENE-A1'!P60-'ETHYLENE-A1'!P89</f>
        <v>376</v>
      </c>
      <c r="Q31" s="274">
        <f>'ETHYLENE-A1'!Q60-'ETHYLENE-A1'!Q89</f>
        <v>327</v>
      </c>
    </row>
    <row r="32" spans="2:17" ht="16.5" customHeight="1">
      <c r="B32" s="668" t="s">
        <v>320</v>
      </c>
      <c r="C32" s="669"/>
      <c r="D32" s="265">
        <f>'ETHYLENE-A1'!D61-'ETHYLENE-A1'!D90</f>
        <v>21.011608421052642</v>
      </c>
      <c r="E32" s="266">
        <f>'ETHYLENE-A1'!E61-'ETHYLENE-A1'!E90</f>
        <v>6</v>
      </c>
      <c r="F32" s="266">
        <f>'ETHYLENE-A1'!F61-'ETHYLENE-A1'!F90</f>
        <v>10</v>
      </c>
      <c r="G32" s="266">
        <f>'ETHYLENE-A1'!G61-'ETHYLENE-A1'!G90</f>
        <v>-115.58071195669891</v>
      </c>
      <c r="H32" s="266">
        <f>'ETHYLENE-A1'!H61-'ETHYLENE-A1'!H90</f>
        <v>-143.04813331539981</v>
      </c>
      <c r="I32" s="266">
        <f>'ETHYLENE-A1'!I61-'ETHYLENE-A1'!I90</f>
        <v>-37</v>
      </c>
      <c r="J32" s="266">
        <f>'ETHYLENE-A1'!J61-'ETHYLENE-A1'!J90</f>
        <v>197</v>
      </c>
      <c r="K32" s="267">
        <f>'ETHYLENE-A1'!K61-'ETHYLENE-A1'!K90</f>
        <v>-53.800000000000182</v>
      </c>
      <c r="L32" s="273">
        <f>'ETHYLENE-A1'!L61-'ETHYLENE-A1'!L90</f>
        <v>-102.80000000000018</v>
      </c>
      <c r="M32" s="266">
        <f>'ETHYLENE-A1'!M61-'ETHYLENE-A1'!M90</f>
        <v>-184.80000000000018</v>
      </c>
      <c r="N32" s="266">
        <f>'ETHYLENE-A1'!N61-'ETHYLENE-A1'!N90</f>
        <v>-164.80000000000018</v>
      </c>
      <c r="O32" s="266">
        <f>'ETHYLENE-A1'!O61-'ETHYLENE-A1'!O90</f>
        <v>-344.80000000000018</v>
      </c>
      <c r="P32" s="266">
        <f>'ETHYLENE-A1'!P61-'ETHYLENE-A1'!P90</f>
        <v>-426.80000000000018</v>
      </c>
      <c r="Q32" s="274">
        <f>'ETHYLENE-A1'!Q61-'ETHYLENE-A1'!Q90</f>
        <v>-511</v>
      </c>
    </row>
    <row r="33" spans="2:17" ht="16.5" customHeight="1">
      <c r="B33" s="670" t="s">
        <v>321</v>
      </c>
      <c r="C33" s="671"/>
      <c r="D33" s="265">
        <f>'ETHYLENE-A1'!D62-'ETHYLENE-A1'!D91</f>
        <v>-85.579999999999927</v>
      </c>
      <c r="E33" s="266">
        <f>'ETHYLENE-A1'!E62-'ETHYLENE-A1'!E91</f>
        <v>-171.99</v>
      </c>
      <c r="F33" s="266">
        <f>'ETHYLENE-A1'!F62-'ETHYLENE-A1'!F91</f>
        <v>-241.27999999999997</v>
      </c>
      <c r="G33" s="266">
        <f>'ETHYLENE-A1'!G62-'ETHYLENE-A1'!G91</f>
        <v>-201.04999999999995</v>
      </c>
      <c r="H33" s="266">
        <f>'ETHYLENE-A1'!H62-'ETHYLENE-A1'!H91</f>
        <v>-240.58025641025665</v>
      </c>
      <c r="I33" s="266">
        <f>'ETHYLENE-A1'!I62-'ETHYLENE-A1'!I91</f>
        <v>-203</v>
      </c>
      <c r="J33" s="266">
        <f>'ETHYLENE-A1'!J62-'ETHYLENE-A1'!J91</f>
        <v>-120.09999999999991</v>
      </c>
      <c r="K33" s="267">
        <f>'ETHYLENE-A1'!K62-'ETHYLENE-A1'!K91</f>
        <v>-180.20000000000005</v>
      </c>
      <c r="L33" s="273">
        <f>'ETHYLENE-A1'!L62-'ETHYLENE-A1'!L91</f>
        <v>-199.20000000000005</v>
      </c>
      <c r="M33" s="266">
        <f>'ETHYLENE-A1'!M62-'ETHYLENE-A1'!M91</f>
        <v>-217.20000000000005</v>
      </c>
      <c r="N33" s="266">
        <f>'ETHYLENE-A1'!N62-'ETHYLENE-A1'!N91</f>
        <v>-258.20000000000005</v>
      </c>
      <c r="O33" s="266">
        <f>'ETHYLENE-A1'!O62-'ETHYLENE-A1'!O91</f>
        <v>-301.20000000000005</v>
      </c>
      <c r="P33" s="266">
        <f>'ETHYLENE-A1'!P62-'ETHYLENE-A1'!P91</f>
        <v>-346.20000000000005</v>
      </c>
      <c r="Q33" s="274">
        <f>'ETHYLENE-A1'!Q62-'ETHYLENE-A1'!Q91</f>
        <v>-393</v>
      </c>
    </row>
    <row r="34" spans="2:17" ht="17.25" customHeight="1" thickBot="1">
      <c r="B34" s="678" t="s">
        <v>322</v>
      </c>
      <c r="C34" s="679"/>
      <c r="D34" s="249">
        <f t="shared" ref="D34:Q34" si="2">SUM(D31:D33)</f>
        <v>-212.56839157894728</v>
      </c>
      <c r="E34" s="250">
        <f t="shared" si="2"/>
        <v>-339.99</v>
      </c>
      <c r="F34" s="250">
        <f t="shared" si="2"/>
        <v>-388.28</v>
      </c>
      <c r="G34" s="250">
        <f t="shared" si="2"/>
        <v>-398.63071195669886</v>
      </c>
      <c r="H34" s="250">
        <f t="shared" si="2"/>
        <v>-389.62838972565646</v>
      </c>
      <c r="I34" s="250">
        <f t="shared" si="2"/>
        <v>-222</v>
      </c>
      <c r="J34" s="250">
        <f t="shared" si="2"/>
        <v>603.50000000000023</v>
      </c>
      <c r="K34" s="251">
        <f t="shared" si="2"/>
        <v>343.99999999999977</v>
      </c>
      <c r="L34" s="252">
        <f t="shared" si="2"/>
        <v>243.99999999999977</v>
      </c>
      <c r="M34" s="250">
        <f t="shared" si="2"/>
        <v>106.99999999999977</v>
      </c>
      <c r="N34" s="250">
        <f t="shared" si="2"/>
        <v>44.999999999999773</v>
      </c>
      <c r="O34" s="250">
        <f t="shared" si="2"/>
        <v>-223.00000000000023</v>
      </c>
      <c r="P34" s="250">
        <f t="shared" si="2"/>
        <v>-397.00000000000023</v>
      </c>
      <c r="Q34" s="253">
        <f t="shared" si="2"/>
        <v>-577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5030.3650087431706</v>
      </c>
      <c r="E35" s="171">
        <f t="shared" ref="E35:Q35" si="3">SUM(E19+E20+E22+E24+E26+E27+E30+E34)</f>
        <v>568.77702075960883</v>
      </c>
      <c r="F35" s="171">
        <f t="shared" si="3"/>
        <v>-405.62599999999952</v>
      </c>
      <c r="G35" s="171">
        <f t="shared" si="3"/>
        <v>-579.73071195669945</v>
      </c>
      <c r="H35" s="171">
        <f t="shared" si="3"/>
        <v>-108.3289097256561</v>
      </c>
      <c r="I35" s="171">
        <f t="shared" si="3"/>
        <v>-254.56299999999646</v>
      </c>
      <c r="J35" s="171">
        <f t="shared" si="3"/>
        <v>-557.50027500000556</v>
      </c>
      <c r="K35" s="173">
        <f t="shared" si="3"/>
        <v>650.41764099999909</v>
      </c>
      <c r="L35" s="172">
        <f t="shared" si="3"/>
        <v>421.30335799999966</v>
      </c>
      <c r="M35" s="171">
        <f t="shared" si="3"/>
        <v>473.9245780000017</v>
      </c>
      <c r="N35" s="171">
        <f t="shared" si="3"/>
        <v>1396.1702550000007</v>
      </c>
      <c r="O35" s="171">
        <f t="shared" si="3"/>
        <v>2059.0156550000029</v>
      </c>
      <c r="P35" s="171">
        <f t="shared" si="3"/>
        <v>-468.14938199999619</v>
      </c>
      <c r="Q35" s="174">
        <f t="shared" si="3"/>
        <v>2626.2671809999993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0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4">+E41+1</f>
        <v>2011</v>
      </c>
      <c r="G41" s="17">
        <f t="shared" si="4"/>
        <v>2012</v>
      </c>
      <c r="H41" s="18">
        <f t="shared" si="4"/>
        <v>2013</v>
      </c>
      <c r="I41" s="17">
        <f t="shared" si="4"/>
        <v>2014</v>
      </c>
      <c r="J41" s="17">
        <f t="shared" si="4"/>
        <v>2015</v>
      </c>
      <c r="K41" s="20">
        <f t="shared" si="4"/>
        <v>2016</v>
      </c>
      <c r="L41" s="19">
        <f t="shared" si="4"/>
        <v>2017</v>
      </c>
      <c r="M41" s="18">
        <f t="shared" si="4"/>
        <v>2018</v>
      </c>
      <c r="N41" s="18">
        <f t="shared" si="4"/>
        <v>2019</v>
      </c>
      <c r="O41" s="18">
        <f t="shared" si="4"/>
        <v>2020</v>
      </c>
      <c r="P41" s="18">
        <f t="shared" si="4"/>
        <v>2021</v>
      </c>
      <c r="Q41" s="23">
        <f t="shared" si="4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7.25" customHeight="1">
      <c r="B43" s="644" t="s">
        <v>433</v>
      </c>
      <c r="C43" s="645"/>
      <c r="D43" s="52">
        <f>IF('ETHYLENE-A1'!D7=0,"    -",ROUND('ETHYLENE-A1'!D36/'ETHYLENE-A1'!D7*100,1))</f>
        <v>96.4</v>
      </c>
      <c r="E43" s="53">
        <f>IF('ETHYLENE-A1'!E7=0,"    -",ROUND('ETHYLENE-A1'!E36/'ETHYLENE-A1'!E7*100,1))</f>
        <v>96.2</v>
      </c>
      <c r="F43" s="53">
        <f>IF('ETHYLENE-A1'!F7=0,"    -",ROUND('ETHYLENE-A1'!F36/'ETHYLENE-A1'!F7*100,1))</f>
        <v>96</v>
      </c>
      <c r="G43" s="53">
        <f>IF('ETHYLENE-A1'!G7=0,"    -",ROUND('ETHYLENE-A1'!G36/'ETHYLENE-A1'!G7*100,1))</f>
        <v>99.4</v>
      </c>
      <c r="H43" s="53">
        <f>IF('ETHYLENE-A1'!H7=0,"    -",ROUND('ETHYLENE-A1'!H36/'ETHYLENE-A1'!H7*100,1))</f>
        <v>96.8</v>
      </c>
      <c r="I43" s="53">
        <f>IF('ETHYLENE-A1'!I7=0,"    -",ROUND('ETHYLENE-A1'!I36/'ETHYLENE-A1'!I7*100,1))</f>
        <v>96.9</v>
      </c>
      <c r="J43" s="53">
        <f>IF('ETHYLENE-A1'!J7=0,"    -",ROUND('ETHYLENE-A1'!J36/'ETHYLENE-A1'!J7*100,1))</f>
        <v>99.8</v>
      </c>
      <c r="K43" s="54">
        <f>IF('ETHYLENE-A1'!K7=0,"    -",ROUND('ETHYLENE-A1'!K36/'ETHYLENE-A1'!K7*100,1))</f>
        <v>99.1</v>
      </c>
      <c r="L43" s="55">
        <f>IF('ETHYLENE-A1'!L7=0,"    -",ROUND('ETHYLENE-A1'!L36/'ETHYLENE-A1'!L7*100,1))</f>
        <v>94.9</v>
      </c>
      <c r="M43" s="53">
        <f>IF('ETHYLENE-A1'!M7=0,"    -",ROUND('ETHYLENE-A1'!M36/'ETHYLENE-A1'!M7*100,1))</f>
        <v>94.9</v>
      </c>
      <c r="N43" s="53">
        <f>IF('ETHYLENE-A1'!N7=0,"    -",ROUND('ETHYLENE-A1'!N36/'ETHYLENE-A1'!N7*100,1))</f>
        <v>95</v>
      </c>
      <c r="O43" s="53">
        <f>IF('ETHYLENE-A1'!O7=0,"    -",ROUND('ETHYLENE-A1'!O36/'ETHYLENE-A1'!O7*100,1))</f>
        <v>95</v>
      </c>
      <c r="P43" s="53">
        <f>IF('ETHYLENE-A1'!P7=0,"    -",ROUND('ETHYLENE-A1'!P36/'ETHYLENE-A1'!P7*100,1))</f>
        <v>94.7</v>
      </c>
      <c r="Q43" s="56">
        <f>IF('ETHYLENE-A1'!Q7=0,"    -",ROUND('ETHYLENE-A1'!Q36/'ETHYLENE-A1'!Q7*100,1))</f>
        <v>91.4</v>
      </c>
    </row>
    <row r="44" spans="2:17" ht="16.5" customHeight="1">
      <c r="B44" s="605" t="s">
        <v>434</v>
      </c>
      <c r="C44" s="606"/>
      <c r="D44" s="52">
        <f>IF('ETHYLENE-A1'!D8=0,"    -",ROUND('ETHYLENE-A1'!D37/'ETHYLENE-A1'!D8*100,1))</f>
        <v>97</v>
      </c>
      <c r="E44" s="53">
        <f>IF('ETHYLENE-A1'!E8=0,"    -",ROUND('ETHYLENE-A1'!E37/'ETHYLENE-A1'!E8*100,1))</f>
        <v>87</v>
      </c>
      <c r="F44" s="53">
        <f>IF('ETHYLENE-A1'!F8=0,"    -",ROUND('ETHYLENE-A1'!F37/'ETHYLENE-A1'!F8*100,1))</f>
        <v>91</v>
      </c>
      <c r="G44" s="53">
        <f>IF('ETHYLENE-A1'!G8=0,"    -",ROUND('ETHYLENE-A1'!G37/'ETHYLENE-A1'!G8*100,1))</f>
        <v>88.8</v>
      </c>
      <c r="H44" s="53">
        <f>IF('ETHYLENE-A1'!H8=0,"    -",ROUND('ETHYLENE-A1'!H37/'ETHYLENE-A1'!H8*100,1))</f>
        <v>104.4</v>
      </c>
      <c r="I44" s="53">
        <f>IF('ETHYLENE-A1'!I8=0,"    -",ROUND('ETHYLENE-A1'!I37/'ETHYLENE-A1'!I8*100,1))</f>
        <v>105.6</v>
      </c>
      <c r="J44" s="53">
        <f>IF('ETHYLENE-A1'!J8=0,"    -",ROUND('ETHYLENE-A1'!J37/'ETHYLENE-A1'!J8*100,1))</f>
        <v>104.6</v>
      </c>
      <c r="K44" s="54">
        <f>IF('ETHYLENE-A1'!K8=0,"    -",ROUND('ETHYLENE-A1'!K37/'ETHYLENE-A1'!K8*100,1))</f>
        <v>100.2</v>
      </c>
      <c r="L44" s="55">
        <f>IF('ETHYLENE-A1'!L8=0,"    -",ROUND('ETHYLENE-A1'!L37/'ETHYLENE-A1'!L8*100,1))</f>
        <v>104.9</v>
      </c>
      <c r="M44" s="53">
        <f>IF('ETHYLENE-A1'!M8=0,"    -",ROUND('ETHYLENE-A1'!M37/'ETHYLENE-A1'!M8*100,1))</f>
        <v>104.9</v>
      </c>
      <c r="N44" s="53">
        <f>IF('ETHYLENE-A1'!N8=0,"    -",ROUND('ETHYLENE-A1'!N37/'ETHYLENE-A1'!N8*100,1))</f>
        <v>104.9</v>
      </c>
      <c r="O44" s="53">
        <f>IF('ETHYLENE-A1'!O8=0,"    -",ROUND('ETHYLENE-A1'!O37/'ETHYLENE-A1'!O8*100,1))</f>
        <v>104.9</v>
      </c>
      <c r="P44" s="53">
        <f>IF('ETHYLENE-A1'!P8=0,"    -",ROUND('ETHYLENE-A1'!P37/'ETHYLENE-A1'!P8*100,1))</f>
        <v>104.9</v>
      </c>
      <c r="Q44" s="56">
        <f>IF('ETHYLENE-A1'!Q8=0,"    -",ROUND('ETHYLENE-A1'!Q37/'ETHYLENE-A1'!Q8*100,1))</f>
        <v>104.9</v>
      </c>
    </row>
    <row r="45" spans="2:17" ht="16.5" customHeight="1">
      <c r="B45" s="605" t="s">
        <v>435</v>
      </c>
      <c r="C45" s="606"/>
      <c r="D45" s="52">
        <f>IF('ETHYLENE-A1'!D9=0,"    -",ROUND('ETHYLENE-A1'!D38/'ETHYLENE-A1'!D9*100,1))</f>
        <v>93.6</v>
      </c>
      <c r="E45" s="53">
        <f>IF('ETHYLENE-A1'!E9=0,"    -",ROUND('ETHYLENE-A1'!E38/'ETHYLENE-A1'!E9*100,1))</f>
        <v>88.7</v>
      </c>
      <c r="F45" s="53">
        <f>IF('ETHYLENE-A1'!F9=0,"    -",ROUND('ETHYLENE-A1'!F38/'ETHYLENE-A1'!F9*100,1))</f>
        <v>87.4</v>
      </c>
      <c r="G45" s="53">
        <f>IF('ETHYLENE-A1'!G9=0,"    -",ROUND('ETHYLENE-A1'!G38/'ETHYLENE-A1'!G9*100,1))</f>
        <v>89</v>
      </c>
      <c r="H45" s="53">
        <f>IF('ETHYLENE-A1'!H9=0,"    -",ROUND('ETHYLENE-A1'!H38/'ETHYLENE-A1'!H9*100,1))</f>
        <v>98.2</v>
      </c>
      <c r="I45" s="53">
        <f>IF('ETHYLENE-A1'!I9=0,"    -",ROUND('ETHYLENE-A1'!I38/'ETHYLENE-A1'!I9*100,1))</f>
        <v>95.9</v>
      </c>
      <c r="J45" s="53">
        <f>IF('ETHYLENE-A1'!J9=0,"    -",ROUND('ETHYLENE-A1'!J38/'ETHYLENE-A1'!J9*100,1))</f>
        <v>83.8</v>
      </c>
      <c r="K45" s="54">
        <f>IF('ETHYLENE-A1'!K9=0,"    -",ROUND('ETHYLENE-A1'!K38/'ETHYLENE-A1'!K9*100,1))</f>
        <v>100</v>
      </c>
      <c r="L45" s="55">
        <f>IF('ETHYLENE-A1'!L9=0,"    -",ROUND('ETHYLENE-A1'!L38/'ETHYLENE-A1'!L9*100,1))</f>
        <v>96.8</v>
      </c>
      <c r="M45" s="53">
        <f>IF('ETHYLENE-A1'!M9=0,"    -",ROUND('ETHYLENE-A1'!M38/'ETHYLENE-A1'!M9*100,1))</f>
        <v>97.6</v>
      </c>
      <c r="N45" s="53">
        <f>IF('ETHYLENE-A1'!N9=0,"    -",ROUND('ETHYLENE-A1'!N38/'ETHYLENE-A1'!N9*100,1))</f>
        <v>100</v>
      </c>
      <c r="O45" s="53">
        <f>IF('ETHYLENE-A1'!O9=0,"    -",ROUND('ETHYLENE-A1'!O38/'ETHYLENE-A1'!O9*100,1))</f>
        <v>98.5</v>
      </c>
      <c r="P45" s="53">
        <f>IF('ETHYLENE-A1'!P9=0,"    -",ROUND('ETHYLENE-A1'!P38/'ETHYLENE-A1'!P9*100,1))</f>
        <v>97.6</v>
      </c>
      <c r="Q45" s="56">
        <f>IF('ETHYLENE-A1'!Q9=0,"    -",ROUND('ETHYLENE-A1'!Q38/'ETHYLENE-A1'!Q9*100,1))</f>
        <v>96.8</v>
      </c>
    </row>
    <row r="46" spans="2:17" ht="16.5" customHeight="1">
      <c r="B46" s="605" t="s">
        <v>436</v>
      </c>
      <c r="C46" s="606"/>
      <c r="D46" s="52">
        <f>IF('ETHYLENE-A1'!D10=0,"    -",ROUND('ETHYLENE-A1'!D39/'ETHYLENE-A1'!D10*100,1))</f>
        <v>96</v>
      </c>
      <c r="E46" s="53">
        <f>IF('ETHYLENE-A1'!E10=0,"    -",ROUND('ETHYLENE-A1'!E39/'ETHYLENE-A1'!E10*100,1))</f>
        <v>95.6</v>
      </c>
      <c r="F46" s="53">
        <f>IF('ETHYLENE-A1'!F10=0,"    -",ROUND('ETHYLENE-A1'!F39/'ETHYLENE-A1'!F10*100,1))</f>
        <v>87.4</v>
      </c>
      <c r="G46" s="53">
        <f>IF('ETHYLENE-A1'!G10=0,"    -",ROUND('ETHYLENE-A1'!G39/'ETHYLENE-A1'!G10*100,1))</f>
        <v>91.5</v>
      </c>
      <c r="H46" s="53">
        <f>IF('ETHYLENE-A1'!H10=0,"    -",ROUND('ETHYLENE-A1'!H39/'ETHYLENE-A1'!H10*100,1))</f>
        <v>90.3</v>
      </c>
      <c r="I46" s="53">
        <f>IF('ETHYLENE-A1'!I10=0,"    -",ROUND('ETHYLENE-A1'!I39/'ETHYLENE-A1'!I10*100,1))</f>
        <v>92.4</v>
      </c>
      <c r="J46" s="53">
        <f>IF('ETHYLENE-A1'!J10=0,"    -",ROUND('ETHYLENE-A1'!J39/'ETHYLENE-A1'!J10*100,1))</f>
        <v>97.3</v>
      </c>
      <c r="K46" s="54">
        <f>IF('ETHYLENE-A1'!K10=0,"    -",ROUND('ETHYLENE-A1'!K39/'ETHYLENE-A1'!K10*100,1))</f>
        <v>95.4</v>
      </c>
      <c r="L46" s="55">
        <f>IF('ETHYLENE-A1'!L10=0,"    -",ROUND('ETHYLENE-A1'!L39/'ETHYLENE-A1'!L10*100,1))</f>
        <v>97.3</v>
      </c>
      <c r="M46" s="53">
        <f>IF('ETHYLENE-A1'!M10=0,"    -",ROUND('ETHYLENE-A1'!M39/'ETHYLENE-A1'!M10*100,1))</f>
        <v>94</v>
      </c>
      <c r="N46" s="53">
        <f>IF('ETHYLENE-A1'!N10=0,"    -",ROUND('ETHYLENE-A1'!N39/'ETHYLENE-A1'!N10*100,1))</f>
        <v>82.7</v>
      </c>
      <c r="O46" s="53">
        <f>IF('ETHYLENE-A1'!O10=0,"    -",ROUND('ETHYLENE-A1'!O39/'ETHYLENE-A1'!O10*100,1))</f>
        <v>77.400000000000006</v>
      </c>
      <c r="P46" s="53">
        <f>IF('ETHYLENE-A1'!P10=0,"    -",ROUND('ETHYLENE-A1'!P39/'ETHYLENE-A1'!P10*100,1))</f>
        <v>78.599999999999994</v>
      </c>
      <c r="Q46" s="56">
        <f>IF('ETHYLENE-A1'!Q10=0,"    -",ROUND('ETHYLENE-A1'!Q39/'ETHYLENE-A1'!Q10*100,1))</f>
        <v>82.2</v>
      </c>
    </row>
    <row r="47" spans="2:17" ht="16.5" customHeight="1">
      <c r="B47" s="605" t="s">
        <v>437</v>
      </c>
      <c r="C47" s="606"/>
      <c r="D47" s="52">
        <f>IF('ETHYLENE-A1'!D11=0,"    -",ROUND('ETHYLENE-A1'!D40/'ETHYLENE-A1'!D11*100,1))</f>
        <v>64.900000000000006</v>
      </c>
      <c r="E47" s="53">
        <f>IF('ETHYLENE-A1'!E11=0,"    -",ROUND('ETHYLENE-A1'!E40/'ETHYLENE-A1'!E11*100,1))</f>
        <v>82.6</v>
      </c>
      <c r="F47" s="53">
        <f>IF('ETHYLENE-A1'!F11=0,"    -",ROUND('ETHYLENE-A1'!F40/'ETHYLENE-A1'!F11*100,1))</f>
        <v>92.3</v>
      </c>
      <c r="G47" s="53">
        <f>IF('ETHYLENE-A1'!G11=0,"    -",ROUND('ETHYLENE-A1'!G40/'ETHYLENE-A1'!G11*100,1))</f>
        <v>87.4</v>
      </c>
      <c r="H47" s="53">
        <f>IF('ETHYLENE-A1'!H11=0,"    -",ROUND('ETHYLENE-A1'!H40/'ETHYLENE-A1'!H11*100,1))</f>
        <v>89.6</v>
      </c>
      <c r="I47" s="53">
        <f>IF('ETHYLENE-A1'!I11=0,"    -",ROUND('ETHYLENE-A1'!I40/'ETHYLENE-A1'!I11*100,1))</f>
        <v>94.9</v>
      </c>
      <c r="J47" s="53">
        <f>IF('ETHYLENE-A1'!J11=0,"    -",ROUND('ETHYLENE-A1'!J40/'ETHYLENE-A1'!J11*100,1))</f>
        <v>89.4</v>
      </c>
      <c r="K47" s="54">
        <f>IF('ETHYLENE-A1'!K11=0,"    -",ROUND('ETHYLENE-A1'!K40/'ETHYLENE-A1'!K11*100,1))</f>
        <v>92.3</v>
      </c>
      <c r="L47" s="55">
        <f>IF('ETHYLENE-A1'!L11=0,"    -",ROUND('ETHYLENE-A1'!L40/'ETHYLENE-A1'!L11*100,1))</f>
        <v>96.7</v>
      </c>
      <c r="M47" s="53">
        <f>IF('ETHYLENE-A1'!M11=0,"    -",ROUND('ETHYLENE-A1'!M40/'ETHYLENE-A1'!M11*100,1))</f>
        <v>93.7</v>
      </c>
      <c r="N47" s="53">
        <f>IF('ETHYLENE-A1'!N11=0,"    -",ROUND('ETHYLENE-A1'!N40/'ETHYLENE-A1'!N11*100,1))</f>
        <v>92.8</v>
      </c>
      <c r="O47" s="53">
        <f>IF('ETHYLENE-A1'!O11=0,"    -",ROUND('ETHYLENE-A1'!O40/'ETHYLENE-A1'!O11*100,1))</f>
        <v>89.6</v>
      </c>
      <c r="P47" s="53">
        <f>IF('ETHYLENE-A1'!P11=0,"    -",ROUND('ETHYLENE-A1'!P40/'ETHYLENE-A1'!P11*100,1))</f>
        <v>85.7</v>
      </c>
      <c r="Q47" s="56">
        <f>IF('ETHYLENE-A1'!Q11=0,"    -",ROUND('ETHYLENE-A1'!Q40/'ETHYLENE-A1'!Q11*100,1))</f>
        <v>85</v>
      </c>
    </row>
    <row r="48" spans="2:17" ht="16.5" customHeight="1">
      <c r="B48" s="605" t="s">
        <v>438</v>
      </c>
      <c r="C48" s="606"/>
      <c r="D48" s="52">
        <f>IF('ETHYLENE-A1'!D12=0,"    -",ROUND('ETHYLENE-A1'!D41/'ETHYLENE-A1'!D12*100,1))</f>
        <v>75</v>
      </c>
      <c r="E48" s="53">
        <f>IF('ETHYLENE-A1'!E12=0,"    -",ROUND('ETHYLENE-A1'!E41/'ETHYLENE-A1'!E12*100,1))</f>
        <v>75</v>
      </c>
      <c r="F48" s="53">
        <f>IF('ETHYLENE-A1'!F12=0,"    -",ROUND('ETHYLENE-A1'!F41/'ETHYLENE-A1'!F12*100,1))</f>
        <v>89</v>
      </c>
      <c r="G48" s="53">
        <f>IF('ETHYLENE-A1'!G12=0,"    -",ROUND('ETHYLENE-A1'!G41/'ETHYLENE-A1'!G12*100,1))</f>
        <v>99</v>
      </c>
      <c r="H48" s="53">
        <f>IF('ETHYLENE-A1'!H12=0,"    -",ROUND('ETHYLENE-A1'!H41/'ETHYLENE-A1'!H12*100,1))</f>
        <v>99</v>
      </c>
      <c r="I48" s="53">
        <f>IF('ETHYLENE-A1'!I12=0,"    -",ROUND('ETHYLENE-A1'!I41/'ETHYLENE-A1'!I12*100,1))</f>
        <v>75.599999999999994</v>
      </c>
      <c r="J48" s="53">
        <f>IF('ETHYLENE-A1'!J12=0,"    -",ROUND('ETHYLENE-A1'!J41/'ETHYLENE-A1'!J12*100,1))</f>
        <v>75.599999999999994</v>
      </c>
      <c r="K48" s="54">
        <f>IF('ETHYLENE-A1'!K12=0,"    -",ROUND('ETHYLENE-A1'!K41/'ETHYLENE-A1'!K12*100,1))</f>
        <v>75.599999999999994</v>
      </c>
      <c r="L48" s="52">
        <f>IF('ETHYLENE-A1'!L12=0,"    -",ROUND('ETHYLENE-A1'!L41/'ETHYLENE-A1'!L12*100,1))</f>
        <v>81.400000000000006</v>
      </c>
      <c r="M48" s="656">
        <f>IF('ETHYLENE-A1'!M12=0,"    -",ROUND('ETHYLENE-A1'!M41/'ETHYLENE-A1'!M12*100,1))</f>
        <v>81.400000000000006</v>
      </c>
      <c r="N48" s="656">
        <f>IF('ETHYLENE-A1'!N12=0,"    -",ROUND('ETHYLENE-A1'!N41/'ETHYLENE-A1'!N12*100,1))</f>
        <v>81.099999999999994</v>
      </c>
      <c r="O48" s="656">
        <f>IF('ETHYLENE-A1'!O12=0,"    -",ROUND('ETHYLENE-A1'!O41/'ETHYLENE-A1'!O12*100,1))</f>
        <v>81.099999999999994</v>
      </c>
      <c r="P48" s="656">
        <f>IF('ETHYLENE-A1'!P12=0,"    -",ROUND('ETHYLENE-A1'!P41/'ETHYLENE-A1'!P12*100,1))</f>
        <v>81.099999999999994</v>
      </c>
      <c r="Q48" s="56">
        <f>IF('ETHYLENE-A1'!Q12=0,"    -",ROUND('ETHYLENE-A1'!Q41/'ETHYLENE-A1'!Q12*100,1))</f>
        <v>51.7</v>
      </c>
    </row>
    <row r="49" spans="2:17" ht="16.5" customHeight="1">
      <c r="B49" s="605" t="s">
        <v>439</v>
      </c>
      <c r="C49" s="606"/>
      <c r="D49" s="52">
        <f>IF('ETHYLENE-A1'!D13=0,"    -",ROUND('ETHYLENE-A1'!D42/'ETHYLENE-A1'!D13*100,1))</f>
        <v>82.6</v>
      </c>
      <c r="E49" s="53">
        <f>IF('ETHYLENE-A1'!E13=0,"    -",ROUND('ETHYLENE-A1'!E42/'ETHYLENE-A1'!E13*100,1))</f>
        <v>90.4</v>
      </c>
      <c r="F49" s="53">
        <f>IF('ETHYLENE-A1'!F13=0,"    -",ROUND('ETHYLENE-A1'!F42/'ETHYLENE-A1'!F13*100,1))</f>
        <v>91.8</v>
      </c>
      <c r="G49" s="53">
        <f>IF('ETHYLENE-A1'!G13=0,"    -",ROUND('ETHYLENE-A1'!G42/'ETHYLENE-A1'!G13*100,1))</f>
        <v>95.9</v>
      </c>
      <c r="H49" s="53">
        <f>IF('ETHYLENE-A1'!H13=0,"    -",ROUND('ETHYLENE-A1'!H42/'ETHYLENE-A1'!H13*100,1))</f>
        <v>99.9</v>
      </c>
      <c r="I49" s="53">
        <f>IF('ETHYLENE-A1'!I13=0,"    -",ROUND('ETHYLENE-A1'!I42/'ETHYLENE-A1'!I13*100,1))</f>
        <v>99.9</v>
      </c>
      <c r="J49" s="53">
        <f>IF('ETHYLENE-A1'!J13=0,"    -",ROUND('ETHYLENE-A1'!J42/'ETHYLENE-A1'!J13*100,1))</f>
        <v>88.3</v>
      </c>
      <c r="K49" s="54">
        <f>IF('ETHYLENE-A1'!K13=0,"    -",ROUND('ETHYLENE-A1'!K42/'ETHYLENE-A1'!K13*100,1))</f>
        <v>85.5</v>
      </c>
      <c r="L49" s="55">
        <f>IF('ETHYLENE-A1'!L13=0,"    -",ROUND('ETHYLENE-A1'!L42/'ETHYLENE-A1'!L13*100,1))</f>
        <v>93.6</v>
      </c>
      <c r="M49" s="53">
        <f>IF('ETHYLENE-A1'!M13=0,"    -",ROUND('ETHYLENE-A1'!M42/'ETHYLENE-A1'!M13*100,1))</f>
        <v>88.3</v>
      </c>
      <c r="N49" s="53">
        <f>IF('ETHYLENE-A1'!N13=0,"    -",ROUND('ETHYLENE-A1'!N42/'ETHYLENE-A1'!N13*100,1))</f>
        <v>95</v>
      </c>
      <c r="O49" s="53">
        <f>IF('ETHYLENE-A1'!O13=0,"    -",ROUND('ETHYLENE-A1'!O42/'ETHYLENE-A1'!O13*100,1))</f>
        <v>98.3</v>
      </c>
      <c r="P49" s="53">
        <f>IF('ETHYLENE-A1'!P13=0,"    -",ROUND('ETHYLENE-A1'!P42/'ETHYLENE-A1'!P13*100,1))</f>
        <v>83.8</v>
      </c>
      <c r="Q49" s="56">
        <f>IF('ETHYLENE-A1'!Q13=0,"    -",ROUND('ETHYLENE-A1'!Q42/'ETHYLENE-A1'!Q13*100,1))</f>
        <v>89.8</v>
      </c>
    </row>
    <row r="50" spans="2:17" ht="18" hidden="1" customHeight="1">
      <c r="B50" s="16"/>
      <c r="C50" s="90" t="s">
        <v>306</v>
      </c>
      <c r="D50" s="52" t="str">
        <f>IF('ETHYLENE-A1'!D14=0,"    -",ROUND('ETHYLENE-A1'!D43/'ETHYLENE-A1'!D14*100,1))</f>
        <v xml:space="preserve">    -</v>
      </c>
      <c r="E50" s="53" t="str">
        <f>IF('ETHYLENE-A1'!E14=0,"    -",ROUND('ETHYLENE-A1'!E43/'ETHYLENE-A1'!E14*100,1))</f>
        <v xml:space="preserve">    -</v>
      </c>
      <c r="F50" s="53" t="str">
        <f>IF('ETHYLENE-A1'!F14=0,"    -",ROUND('ETHYLENE-A1'!F43/'ETHYLENE-A1'!F14*100,1))</f>
        <v xml:space="preserve">    -</v>
      </c>
      <c r="G50" s="53" t="str">
        <f>IF('ETHYLENE-A1'!G14=0,"    -",ROUND('ETHYLENE-A1'!G43/'ETHYLENE-A1'!G14*100,1))</f>
        <v xml:space="preserve">    -</v>
      </c>
      <c r="H50" s="53" t="str">
        <f>IF('ETHYLENE-A1'!H14=0,"    -",ROUND('ETHYLENE-A1'!H43/'ETHYLENE-A1'!H14*100,1))</f>
        <v xml:space="preserve">    -</v>
      </c>
      <c r="I50" s="53" t="str">
        <f>IF('ETHYLENE-A1'!I14=0,"    -",ROUND('ETHYLENE-A1'!I43/'ETHYLENE-A1'!I14*100,1))</f>
        <v xml:space="preserve">    -</v>
      </c>
      <c r="J50" s="53" t="str">
        <f>IF('ETHYLENE-A1'!J14=0,"    -",ROUND('ETHYLENE-A1'!J43/'ETHYLENE-A1'!J14*100,1))</f>
        <v xml:space="preserve">    -</v>
      </c>
      <c r="K50" s="54" t="str">
        <f>IF('ETHYLENE-A1'!K14=0,"    -",ROUND('ETHYLENE-A1'!K43/'ETHYLENE-A1'!K14*100,1))</f>
        <v xml:space="preserve">    -</v>
      </c>
      <c r="L50" s="55" t="str">
        <f>IF('ETHYLENE-A1'!L14=0,"    -",ROUND('ETHYLENE-A1'!L43/'ETHYLENE-A1'!L14*100,1))</f>
        <v xml:space="preserve">    -</v>
      </c>
      <c r="M50" s="53" t="str">
        <f>IF('ETHYLENE-A1'!M14=0,"    -",ROUND('ETHYLENE-A1'!M43/'ETHYLENE-A1'!M14*100,1))</f>
        <v xml:space="preserve">    -</v>
      </c>
      <c r="N50" s="53" t="str">
        <f>IF('ETHYLENE-A1'!N14=0,"    -",ROUND('ETHYLENE-A1'!N43/'ETHYLENE-A1'!N14*100,1))</f>
        <v xml:space="preserve">    -</v>
      </c>
      <c r="O50" s="53" t="str">
        <f>IF('ETHYLENE-A1'!O14=0,"    -",ROUND('ETHYLENE-A1'!O43/'ETHYLENE-A1'!O14*100,1))</f>
        <v xml:space="preserve">    -</v>
      </c>
      <c r="P50" s="53" t="str">
        <f>IF('ETHYLENE-A1'!P14=0,"    -",ROUND('ETHYLENE-A1'!P43/'ETHYLENE-A1'!P14*100,1))</f>
        <v xml:space="preserve">    -</v>
      </c>
      <c r="Q50" s="56" t="str">
        <f>IF('ETHYLENE-A1'!Q14=0,"    -",ROUND('ETHYLENE-A1'!Q43/'ETHYLENE-A1'!Q14*100,1))</f>
        <v xml:space="preserve">    -</v>
      </c>
    </row>
    <row r="51" spans="2:17" ht="16.5" customHeight="1">
      <c r="B51" s="605" t="s">
        <v>440</v>
      </c>
      <c r="C51" s="606"/>
      <c r="D51" s="52" t="str">
        <f>IF('ETHYLENE-A1'!D15=0,"    -",ROUND('ETHYLENE-A1'!D44/'ETHYLENE-A1'!D15*100,1))</f>
        <v xml:space="preserve">    -</v>
      </c>
      <c r="E51" s="53" t="str">
        <f>IF('ETHYLENE-A1'!E15=0,"    -",ROUND('ETHYLENE-A1'!E44/'ETHYLENE-A1'!E15*100,1))</f>
        <v xml:space="preserve">    -</v>
      </c>
      <c r="F51" s="53" t="str">
        <f>IF('ETHYLENE-A1'!F15=0,"    -",ROUND('ETHYLENE-A1'!F44/'ETHYLENE-A1'!F15*100,1))</f>
        <v xml:space="preserve">    -</v>
      </c>
      <c r="G51" s="53" t="str">
        <f>IF('ETHYLENE-A1'!G15=0,"    -",ROUND('ETHYLENE-A1'!G44/'ETHYLENE-A1'!G15*100,1))</f>
        <v xml:space="preserve">    -</v>
      </c>
      <c r="H51" s="53" t="str">
        <f>IF('ETHYLENE-A1'!H15=0,"    -",ROUND('ETHYLENE-A1'!H44/'ETHYLENE-A1'!H15*100,1))</f>
        <v xml:space="preserve">    -</v>
      </c>
      <c r="I51" s="53">
        <f>IF('ETHYLENE-A1'!I15=0,"    -",ROUND('ETHYLENE-A1'!I44/'ETHYLENE-A1'!I15*100,1))</f>
        <v>17.5</v>
      </c>
      <c r="J51" s="53">
        <f>IF('ETHYLENE-A1'!J15=0,"    -",ROUND('ETHYLENE-A1'!J44/'ETHYLENE-A1'!J15*100,1))</f>
        <v>93.8</v>
      </c>
      <c r="K51" s="54">
        <f>IF('ETHYLENE-A1'!K15=0,"    -",ROUND('ETHYLENE-A1'!K44/'ETHYLENE-A1'!K15*100,1))</f>
        <v>100</v>
      </c>
      <c r="L51" s="55">
        <f>IF('ETHYLENE-A1'!L15=0,"    -",ROUND('ETHYLENE-A1'!L44/'ETHYLENE-A1'!L15*100,1))</f>
        <v>100</v>
      </c>
      <c r="M51" s="53">
        <f>IF('ETHYLENE-A1'!M15=0,"    -",ROUND('ETHYLENE-A1'!M44/'ETHYLENE-A1'!M15*100,1))</f>
        <v>100</v>
      </c>
      <c r="N51" s="53">
        <f>IF('ETHYLENE-A1'!N15=0,"    -",ROUND('ETHYLENE-A1'!N44/'ETHYLENE-A1'!N15*100,1))</f>
        <v>100</v>
      </c>
      <c r="O51" s="53">
        <f>IF('ETHYLENE-A1'!O15=0,"    -",ROUND('ETHYLENE-A1'!O44/'ETHYLENE-A1'!O15*100,1))</f>
        <v>100</v>
      </c>
      <c r="P51" s="53">
        <f>IF('ETHYLENE-A1'!P15=0,"    -",ROUND('ETHYLENE-A1'!P44/'ETHYLENE-A1'!P15*100,1))</f>
        <v>100</v>
      </c>
      <c r="Q51" s="56">
        <f>IF('ETHYLENE-A1'!Q15=0,"    -",ROUND('ETHYLENE-A1'!Q44/'ETHYLENE-A1'!Q15*100,1))</f>
        <v>100</v>
      </c>
    </row>
    <row r="52" spans="2:17" ht="16.5" customHeight="1">
      <c r="B52" s="605" t="s">
        <v>441</v>
      </c>
      <c r="C52" s="606"/>
      <c r="D52" s="52">
        <f>IF('ETHYLENE-A1'!D16=0,"    -",ROUND('ETHYLENE-A1'!D45/'ETHYLENE-A1'!D16*100,1))</f>
        <v>87.2</v>
      </c>
      <c r="E52" s="53">
        <f>IF('ETHYLENE-A1'!E16=0,"    -",ROUND('ETHYLENE-A1'!E45/'ETHYLENE-A1'!E16*100,1))</f>
        <v>88</v>
      </c>
      <c r="F52" s="53">
        <f>IF('ETHYLENE-A1'!F16=0,"    -",ROUND('ETHYLENE-A1'!F45/'ETHYLENE-A1'!F16*100,1))</f>
        <v>88.6</v>
      </c>
      <c r="G52" s="53">
        <f>IF('ETHYLENE-A1'!G16=0,"    -",ROUND('ETHYLENE-A1'!G45/'ETHYLENE-A1'!G16*100,1))</f>
        <v>82.3</v>
      </c>
      <c r="H52" s="53">
        <f>IF('ETHYLENE-A1'!H16=0,"    -",ROUND('ETHYLENE-A1'!H45/'ETHYLENE-A1'!H16*100,1))</f>
        <v>74.8</v>
      </c>
      <c r="I52" s="53">
        <f>IF('ETHYLENE-A1'!I16=0,"    -",ROUND('ETHYLENE-A1'!I45/'ETHYLENE-A1'!I16*100,1))</f>
        <v>81.5</v>
      </c>
      <c r="J52" s="53">
        <f>IF('ETHYLENE-A1'!J16=0,"    -",ROUND('ETHYLENE-A1'!J45/'ETHYLENE-A1'!J16*100,1))</f>
        <v>82.8</v>
      </c>
      <c r="K52" s="54">
        <f>IF('ETHYLENE-A1'!K16=0,"    -",ROUND('ETHYLENE-A1'!K45/'ETHYLENE-A1'!K16*100,1))</f>
        <v>81</v>
      </c>
      <c r="L52" s="55">
        <f>IF('ETHYLENE-A1'!L16=0,"    -",ROUND('ETHYLENE-A1'!L45/'ETHYLENE-A1'!L16*100,1))</f>
        <v>87.1</v>
      </c>
      <c r="M52" s="53">
        <f>IF('ETHYLENE-A1'!M16=0,"    -",ROUND('ETHYLENE-A1'!M45/'ETHYLENE-A1'!M16*100,1))</f>
        <v>58.8</v>
      </c>
      <c r="N52" s="53">
        <f>IF('ETHYLENE-A1'!N16=0,"    -",ROUND('ETHYLENE-A1'!N45/'ETHYLENE-A1'!N16*100,1))</f>
        <v>77.3</v>
      </c>
      <c r="O52" s="53">
        <f>IF('ETHYLENE-A1'!O16=0,"    -",ROUND('ETHYLENE-A1'!O45/'ETHYLENE-A1'!O16*100,1))</f>
        <v>85.7</v>
      </c>
      <c r="P52" s="53">
        <f>IF('ETHYLENE-A1'!P16=0,"    -",ROUND('ETHYLENE-A1'!P45/'ETHYLENE-A1'!P16*100,1))</f>
        <v>86</v>
      </c>
      <c r="Q52" s="56">
        <f>IF('ETHYLENE-A1'!Q16=0,"    -",ROUND('ETHYLENE-A1'!Q45/'ETHYLENE-A1'!Q16*100,1))</f>
        <v>87.3</v>
      </c>
    </row>
    <row r="53" spans="2:17" ht="16.5" customHeight="1">
      <c r="B53" s="605" t="s">
        <v>442</v>
      </c>
      <c r="C53" s="606"/>
      <c r="D53" s="52" t="str">
        <f>IF('ETHYLENE-A1'!D17=0,"    -",ROUND('ETHYLENE-A1'!D46/'ETHYLENE-A1'!D17*100,1))</f>
        <v xml:space="preserve">    -</v>
      </c>
      <c r="E53" s="53" t="str">
        <f>IF('ETHYLENE-A1'!E17=0,"    -",ROUND('ETHYLENE-A1'!E46/'ETHYLENE-A1'!E17*100,1))</f>
        <v xml:space="preserve">    -</v>
      </c>
      <c r="F53" s="53" t="str">
        <f>IF('ETHYLENE-A1'!F17=0,"    -",ROUND('ETHYLENE-A1'!F46/'ETHYLENE-A1'!F17*100,1))</f>
        <v xml:space="preserve">    -</v>
      </c>
      <c r="G53" s="53" t="str">
        <f>IF('ETHYLENE-A1'!G17=0,"    -",ROUND('ETHYLENE-A1'!G46/'ETHYLENE-A1'!G17*100,1))</f>
        <v xml:space="preserve">    -</v>
      </c>
      <c r="H53" s="53" t="str">
        <f>IF('ETHYLENE-A1'!H17=0,"    -",ROUND('ETHYLENE-A1'!H46/'ETHYLENE-A1'!H17*100,1))</f>
        <v xml:space="preserve">    -</v>
      </c>
      <c r="I53" s="53" t="str">
        <f>IF('ETHYLENE-A1'!I17=0,"    -",ROUND('ETHYLENE-A1'!I46/'ETHYLENE-A1'!I17*100,1))</f>
        <v xml:space="preserve">    -</v>
      </c>
      <c r="J53" s="53" t="str">
        <f>IF('ETHYLENE-A1'!J17=0,"    -",ROUND('ETHYLENE-A1'!J46/'ETHYLENE-A1'!J17*100,1))</f>
        <v xml:space="preserve">    -</v>
      </c>
      <c r="K53" s="54" t="str">
        <f>IF('ETHYLENE-A1'!K17=0,"    -",ROUND('ETHYLENE-A1'!K46/'ETHYLENE-A1'!K17*100,1))</f>
        <v xml:space="preserve">    -</v>
      </c>
      <c r="L53" s="55" t="str">
        <f>IF('ETHYLENE-A1'!L17=0,"    -",ROUND('ETHYLENE-A1'!L46/'ETHYLENE-A1'!L17*100,1))</f>
        <v xml:space="preserve">    -</v>
      </c>
      <c r="M53" s="53" t="str">
        <f>IF('ETHYLENE-A1'!M17=0,"    -",ROUND('ETHYLENE-A1'!M46/'ETHYLENE-A1'!M17*100,1))</f>
        <v xml:space="preserve">    -</v>
      </c>
      <c r="N53" s="53" t="str">
        <f>IF('ETHYLENE-A1'!N17=0,"    -",ROUND('ETHYLENE-A1'!N46/'ETHYLENE-A1'!N17*100,1))</f>
        <v xml:space="preserve">    -</v>
      </c>
      <c r="O53" s="53" t="str">
        <f>IF('ETHYLENE-A1'!O17=0,"    -",ROUND('ETHYLENE-A1'!O46/'ETHYLENE-A1'!O17*100,1))</f>
        <v xml:space="preserve">    -</v>
      </c>
      <c r="P53" s="53" t="str">
        <f>IF('ETHYLENE-A1'!P17=0,"    -",ROUND('ETHYLENE-A1'!P46/'ETHYLENE-A1'!P17*100,1))</f>
        <v xml:space="preserve">    -</v>
      </c>
      <c r="Q53" s="56">
        <f>IF('ETHYLENE-A1'!Q17=0,"    -",ROUND('ETHYLENE-A1'!Q46/'ETHYLENE-A1'!Q17*100,1))</f>
        <v>100</v>
      </c>
    </row>
    <row r="54" spans="2:17" ht="16.5" customHeight="1">
      <c r="B54" s="607" t="s">
        <v>443</v>
      </c>
      <c r="C54" s="608"/>
      <c r="D54" s="52">
        <f>IF('ETHYLENE-A1'!D18=0,"    -",ROUND('ETHYLENE-A1'!D47/'ETHYLENE-A1'!D18*100,1))</f>
        <v>92.2</v>
      </c>
      <c r="E54" s="53">
        <f>IF('ETHYLENE-A1'!E18=0,"    -",ROUND('ETHYLENE-A1'!E47/'ETHYLENE-A1'!E18*100,1))</f>
        <v>88</v>
      </c>
      <c r="F54" s="53">
        <f>IF('ETHYLENE-A1'!F18=0,"    -",ROUND('ETHYLENE-A1'!F47/'ETHYLENE-A1'!F18*100,1))</f>
        <v>80.8</v>
      </c>
      <c r="G54" s="53">
        <f>IF('ETHYLENE-A1'!G18=0,"    -",ROUND('ETHYLENE-A1'!G47/'ETHYLENE-A1'!G18*100,1))</f>
        <v>88</v>
      </c>
      <c r="H54" s="53">
        <f>IF('ETHYLENE-A1'!H18=0,"    -",ROUND('ETHYLENE-A1'!H47/'ETHYLENE-A1'!H18*100,1))</f>
        <v>91.3</v>
      </c>
      <c r="I54" s="53">
        <f>IF('ETHYLENE-A1'!I18=0,"    -",ROUND('ETHYLENE-A1'!I47/'ETHYLENE-A1'!I18*100,1))</f>
        <v>99</v>
      </c>
      <c r="J54" s="53">
        <f>IF('ETHYLENE-A1'!J18=0,"    -",ROUND('ETHYLENE-A1'!J47/'ETHYLENE-A1'!J18*100,1))</f>
        <v>96.8</v>
      </c>
      <c r="K54" s="54">
        <f>IF('ETHYLENE-A1'!K18=0,"    -",ROUND('ETHYLENE-A1'!K47/'ETHYLENE-A1'!K18*100,1))</f>
        <v>100.5</v>
      </c>
      <c r="L54" s="55">
        <f>IF('ETHYLENE-A1'!L18=0,"    -",ROUND('ETHYLENE-A1'!L47/'ETHYLENE-A1'!L18*100,1))</f>
        <v>94.7</v>
      </c>
      <c r="M54" s="53">
        <f>IF('ETHYLENE-A1'!M18=0,"    -",ROUND('ETHYLENE-A1'!M47/'ETHYLENE-A1'!M18*100,1))</f>
        <v>96</v>
      </c>
      <c r="N54" s="53">
        <f>IF('ETHYLENE-A1'!N18=0,"    -",ROUND('ETHYLENE-A1'!N47/'ETHYLENE-A1'!N18*100,1))</f>
        <v>94.7</v>
      </c>
      <c r="O54" s="53">
        <f>IF('ETHYLENE-A1'!O18=0,"    -",ROUND('ETHYLENE-A1'!O47/'ETHYLENE-A1'!O18*100,1))</f>
        <v>94.4</v>
      </c>
      <c r="P54" s="53">
        <f>IF('ETHYLENE-A1'!P18=0,"    -",ROUND('ETHYLENE-A1'!P47/'ETHYLENE-A1'!P18*100,1))</f>
        <v>93</v>
      </c>
      <c r="Q54" s="56">
        <f>IF('ETHYLENE-A1'!Q18=0,"    -",ROUND('ETHYLENE-A1'!Q47/'ETHYLENE-A1'!Q18*100,1))</f>
        <v>93.1</v>
      </c>
    </row>
    <row r="55" spans="2:17" ht="17.25" customHeight="1">
      <c r="B55" s="674" t="s">
        <v>307</v>
      </c>
      <c r="C55" s="675"/>
      <c r="D55" s="69">
        <f>IF('ETHYLENE-A1'!D19=0,"    -",ROUND('ETHYLENE-A1'!D48/'ETHYLENE-A1'!D19*100,1))</f>
        <v>90.9</v>
      </c>
      <c r="E55" s="70">
        <f>IF('ETHYLENE-A1'!E19=0,"    -",ROUND('ETHYLENE-A1'!E48/'ETHYLENE-A1'!E19*100,1))</f>
        <v>91.3</v>
      </c>
      <c r="F55" s="70">
        <f>IF('ETHYLENE-A1'!F19=0,"    -",ROUND('ETHYLENE-A1'!F48/'ETHYLENE-A1'!F19*100,1))</f>
        <v>88.9</v>
      </c>
      <c r="G55" s="70">
        <f>IF('ETHYLENE-A1'!G19=0,"    -",ROUND('ETHYLENE-A1'!G48/'ETHYLENE-A1'!G19*100,1))</f>
        <v>91.6</v>
      </c>
      <c r="H55" s="70">
        <f>IF('ETHYLENE-A1'!H19=0,"    -",ROUND('ETHYLENE-A1'!H48/'ETHYLENE-A1'!H19*100,1))</f>
        <v>93.3</v>
      </c>
      <c r="I55" s="70">
        <f>IF('ETHYLENE-A1'!I19=0,"    -",ROUND('ETHYLENE-A1'!I48/'ETHYLENE-A1'!I19*100,1))</f>
        <v>94.8</v>
      </c>
      <c r="J55" s="70">
        <f>IF('ETHYLENE-A1'!J19=0,"    -",ROUND('ETHYLENE-A1'!J48/'ETHYLENE-A1'!J19*100,1))</f>
        <v>95.1</v>
      </c>
      <c r="K55" s="71">
        <f>IF('ETHYLENE-A1'!K19=0,"    -",ROUND('ETHYLENE-A1'!K48/'ETHYLENE-A1'!K19*100,1))</f>
        <v>95.3</v>
      </c>
      <c r="L55" s="72">
        <f>IF('ETHYLENE-A1'!L19=0,"    -",ROUND('ETHYLENE-A1'!L48/'ETHYLENE-A1'!L19*100,1))</f>
        <v>96.3</v>
      </c>
      <c r="M55" s="70">
        <f>IF('ETHYLENE-A1'!M19=0,"    -",ROUND('ETHYLENE-A1'!M48/'ETHYLENE-A1'!M19*100,1))</f>
        <v>93.2</v>
      </c>
      <c r="N55" s="70">
        <f>IF('ETHYLENE-A1'!N19=0,"    -",ROUND('ETHYLENE-A1'!N48/'ETHYLENE-A1'!N19*100,1))</f>
        <v>89.1</v>
      </c>
      <c r="O55" s="70">
        <f>IF('ETHYLENE-A1'!O19=0,"    -",ROUND('ETHYLENE-A1'!O48/'ETHYLENE-A1'!O19*100,1))</f>
        <v>86.5</v>
      </c>
      <c r="P55" s="70">
        <f>IF('ETHYLENE-A1'!P19=0,"    -",ROUND('ETHYLENE-A1'!P48/'ETHYLENE-A1'!P19*100,1))</f>
        <v>85.5</v>
      </c>
      <c r="Q55" s="73">
        <f>IF('ETHYLENE-A1'!Q19=0,"    -",ROUND('ETHYLENE-A1'!Q48/'ETHYLENE-A1'!Q19*100,1))</f>
        <v>86.4</v>
      </c>
    </row>
    <row r="56" spans="2:17" ht="16.5" customHeight="1">
      <c r="B56" s="672" t="s">
        <v>308</v>
      </c>
      <c r="C56" s="673"/>
      <c r="D56" s="132">
        <f>IF('ETHYLENE-A1'!D20=0,"    -",ROUND('ETHYLENE-A1'!D49/'ETHYLENE-A1'!D20*100,1))</f>
        <v>95.6</v>
      </c>
      <c r="E56" s="133">
        <f>IF('ETHYLENE-A1'!E20=0,"    -",ROUND('ETHYLENE-A1'!E49/'ETHYLENE-A1'!E20*100,1))</f>
        <v>86</v>
      </c>
      <c r="F56" s="133">
        <f>IF('ETHYLENE-A1'!F20=0,"    -",ROUND('ETHYLENE-A1'!F49/'ETHYLENE-A1'!F20*100,1))</f>
        <v>86</v>
      </c>
      <c r="G56" s="133">
        <f>IF('ETHYLENE-A1'!G20=0,"    -",ROUND('ETHYLENE-A1'!G49/'ETHYLENE-A1'!G20*100,1))</f>
        <v>81</v>
      </c>
      <c r="H56" s="133">
        <f>IF('ETHYLENE-A1'!H20=0,"    -",ROUND('ETHYLENE-A1'!H49/'ETHYLENE-A1'!H20*100,1))</f>
        <v>81</v>
      </c>
      <c r="I56" s="133">
        <f>IF('ETHYLENE-A1'!I20=0,"    -",ROUND('ETHYLENE-A1'!I49/'ETHYLENE-A1'!I20*100,1))</f>
        <v>81</v>
      </c>
      <c r="J56" s="133">
        <f>IF('ETHYLENE-A1'!J20=0,"    -",ROUND('ETHYLENE-A1'!J49/'ETHYLENE-A1'!J20*100,1))</f>
        <v>81</v>
      </c>
      <c r="K56" s="134">
        <f>IF('ETHYLENE-A1'!K20=0,"    -",ROUND('ETHYLENE-A1'!K49/'ETHYLENE-A1'!K20*100,1))</f>
        <v>76</v>
      </c>
      <c r="L56" s="132">
        <f>IF('ETHYLENE-A1'!L20=0,"    -",ROUND('ETHYLENE-A1'!L49/'ETHYLENE-A1'!L20*100,1))</f>
        <v>76</v>
      </c>
      <c r="M56" s="133">
        <f>IF('ETHYLENE-A1'!M20=0,"    -",ROUND('ETHYLENE-A1'!M49/'ETHYLENE-A1'!M20*100,1))</f>
        <v>76</v>
      </c>
      <c r="N56" s="133">
        <f>IF('ETHYLENE-A1'!N20=0,"    -",ROUND('ETHYLENE-A1'!N49/'ETHYLENE-A1'!N20*100,1))</f>
        <v>76</v>
      </c>
      <c r="O56" s="133">
        <f>IF('ETHYLENE-A1'!O20=0,"    -",ROUND('ETHYLENE-A1'!O49/'ETHYLENE-A1'!O20*100,1))</f>
        <v>76</v>
      </c>
      <c r="P56" s="133">
        <f>IF('ETHYLENE-A1'!P20=0,"    -",ROUND('ETHYLENE-A1'!P49/'ETHYLENE-A1'!P20*100,1))</f>
        <v>76</v>
      </c>
      <c r="Q56" s="134">
        <f>IF('ETHYLENE-A1'!Q20=0,"    -",ROUND('ETHYLENE-A1'!Q49/'ETHYLENE-A1'!Q20*100,1))</f>
        <v>76</v>
      </c>
    </row>
    <row r="57" spans="2:17" ht="16.5" customHeight="1">
      <c r="B57" s="105"/>
      <c r="C57" s="97" t="s">
        <v>309</v>
      </c>
      <c r="D57" s="132">
        <f>IF('ETHYLENE-A1'!D21=0,"    -",ROUND('ETHYLENE-A1'!D50/'ETHYLENE-A1'!D21*100,1))</f>
        <v>95.6</v>
      </c>
      <c r="E57" s="133">
        <f>IF('ETHYLENE-A1'!E21=0,"    -",ROUND('ETHYLENE-A1'!E50/'ETHYLENE-A1'!E21*100,1))</f>
        <v>86</v>
      </c>
      <c r="F57" s="133">
        <f>IF('ETHYLENE-A1'!F21=0,"    -",ROUND('ETHYLENE-A1'!F50/'ETHYLENE-A1'!F21*100,1))</f>
        <v>86</v>
      </c>
      <c r="G57" s="133">
        <f>IF('ETHYLENE-A1'!G21=0,"    -",ROUND('ETHYLENE-A1'!G50/'ETHYLENE-A1'!G21*100,1))</f>
        <v>81</v>
      </c>
      <c r="H57" s="133">
        <f>IF('ETHYLENE-A1'!H21=0,"    -",ROUND('ETHYLENE-A1'!H50/'ETHYLENE-A1'!H21*100,1))</f>
        <v>81</v>
      </c>
      <c r="I57" s="133">
        <f>IF('ETHYLENE-A1'!I21=0,"    -",ROUND('ETHYLENE-A1'!I50/'ETHYLENE-A1'!I21*100,1))</f>
        <v>81</v>
      </c>
      <c r="J57" s="133">
        <f>IF('ETHYLENE-A1'!J21=0,"    -",ROUND('ETHYLENE-A1'!J50/'ETHYLENE-A1'!J21*100,1))</f>
        <v>81</v>
      </c>
      <c r="K57" s="134">
        <f>IF('ETHYLENE-A1'!K21=0,"    -",ROUND('ETHYLENE-A1'!K50/'ETHYLENE-A1'!K21*100,1))</f>
        <v>76</v>
      </c>
      <c r="L57" s="132">
        <f>IF('ETHYLENE-A1'!L21=0,"    -",ROUND('ETHYLENE-A1'!L50/'ETHYLENE-A1'!L21*100,1))</f>
        <v>76</v>
      </c>
      <c r="M57" s="133">
        <f>IF('ETHYLENE-A1'!M21=0,"    -",ROUND('ETHYLENE-A1'!M50/'ETHYLENE-A1'!M21*100,1))</f>
        <v>76</v>
      </c>
      <c r="N57" s="133">
        <f>IF('ETHYLENE-A1'!N21=0,"    -",ROUND('ETHYLENE-A1'!N50/'ETHYLENE-A1'!N21*100,1))</f>
        <v>76</v>
      </c>
      <c r="O57" s="133">
        <f>IF('ETHYLENE-A1'!O21=0,"    -",ROUND('ETHYLENE-A1'!O50/'ETHYLENE-A1'!O21*100,1))</f>
        <v>76</v>
      </c>
      <c r="P57" s="133">
        <f>IF('ETHYLENE-A1'!P21=0,"    -",ROUND('ETHYLENE-A1'!P50/'ETHYLENE-A1'!P21*100,1))</f>
        <v>76</v>
      </c>
      <c r="Q57" s="134">
        <f>IF('ETHYLENE-A1'!Q21=0,"    -",ROUND('ETHYLENE-A1'!Q50/'ETHYLENE-A1'!Q21*100,1))</f>
        <v>76</v>
      </c>
    </row>
    <row r="58" spans="2:17" ht="17.25" customHeight="1">
      <c r="B58" s="672" t="s">
        <v>310</v>
      </c>
      <c r="C58" s="673"/>
      <c r="D58" s="52">
        <f>IF('ETHYLENE-A1'!D22=0,"    -",ROUND('ETHYLENE-A1'!D51/'ETHYLENE-A1'!D22*100,1))</f>
        <v>83.3</v>
      </c>
      <c r="E58" s="53">
        <f>IF('ETHYLENE-A1'!E22=0,"    -",ROUND('ETHYLENE-A1'!E51/'ETHYLENE-A1'!E22*100,1))</f>
        <v>83.1</v>
      </c>
      <c r="F58" s="53">
        <f>IF('ETHYLENE-A1'!F22=0,"    -",ROUND('ETHYLENE-A1'!F51/'ETHYLENE-A1'!F22*100,1))</f>
        <v>78.400000000000006</v>
      </c>
      <c r="G58" s="53">
        <f>IF('ETHYLENE-A1'!G22=0,"    -",ROUND('ETHYLENE-A1'!G51/'ETHYLENE-A1'!G22*100,1))</f>
        <v>79.2</v>
      </c>
      <c r="H58" s="53">
        <f>IF('ETHYLENE-A1'!H22=0,"    -",ROUND('ETHYLENE-A1'!H51/'ETHYLENE-A1'!H22*100,1))</f>
        <v>83.9</v>
      </c>
      <c r="I58" s="53">
        <f>IF('ETHYLENE-A1'!I22=0,"    -",ROUND('ETHYLENE-A1'!I51/'ETHYLENE-A1'!I22*100,1))</f>
        <v>86</v>
      </c>
      <c r="J58" s="53">
        <f>IF('ETHYLENE-A1'!J22=0,"    -",ROUND('ETHYLENE-A1'!J51/'ETHYLENE-A1'!J22*100,1))</f>
        <v>87.4</v>
      </c>
      <c r="K58" s="54">
        <f>IF('ETHYLENE-A1'!K22=0,"    -",ROUND('ETHYLENE-A1'!K51/'ETHYLENE-A1'!K22*100,1))</f>
        <v>89.4</v>
      </c>
      <c r="L58" s="52">
        <f>IF('ETHYLENE-A1'!L22=0,"    -",ROUND('ETHYLENE-A1'!L51/'ETHYLENE-A1'!L22*100,1))</f>
        <v>87.6</v>
      </c>
      <c r="M58" s="53">
        <f>IF('ETHYLENE-A1'!M22=0,"    -",ROUND('ETHYLENE-A1'!M51/'ETHYLENE-A1'!M22*100,1))</f>
        <v>88.3</v>
      </c>
      <c r="N58" s="53">
        <f>IF('ETHYLENE-A1'!N22=0,"    -",ROUND('ETHYLENE-A1'!N51/'ETHYLENE-A1'!N22*100,1))</f>
        <v>88.8</v>
      </c>
      <c r="O58" s="53">
        <f>IF('ETHYLENE-A1'!O22=0,"    -",ROUND('ETHYLENE-A1'!O51/'ETHYLENE-A1'!O22*100,1))</f>
        <v>88.8</v>
      </c>
      <c r="P58" s="53">
        <f>IF('ETHYLENE-A1'!P22=0,"    -",ROUND('ETHYLENE-A1'!P51/'ETHYLENE-A1'!P22*100,1))</f>
        <v>89.1</v>
      </c>
      <c r="Q58" s="54">
        <f>IF('ETHYLENE-A1'!Q22=0,"    -",ROUND('ETHYLENE-A1'!Q51/'ETHYLENE-A1'!Q22*100,1))</f>
        <v>90.2</v>
      </c>
    </row>
    <row r="59" spans="2:17" ht="16.5" customHeight="1">
      <c r="B59" s="105"/>
      <c r="C59" s="615" t="s">
        <v>311</v>
      </c>
      <c r="D59" s="69">
        <f>IF('ETHYLENE-A1'!D23=0,"    -",ROUND('ETHYLENE-A1'!D52/'ETHYLENE-A1'!D23*100,1))</f>
        <v>84.9</v>
      </c>
      <c r="E59" s="70">
        <f>IF('ETHYLENE-A1'!E23=0,"    -",ROUND('ETHYLENE-A1'!E52/'ETHYLENE-A1'!E23*100,1))</f>
        <v>83.7</v>
      </c>
      <c r="F59" s="70">
        <f>IF('ETHYLENE-A1'!F23=0,"    -",ROUND('ETHYLENE-A1'!F52/'ETHYLENE-A1'!F23*100,1))</f>
        <v>79.3</v>
      </c>
      <c r="G59" s="70">
        <f>IF('ETHYLENE-A1'!G23=0,"    -",ROUND('ETHYLENE-A1'!G52/'ETHYLENE-A1'!G23*100,1))</f>
        <v>79.599999999999994</v>
      </c>
      <c r="H59" s="70">
        <f>IF('ETHYLENE-A1'!H23=0,"    -",ROUND('ETHYLENE-A1'!H52/'ETHYLENE-A1'!H23*100,1))</f>
        <v>85.3</v>
      </c>
      <c r="I59" s="70">
        <f>IF('ETHYLENE-A1'!I23=0,"    -",ROUND('ETHYLENE-A1'!I52/'ETHYLENE-A1'!I23*100,1))</f>
        <v>87.2</v>
      </c>
      <c r="J59" s="70">
        <f>IF('ETHYLENE-A1'!J23=0,"    -",ROUND('ETHYLENE-A1'!J52/'ETHYLENE-A1'!J23*100,1))</f>
        <v>90.1</v>
      </c>
      <c r="K59" s="71">
        <f>IF('ETHYLENE-A1'!K23=0,"    -",ROUND('ETHYLENE-A1'!K52/'ETHYLENE-A1'!K23*100,1))</f>
        <v>90.3</v>
      </c>
      <c r="L59" s="69">
        <f>IF('ETHYLENE-A1'!L23=0,"    -",ROUND('ETHYLENE-A1'!L52/'ETHYLENE-A1'!L23*100,1))</f>
        <v>88.3</v>
      </c>
      <c r="M59" s="70">
        <f>IF('ETHYLENE-A1'!M23=0,"    -",ROUND('ETHYLENE-A1'!M52/'ETHYLENE-A1'!M23*100,1))</f>
        <v>88.9</v>
      </c>
      <c r="N59" s="70">
        <f>IF('ETHYLENE-A1'!N23=0,"    -",ROUND('ETHYLENE-A1'!N52/'ETHYLENE-A1'!N23*100,1))</f>
        <v>89.2</v>
      </c>
      <c r="O59" s="70">
        <f>IF('ETHYLENE-A1'!O23=0,"    -",ROUND('ETHYLENE-A1'!O52/'ETHYLENE-A1'!O23*100,1))</f>
        <v>89.2</v>
      </c>
      <c r="P59" s="70">
        <f>IF('ETHYLENE-A1'!P23=0,"    -",ROUND('ETHYLENE-A1'!P52/'ETHYLENE-A1'!P23*100,1))</f>
        <v>89.5</v>
      </c>
      <c r="Q59" s="71">
        <f>IF('ETHYLENE-A1'!Q23=0,"    -",ROUND('ETHYLENE-A1'!Q52/'ETHYLENE-A1'!Q23*100,1))</f>
        <v>90.9</v>
      </c>
    </row>
    <row r="60" spans="2:17" ht="17.25" customHeight="1">
      <c r="B60" s="672" t="s">
        <v>312</v>
      </c>
      <c r="C60" s="673"/>
      <c r="D60" s="52">
        <f>IF('ETHYLENE-A1'!D24=0,"    -",ROUND('ETHYLENE-A1'!D53/'ETHYLENE-A1'!D24*100,1))</f>
        <v>74.5</v>
      </c>
      <c r="E60" s="53">
        <f>IF('ETHYLENE-A1'!E24=0,"    -",ROUND('ETHYLENE-A1'!E53/'ETHYLENE-A1'!E24*100,1))</f>
        <v>86.9</v>
      </c>
      <c r="F60" s="53">
        <f>IF('ETHYLENE-A1'!F24=0,"    -",ROUND('ETHYLENE-A1'!F53/'ETHYLENE-A1'!F24*100,1))</f>
        <v>88.5</v>
      </c>
      <c r="G60" s="53">
        <f>IF('ETHYLENE-A1'!G24=0,"    -",ROUND('ETHYLENE-A1'!G53/'ETHYLENE-A1'!G24*100,1))</f>
        <v>87.6</v>
      </c>
      <c r="H60" s="53">
        <f>IF('ETHYLENE-A1'!H24=0,"    -",ROUND('ETHYLENE-A1'!H53/'ETHYLENE-A1'!H24*100,1))</f>
        <v>84.7</v>
      </c>
      <c r="I60" s="53">
        <f>IF('ETHYLENE-A1'!I24=0,"    -",ROUND('ETHYLENE-A1'!I53/'ETHYLENE-A1'!I24*100,1))</f>
        <v>84.1</v>
      </c>
      <c r="J60" s="53">
        <f>IF('ETHYLENE-A1'!J24=0,"    -",ROUND('ETHYLENE-A1'!J53/'ETHYLENE-A1'!J24*100,1))</f>
        <v>78.8</v>
      </c>
      <c r="K60" s="54">
        <f>IF('ETHYLENE-A1'!K24=0,"    -",ROUND('ETHYLENE-A1'!K53/'ETHYLENE-A1'!K24*100,1))</f>
        <v>79.400000000000006</v>
      </c>
      <c r="L60" s="52">
        <f>IF('ETHYLENE-A1'!L24=0,"    -",ROUND('ETHYLENE-A1'!L53/'ETHYLENE-A1'!L24*100,1))</f>
        <v>82.3</v>
      </c>
      <c r="M60" s="53">
        <f>IF('ETHYLENE-A1'!M24=0,"    -",ROUND('ETHYLENE-A1'!M53/'ETHYLENE-A1'!M24*100,1))</f>
        <v>83.8</v>
      </c>
      <c r="N60" s="53">
        <f>IF('ETHYLENE-A1'!N24=0,"    -",ROUND('ETHYLENE-A1'!N53/'ETHYLENE-A1'!N24*100,1))</f>
        <v>82.8</v>
      </c>
      <c r="O60" s="53">
        <f>IF('ETHYLENE-A1'!O24=0,"    -",ROUND('ETHYLENE-A1'!O53/'ETHYLENE-A1'!O24*100,1))</f>
        <v>84</v>
      </c>
      <c r="P60" s="53">
        <f>IF('ETHYLENE-A1'!P24=0,"    -",ROUND('ETHYLENE-A1'!P53/'ETHYLENE-A1'!P24*100,1))</f>
        <v>85.2</v>
      </c>
      <c r="Q60" s="54">
        <f>IF('ETHYLENE-A1'!Q24=0,"    -",ROUND('ETHYLENE-A1'!Q53/'ETHYLENE-A1'!Q24*100,1))</f>
        <v>86.7</v>
      </c>
    </row>
    <row r="61" spans="2:17" ht="16.5" customHeight="1">
      <c r="B61" s="16"/>
      <c r="C61" s="615" t="s">
        <v>313</v>
      </c>
      <c r="D61" s="69">
        <f>IF('ETHYLENE-A1'!D25=0,"    -",ROUND('ETHYLENE-A1'!D54/'ETHYLENE-A1'!D25*100,1))</f>
        <v>88.8</v>
      </c>
      <c r="E61" s="70">
        <f>IF('ETHYLENE-A1'!E25=0,"    -",ROUND('ETHYLENE-A1'!E54/'ETHYLENE-A1'!E25*100,1))</f>
        <v>88.8</v>
      </c>
      <c r="F61" s="70">
        <f>IF('ETHYLENE-A1'!F25=0,"    -",ROUND('ETHYLENE-A1'!F54/'ETHYLENE-A1'!F25*100,1))</f>
        <v>88.6</v>
      </c>
      <c r="G61" s="70">
        <f>IF('ETHYLENE-A1'!G25=0,"    -",ROUND('ETHYLENE-A1'!G54/'ETHYLENE-A1'!G25*100,1))</f>
        <v>88.3</v>
      </c>
      <c r="H61" s="70">
        <f>IF('ETHYLENE-A1'!H25=0,"    -",ROUND('ETHYLENE-A1'!H54/'ETHYLENE-A1'!H25*100,1))</f>
        <v>89</v>
      </c>
      <c r="I61" s="70">
        <f>IF('ETHYLENE-A1'!I25=0,"    -",ROUND('ETHYLENE-A1'!I54/'ETHYLENE-A1'!I25*100,1))</f>
        <v>90.5</v>
      </c>
      <c r="J61" s="70">
        <f>IF('ETHYLENE-A1'!J25=0,"    -",ROUND('ETHYLENE-A1'!J54/'ETHYLENE-A1'!J25*100,1))</f>
        <v>82</v>
      </c>
      <c r="K61" s="71">
        <f>IF('ETHYLENE-A1'!K25=0,"    -",ROUND('ETHYLENE-A1'!K54/'ETHYLENE-A1'!K25*100,1))</f>
        <v>85.4</v>
      </c>
      <c r="L61" s="69">
        <f>IF('ETHYLENE-A1'!L25=0,"    -",ROUND('ETHYLENE-A1'!L54/'ETHYLENE-A1'!L25*100,1))</f>
        <v>88.5</v>
      </c>
      <c r="M61" s="70">
        <f>IF('ETHYLENE-A1'!M25=0,"    -",ROUND('ETHYLENE-A1'!M54/'ETHYLENE-A1'!M25*100,1))</f>
        <v>90.8</v>
      </c>
      <c r="N61" s="70">
        <f>IF('ETHYLENE-A1'!N25=0,"    -",ROUND('ETHYLENE-A1'!N54/'ETHYLENE-A1'!N25*100,1))</f>
        <v>92</v>
      </c>
      <c r="O61" s="70">
        <f>IF('ETHYLENE-A1'!O25=0,"    -",ROUND('ETHYLENE-A1'!O54/'ETHYLENE-A1'!O25*100,1))</f>
        <v>92.7</v>
      </c>
      <c r="P61" s="70">
        <f>IF('ETHYLENE-A1'!P25=0,"    -",ROUND('ETHYLENE-A1'!P54/'ETHYLENE-A1'!P25*100,1))</f>
        <v>93.2</v>
      </c>
      <c r="Q61" s="71">
        <f>IF('ETHYLENE-A1'!Q25=0,"    -",ROUND('ETHYLENE-A1'!Q54/'ETHYLENE-A1'!Q25*100,1))</f>
        <v>94.4</v>
      </c>
    </row>
    <row r="62" spans="2:17" ht="17.25" customHeight="1">
      <c r="B62" s="674" t="s">
        <v>314</v>
      </c>
      <c r="C62" s="675"/>
      <c r="D62" s="52">
        <f>IF('ETHYLENE-A1'!D26=0,"    -",ROUND('ETHYLENE-A1'!D55/'ETHYLENE-A1'!D26*100,1))</f>
        <v>82</v>
      </c>
      <c r="E62" s="53">
        <f>IF('ETHYLENE-A1'!E26=0,"    -",ROUND('ETHYLENE-A1'!E55/'ETHYLENE-A1'!E26*100,1))</f>
        <v>62.2</v>
      </c>
      <c r="F62" s="53">
        <f>IF('ETHYLENE-A1'!F26=0,"    -",ROUND('ETHYLENE-A1'!F55/'ETHYLENE-A1'!F26*100,1))</f>
        <v>60</v>
      </c>
      <c r="G62" s="53">
        <f>IF('ETHYLENE-A1'!G26=0,"    -",ROUND('ETHYLENE-A1'!G55/'ETHYLENE-A1'!G26*100,1))</f>
        <v>70.5</v>
      </c>
      <c r="H62" s="53">
        <f>IF('ETHYLENE-A1'!H26=0,"    -",ROUND('ETHYLENE-A1'!H55/'ETHYLENE-A1'!H26*100,1))</f>
        <v>69.5</v>
      </c>
      <c r="I62" s="53">
        <f>IF('ETHYLENE-A1'!I26=0,"    -",ROUND('ETHYLENE-A1'!I55/'ETHYLENE-A1'!I26*100,1))</f>
        <v>73.8</v>
      </c>
      <c r="J62" s="53">
        <f>IF('ETHYLENE-A1'!J26=0,"    -",ROUND('ETHYLENE-A1'!J55/'ETHYLENE-A1'!J26*100,1))</f>
        <v>60.7</v>
      </c>
      <c r="K62" s="54">
        <f>IF('ETHYLENE-A1'!K26=0,"    -",ROUND('ETHYLENE-A1'!K55/'ETHYLENE-A1'!K26*100,1))</f>
        <v>74.7</v>
      </c>
      <c r="L62" s="52">
        <f>IF('ETHYLENE-A1'!L26=0,"    -",ROUND('ETHYLENE-A1'!L55/'ETHYLENE-A1'!L26*100,1))</f>
        <v>75.599999999999994</v>
      </c>
      <c r="M62" s="53">
        <f>IF('ETHYLENE-A1'!M26=0,"    -",ROUND('ETHYLENE-A1'!M55/'ETHYLENE-A1'!M26*100,1))</f>
        <v>76.5</v>
      </c>
      <c r="N62" s="53">
        <f>IF('ETHYLENE-A1'!N26=0,"    -",ROUND('ETHYLENE-A1'!N55/'ETHYLENE-A1'!N26*100,1))</f>
        <v>78.400000000000006</v>
      </c>
      <c r="O62" s="53">
        <f>IF('ETHYLENE-A1'!O26=0,"    -",ROUND('ETHYLENE-A1'!O55/'ETHYLENE-A1'!O26*100,1))</f>
        <v>82.4</v>
      </c>
      <c r="P62" s="53">
        <f>IF('ETHYLENE-A1'!P26=0,"    -",ROUND('ETHYLENE-A1'!P55/'ETHYLENE-A1'!P26*100,1))</f>
        <v>84.9</v>
      </c>
      <c r="Q62" s="54">
        <f>IF('ETHYLENE-A1'!Q26=0,"    -",ROUND('ETHYLENE-A1'!Q55/'ETHYLENE-A1'!Q26*100,1))</f>
        <v>91.7</v>
      </c>
    </row>
    <row r="63" spans="2:17" ht="17.25" customHeight="1">
      <c r="B63" s="674" t="s">
        <v>315</v>
      </c>
      <c r="C63" s="675"/>
      <c r="D63" s="69">
        <f>IF('ETHYLENE-A1'!D27=0,"    -",ROUND('ETHYLENE-A1'!D56/'ETHYLENE-A1'!D27*100,1))</f>
        <v>64</v>
      </c>
      <c r="E63" s="70">
        <f>IF('ETHYLENE-A1'!E27=0,"    -",ROUND('ETHYLENE-A1'!E56/'ETHYLENE-A1'!E27*100,1))</f>
        <v>69</v>
      </c>
      <c r="F63" s="70">
        <f>IF('ETHYLENE-A1'!F27=0,"    -",ROUND('ETHYLENE-A1'!F56/'ETHYLENE-A1'!F27*100,1))</f>
        <v>58.6</v>
      </c>
      <c r="G63" s="70">
        <f>IF('ETHYLENE-A1'!G27=0,"    -",ROUND('ETHYLENE-A1'!G56/'ETHYLENE-A1'!G27*100,1))</f>
        <v>75.099999999999994</v>
      </c>
      <c r="H63" s="70">
        <f>IF('ETHYLENE-A1'!H27=0,"    -",ROUND('ETHYLENE-A1'!H56/'ETHYLENE-A1'!H27*100,1))</f>
        <v>67.099999999999994</v>
      </c>
      <c r="I63" s="70">
        <f>IF('ETHYLENE-A1'!I27=0,"    -",ROUND('ETHYLENE-A1'!I56/'ETHYLENE-A1'!I27*100,1))</f>
        <v>68</v>
      </c>
      <c r="J63" s="70">
        <f>IF('ETHYLENE-A1'!J27=0,"    -",ROUND('ETHYLENE-A1'!J56/'ETHYLENE-A1'!J27*100,1))</f>
        <v>83.7</v>
      </c>
      <c r="K63" s="71">
        <f>IF('ETHYLENE-A1'!K27=0,"    -",ROUND('ETHYLENE-A1'!K56/'ETHYLENE-A1'!K27*100,1))</f>
        <v>79.900000000000006</v>
      </c>
      <c r="L63" s="72">
        <f>IF('ETHYLENE-A1'!L27=0,"    -",ROUND('ETHYLENE-A1'!L56/'ETHYLENE-A1'!L27*100,1))</f>
        <v>81</v>
      </c>
      <c r="M63" s="70">
        <f>IF('ETHYLENE-A1'!M27=0,"    -",ROUND('ETHYLENE-A1'!M56/'ETHYLENE-A1'!M27*100,1))</f>
        <v>86.7</v>
      </c>
      <c r="N63" s="70">
        <f>IF('ETHYLENE-A1'!N27=0,"    -",ROUND('ETHYLENE-A1'!N56/'ETHYLENE-A1'!N27*100,1))</f>
        <v>96.3</v>
      </c>
      <c r="O63" s="70">
        <f>IF('ETHYLENE-A1'!O27=0,"    -",ROUND('ETHYLENE-A1'!O56/'ETHYLENE-A1'!O27*100,1))</f>
        <v>91.2</v>
      </c>
      <c r="P63" s="70">
        <f>IF('ETHYLENE-A1'!P27=0,"    -",ROUND('ETHYLENE-A1'!P56/'ETHYLENE-A1'!P27*100,1))</f>
        <v>78.8</v>
      </c>
      <c r="Q63" s="73">
        <f>IF('ETHYLENE-A1'!Q27=0,"    -",ROUND('ETHYLENE-A1'!Q56/'ETHYLENE-A1'!Q27*100,1))</f>
        <v>80</v>
      </c>
    </row>
    <row r="64" spans="2:17" ht="16.5" customHeight="1">
      <c r="B64" s="672" t="s">
        <v>316</v>
      </c>
      <c r="C64" s="673"/>
      <c r="D64" s="52">
        <f>IF('ETHYLENE-A1'!D28=0,"    -",ROUND('ETHYLENE-A1'!D57/'ETHYLENE-A1'!D28*100,1))</f>
        <v>90.6</v>
      </c>
      <c r="E64" s="53">
        <f>IF('ETHYLENE-A1'!E28=0,"    -",ROUND('ETHYLENE-A1'!E57/'ETHYLENE-A1'!E28*100,1))</f>
        <v>93.8</v>
      </c>
      <c r="F64" s="53">
        <f>IF('ETHYLENE-A1'!F28=0,"    -",ROUND('ETHYLENE-A1'!F57/'ETHYLENE-A1'!F28*100,1))</f>
        <v>90.1</v>
      </c>
      <c r="G64" s="53">
        <f>IF('ETHYLENE-A1'!G28=0,"    -",ROUND('ETHYLENE-A1'!G57/'ETHYLENE-A1'!G28*100,1))</f>
        <v>90.7</v>
      </c>
      <c r="H64" s="53">
        <f>IF('ETHYLENE-A1'!H28=0,"    -",ROUND('ETHYLENE-A1'!H57/'ETHYLENE-A1'!H28*100,1))</f>
        <v>87.8</v>
      </c>
      <c r="I64" s="53">
        <f>IF('ETHYLENE-A1'!I28=0,"    -",ROUND('ETHYLENE-A1'!I57/'ETHYLENE-A1'!I28*100,1))</f>
        <v>92.6</v>
      </c>
      <c r="J64" s="53">
        <f>IF('ETHYLENE-A1'!J28=0,"    -",ROUND('ETHYLENE-A1'!J57/'ETHYLENE-A1'!J28*100,1))</f>
        <v>90</v>
      </c>
      <c r="K64" s="54">
        <f>IF('ETHYLENE-A1'!K28=0,"    -",ROUND('ETHYLENE-A1'!K57/'ETHYLENE-A1'!K28*100,1))</f>
        <v>90.7</v>
      </c>
      <c r="L64" s="55">
        <f>IF('ETHYLENE-A1'!L28=0,"    -",ROUND('ETHYLENE-A1'!L57/'ETHYLENE-A1'!L28*100,1))</f>
        <v>88.9</v>
      </c>
      <c r="M64" s="53">
        <f>IF('ETHYLENE-A1'!M28=0,"    -",ROUND('ETHYLENE-A1'!M57/'ETHYLENE-A1'!M28*100,1))</f>
        <v>87.1</v>
      </c>
      <c r="N64" s="53">
        <f>IF('ETHYLENE-A1'!N28=0,"    -",ROUND('ETHYLENE-A1'!N57/'ETHYLENE-A1'!N28*100,1))</f>
        <v>91.4</v>
      </c>
      <c r="O64" s="53">
        <f>IF('ETHYLENE-A1'!O28=0,"    -",ROUND('ETHYLENE-A1'!O57/'ETHYLENE-A1'!O28*100,1))</f>
        <v>90</v>
      </c>
      <c r="P64" s="53">
        <f>IF('ETHYLENE-A1'!P28=0,"    -",ROUND('ETHYLENE-A1'!P57/'ETHYLENE-A1'!P28*100,1))</f>
        <v>90</v>
      </c>
      <c r="Q64" s="56">
        <f>IF('ETHYLENE-A1'!Q28=0,"    -",ROUND('ETHYLENE-A1'!Q57/'ETHYLENE-A1'!Q28*100,1))</f>
        <v>90</v>
      </c>
    </row>
    <row r="65" spans="2:17" ht="16.5" customHeight="1">
      <c r="B65" s="670" t="s">
        <v>317</v>
      </c>
      <c r="C65" s="671"/>
      <c r="D65" s="52">
        <f>IF('ETHYLENE-A1'!D29=0,"    -",ROUND('ETHYLENE-A1'!D58/'ETHYLENE-A1'!D29*100,1))</f>
        <v>90</v>
      </c>
      <c r="E65" s="53">
        <f>IF('ETHYLENE-A1'!E29=0,"    -",ROUND('ETHYLENE-A1'!E58/'ETHYLENE-A1'!E29*100,1))</f>
        <v>90</v>
      </c>
      <c r="F65" s="53">
        <f>IF('ETHYLENE-A1'!F29=0,"    -",ROUND('ETHYLENE-A1'!F58/'ETHYLENE-A1'!F29*100,1))</f>
        <v>90</v>
      </c>
      <c r="G65" s="53">
        <f>IF('ETHYLENE-A1'!G29=0,"    -",ROUND('ETHYLENE-A1'!G58/'ETHYLENE-A1'!G29*100,1))</f>
        <v>90</v>
      </c>
      <c r="H65" s="53">
        <f>IF('ETHYLENE-A1'!H29=0,"    -",ROUND('ETHYLENE-A1'!H58/'ETHYLENE-A1'!H29*100,1))</f>
        <v>90</v>
      </c>
      <c r="I65" s="53">
        <f>IF('ETHYLENE-A1'!I29=0,"    -",ROUND('ETHYLENE-A1'!I58/'ETHYLENE-A1'!I29*100,1))</f>
        <v>85</v>
      </c>
      <c r="J65" s="53">
        <f>IF('ETHYLENE-A1'!J29=0,"    -",ROUND('ETHYLENE-A1'!J58/'ETHYLENE-A1'!J29*100,1))</f>
        <v>83</v>
      </c>
      <c r="K65" s="54">
        <f>IF('ETHYLENE-A1'!K29=0,"    -",ROUND('ETHYLENE-A1'!K58/'ETHYLENE-A1'!K29*100,1))</f>
        <v>90</v>
      </c>
      <c r="L65" s="55">
        <f>IF('ETHYLENE-A1'!L29=0,"    -",ROUND('ETHYLENE-A1'!L58/'ETHYLENE-A1'!L29*100,1))</f>
        <v>90</v>
      </c>
      <c r="M65" s="53">
        <f>IF('ETHYLENE-A1'!M29=0,"    -",ROUND('ETHYLENE-A1'!M58/'ETHYLENE-A1'!M29*100,1))</f>
        <v>90</v>
      </c>
      <c r="N65" s="53">
        <f>IF('ETHYLENE-A1'!N29=0,"    -",ROUND('ETHYLENE-A1'!N58/'ETHYLENE-A1'!N29*100,1))</f>
        <v>90</v>
      </c>
      <c r="O65" s="53">
        <f>IF('ETHYLENE-A1'!O29=0,"    -",ROUND('ETHYLENE-A1'!O58/'ETHYLENE-A1'!O29*100,1))</f>
        <v>90</v>
      </c>
      <c r="P65" s="53">
        <f>IF('ETHYLENE-A1'!P29=0,"    -",ROUND('ETHYLENE-A1'!P58/'ETHYLENE-A1'!P29*100,1))</f>
        <v>85.2</v>
      </c>
      <c r="Q65" s="56">
        <f>IF('ETHYLENE-A1'!Q29=0,"    -",ROUND('ETHYLENE-A1'!Q58/'ETHYLENE-A1'!Q29*100,1))</f>
        <v>85.2</v>
      </c>
    </row>
    <row r="66" spans="2:17" ht="17.25" customHeight="1">
      <c r="B66" s="674" t="s">
        <v>318</v>
      </c>
      <c r="C66" s="675"/>
      <c r="D66" s="69">
        <f>IF('ETHYLENE-A1'!D30=0,"    -",ROUND('ETHYLENE-A1'!D59/'ETHYLENE-A1'!D30*100,1))</f>
        <v>90.5</v>
      </c>
      <c r="E66" s="70">
        <f>IF('ETHYLENE-A1'!E30=0,"    -",ROUND('ETHYLENE-A1'!E59/'ETHYLENE-A1'!E30*100,1))</f>
        <v>93.2</v>
      </c>
      <c r="F66" s="70">
        <f>IF('ETHYLENE-A1'!F30=0,"    -",ROUND('ETHYLENE-A1'!F59/'ETHYLENE-A1'!F30*100,1))</f>
        <v>90.1</v>
      </c>
      <c r="G66" s="70">
        <f>IF('ETHYLENE-A1'!G30=0,"    -",ROUND('ETHYLENE-A1'!G59/'ETHYLENE-A1'!G30*100,1))</f>
        <v>90.6</v>
      </c>
      <c r="H66" s="70">
        <f>IF('ETHYLENE-A1'!H30=0,"    -",ROUND('ETHYLENE-A1'!H59/'ETHYLENE-A1'!H30*100,1))</f>
        <v>88.1</v>
      </c>
      <c r="I66" s="70">
        <f>IF('ETHYLENE-A1'!I30=0,"    -",ROUND('ETHYLENE-A1'!I59/'ETHYLENE-A1'!I30*100,1))</f>
        <v>91.4</v>
      </c>
      <c r="J66" s="70">
        <f>IF('ETHYLENE-A1'!J30=0,"    -",ROUND('ETHYLENE-A1'!J59/'ETHYLENE-A1'!J30*100,1))</f>
        <v>88.9</v>
      </c>
      <c r="K66" s="71">
        <f>IF('ETHYLENE-A1'!K30=0,"    -",ROUND('ETHYLENE-A1'!K59/'ETHYLENE-A1'!K30*100,1))</f>
        <v>90.6</v>
      </c>
      <c r="L66" s="72">
        <f>IF('ETHYLENE-A1'!L30=0,"    -",ROUND('ETHYLENE-A1'!L59/'ETHYLENE-A1'!L30*100,1))</f>
        <v>89.1</v>
      </c>
      <c r="M66" s="70">
        <f>IF('ETHYLENE-A1'!M30=0,"    -",ROUND('ETHYLENE-A1'!M59/'ETHYLENE-A1'!M30*100,1))</f>
        <v>87.4</v>
      </c>
      <c r="N66" s="70">
        <f>IF('ETHYLENE-A1'!N30=0,"    -",ROUND('ETHYLENE-A1'!N59/'ETHYLENE-A1'!N30*100,1))</f>
        <v>91.2</v>
      </c>
      <c r="O66" s="70">
        <f>IF('ETHYLENE-A1'!O30=0,"    -",ROUND('ETHYLENE-A1'!O59/'ETHYLENE-A1'!O30*100,1))</f>
        <v>90</v>
      </c>
      <c r="P66" s="70">
        <f>IF('ETHYLENE-A1'!P30=0,"    -",ROUND('ETHYLENE-A1'!P59/'ETHYLENE-A1'!P30*100,1))</f>
        <v>89.4</v>
      </c>
      <c r="Q66" s="73">
        <f>IF('ETHYLENE-A1'!Q30=0,"    -",ROUND('ETHYLENE-A1'!Q59/'ETHYLENE-A1'!Q30*100,1))</f>
        <v>89.4</v>
      </c>
    </row>
    <row r="67" spans="2:17" ht="16.5" customHeight="1">
      <c r="B67" s="672" t="s">
        <v>319</v>
      </c>
      <c r="C67" s="673"/>
      <c r="D67" s="52">
        <f>IF('ETHYLENE-A1'!D31=0,"    -",ROUND('ETHYLENE-A1'!D60/'ETHYLENE-A1'!D31*100,1))</f>
        <v>79.599999999999994</v>
      </c>
      <c r="E67" s="53">
        <f>IF('ETHYLENE-A1'!E31=0,"    -",ROUND('ETHYLENE-A1'!E60/'ETHYLENE-A1'!E31*100,1))</f>
        <v>79.5</v>
      </c>
      <c r="F67" s="53">
        <f>IF('ETHYLENE-A1'!F31=0,"    -",ROUND('ETHYLENE-A1'!F60/'ETHYLENE-A1'!F31*100,1))</f>
        <v>82.6</v>
      </c>
      <c r="G67" s="53">
        <f>IF('ETHYLENE-A1'!G31=0,"    -",ROUND('ETHYLENE-A1'!G60/'ETHYLENE-A1'!G31*100,1))</f>
        <v>90</v>
      </c>
      <c r="H67" s="53">
        <f>IF('ETHYLENE-A1'!H31=0,"    -",ROUND('ETHYLENE-A1'!H60/'ETHYLENE-A1'!H31*100,1))</f>
        <v>86.3</v>
      </c>
      <c r="I67" s="53">
        <f>IF('ETHYLENE-A1'!I31=0,"    -",ROUND('ETHYLENE-A1'!I60/'ETHYLENE-A1'!I31*100,1))</f>
        <v>90</v>
      </c>
      <c r="J67" s="53">
        <f>IF('ETHYLENE-A1'!J31=0,"    -",ROUND('ETHYLENE-A1'!J60/'ETHYLENE-A1'!J31*100,1))</f>
        <v>80</v>
      </c>
      <c r="K67" s="54">
        <f>IF('ETHYLENE-A1'!K31=0,"    -",ROUND('ETHYLENE-A1'!K60/'ETHYLENE-A1'!K31*100,1))</f>
        <v>90</v>
      </c>
      <c r="L67" s="55">
        <f>IF('ETHYLENE-A1'!L31=0,"    -",ROUND('ETHYLENE-A1'!L60/'ETHYLENE-A1'!L31*100,1))</f>
        <v>90</v>
      </c>
      <c r="M67" s="53">
        <f>IF('ETHYLENE-A1'!M31=0,"    -",ROUND('ETHYLENE-A1'!M60/'ETHYLENE-A1'!M31*100,1))</f>
        <v>90</v>
      </c>
      <c r="N67" s="53">
        <f>IF('ETHYLENE-A1'!N31=0,"    -",ROUND('ETHYLENE-A1'!N60/'ETHYLENE-A1'!N31*100,1))</f>
        <v>90</v>
      </c>
      <c r="O67" s="53">
        <f>IF('ETHYLENE-A1'!O31=0,"    -",ROUND('ETHYLENE-A1'!O60/'ETHYLENE-A1'!O31*100,1))</f>
        <v>90</v>
      </c>
      <c r="P67" s="53">
        <f>IF('ETHYLENE-A1'!P31=0,"    -",ROUND('ETHYLENE-A1'!P60/'ETHYLENE-A1'!P31*100,1))</f>
        <v>90</v>
      </c>
      <c r="Q67" s="56">
        <f>IF('ETHYLENE-A1'!Q31=0,"    -",ROUND('ETHYLENE-A1'!Q60/'ETHYLENE-A1'!Q31*100,1))</f>
        <v>90</v>
      </c>
    </row>
    <row r="68" spans="2:17" ht="16.5" customHeight="1">
      <c r="B68" s="668" t="s">
        <v>320</v>
      </c>
      <c r="C68" s="669"/>
      <c r="D68" s="52">
        <f>IF('ETHYLENE-A1'!D32=0,"    -",ROUND('ETHYLENE-A1'!D61/'ETHYLENE-A1'!D32*100,1))</f>
        <v>78.599999999999994</v>
      </c>
      <c r="E68" s="53">
        <f>IF('ETHYLENE-A1'!E32=0,"    -",ROUND('ETHYLENE-A1'!E61/'ETHYLENE-A1'!E32*100,1))</f>
        <v>83</v>
      </c>
      <c r="F68" s="53">
        <f>IF('ETHYLENE-A1'!F32=0,"    -",ROUND('ETHYLENE-A1'!F61/'ETHYLENE-A1'!F32*100,1))</f>
        <v>79.8</v>
      </c>
      <c r="G68" s="53">
        <f>IF('ETHYLENE-A1'!G32=0,"    -",ROUND('ETHYLENE-A1'!G61/'ETHYLENE-A1'!G32*100,1))</f>
        <v>83.1</v>
      </c>
      <c r="H68" s="53">
        <f>IF('ETHYLENE-A1'!H32=0,"    -",ROUND('ETHYLENE-A1'!H61/'ETHYLENE-A1'!H32*100,1))</f>
        <v>85</v>
      </c>
      <c r="I68" s="53">
        <f>IF('ETHYLENE-A1'!I32=0,"    -",ROUND('ETHYLENE-A1'!I61/'ETHYLENE-A1'!I32*100,1))</f>
        <v>85</v>
      </c>
      <c r="J68" s="53">
        <f>IF('ETHYLENE-A1'!J32=0,"    -",ROUND('ETHYLENE-A1'!J61/'ETHYLENE-A1'!J32*100,1))</f>
        <v>90.4</v>
      </c>
      <c r="K68" s="54">
        <f>IF('ETHYLENE-A1'!K32=0,"    -",ROUND('ETHYLENE-A1'!K61/'ETHYLENE-A1'!K32*100,1))</f>
        <v>85</v>
      </c>
      <c r="L68" s="55">
        <f>IF('ETHYLENE-A1'!L32=0,"    -",ROUND('ETHYLENE-A1'!L61/'ETHYLENE-A1'!L32*100,1))</f>
        <v>85</v>
      </c>
      <c r="M68" s="53">
        <f>IF('ETHYLENE-A1'!M32=0,"    -",ROUND('ETHYLENE-A1'!M61/'ETHYLENE-A1'!M32*100,1))</f>
        <v>85</v>
      </c>
      <c r="N68" s="53">
        <f>IF('ETHYLENE-A1'!N32=0,"    -",ROUND('ETHYLENE-A1'!N61/'ETHYLENE-A1'!N32*100,1))</f>
        <v>85</v>
      </c>
      <c r="O68" s="53">
        <f>IF('ETHYLENE-A1'!O32=0,"    -",ROUND('ETHYLENE-A1'!O61/'ETHYLENE-A1'!O32*100,1))</f>
        <v>85</v>
      </c>
      <c r="P68" s="53">
        <f>IF('ETHYLENE-A1'!P32=0,"    -",ROUND('ETHYLENE-A1'!P61/'ETHYLENE-A1'!P32*100,1))</f>
        <v>85</v>
      </c>
      <c r="Q68" s="56">
        <f>IF('ETHYLENE-A1'!Q32=0,"    -",ROUND('ETHYLENE-A1'!Q61/'ETHYLENE-A1'!Q32*100,1))</f>
        <v>85</v>
      </c>
    </row>
    <row r="69" spans="2:17" ht="16.5" customHeight="1">
      <c r="B69" s="670" t="s">
        <v>321</v>
      </c>
      <c r="C69" s="671"/>
      <c r="D69" s="52">
        <f>IF('ETHYLENE-A1'!D33=0,"    -",ROUND('ETHYLENE-A1'!D62/'ETHYLENE-A1'!D33*100,1))</f>
        <v>75.599999999999994</v>
      </c>
      <c r="E69" s="53">
        <f>IF('ETHYLENE-A1'!E33=0,"    -",ROUND('ETHYLENE-A1'!E62/'ETHYLENE-A1'!E33*100,1))</f>
        <v>76.3</v>
      </c>
      <c r="F69" s="53">
        <f>IF('ETHYLENE-A1'!F33=0,"    -",ROUND('ETHYLENE-A1'!F62/'ETHYLENE-A1'!F33*100,1))</f>
        <v>76.900000000000006</v>
      </c>
      <c r="G69" s="53">
        <f>IF('ETHYLENE-A1'!G33=0,"    -",ROUND('ETHYLENE-A1'!G62/'ETHYLENE-A1'!G33*100,1))</f>
        <v>85.7</v>
      </c>
      <c r="H69" s="53">
        <f>IF('ETHYLENE-A1'!H33=0,"    -",ROUND('ETHYLENE-A1'!H62/'ETHYLENE-A1'!H33*100,1))</f>
        <v>85</v>
      </c>
      <c r="I69" s="53">
        <f>IF('ETHYLENE-A1'!I33=0,"    -",ROUND('ETHYLENE-A1'!I62/'ETHYLENE-A1'!I33*100,1))</f>
        <v>85</v>
      </c>
      <c r="J69" s="53">
        <f>IF('ETHYLENE-A1'!J33=0,"    -",ROUND('ETHYLENE-A1'!J62/'ETHYLENE-A1'!J33*100,1))</f>
        <v>93</v>
      </c>
      <c r="K69" s="54">
        <f>IF('ETHYLENE-A1'!K33=0,"    -",ROUND('ETHYLENE-A1'!K62/'ETHYLENE-A1'!K33*100,1))</f>
        <v>90</v>
      </c>
      <c r="L69" s="55">
        <f>IF('ETHYLENE-A1'!L33=0,"    -",ROUND('ETHYLENE-A1'!L62/'ETHYLENE-A1'!L33*100,1))</f>
        <v>90</v>
      </c>
      <c r="M69" s="53">
        <f>IF('ETHYLENE-A1'!M33=0,"    -",ROUND('ETHYLENE-A1'!M62/'ETHYLENE-A1'!M33*100,1))</f>
        <v>90</v>
      </c>
      <c r="N69" s="53">
        <f>IF('ETHYLENE-A1'!N33=0,"    -",ROUND('ETHYLENE-A1'!N62/'ETHYLENE-A1'!N33*100,1))</f>
        <v>90</v>
      </c>
      <c r="O69" s="53">
        <f>IF('ETHYLENE-A1'!O33=0,"    -",ROUND('ETHYLENE-A1'!O62/'ETHYLENE-A1'!O33*100,1))</f>
        <v>90</v>
      </c>
      <c r="P69" s="53">
        <f>IF('ETHYLENE-A1'!P33=0,"    -",ROUND('ETHYLENE-A1'!P62/'ETHYLENE-A1'!P33*100,1))</f>
        <v>90</v>
      </c>
      <c r="Q69" s="56">
        <f>IF('ETHYLENE-A1'!Q33=0,"    -",ROUND('ETHYLENE-A1'!Q62/'ETHYLENE-A1'!Q33*100,1))</f>
        <v>90</v>
      </c>
    </row>
    <row r="70" spans="2:17" ht="17.25" customHeight="1" thickBot="1">
      <c r="B70" s="678" t="s">
        <v>322</v>
      </c>
      <c r="C70" s="679"/>
      <c r="D70" s="106">
        <f>IF('ETHYLENE-A1'!D34=0,"    -",ROUND('ETHYLENE-A1'!D63/'ETHYLENE-A1'!D34*100,1))</f>
        <v>78.099999999999994</v>
      </c>
      <c r="E70" s="107">
        <f>IF('ETHYLENE-A1'!E34=0,"    -",ROUND('ETHYLENE-A1'!E63/'ETHYLENE-A1'!E34*100,1))</f>
        <v>80.8</v>
      </c>
      <c r="F70" s="107">
        <f>IF('ETHYLENE-A1'!F34=0,"    -",ROUND('ETHYLENE-A1'!F63/'ETHYLENE-A1'!F34*100,1))</f>
        <v>79.7</v>
      </c>
      <c r="G70" s="107">
        <f>IF('ETHYLENE-A1'!G34=0,"    -",ROUND('ETHYLENE-A1'!G63/'ETHYLENE-A1'!G34*100,1))</f>
        <v>85.1</v>
      </c>
      <c r="H70" s="107">
        <f>IF('ETHYLENE-A1'!H34=0,"    -",ROUND('ETHYLENE-A1'!H63/'ETHYLENE-A1'!H34*100,1))</f>
        <v>85.3</v>
      </c>
      <c r="I70" s="107">
        <f>IF('ETHYLENE-A1'!I34=0,"    -",ROUND('ETHYLENE-A1'!I63/'ETHYLENE-A1'!I34*100,1))</f>
        <v>86.1</v>
      </c>
      <c r="J70" s="107">
        <f>IF('ETHYLENE-A1'!J34=0,"    -",ROUND('ETHYLENE-A1'!J63/'ETHYLENE-A1'!J34*100,1))</f>
        <v>87.7</v>
      </c>
      <c r="K70" s="108">
        <f>IF('ETHYLENE-A1'!K34=0,"    -",ROUND('ETHYLENE-A1'!K63/'ETHYLENE-A1'!K34*100,1))</f>
        <v>87.4</v>
      </c>
      <c r="L70" s="109">
        <f>IF('ETHYLENE-A1'!L34=0,"    -",ROUND('ETHYLENE-A1'!L63/'ETHYLENE-A1'!L34*100,1))</f>
        <v>87.4</v>
      </c>
      <c r="M70" s="107">
        <f>IF('ETHYLENE-A1'!M34=0,"    -",ROUND('ETHYLENE-A1'!M63/'ETHYLENE-A1'!M34*100,1))</f>
        <v>87.4</v>
      </c>
      <c r="N70" s="107">
        <f>IF('ETHYLENE-A1'!N34=0,"    -",ROUND('ETHYLENE-A1'!N63/'ETHYLENE-A1'!N34*100,1))</f>
        <v>87.4</v>
      </c>
      <c r="O70" s="107">
        <f>IF('ETHYLENE-A1'!O34=0,"    -",ROUND('ETHYLENE-A1'!O63/'ETHYLENE-A1'!O34*100,1))</f>
        <v>87.4</v>
      </c>
      <c r="P70" s="107">
        <f>IF('ETHYLENE-A1'!P34=0,"    -",ROUND('ETHYLENE-A1'!P63/'ETHYLENE-A1'!P34*100,1))</f>
        <v>87.4</v>
      </c>
      <c r="Q70" s="110">
        <f>IF('ETHYLENE-A1'!Q34=0,"    -",ROUND('ETHYLENE-A1'!Q63/'ETHYLENE-A1'!Q34*100,1))</f>
        <v>87.4</v>
      </c>
    </row>
    <row r="71" spans="2:17" ht="18" customHeight="1" thickTop="1" thickBot="1">
      <c r="B71" s="21"/>
      <c r="C71" s="619" t="s">
        <v>337</v>
      </c>
      <c r="D71" s="127">
        <f>IF('ETHYLENE-A1'!D35=0,"    -",ROUND('ETHYLENE-A1'!D64/'ETHYLENE-A1'!D35*100,1))</f>
        <v>85</v>
      </c>
      <c r="E71" s="128">
        <f>IF('ETHYLENE-A1'!E35=0,"    -",ROUND('ETHYLENE-A1'!E64/'ETHYLENE-A1'!E35*100,1))</f>
        <v>87.9</v>
      </c>
      <c r="F71" s="128">
        <f>IF('ETHYLENE-A1'!F35=0,"    -",ROUND('ETHYLENE-A1'!F64/'ETHYLENE-A1'!F35*100,1))</f>
        <v>85.6</v>
      </c>
      <c r="G71" s="128">
        <f>IF('ETHYLENE-A1'!G35=0,"    -",ROUND('ETHYLENE-A1'!G64/'ETHYLENE-A1'!G35*100,1))</f>
        <v>87.6</v>
      </c>
      <c r="H71" s="128">
        <f>IF('ETHYLENE-A1'!H35=0,"    -",ROUND('ETHYLENE-A1'!H64/'ETHYLENE-A1'!H35*100,1))</f>
        <v>87.7</v>
      </c>
      <c r="I71" s="128">
        <f>IF('ETHYLENE-A1'!I35=0,"    -",ROUND('ETHYLENE-A1'!I64/'ETHYLENE-A1'!I35*100,1))</f>
        <v>89.2</v>
      </c>
      <c r="J71" s="128">
        <f>IF('ETHYLENE-A1'!J35=0,"    -",ROUND('ETHYLENE-A1'!J64/'ETHYLENE-A1'!J35*100,1))</f>
        <v>88.1</v>
      </c>
      <c r="K71" s="129">
        <f>IF('ETHYLENE-A1'!K35=0,"    -",ROUND('ETHYLENE-A1'!K64/'ETHYLENE-A1'!K35*100,1))</f>
        <v>89.1</v>
      </c>
      <c r="L71" s="130">
        <f>IF('ETHYLENE-A1'!L35=0,"    -",ROUND('ETHYLENE-A1'!L64/'ETHYLENE-A1'!L35*100,1))</f>
        <v>89.5</v>
      </c>
      <c r="M71" s="128">
        <f>IF('ETHYLENE-A1'!M35=0,"    -",ROUND('ETHYLENE-A1'!M64/'ETHYLENE-A1'!M35*100,1))</f>
        <v>88.7</v>
      </c>
      <c r="N71" s="128">
        <f>IF('ETHYLENE-A1'!N35=0,"    -",ROUND('ETHYLENE-A1'!N64/'ETHYLENE-A1'!N35*100,1))</f>
        <v>88.3</v>
      </c>
      <c r="O71" s="128">
        <f>IF('ETHYLENE-A1'!O35=0,"    -",ROUND('ETHYLENE-A1'!O64/'ETHYLENE-A1'!O35*100,1))</f>
        <v>87.2</v>
      </c>
      <c r="P71" s="128">
        <f>IF('ETHYLENE-A1'!P35=0,"    -",ROUND('ETHYLENE-A1'!P64/'ETHYLENE-A1'!P35*100,1))</f>
        <v>86.6</v>
      </c>
      <c r="Q71" s="131">
        <f>IF('ETHYLENE-A1'!Q35=0,"    -",ROUND('ETHYLENE-A1'!Q64/'ETHYLENE-A1'!Q35*100,1))</f>
        <v>87.4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B33:C33"/>
    <mergeCell ref="B34:C34"/>
    <mergeCell ref="B20:C20"/>
    <mergeCell ref="B22:C22"/>
    <mergeCell ref="B24:C24"/>
    <mergeCell ref="B26:C26"/>
    <mergeCell ref="B27:C27"/>
    <mergeCell ref="B63:C63"/>
    <mergeCell ref="B64:C64"/>
    <mergeCell ref="B70:C70"/>
    <mergeCell ref="B65:C65"/>
    <mergeCell ref="B66:C66"/>
    <mergeCell ref="B67:C67"/>
    <mergeCell ref="B68:C68"/>
    <mergeCell ref="B69:C69"/>
    <mergeCell ref="B55:C55"/>
    <mergeCell ref="B56:C56"/>
    <mergeCell ref="B58:C58"/>
    <mergeCell ref="B60:C60"/>
    <mergeCell ref="B62:C62"/>
    <mergeCell ref="L40:Q40"/>
    <mergeCell ref="D40:K40"/>
    <mergeCell ref="D4:K4"/>
    <mergeCell ref="L4:Q4"/>
    <mergeCell ref="B19:C19"/>
    <mergeCell ref="B28:C28"/>
    <mergeCell ref="B29:C29"/>
    <mergeCell ref="B30:C30"/>
    <mergeCell ref="B31:C31"/>
    <mergeCell ref="B32:C32"/>
  </mergeCells>
  <phoneticPr fontId="6"/>
  <conditionalFormatting sqref="C75:C76">
    <cfRule type="expression" dxfId="227" priority="5">
      <formula>CELL("protect",C75)=0</formula>
    </cfRule>
    <cfRule type="expression" dxfId="226" priority="6">
      <formula>CELL("protect",C75)=0</formula>
    </cfRule>
  </conditionalFormatting>
  <conditionalFormatting sqref="C73">
    <cfRule type="expression" dxfId="225" priority="3">
      <formula>CELL("protect",C73)=0</formula>
    </cfRule>
    <cfRule type="expression" dxfId="224" priority="4">
      <formula>CELL("protect",C73)=0</formula>
    </cfRule>
  </conditionalFormatting>
  <conditionalFormatting sqref="C75">
    <cfRule type="expression" dxfId="223" priority="1">
      <formula>CELL("protect",C75)=0</formula>
    </cfRule>
    <cfRule type="expression" dxfId="222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&amp;C163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>
    <tabColor rgb="FFC00000"/>
    <pageSetUpPr fitToPage="1"/>
  </sheetPr>
  <dimension ref="A1:S76"/>
  <sheetViews>
    <sheetView showGridLines="0" view="pageBreakPreview" zoomScaleNormal="75" zoomScaleSheetLayoutView="100" workbookViewId="0">
      <selection activeCell="R6" sqref="R6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1:19" ht="13.5" customHeight="1">
      <c r="A1" s="443"/>
      <c r="R1" s="26"/>
      <c r="S1" s="26"/>
    </row>
    <row r="2" spans="1:19" s="2" customFormat="1" ht="33" customHeight="1">
      <c r="B2" s="685" t="s">
        <v>335</v>
      </c>
      <c r="C2" s="685"/>
      <c r="F2" s="685" t="s">
        <v>296</v>
      </c>
      <c r="G2" s="685"/>
      <c r="H2" s="397" t="s">
        <v>1</v>
      </c>
    </row>
    <row r="3" spans="1:19" ht="33" customHeight="1" thickBot="1">
      <c r="P3" s="686" t="s">
        <v>297</v>
      </c>
      <c r="Q3" s="686"/>
    </row>
    <row r="4" spans="1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1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1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1:19" ht="17.25" customHeight="1">
      <c r="B7" s="644" t="s">
        <v>433</v>
      </c>
      <c r="C7" s="645"/>
      <c r="D7" s="239">
        <f>'LDPE-A2'!D36-'LDPE-A2'!D65</f>
        <v>986</v>
      </c>
      <c r="E7" s="240">
        <f>'LDPE-A2'!E36-'LDPE-A2'!E65</f>
        <v>956</v>
      </c>
      <c r="F7" s="240">
        <f>'LDPE-A2'!F36-'LDPE-A2'!F65</f>
        <v>951</v>
      </c>
      <c r="G7" s="240">
        <f>'LDPE-A2'!G36-'LDPE-A2'!G65</f>
        <v>928</v>
      </c>
      <c r="H7" s="240">
        <f>'LDPE-A2'!H36-'LDPE-A2'!H65</f>
        <v>1389</v>
      </c>
      <c r="I7" s="240">
        <f>'LDPE-A2'!I36-'LDPE-A2'!I65</f>
        <v>1451</v>
      </c>
      <c r="J7" s="240">
        <f>'LDPE-A2'!J36-'LDPE-A2'!J65</f>
        <v>1414</v>
      </c>
      <c r="K7" s="241">
        <f>'LDPE-A2'!K36-'LDPE-A2'!K65</f>
        <v>1533</v>
      </c>
      <c r="L7" s="242">
        <f>'LDPE-A2'!L36-'LDPE-A2'!L65</f>
        <v>1480</v>
      </c>
      <c r="M7" s="240">
        <f>'LDPE-A2'!M36-'LDPE-A2'!M65</f>
        <v>1430</v>
      </c>
      <c r="N7" s="240">
        <f>'LDPE-A2'!N36-'LDPE-A2'!N65</f>
        <v>1380</v>
      </c>
      <c r="O7" s="240">
        <f>'LDPE-A2'!O36-'LDPE-A2'!O65</f>
        <v>2090</v>
      </c>
      <c r="P7" s="240">
        <f>'LDPE-A2'!P36-'LDPE-A2'!P65</f>
        <v>2040</v>
      </c>
      <c r="Q7" s="243">
        <f>'LDPE-A2'!Q36-'LDPE-A2'!Q65</f>
        <v>2300</v>
      </c>
    </row>
    <row r="8" spans="1:19" ht="16.5" customHeight="1">
      <c r="B8" s="605" t="s">
        <v>434</v>
      </c>
      <c r="C8" s="606"/>
      <c r="D8" s="239">
        <f>'LDPE-A2'!D37-'LDPE-A2'!D66</f>
        <v>314</v>
      </c>
      <c r="E8" s="240">
        <f>'LDPE-A2'!E37-'LDPE-A2'!E66</f>
        <v>130</v>
      </c>
      <c r="F8" s="240">
        <f>'LDPE-A2'!F37-'LDPE-A2'!F66</f>
        <v>71</v>
      </c>
      <c r="G8" s="240">
        <f>'LDPE-A2'!G37-'LDPE-A2'!G66</f>
        <v>193</v>
      </c>
      <c r="H8" s="240">
        <f>'LDPE-A2'!H37-'LDPE-A2'!H66</f>
        <v>126</v>
      </c>
      <c r="I8" s="240">
        <f>'LDPE-A2'!I37-'LDPE-A2'!I66</f>
        <v>190</v>
      </c>
      <c r="J8" s="240">
        <f>'LDPE-A2'!J37-'LDPE-A2'!J66</f>
        <v>214</v>
      </c>
      <c r="K8" s="241">
        <f>'LDPE-A2'!K37-'LDPE-A2'!K66</f>
        <v>196</v>
      </c>
      <c r="L8" s="242">
        <f>'LDPE-A2'!L37-'LDPE-A2'!L66</f>
        <v>190</v>
      </c>
      <c r="M8" s="240">
        <f>'LDPE-A2'!M37-'LDPE-A2'!M66</f>
        <v>190</v>
      </c>
      <c r="N8" s="240">
        <f>'LDPE-A2'!N37-'LDPE-A2'!N66</f>
        <v>190</v>
      </c>
      <c r="O8" s="240">
        <f>'LDPE-A2'!O37-'LDPE-A2'!O66</f>
        <v>190</v>
      </c>
      <c r="P8" s="240">
        <f>'LDPE-A2'!P37-'LDPE-A2'!P66</f>
        <v>190</v>
      </c>
      <c r="Q8" s="243">
        <f>'LDPE-A2'!Q37-'LDPE-A2'!Q66</f>
        <v>190</v>
      </c>
    </row>
    <row r="9" spans="1:19" ht="16.5" customHeight="1">
      <c r="B9" s="605" t="s">
        <v>435</v>
      </c>
      <c r="C9" s="606"/>
      <c r="D9" s="239">
        <f>'LDPE-A2'!D38-'LDPE-A2'!D67</f>
        <v>667</v>
      </c>
      <c r="E9" s="240">
        <f>'LDPE-A2'!E38-'LDPE-A2'!E67</f>
        <v>689.27700000000004</v>
      </c>
      <c r="F9" s="240">
        <f>'LDPE-A2'!F38-'LDPE-A2'!F67</f>
        <v>938.46160100000009</v>
      </c>
      <c r="G9" s="240">
        <f>'LDPE-A2'!G38-'LDPE-A2'!G67</f>
        <v>1601.297141838</v>
      </c>
      <c r="H9" s="240">
        <f>'LDPE-A2'!H38-'LDPE-A2'!H67</f>
        <v>1970.5345089513019</v>
      </c>
      <c r="I9" s="240">
        <f>'LDPE-A2'!I38-'LDPE-A2'!I67</f>
        <v>1886.1196648837526</v>
      </c>
      <c r="J9" s="240">
        <f>'LDPE-A2'!J38-'LDPE-A2'!J67</f>
        <v>1946</v>
      </c>
      <c r="K9" s="241">
        <f>'LDPE-A2'!K38-'LDPE-A2'!K67</f>
        <v>1819</v>
      </c>
      <c r="L9" s="242">
        <f>'LDPE-A2'!L38-'LDPE-A2'!L67</f>
        <v>2069</v>
      </c>
      <c r="M9" s="240">
        <f>'LDPE-A2'!M38-'LDPE-A2'!M67</f>
        <v>2157</v>
      </c>
      <c r="N9" s="240">
        <f>'LDPE-A2'!N38-'LDPE-A2'!N67</f>
        <v>2182</v>
      </c>
      <c r="O9" s="240">
        <f>'LDPE-A2'!O38-'LDPE-A2'!O67</f>
        <v>2180</v>
      </c>
      <c r="P9" s="240">
        <f>'LDPE-A2'!P38-'LDPE-A2'!P67</f>
        <v>2060</v>
      </c>
      <c r="Q9" s="243">
        <f>'LDPE-A2'!Q38-'LDPE-A2'!Q67</f>
        <v>2105</v>
      </c>
    </row>
    <row r="10" spans="1:19" ht="16.5" customHeight="1">
      <c r="B10" s="605" t="s">
        <v>436</v>
      </c>
      <c r="C10" s="606"/>
      <c r="D10" s="239">
        <f>'LDPE-A2'!D39-'LDPE-A2'!D68</f>
        <v>-3755</v>
      </c>
      <c r="E10" s="240">
        <f>'LDPE-A2'!E39-'LDPE-A2'!E68</f>
        <v>-3771</v>
      </c>
      <c r="F10" s="240">
        <f>'LDPE-A2'!F39-'LDPE-A2'!F68</f>
        <v>-3785</v>
      </c>
      <c r="G10" s="240">
        <f>'LDPE-A2'!G39-'LDPE-A2'!G68</f>
        <v>-3987</v>
      </c>
      <c r="H10" s="240">
        <f>'LDPE-A2'!H39-'LDPE-A2'!H68</f>
        <v>-4420</v>
      </c>
      <c r="I10" s="240">
        <f>'LDPE-A2'!I39-'LDPE-A2'!I68</f>
        <v>-4623</v>
      </c>
      <c r="J10" s="240">
        <f>'LDPE-A2'!J39-'LDPE-A2'!J68</f>
        <v>-4532</v>
      </c>
      <c r="K10" s="241">
        <f>'LDPE-A2'!K39-'LDPE-A2'!K68</f>
        <v>-5539</v>
      </c>
      <c r="L10" s="242">
        <f>'LDPE-A2'!L39-'LDPE-A2'!L68</f>
        <v>-5854</v>
      </c>
      <c r="M10" s="240">
        <f>'LDPE-A2'!M39-'LDPE-A2'!M68</f>
        <v>-6356</v>
      </c>
      <c r="N10" s="240">
        <f>'LDPE-A2'!N39-'LDPE-A2'!N68</f>
        <v>-6586</v>
      </c>
      <c r="O10" s="240">
        <f>'LDPE-A2'!O39-'LDPE-A2'!O68</f>
        <v>-6996</v>
      </c>
      <c r="P10" s="240">
        <f>'LDPE-A2'!P39-'LDPE-A2'!P68</f>
        <v>-7418</v>
      </c>
      <c r="Q10" s="243">
        <f>'LDPE-A2'!Q39-'LDPE-A2'!Q68</f>
        <v>-7865</v>
      </c>
    </row>
    <row r="11" spans="1:19" ht="16.5" customHeight="1">
      <c r="B11" s="605" t="s">
        <v>437</v>
      </c>
      <c r="C11" s="606"/>
      <c r="D11" s="239">
        <f>'LDPE-A2'!D40-'LDPE-A2'!D69</f>
        <v>385</v>
      </c>
      <c r="E11" s="240">
        <f>'LDPE-A2'!E40-'LDPE-A2'!E69</f>
        <v>822</v>
      </c>
      <c r="F11" s="240">
        <f>'LDPE-A2'!F40-'LDPE-A2'!F69</f>
        <v>819</v>
      </c>
      <c r="G11" s="240">
        <f>'LDPE-A2'!G40-'LDPE-A2'!G69</f>
        <v>735.62200000000007</v>
      </c>
      <c r="H11" s="240">
        <f>'LDPE-A2'!H40-'LDPE-A2'!H69</f>
        <v>853.75600000000009</v>
      </c>
      <c r="I11" s="240">
        <f>'LDPE-A2'!I40-'LDPE-A2'!I69</f>
        <v>840.83600000000001</v>
      </c>
      <c r="J11" s="240">
        <f>'LDPE-A2'!J40-'LDPE-A2'!J69</f>
        <v>583.04499999999985</v>
      </c>
      <c r="K11" s="241">
        <f>'LDPE-A2'!K40-'LDPE-A2'!K69</f>
        <v>385.00199999999995</v>
      </c>
      <c r="L11" s="242">
        <f>'LDPE-A2'!L40-'LDPE-A2'!L69</f>
        <v>633.71209199999998</v>
      </c>
      <c r="M11" s="240">
        <f>'LDPE-A2'!M40-'LDPE-A2'!M69</f>
        <v>588.69337875120004</v>
      </c>
      <c r="N11" s="240">
        <f>'LDPE-A2'!N40-'LDPE-A2'!N69</f>
        <v>543.99616442711931</v>
      </c>
      <c r="O11" s="240">
        <f>'LDPE-A2'!O40-'LDPE-A2'!O69</f>
        <v>499.40802826428194</v>
      </c>
      <c r="P11" s="240">
        <f>'LDPE-A2'!P40-'LDPE-A2'!P69</f>
        <v>453.88730925353184</v>
      </c>
      <c r="Q11" s="243">
        <f>'LDPE-A2'!Q40-'LDPE-A2'!Q69</f>
        <v>405.96569746295745</v>
      </c>
    </row>
    <row r="12" spans="1:19" ht="16.5" customHeight="1">
      <c r="B12" s="605" t="s">
        <v>438</v>
      </c>
      <c r="C12" s="606"/>
      <c r="D12" s="239">
        <f>'LDPE-A2'!D41-'LDPE-A2'!D70</f>
        <v>-62.548903519819874</v>
      </c>
      <c r="E12" s="240">
        <f>'LDPE-A2'!E41-'LDPE-A2'!E70</f>
        <v>-56.632033345088416</v>
      </c>
      <c r="F12" s="240">
        <f>'LDPE-A2'!F41-'LDPE-A2'!F70</f>
        <v>-255</v>
      </c>
      <c r="G12" s="240">
        <f>'LDPE-A2'!G41-'LDPE-A2'!G70</f>
        <v>-282</v>
      </c>
      <c r="H12" s="240">
        <f>'LDPE-A2'!H41-'LDPE-A2'!H70</f>
        <v>-291</v>
      </c>
      <c r="I12" s="240">
        <f>'LDPE-A2'!I41-'LDPE-A2'!I70</f>
        <v>-310</v>
      </c>
      <c r="J12" s="240">
        <f>'LDPE-A2'!J41-'LDPE-A2'!J70</f>
        <v>-330</v>
      </c>
      <c r="K12" s="241">
        <f>'LDPE-A2'!K41-'LDPE-A2'!K70</f>
        <v>-470</v>
      </c>
      <c r="L12" s="242">
        <f>'LDPE-A2'!L41-'LDPE-A2'!L70</f>
        <v>-380</v>
      </c>
      <c r="M12" s="240">
        <f>'LDPE-A2'!M41-'LDPE-A2'!M70</f>
        <v>-425</v>
      </c>
      <c r="N12" s="240">
        <f>'LDPE-A2'!N41-'LDPE-A2'!N70</f>
        <v>-470</v>
      </c>
      <c r="O12" s="240">
        <f>'LDPE-A2'!O41-'LDPE-A2'!O70</f>
        <v>180</v>
      </c>
      <c r="P12" s="240">
        <f>'LDPE-A2'!P41-'LDPE-A2'!P70</f>
        <v>130</v>
      </c>
      <c r="Q12" s="243">
        <f>'LDPE-A2'!Q41-'LDPE-A2'!Q70</f>
        <v>80</v>
      </c>
    </row>
    <row r="13" spans="1:19" ht="16.5" customHeight="1">
      <c r="B13" s="605" t="s">
        <v>439</v>
      </c>
      <c r="C13" s="606"/>
      <c r="D13" s="239">
        <f>'LDPE-A2'!D42-'LDPE-A2'!D71</f>
        <v>-624</v>
      </c>
      <c r="E13" s="240">
        <f>'LDPE-A2'!E42-'LDPE-A2'!E71</f>
        <v>16</v>
      </c>
      <c r="F13" s="240">
        <f>'LDPE-A2'!F42-'LDPE-A2'!F71</f>
        <v>-757</v>
      </c>
      <c r="G13" s="240">
        <f>'LDPE-A2'!G42-'LDPE-A2'!G71</f>
        <v>-759</v>
      </c>
      <c r="H13" s="240">
        <f>'LDPE-A2'!H42-'LDPE-A2'!H71</f>
        <v>-190</v>
      </c>
      <c r="I13" s="240">
        <f>'LDPE-A2'!I42-'LDPE-A2'!I71</f>
        <v>-205</v>
      </c>
      <c r="J13" s="240">
        <f>'LDPE-A2'!J42-'LDPE-A2'!J71</f>
        <v>-350</v>
      </c>
      <c r="K13" s="241">
        <f>'LDPE-A2'!K42-'LDPE-A2'!K71</f>
        <v>-1100</v>
      </c>
      <c r="L13" s="242">
        <f>'LDPE-A2'!L42-'LDPE-A2'!L71</f>
        <v>-1100</v>
      </c>
      <c r="M13" s="240">
        <f>'LDPE-A2'!M42-'LDPE-A2'!M71</f>
        <v>-1000</v>
      </c>
      <c r="N13" s="240">
        <f>'LDPE-A2'!N42-'LDPE-A2'!N71</f>
        <v>-900</v>
      </c>
      <c r="O13" s="240">
        <f>'LDPE-A2'!O42-'LDPE-A2'!O71</f>
        <v>-700</v>
      </c>
      <c r="P13" s="240">
        <f>'LDPE-A2'!P42-'LDPE-A2'!P71</f>
        <v>-700</v>
      </c>
      <c r="Q13" s="243">
        <f>'LDPE-A2'!Q42-'LDPE-A2'!Q71</f>
        <v>-700</v>
      </c>
    </row>
    <row r="14" spans="1:19" ht="18" hidden="1" customHeight="1">
      <c r="B14" s="16"/>
      <c r="C14" s="90" t="s">
        <v>306</v>
      </c>
      <c r="D14" s="239">
        <f>'LDPE-A2'!D43-'LDPE-A2'!D72</f>
        <v>0</v>
      </c>
      <c r="E14" s="240">
        <f>'LDPE-A2'!E43-'LDPE-A2'!E72</f>
        <v>0</v>
      </c>
      <c r="F14" s="240">
        <f>'LDPE-A2'!F43-'LDPE-A2'!F72</f>
        <v>0</v>
      </c>
      <c r="G14" s="240">
        <f>'LDPE-A2'!G43-'LDPE-A2'!G72</f>
        <v>0</v>
      </c>
      <c r="H14" s="240">
        <f>'LDPE-A2'!H43-'LDPE-A2'!H72</f>
        <v>0</v>
      </c>
      <c r="I14" s="240">
        <f>'LDPE-A2'!I43-'LDPE-A2'!I72</f>
        <v>0</v>
      </c>
      <c r="J14" s="240">
        <f>'LDPE-A2'!J43-'LDPE-A2'!J72</f>
        <v>0</v>
      </c>
      <c r="K14" s="241">
        <f>'LDPE-A2'!K43-'LDPE-A2'!K72</f>
        <v>0</v>
      </c>
      <c r="L14" s="242">
        <f>'LDPE-A2'!L43-'LDPE-A2'!L72</f>
        <v>0</v>
      </c>
      <c r="M14" s="240">
        <f>'LDPE-A2'!M43-'LDPE-A2'!M72</f>
        <v>0</v>
      </c>
      <c r="N14" s="240">
        <f>'LDPE-A2'!N43-'LDPE-A2'!N72</f>
        <v>0</v>
      </c>
      <c r="O14" s="240">
        <f>'LDPE-A2'!O43-'LDPE-A2'!O72</f>
        <v>0</v>
      </c>
      <c r="P14" s="240">
        <f>'LDPE-A2'!P43-'LDPE-A2'!P72</f>
        <v>0</v>
      </c>
      <c r="Q14" s="243">
        <f>'LDPE-A2'!Q43-'LDPE-A2'!Q72</f>
        <v>0</v>
      </c>
    </row>
    <row r="15" spans="1:19" ht="16.5" customHeight="1">
      <c r="B15" s="605" t="s">
        <v>440</v>
      </c>
      <c r="C15" s="606"/>
      <c r="D15" s="239">
        <f>'LDPE-A2'!D44-'LDPE-A2'!D73</f>
        <v>-125</v>
      </c>
      <c r="E15" s="240">
        <f>'LDPE-A2'!E44-'LDPE-A2'!E73</f>
        <v>-151</v>
      </c>
      <c r="F15" s="240">
        <f>'LDPE-A2'!F44-'LDPE-A2'!F73</f>
        <v>-211</v>
      </c>
      <c r="G15" s="240">
        <f>'LDPE-A2'!G44-'LDPE-A2'!G73</f>
        <v>-170</v>
      </c>
      <c r="H15" s="240">
        <f>'LDPE-A2'!H44-'LDPE-A2'!H73</f>
        <v>-221</v>
      </c>
      <c r="I15" s="240">
        <f>'LDPE-A2'!I44-'LDPE-A2'!I73</f>
        <v>-162.07</v>
      </c>
      <c r="J15" s="240">
        <f>'LDPE-A2'!J44-'LDPE-A2'!J73</f>
        <v>-150</v>
      </c>
      <c r="K15" s="241">
        <f>'LDPE-A2'!K44-'LDPE-A2'!K73</f>
        <v>-150</v>
      </c>
      <c r="L15" s="242">
        <f>'LDPE-A2'!L44-'LDPE-A2'!L73</f>
        <v>-150</v>
      </c>
      <c r="M15" s="240">
        <f>'LDPE-A2'!M44-'LDPE-A2'!M73</f>
        <v>-150</v>
      </c>
      <c r="N15" s="240">
        <f>'LDPE-A2'!N44-'LDPE-A2'!N73</f>
        <v>-150</v>
      </c>
      <c r="O15" s="240">
        <f>'LDPE-A2'!O44-'LDPE-A2'!O73</f>
        <v>-150</v>
      </c>
      <c r="P15" s="240">
        <f>'LDPE-A2'!P44-'LDPE-A2'!P73</f>
        <v>-150</v>
      </c>
      <c r="Q15" s="243">
        <f>'LDPE-A2'!Q44-'LDPE-A2'!Q73</f>
        <v>-150</v>
      </c>
    </row>
    <row r="16" spans="1:19" ht="16.5" customHeight="1">
      <c r="B16" s="605" t="s">
        <v>441</v>
      </c>
      <c r="C16" s="606"/>
      <c r="D16" s="239">
        <f>'LDPE-A2'!D45-'LDPE-A2'!D74</f>
        <v>89.454545454545439</v>
      </c>
      <c r="E16" s="240">
        <f>'LDPE-A2'!E45-'LDPE-A2'!E74</f>
        <v>73.230454545454506</v>
      </c>
      <c r="F16" s="240">
        <f>'LDPE-A2'!F45-'LDPE-A2'!F74</f>
        <v>106</v>
      </c>
      <c r="G16" s="240">
        <f>'LDPE-A2'!G45-'LDPE-A2'!G74</f>
        <v>51.923000000000002</v>
      </c>
      <c r="H16" s="240">
        <f>'LDPE-A2'!H45-'LDPE-A2'!H74</f>
        <v>-183.21499999999997</v>
      </c>
      <c r="I16" s="240">
        <f>'LDPE-A2'!I45-'LDPE-A2'!I74</f>
        <v>-137.86400000000003</v>
      </c>
      <c r="J16" s="240">
        <f>'LDPE-A2'!J45-'LDPE-A2'!J74</f>
        <v>-185.87899999999996</v>
      </c>
      <c r="K16" s="241">
        <f>'LDPE-A2'!K45-'LDPE-A2'!K74</f>
        <v>-171.041</v>
      </c>
      <c r="L16" s="242">
        <f>'LDPE-A2'!L45-'LDPE-A2'!L74</f>
        <v>-202.15499999999992</v>
      </c>
      <c r="M16" s="240">
        <f>'LDPE-A2'!M45-'LDPE-A2'!M74</f>
        <v>-234.03824399999991</v>
      </c>
      <c r="N16" s="240">
        <f>'LDPE-A2'!N45-'LDPE-A2'!N74</f>
        <v>-93.838111711999886</v>
      </c>
      <c r="O16" s="240">
        <f>'LDPE-A2'!O45-'LDPE-A2'!O74</f>
        <v>44.387708081139294</v>
      </c>
      <c r="P16" s="240">
        <f>'LDPE-A2'!P45-'LDPE-A2'!P74</f>
        <v>5.8336575522664589</v>
      </c>
      <c r="Q16" s="243">
        <f>'LDPE-A2'!Q45-'LDPE-A2'!Q74</f>
        <v>-34.586409022203839</v>
      </c>
    </row>
    <row r="17" spans="2:17" ht="16.5" customHeight="1">
      <c r="B17" s="605" t="s">
        <v>442</v>
      </c>
      <c r="C17" s="606"/>
      <c r="D17" s="239">
        <f>'LDPE-A2'!D46-'LDPE-A2'!D75</f>
        <v>-214</v>
      </c>
      <c r="E17" s="240">
        <f>'LDPE-A2'!E46-'LDPE-A2'!E75</f>
        <v>-229</v>
      </c>
      <c r="F17" s="240">
        <f>'LDPE-A2'!F46-'LDPE-A2'!F75</f>
        <v>-244</v>
      </c>
      <c r="G17" s="240">
        <f>'LDPE-A2'!G46-'LDPE-A2'!G75</f>
        <v>-261</v>
      </c>
      <c r="H17" s="240">
        <f>'LDPE-A2'!H46-'LDPE-A2'!H75</f>
        <v>-278</v>
      </c>
      <c r="I17" s="240">
        <f>'LDPE-A2'!I46-'LDPE-A2'!I75</f>
        <v>-297</v>
      </c>
      <c r="J17" s="240">
        <f>'LDPE-A2'!J46-'LDPE-A2'!J75</f>
        <v>-315</v>
      </c>
      <c r="K17" s="241">
        <f>'LDPE-A2'!K46-'LDPE-A2'!K75</f>
        <v>-590.5</v>
      </c>
      <c r="L17" s="242">
        <f>'LDPE-A2'!L46-'LDPE-A2'!L75</f>
        <v>-689.3</v>
      </c>
      <c r="M17" s="240">
        <f>'LDPE-A2'!M46-'LDPE-A2'!M75</f>
        <v>-730</v>
      </c>
      <c r="N17" s="240">
        <f>'LDPE-A2'!N46-'LDPE-A2'!N75</f>
        <v>-774</v>
      </c>
      <c r="O17" s="240">
        <f>'LDPE-A2'!O46-'LDPE-A2'!O75</f>
        <v>-820</v>
      </c>
      <c r="P17" s="240">
        <f>'LDPE-A2'!P46-'LDPE-A2'!P75</f>
        <v>-869</v>
      </c>
      <c r="Q17" s="243">
        <f>'LDPE-A2'!Q46-'LDPE-A2'!Q75</f>
        <v>-421</v>
      </c>
    </row>
    <row r="18" spans="2:17" ht="16.5" customHeight="1">
      <c r="B18" s="607" t="s">
        <v>443</v>
      </c>
      <c r="C18" s="608"/>
      <c r="D18" s="239">
        <f>'LDPE-A2'!D47-'LDPE-A2'!D76</f>
        <v>74.799999999999955</v>
      </c>
      <c r="E18" s="240">
        <f>'LDPE-A2'!E47-'LDPE-A2'!E76</f>
        <v>-102.29999999999995</v>
      </c>
      <c r="F18" s="240">
        <f>'LDPE-A2'!F47-'LDPE-A2'!F76</f>
        <v>-96.299999999999955</v>
      </c>
      <c r="G18" s="240">
        <f>'LDPE-A2'!G47-'LDPE-A2'!G76</f>
        <v>-77.400000000000091</v>
      </c>
      <c r="H18" s="240">
        <f>'LDPE-A2'!H47-'LDPE-A2'!H76</f>
        <v>-139.39999999999986</v>
      </c>
      <c r="I18" s="240">
        <f>'LDPE-A2'!I47-'LDPE-A2'!I76</f>
        <v>-23.5</v>
      </c>
      <c r="J18" s="240">
        <f>'LDPE-A2'!J47-'LDPE-A2'!J76</f>
        <v>-17.099999999999909</v>
      </c>
      <c r="K18" s="241">
        <f>'LDPE-A2'!K47-'LDPE-A2'!K76</f>
        <v>-75.5</v>
      </c>
      <c r="L18" s="242">
        <f>'LDPE-A2'!L47-'LDPE-A2'!L76</f>
        <v>-135.89999999999986</v>
      </c>
      <c r="M18" s="240">
        <f>'LDPE-A2'!M47-'LDPE-A2'!M76</f>
        <v>-152.79999999999995</v>
      </c>
      <c r="N18" s="240">
        <f>'LDPE-A2'!N47-'LDPE-A2'!N76</f>
        <v>-163.40000000000009</v>
      </c>
      <c r="O18" s="240">
        <f>'LDPE-A2'!O47-'LDPE-A2'!O76</f>
        <v>-168.79999999999995</v>
      </c>
      <c r="P18" s="240">
        <f>'LDPE-A2'!P47-'LDPE-A2'!P76</f>
        <v>-174.20000000000005</v>
      </c>
      <c r="Q18" s="243">
        <f>'LDPE-A2'!Q47-'LDPE-A2'!Q76</f>
        <v>-179.70000000000005</v>
      </c>
    </row>
    <row r="19" spans="2:17" ht="17.25" customHeight="1">
      <c r="B19" s="674" t="s">
        <v>307</v>
      </c>
      <c r="C19" s="675"/>
      <c r="D19" s="244">
        <f t="shared" ref="D19:Q19" si="0">SUM(D7:D18)</f>
        <v>-2264.2943580652745</v>
      </c>
      <c r="E19" s="245">
        <f t="shared" si="0"/>
        <v>-1623.424578799634</v>
      </c>
      <c r="F19" s="245">
        <f t="shared" si="0"/>
        <v>-2462.8383990000002</v>
      </c>
      <c r="G19" s="245">
        <f t="shared" si="0"/>
        <v>-2026.5578581619998</v>
      </c>
      <c r="H19" s="245">
        <f t="shared" si="0"/>
        <v>-1383.3244910486976</v>
      </c>
      <c r="I19" s="245">
        <f t="shared" si="0"/>
        <v>-1390.4783351162473</v>
      </c>
      <c r="J19" s="245">
        <f t="shared" si="0"/>
        <v>-1722.934</v>
      </c>
      <c r="K19" s="246">
        <f t="shared" si="0"/>
        <v>-4163.0390000000007</v>
      </c>
      <c r="L19" s="247">
        <f t="shared" si="0"/>
        <v>-4138.6429079999998</v>
      </c>
      <c r="M19" s="245">
        <f t="shared" si="0"/>
        <v>-4682.1448652488007</v>
      </c>
      <c r="N19" s="245">
        <f t="shared" si="0"/>
        <v>-4841.2419472848796</v>
      </c>
      <c r="O19" s="245">
        <f t="shared" si="0"/>
        <v>-3651.0042636545786</v>
      </c>
      <c r="P19" s="245">
        <f t="shared" si="0"/>
        <v>-4431.4790331942013</v>
      </c>
      <c r="Q19" s="248">
        <f t="shared" si="0"/>
        <v>-4269.3207115592468</v>
      </c>
    </row>
    <row r="20" spans="2:17" ht="17.25" customHeight="1">
      <c r="B20" s="672" t="s">
        <v>308</v>
      </c>
      <c r="C20" s="673"/>
      <c r="D20" s="244">
        <f>'LDPE-A2'!D49-'LDPE-A2'!D78</f>
        <v>-245</v>
      </c>
      <c r="E20" s="245">
        <f>'LDPE-A2'!E49-'LDPE-A2'!E78</f>
        <v>-162</v>
      </c>
      <c r="F20" s="245">
        <f>'LDPE-A2'!F49-'LDPE-A2'!F78</f>
        <v>-45</v>
      </c>
      <c r="G20" s="245">
        <f>'LDPE-A2'!G49-'LDPE-A2'!G78</f>
        <v>-50</v>
      </c>
      <c r="H20" s="245">
        <f>'LDPE-A2'!H49-'LDPE-A2'!H78</f>
        <v>-60</v>
      </c>
      <c r="I20" s="245">
        <f>'LDPE-A2'!I49-'LDPE-A2'!I78</f>
        <v>-60</v>
      </c>
      <c r="J20" s="245">
        <f>'LDPE-A2'!J49-'LDPE-A2'!J78</f>
        <v>-76</v>
      </c>
      <c r="K20" s="246">
        <f>'LDPE-A2'!K49-'LDPE-A2'!K78</f>
        <v>-56</v>
      </c>
      <c r="L20" s="247">
        <f>'LDPE-A2'!L49-'LDPE-A2'!L78</f>
        <v>-70</v>
      </c>
      <c r="M20" s="245">
        <f>'LDPE-A2'!M49-'LDPE-A2'!M78</f>
        <v>-70</v>
      </c>
      <c r="N20" s="245">
        <f>'LDPE-A2'!N49-'LDPE-A2'!N78</f>
        <v>-75</v>
      </c>
      <c r="O20" s="245">
        <f>'LDPE-A2'!O49-'LDPE-A2'!O78</f>
        <v>-75</v>
      </c>
      <c r="P20" s="245">
        <f>'LDPE-A2'!P49-'LDPE-A2'!P78</f>
        <v>-80</v>
      </c>
      <c r="Q20" s="248">
        <f>'LDPE-A2'!Q49-'LDPE-A2'!Q78</f>
        <v>-80</v>
      </c>
    </row>
    <row r="21" spans="2:17" ht="16.5" customHeight="1">
      <c r="B21" s="105"/>
      <c r="C21" s="97" t="s">
        <v>309</v>
      </c>
      <c r="D21" s="244">
        <f>'LDPE-A2'!D50-'LDPE-A2'!D79</f>
        <v>-151</v>
      </c>
      <c r="E21" s="245">
        <f>'LDPE-A2'!E50-'LDPE-A2'!E79</f>
        <v>-162</v>
      </c>
      <c r="F21" s="245">
        <f>'LDPE-A2'!F50-'LDPE-A2'!F79</f>
        <v>-45</v>
      </c>
      <c r="G21" s="245">
        <f>'LDPE-A2'!G50-'LDPE-A2'!G79</f>
        <v>-50</v>
      </c>
      <c r="H21" s="245">
        <f>'LDPE-A2'!H50-'LDPE-A2'!H79</f>
        <v>-60</v>
      </c>
      <c r="I21" s="245">
        <f>'LDPE-A2'!I50-'LDPE-A2'!I79</f>
        <v>-60</v>
      </c>
      <c r="J21" s="245">
        <f>'LDPE-A2'!J50-'LDPE-A2'!J79</f>
        <v>-76</v>
      </c>
      <c r="K21" s="246">
        <f>'LDPE-A2'!K50-'LDPE-A2'!K79</f>
        <v>-56</v>
      </c>
      <c r="L21" s="247">
        <f>'LDPE-A2'!L50-'LDPE-A2'!L79</f>
        <v>-70</v>
      </c>
      <c r="M21" s="245">
        <f>'LDPE-A2'!M50-'LDPE-A2'!M79</f>
        <v>-70</v>
      </c>
      <c r="N21" s="245">
        <f>'LDPE-A2'!N50-'LDPE-A2'!N79</f>
        <v>-75</v>
      </c>
      <c r="O21" s="245">
        <f>'LDPE-A2'!O50-'LDPE-A2'!O79</f>
        <v>-75</v>
      </c>
      <c r="P21" s="245">
        <f>'LDPE-A2'!P50-'LDPE-A2'!P79</f>
        <v>-80</v>
      </c>
      <c r="Q21" s="248">
        <f>'LDPE-A2'!Q50-'LDPE-A2'!Q79</f>
        <v>-80</v>
      </c>
    </row>
    <row r="22" spans="2:17" ht="17.25" customHeight="1">
      <c r="B22" s="672" t="s">
        <v>310</v>
      </c>
      <c r="C22" s="673"/>
      <c r="D22" s="239">
        <f>'LDPE-A2'!D51-'LDPE-A2'!D80</f>
        <v>-1355</v>
      </c>
      <c r="E22" s="240">
        <f>'LDPE-A2'!E51-'LDPE-A2'!E80</f>
        <v>-368</v>
      </c>
      <c r="F22" s="240">
        <f>'LDPE-A2'!F51-'LDPE-A2'!F80</f>
        <v>-704</v>
      </c>
      <c r="G22" s="240">
        <f>'LDPE-A2'!G51-'LDPE-A2'!G80</f>
        <v>-426</v>
      </c>
      <c r="H22" s="240">
        <f>'LDPE-A2'!H51-'LDPE-A2'!H80</f>
        <v>4</v>
      </c>
      <c r="I22" s="240">
        <f>'LDPE-A2'!I51-'LDPE-A2'!I80</f>
        <v>-59.389999999999418</v>
      </c>
      <c r="J22" s="240">
        <f>'LDPE-A2'!J51-'LDPE-A2'!J80</f>
        <v>-235.1733949999998</v>
      </c>
      <c r="K22" s="241">
        <f>'LDPE-A2'!K51-'LDPE-A2'!K80</f>
        <v>-539.39725700000054</v>
      </c>
      <c r="L22" s="242">
        <f>'LDPE-A2'!L51-'LDPE-A2'!L80</f>
        <v>-739.91546899999958</v>
      </c>
      <c r="M22" s="240">
        <f>'LDPE-A2'!M51-'LDPE-A2'!M80</f>
        <v>-705.69010199999957</v>
      </c>
      <c r="N22" s="240">
        <f>'LDPE-A2'!N51-'LDPE-A2'!N80</f>
        <v>-806.72947799999929</v>
      </c>
      <c r="O22" s="240">
        <f>'LDPE-A2'!O51-'LDPE-A2'!O80</f>
        <v>-861.96942800000033</v>
      </c>
      <c r="P22" s="240">
        <f>'LDPE-A2'!P51-'LDPE-A2'!P80</f>
        <v>-787.01062200000069</v>
      </c>
      <c r="Q22" s="243">
        <f>'LDPE-A2'!Q51-'LDPE-A2'!Q80</f>
        <v>-695.60294299999987</v>
      </c>
    </row>
    <row r="23" spans="2:17" ht="16.5" customHeight="1">
      <c r="B23" s="105"/>
      <c r="C23" s="615" t="s">
        <v>311</v>
      </c>
      <c r="D23" s="244">
        <f>'LDPE-A2'!D52-'LDPE-A2'!D81</f>
        <v>-74</v>
      </c>
      <c r="E23" s="245">
        <f>'LDPE-A2'!E52-'LDPE-A2'!E81</f>
        <v>-28</v>
      </c>
      <c r="F23" s="245">
        <f>'LDPE-A2'!F52-'LDPE-A2'!F81</f>
        <v>-24</v>
      </c>
      <c r="G23" s="245">
        <f>'LDPE-A2'!G52-'LDPE-A2'!G81</f>
        <v>246</v>
      </c>
      <c r="H23" s="245">
        <f>'LDPE-A2'!H52-'LDPE-A2'!H81</f>
        <v>594</v>
      </c>
      <c r="I23" s="245">
        <f>'LDPE-A2'!I52-'LDPE-A2'!I81</f>
        <v>640</v>
      </c>
      <c r="J23" s="245">
        <f>'LDPE-A2'!J52-'LDPE-A2'!J81</f>
        <v>490.99996300000021</v>
      </c>
      <c r="K23" s="246">
        <f>'LDPE-A2'!K52-'LDPE-A2'!K81</f>
        <v>205.05396699999983</v>
      </c>
      <c r="L23" s="247">
        <f>'LDPE-A2'!L52-'LDPE-A2'!L81</f>
        <v>31.850952000000689</v>
      </c>
      <c r="M23" s="245">
        <f>'LDPE-A2'!M52-'LDPE-A2'!M81</f>
        <v>86.286194000000251</v>
      </c>
      <c r="N23" s="245">
        <f>'LDPE-A2'!N52-'LDPE-A2'!N81</f>
        <v>10.233459000000039</v>
      </c>
      <c r="O23" s="245">
        <f>'LDPE-A2'!O52-'LDPE-A2'!O81</f>
        <v>-22.954284000000371</v>
      </c>
      <c r="P23" s="245">
        <f>'LDPE-A2'!P52-'LDPE-A2'!P81</f>
        <v>71.449402000000191</v>
      </c>
      <c r="Q23" s="248">
        <f>'LDPE-A2'!Q52-'LDPE-A2'!Q81</f>
        <v>185.64563000000089</v>
      </c>
    </row>
    <row r="24" spans="2:17" ht="17.25" customHeight="1">
      <c r="B24" s="672" t="s">
        <v>312</v>
      </c>
      <c r="C24" s="673"/>
      <c r="D24" s="239">
        <f>'LDPE-A2'!D53-'LDPE-A2'!D82</f>
        <v>3203</v>
      </c>
      <c r="E24" s="240">
        <f>'LDPE-A2'!E53-'LDPE-A2'!E82</f>
        <v>3808</v>
      </c>
      <c r="F24" s="240">
        <f>'LDPE-A2'!F53-'LDPE-A2'!F82</f>
        <v>4232.0204081632655</v>
      </c>
      <c r="G24" s="240">
        <f>'LDPE-A2'!G53-'LDPE-A2'!G82</f>
        <v>4563.2244897959181</v>
      </c>
      <c r="H24" s="240">
        <f>'LDPE-A2'!H53-'LDPE-A2'!H82</f>
        <v>5187</v>
      </c>
      <c r="I24" s="240">
        <f>'LDPE-A2'!I53-'LDPE-A2'!I82</f>
        <v>5060</v>
      </c>
      <c r="J24" s="240">
        <f>'LDPE-A2'!J53-'LDPE-A2'!J82</f>
        <v>5595</v>
      </c>
      <c r="K24" s="241">
        <f>'LDPE-A2'!K53-'LDPE-A2'!K82</f>
        <v>6195</v>
      </c>
      <c r="L24" s="242">
        <f>'LDPE-A2'!L53-'LDPE-A2'!L82</f>
        <v>6628</v>
      </c>
      <c r="M24" s="240">
        <f>'LDPE-A2'!M53-'LDPE-A2'!M82</f>
        <v>6746</v>
      </c>
      <c r="N24" s="240">
        <f>'LDPE-A2'!N53-'LDPE-A2'!N82</f>
        <v>6888</v>
      </c>
      <c r="O24" s="240">
        <f>'LDPE-A2'!O53-'LDPE-A2'!O82</f>
        <v>6884</v>
      </c>
      <c r="P24" s="240">
        <f>'LDPE-A2'!P53-'LDPE-A2'!P82</f>
        <v>7189</v>
      </c>
      <c r="Q24" s="243">
        <f>'LDPE-A2'!Q53-'LDPE-A2'!Q82</f>
        <v>7208</v>
      </c>
    </row>
    <row r="25" spans="2:17" ht="16.5" customHeight="1">
      <c r="B25" s="16"/>
      <c r="C25" s="615" t="s">
        <v>313</v>
      </c>
      <c r="D25" s="244">
        <f>'LDPE-A2'!D54-'LDPE-A2'!D83</f>
        <v>3018</v>
      </c>
      <c r="E25" s="245">
        <f>'LDPE-A2'!E54-'LDPE-A2'!E83</f>
        <v>3018</v>
      </c>
      <c r="F25" s="245">
        <f>'LDPE-A2'!F54-'LDPE-A2'!F83</f>
        <v>3149.1632653061224</v>
      </c>
      <c r="G25" s="245">
        <f>'LDPE-A2'!G54-'LDPE-A2'!G83</f>
        <v>3456.6938775510207</v>
      </c>
      <c r="H25" s="245">
        <f>'LDPE-A2'!H54-'LDPE-A2'!H83</f>
        <v>3830</v>
      </c>
      <c r="I25" s="245">
        <f>'LDPE-A2'!I54-'LDPE-A2'!I83</f>
        <v>3309</v>
      </c>
      <c r="J25" s="245">
        <f>'LDPE-A2'!J54-'LDPE-A2'!J83</f>
        <v>3551</v>
      </c>
      <c r="K25" s="246">
        <f>'LDPE-A2'!K54-'LDPE-A2'!K83</f>
        <v>3930</v>
      </c>
      <c r="L25" s="247">
        <f>'LDPE-A2'!L54-'LDPE-A2'!L83</f>
        <v>4312</v>
      </c>
      <c r="M25" s="245">
        <f>'LDPE-A2'!M54-'LDPE-A2'!M83</f>
        <v>4513</v>
      </c>
      <c r="N25" s="245">
        <f>'LDPE-A2'!N54-'LDPE-A2'!N83</f>
        <v>4613</v>
      </c>
      <c r="O25" s="245">
        <f>'LDPE-A2'!O54-'LDPE-A2'!O83</f>
        <v>4658</v>
      </c>
      <c r="P25" s="245">
        <f>'LDPE-A2'!P54-'LDPE-A2'!P83</f>
        <v>4684</v>
      </c>
      <c r="Q25" s="248">
        <f>'LDPE-A2'!Q54-'LDPE-A2'!Q83</f>
        <v>4688</v>
      </c>
    </row>
    <row r="26" spans="2:17" ht="17.25" customHeight="1">
      <c r="B26" s="674" t="s">
        <v>314</v>
      </c>
      <c r="C26" s="675"/>
      <c r="D26" s="244">
        <f>'LDPE-A2'!D55-'LDPE-A2'!D84</f>
        <v>-545</v>
      </c>
      <c r="E26" s="245">
        <f>'LDPE-A2'!E55-'LDPE-A2'!E84</f>
        <v>-760</v>
      </c>
      <c r="F26" s="245">
        <f>'LDPE-A2'!F55-'LDPE-A2'!F84</f>
        <v>-781.0204081632653</v>
      </c>
      <c r="G26" s="245">
        <f>'LDPE-A2'!G55-'LDPE-A2'!G84</f>
        <v>-953.70378659938547</v>
      </c>
      <c r="H26" s="245">
        <f>'LDPE-A2'!H55-'LDPE-A2'!H84</f>
        <v>-1050.4781573646408</v>
      </c>
      <c r="I26" s="245">
        <f>'LDPE-A2'!I55-'LDPE-A2'!I84</f>
        <v>-1103</v>
      </c>
      <c r="J26" s="245">
        <f>'LDPE-A2'!J55-'LDPE-A2'!J84</f>
        <v>-1153</v>
      </c>
      <c r="K26" s="246">
        <f>'LDPE-A2'!K55-'LDPE-A2'!K84</f>
        <v>-1077</v>
      </c>
      <c r="L26" s="247">
        <f>'LDPE-A2'!L55-'LDPE-A2'!L84</f>
        <v>-1158</v>
      </c>
      <c r="M26" s="245">
        <f>'LDPE-A2'!M55-'LDPE-A2'!M84</f>
        <v>-1258</v>
      </c>
      <c r="N26" s="245">
        <f>'LDPE-A2'!N55-'LDPE-A2'!N84</f>
        <v>-1366</v>
      </c>
      <c r="O26" s="245">
        <f>'LDPE-A2'!O55-'LDPE-A2'!O84</f>
        <v>-1483</v>
      </c>
      <c r="P26" s="245">
        <f>'LDPE-A2'!P55-'LDPE-A2'!P84</f>
        <v>-1550</v>
      </c>
      <c r="Q26" s="248">
        <f>'LDPE-A2'!Q55-'LDPE-A2'!Q84</f>
        <v>-1846</v>
      </c>
    </row>
    <row r="27" spans="2:17" ht="17.25" customHeight="1">
      <c r="B27" s="674" t="s">
        <v>315</v>
      </c>
      <c r="C27" s="675"/>
      <c r="D27" s="244">
        <f>'LDPE-A2'!D56-'LDPE-A2'!D85</f>
        <v>42</v>
      </c>
      <c r="E27" s="245">
        <f>'LDPE-A2'!E56-'LDPE-A2'!E85</f>
        <v>50</v>
      </c>
      <c r="F27" s="245">
        <f>'LDPE-A2'!F56-'LDPE-A2'!F85</f>
        <v>-7.7999999999999545</v>
      </c>
      <c r="G27" s="245">
        <f>'LDPE-A2'!G56-'LDPE-A2'!G85</f>
        <v>-195</v>
      </c>
      <c r="H27" s="245">
        <f>'LDPE-A2'!H56-'LDPE-A2'!H85</f>
        <v>-7</v>
      </c>
      <c r="I27" s="245">
        <f>'LDPE-A2'!I56-'LDPE-A2'!I85</f>
        <v>78</v>
      </c>
      <c r="J27" s="245">
        <f>'LDPE-A2'!J56-'LDPE-A2'!J85</f>
        <v>-290.00000000000011</v>
      </c>
      <c r="K27" s="246">
        <f>'LDPE-A2'!K56-'LDPE-A2'!K85</f>
        <v>103.29000000000008</v>
      </c>
      <c r="L27" s="247">
        <f>'LDPE-A2'!L56-'LDPE-A2'!L85</f>
        <v>104.9426400000001</v>
      </c>
      <c r="M27" s="245">
        <f>'LDPE-A2'!M56-'LDPE-A2'!M85</f>
        <v>214.88112000000012</v>
      </c>
      <c r="N27" s="245">
        <f>'LDPE-A2'!N56-'LDPE-A2'!N85</f>
        <v>301.60433680000017</v>
      </c>
      <c r="O27" s="245">
        <f>'LDPE-A2'!O56-'LDPE-A2'!O85</f>
        <v>388.12840185200025</v>
      </c>
      <c r="P27" s="245">
        <f>'LDPE-A2'!P56-'LDPE-A2'!P85</f>
        <v>474.45032787978039</v>
      </c>
      <c r="Q27" s="248">
        <f>'LDPE-A2'!Q56-'LDPE-A2'!Q85</f>
        <v>672.56708279797715</v>
      </c>
    </row>
    <row r="28" spans="2:17" ht="16.5" customHeight="1">
      <c r="B28" s="672" t="s">
        <v>316</v>
      </c>
      <c r="C28" s="673"/>
      <c r="D28" s="239">
        <f>'LDPE-A2'!D57-'LDPE-A2'!D86</f>
        <v>1066</v>
      </c>
      <c r="E28" s="240">
        <f>'LDPE-A2'!E57-'LDPE-A2'!E86</f>
        <v>1005</v>
      </c>
      <c r="F28" s="240">
        <f>'LDPE-A2'!F57-'LDPE-A2'!F86</f>
        <v>1037</v>
      </c>
      <c r="G28" s="240">
        <f>'LDPE-A2'!G57-'LDPE-A2'!G86</f>
        <v>1290.1000000000004</v>
      </c>
      <c r="H28" s="240">
        <f>'LDPE-A2'!H57-'LDPE-A2'!H86</f>
        <v>1168</v>
      </c>
      <c r="I28" s="240">
        <f>'LDPE-A2'!I57-'LDPE-A2'!I86</f>
        <v>1230</v>
      </c>
      <c r="J28" s="240">
        <f>'LDPE-A2'!J57-'LDPE-A2'!J86</f>
        <v>768.90000000000055</v>
      </c>
      <c r="K28" s="241">
        <f>'LDPE-A2'!K57-'LDPE-A2'!K86</f>
        <v>1047.3000000000002</v>
      </c>
      <c r="L28" s="242">
        <f>'LDPE-A2'!L57-'LDPE-A2'!L86</f>
        <v>2742.5</v>
      </c>
      <c r="M28" s="240">
        <f>'LDPE-A2'!M57-'LDPE-A2'!M86</f>
        <v>3952.6000000000004</v>
      </c>
      <c r="N28" s="240">
        <f>'LDPE-A2'!N57-'LDPE-A2'!N86</f>
        <v>4361.8999999999996</v>
      </c>
      <c r="O28" s="240">
        <f>'LDPE-A2'!O57-'LDPE-A2'!O86</f>
        <v>4755.3999999999996</v>
      </c>
      <c r="P28" s="240">
        <f>'LDPE-A2'!P57-'LDPE-A2'!P86</f>
        <v>4674.3999999999996</v>
      </c>
      <c r="Q28" s="243">
        <f>'LDPE-A2'!Q57-'LDPE-A2'!Q86</f>
        <v>4254</v>
      </c>
    </row>
    <row r="29" spans="2:17" ht="16.5" customHeight="1">
      <c r="B29" s="670" t="s">
        <v>317</v>
      </c>
      <c r="C29" s="671"/>
      <c r="D29" s="239">
        <f>'LDPE-A2'!D58-'LDPE-A2'!D87</f>
        <v>250</v>
      </c>
      <c r="E29" s="240">
        <f>'LDPE-A2'!E58-'LDPE-A2'!E87</f>
        <v>65</v>
      </c>
      <c r="F29" s="240">
        <f>'LDPE-A2'!F58-'LDPE-A2'!F87</f>
        <v>256</v>
      </c>
      <c r="G29" s="240">
        <f>'LDPE-A2'!G58-'LDPE-A2'!G87</f>
        <v>66</v>
      </c>
      <c r="H29" s="240">
        <f>'LDPE-A2'!H58-'LDPE-A2'!H87</f>
        <v>-2</v>
      </c>
      <c r="I29" s="240">
        <f>'LDPE-A2'!I58-'LDPE-A2'!I87</f>
        <v>128</v>
      </c>
      <c r="J29" s="240">
        <f>'LDPE-A2'!J58-'LDPE-A2'!J87</f>
        <v>273</v>
      </c>
      <c r="K29" s="241">
        <f>'LDPE-A2'!K58-'LDPE-A2'!K87</f>
        <v>212</v>
      </c>
      <c r="L29" s="242">
        <f>'LDPE-A2'!L58-'LDPE-A2'!L87</f>
        <v>169</v>
      </c>
      <c r="M29" s="240">
        <f>'LDPE-A2'!M58-'LDPE-A2'!M87</f>
        <v>125</v>
      </c>
      <c r="N29" s="240">
        <f>'LDPE-A2'!N58-'LDPE-A2'!N87</f>
        <v>85</v>
      </c>
      <c r="O29" s="240">
        <f>'LDPE-A2'!O58-'LDPE-A2'!O87</f>
        <v>141</v>
      </c>
      <c r="P29" s="240">
        <f>'LDPE-A2'!P58-'LDPE-A2'!P87</f>
        <v>391</v>
      </c>
      <c r="Q29" s="243">
        <f>'LDPE-A2'!Q58-'LDPE-A2'!Q87</f>
        <v>354</v>
      </c>
    </row>
    <row r="30" spans="2:17" ht="17.25" customHeight="1">
      <c r="B30" s="674" t="s">
        <v>318</v>
      </c>
      <c r="C30" s="675"/>
      <c r="D30" s="244">
        <f t="shared" ref="D30:Q30" si="1">SUM(D28:D29)</f>
        <v>1316</v>
      </c>
      <c r="E30" s="245">
        <f t="shared" si="1"/>
        <v>1070</v>
      </c>
      <c r="F30" s="245">
        <f t="shared" si="1"/>
        <v>1293</v>
      </c>
      <c r="G30" s="245">
        <f t="shared" si="1"/>
        <v>1356.1000000000004</v>
      </c>
      <c r="H30" s="245">
        <f t="shared" si="1"/>
        <v>1166</v>
      </c>
      <c r="I30" s="245">
        <f t="shared" si="1"/>
        <v>1358</v>
      </c>
      <c r="J30" s="245">
        <f t="shared" si="1"/>
        <v>1041.9000000000005</v>
      </c>
      <c r="K30" s="246">
        <f t="shared" si="1"/>
        <v>1259.3000000000002</v>
      </c>
      <c r="L30" s="247">
        <f t="shared" si="1"/>
        <v>2911.5</v>
      </c>
      <c r="M30" s="245">
        <f t="shared" si="1"/>
        <v>4077.6000000000004</v>
      </c>
      <c r="N30" s="245">
        <f t="shared" si="1"/>
        <v>4446.8999999999996</v>
      </c>
      <c r="O30" s="245">
        <f t="shared" si="1"/>
        <v>4896.3999999999996</v>
      </c>
      <c r="P30" s="245">
        <f t="shared" si="1"/>
        <v>5065.3999999999996</v>
      </c>
      <c r="Q30" s="248">
        <f t="shared" si="1"/>
        <v>4608</v>
      </c>
    </row>
    <row r="31" spans="2:17" ht="16.5" customHeight="1">
      <c r="B31" s="672" t="s">
        <v>319</v>
      </c>
      <c r="C31" s="673"/>
      <c r="D31" s="239">
        <f>'LDPE-A2'!D60-'LDPE-A2'!D89</f>
        <v>-245</v>
      </c>
      <c r="E31" s="240">
        <f>'LDPE-A2'!E60-'LDPE-A2'!E89</f>
        <v>-243</v>
      </c>
      <c r="F31" s="240">
        <f>'LDPE-A2'!F60-'LDPE-A2'!F89</f>
        <v>-275</v>
      </c>
      <c r="G31" s="240">
        <f>'LDPE-A2'!G60-'LDPE-A2'!G89</f>
        <v>-326</v>
      </c>
      <c r="H31" s="240">
        <f>'LDPE-A2'!H60-'LDPE-A2'!H89</f>
        <v>-348</v>
      </c>
      <c r="I31" s="240">
        <f>'LDPE-A2'!I60-'LDPE-A2'!I89</f>
        <v>-359</v>
      </c>
      <c r="J31" s="240">
        <f>'LDPE-A2'!J60-'LDPE-A2'!J89</f>
        <v>-241</v>
      </c>
      <c r="K31" s="241">
        <f>'LDPE-A2'!K60-'LDPE-A2'!K89</f>
        <v>-160</v>
      </c>
      <c r="L31" s="242">
        <f>'LDPE-A2'!L60-'LDPE-A2'!L89</f>
        <v>-179</v>
      </c>
      <c r="M31" s="240">
        <f>'LDPE-A2'!M60-'LDPE-A2'!M89</f>
        <v>-201</v>
      </c>
      <c r="N31" s="240">
        <f>'LDPE-A2'!N60-'LDPE-A2'!N89</f>
        <v>-225</v>
      </c>
      <c r="O31" s="240">
        <f>'LDPE-A2'!O60-'LDPE-A2'!O89</f>
        <v>-251</v>
      </c>
      <c r="P31" s="240">
        <f>'LDPE-A2'!P60-'LDPE-A2'!P89</f>
        <v>-279</v>
      </c>
      <c r="Q31" s="243">
        <f>'LDPE-A2'!Q60-'LDPE-A2'!Q89</f>
        <v>-308</v>
      </c>
    </row>
    <row r="32" spans="2:17" ht="16.5" customHeight="1">
      <c r="B32" s="668" t="s">
        <v>320</v>
      </c>
      <c r="C32" s="669"/>
      <c r="D32" s="239">
        <f>'LDPE-A2'!D61-'LDPE-A2'!D90</f>
        <v>299</v>
      </c>
      <c r="E32" s="240">
        <f>'LDPE-A2'!E61-'LDPE-A2'!E90</f>
        <v>285</v>
      </c>
      <c r="F32" s="240">
        <f>'LDPE-A2'!F61-'LDPE-A2'!F90</f>
        <v>268</v>
      </c>
      <c r="G32" s="240">
        <f>'LDPE-A2'!G61-'LDPE-A2'!G90</f>
        <v>288</v>
      </c>
      <c r="H32" s="240">
        <f>'LDPE-A2'!H61-'LDPE-A2'!H90</f>
        <v>252</v>
      </c>
      <c r="I32" s="240">
        <f>'LDPE-A2'!I61-'LDPE-A2'!I90</f>
        <v>222</v>
      </c>
      <c r="J32" s="240">
        <f>'LDPE-A2'!J61-'LDPE-A2'!J90</f>
        <v>283</v>
      </c>
      <c r="K32" s="241">
        <f>'LDPE-A2'!K61-'LDPE-A2'!K90</f>
        <v>250.25</v>
      </c>
      <c r="L32" s="242">
        <f>'LDPE-A2'!L61-'LDPE-A2'!L90</f>
        <v>233.25</v>
      </c>
      <c r="M32" s="240">
        <f>'LDPE-A2'!M61-'LDPE-A2'!M90</f>
        <v>204.25</v>
      </c>
      <c r="N32" s="240">
        <f>'LDPE-A2'!N61-'LDPE-A2'!N90</f>
        <v>175.25</v>
      </c>
      <c r="O32" s="240">
        <f>'LDPE-A2'!O61-'LDPE-A2'!O90</f>
        <v>146.25</v>
      </c>
      <c r="P32" s="240">
        <f>'LDPE-A2'!P61-'LDPE-A2'!P90</f>
        <v>117.25</v>
      </c>
      <c r="Q32" s="243">
        <f>'LDPE-A2'!Q61-'LDPE-A2'!Q90</f>
        <v>87</v>
      </c>
    </row>
    <row r="33" spans="2:17" ht="16.5" customHeight="1">
      <c r="B33" s="670" t="s">
        <v>321</v>
      </c>
      <c r="C33" s="671"/>
      <c r="D33" s="239">
        <f>'LDPE-A2'!D62-'LDPE-A2'!D91</f>
        <v>-599</v>
      </c>
      <c r="E33" s="240">
        <f>'LDPE-A2'!E62-'LDPE-A2'!E91</f>
        <v>-589</v>
      </c>
      <c r="F33" s="240">
        <f>'LDPE-A2'!F62-'LDPE-A2'!F91</f>
        <v>-692</v>
      </c>
      <c r="G33" s="240">
        <f>'LDPE-A2'!G62-'LDPE-A2'!G91</f>
        <v>-885</v>
      </c>
      <c r="H33" s="240">
        <f>'LDPE-A2'!H62-'LDPE-A2'!H91</f>
        <v>-1006</v>
      </c>
      <c r="I33" s="240">
        <f>'LDPE-A2'!I62-'LDPE-A2'!I91</f>
        <v>-965</v>
      </c>
      <c r="J33" s="240">
        <f>'LDPE-A2'!J62-'LDPE-A2'!J91</f>
        <v>-977</v>
      </c>
      <c r="K33" s="241">
        <f>'LDPE-A2'!K62-'LDPE-A2'!K91</f>
        <v>-996</v>
      </c>
      <c r="L33" s="242">
        <f>'LDPE-A2'!L62-'LDPE-A2'!L91</f>
        <v>-1015</v>
      </c>
      <c r="M33" s="240">
        <f>'LDPE-A2'!M62-'LDPE-A2'!M91</f>
        <v>-1051</v>
      </c>
      <c r="N33" s="240">
        <f>'LDPE-A2'!N62-'LDPE-A2'!N91</f>
        <v>-1096</v>
      </c>
      <c r="O33" s="240">
        <f>'LDPE-A2'!O62-'LDPE-A2'!O91</f>
        <v>-1143</v>
      </c>
      <c r="P33" s="240">
        <f>'LDPE-A2'!P62-'LDPE-A2'!P91</f>
        <v>-1192</v>
      </c>
      <c r="Q33" s="243">
        <f>'LDPE-A2'!Q62-'LDPE-A2'!Q91</f>
        <v>-1244</v>
      </c>
    </row>
    <row r="34" spans="2:17" ht="17.25" customHeight="1" thickBot="1">
      <c r="B34" s="678" t="s">
        <v>322</v>
      </c>
      <c r="C34" s="679"/>
      <c r="D34" s="249">
        <f t="shared" ref="D34:Q34" si="2">SUM(D31:D33)</f>
        <v>-545</v>
      </c>
      <c r="E34" s="250">
        <f t="shared" si="2"/>
        <v>-547</v>
      </c>
      <c r="F34" s="250">
        <f t="shared" si="2"/>
        <v>-699</v>
      </c>
      <c r="G34" s="250">
        <f t="shared" si="2"/>
        <v>-923</v>
      </c>
      <c r="H34" s="250">
        <f t="shared" si="2"/>
        <v>-1102</v>
      </c>
      <c r="I34" s="250">
        <f t="shared" si="2"/>
        <v>-1102</v>
      </c>
      <c r="J34" s="250">
        <f t="shared" si="2"/>
        <v>-935</v>
      </c>
      <c r="K34" s="251">
        <f t="shared" si="2"/>
        <v>-905.75</v>
      </c>
      <c r="L34" s="252">
        <f t="shared" si="2"/>
        <v>-960.75</v>
      </c>
      <c r="M34" s="250">
        <f t="shared" si="2"/>
        <v>-1047.75</v>
      </c>
      <c r="N34" s="250">
        <f t="shared" si="2"/>
        <v>-1145.75</v>
      </c>
      <c r="O34" s="250">
        <f t="shared" si="2"/>
        <v>-1247.75</v>
      </c>
      <c r="P34" s="250">
        <f t="shared" si="2"/>
        <v>-1353.75</v>
      </c>
      <c r="Q34" s="253">
        <f t="shared" si="2"/>
        <v>-1465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-393.29435806527454</v>
      </c>
      <c r="E35" s="171">
        <f t="shared" ref="E35:Q35" si="3">SUM(E19+E20+E22+E24+E26+E27+E30+E34)</f>
        <v>1467.5754212003658</v>
      </c>
      <c r="F35" s="171">
        <f t="shared" si="3"/>
        <v>825.36160100000006</v>
      </c>
      <c r="G35" s="171">
        <f t="shared" si="3"/>
        <v>1345.062845034533</v>
      </c>
      <c r="H35" s="171">
        <f t="shared" si="3"/>
        <v>2754.1973515866621</v>
      </c>
      <c r="I35" s="171">
        <f t="shared" si="3"/>
        <v>2781.1316648837533</v>
      </c>
      <c r="J35" s="171">
        <f t="shared" si="3"/>
        <v>2224.7926050000005</v>
      </c>
      <c r="K35" s="173">
        <f t="shared" si="3"/>
        <v>816.40374299999894</v>
      </c>
      <c r="L35" s="172">
        <f t="shared" si="3"/>
        <v>2577.1342630000008</v>
      </c>
      <c r="M35" s="171">
        <f t="shared" si="3"/>
        <v>3274.8961527512001</v>
      </c>
      <c r="N35" s="171">
        <f t="shared" si="3"/>
        <v>3401.7829115151208</v>
      </c>
      <c r="O35" s="171">
        <f t="shared" si="3"/>
        <v>4849.8047101974207</v>
      </c>
      <c r="P35" s="171">
        <f t="shared" si="3"/>
        <v>4526.6106726855778</v>
      </c>
      <c r="Q35" s="174">
        <f t="shared" si="3"/>
        <v>4132.6434282387308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4">+E41+1</f>
        <v>2011</v>
      </c>
      <c r="G41" s="17">
        <f t="shared" si="4"/>
        <v>2012</v>
      </c>
      <c r="H41" s="18">
        <f t="shared" si="4"/>
        <v>2013</v>
      </c>
      <c r="I41" s="17">
        <f t="shared" si="4"/>
        <v>2014</v>
      </c>
      <c r="J41" s="17">
        <f t="shared" si="4"/>
        <v>2015</v>
      </c>
      <c r="K41" s="20">
        <f t="shared" si="4"/>
        <v>2016</v>
      </c>
      <c r="L41" s="19">
        <f t="shared" si="4"/>
        <v>2017</v>
      </c>
      <c r="M41" s="18">
        <f t="shared" si="4"/>
        <v>2018</v>
      </c>
      <c r="N41" s="18">
        <f t="shared" si="4"/>
        <v>2019</v>
      </c>
      <c r="O41" s="18">
        <f t="shared" si="4"/>
        <v>2020</v>
      </c>
      <c r="P41" s="18">
        <f t="shared" si="4"/>
        <v>2021</v>
      </c>
      <c r="Q41" s="23">
        <f t="shared" si="4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2">
        <f>IF('LDPE-A2'!D7=0,"    -",ROUND('LDPE-A2'!D36/'LDPE-A2'!D7*100,1))</f>
        <v>106.3</v>
      </c>
      <c r="E43" s="53">
        <f>IF('LDPE-A2'!E7=0,"    -",ROUND('LDPE-A2'!E36/'LDPE-A2'!E7*100,1))</f>
        <v>100.3</v>
      </c>
      <c r="F43" s="53">
        <f>IF('LDPE-A2'!F7=0,"    -",ROUND('LDPE-A2'!F36/'LDPE-A2'!F7*100,1))</f>
        <v>99</v>
      </c>
      <c r="G43" s="53">
        <f>IF('LDPE-A2'!G7=0,"    -",ROUND('LDPE-A2'!G36/'LDPE-A2'!G7*100,1))</f>
        <v>99.8</v>
      </c>
      <c r="H43" s="53">
        <f>IF('LDPE-A2'!H7=0,"    -",ROUND('LDPE-A2'!H36/'LDPE-A2'!H7*100,1))</f>
        <v>98.1</v>
      </c>
      <c r="I43" s="53">
        <f>IF('LDPE-A2'!I7=0,"    -",ROUND('LDPE-A2'!I36/'LDPE-A2'!I7*100,1))</f>
        <v>92.7</v>
      </c>
      <c r="J43" s="53">
        <f>IF('LDPE-A2'!J7=0,"    -",ROUND('LDPE-A2'!J36/'LDPE-A2'!J7*100,1))</f>
        <v>93.9</v>
      </c>
      <c r="K43" s="54">
        <f>IF('LDPE-A2'!K7=0,"    -",ROUND('LDPE-A2'!K36/'LDPE-A2'!K7*100,1))</f>
        <v>102.6</v>
      </c>
      <c r="L43" s="55">
        <f>IF('LDPE-A2'!L7=0,"    -",ROUND('LDPE-A2'!L36/'LDPE-A2'!L7*100,1))</f>
        <v>95.8</v>
      </c>
      <c r="M43" s="53">
        <f>IF('LDPE-A2'!M7=0,"    -",ROUND('LDPE-A2'!M36/'LDPE-A2'!M7*100,1))</f>
        <v>95.8</v>
      </c>
      <c r="N43" s="53">
        <f>IF('LDPE-A2'!N7=0,"    -",ROUND('LDPE-A2'!N36/'LDPE-A2'!N7*100,1))</f>
        <v>95.8</v>
      </c>
      <c r="O43" s="53">
        <f>IF('LDPE-A2'!O7=0,"    -",ROUND('LDPE-A2'!O36/'LDPE-A2'!O7*100,1))</f>
        <v>93</v>
      </c>
      <c r="P43" s="53">
        <f>IF('LDPE-A2'!P7=0,"    -",ROUND('LDPE-A2'!P36/'LDPE-A2'!P7*100,1))</f>
        <v>93</v>
      </c>
      <c r="Q43" s="56">
        <f>IF('LDPE-A2'!Q7=0,"    -",ROUND('LDPE-A2'!Q36/'LDPE-A2'!Q7*100,1))</f>
        <v>89.3</v>
      </c>
    </row>
    <row r="44" spans="2:17" ht="16.5" customHeight="1">
      <c r="B44" s="605" t="s">
        <v>434</v>
      </c>
      <c r="C44" s="606"/>
      <c r="D44" s="52">
        <f>IF('LDPE-A2'!D8=0,"    -",ROUND('LDPE-A2'!D37/'LDPE-A2'!D8*100,1))</f>
        <v>88</v>
      </c>
      <c r="E44" s="53">
        <f>IF('LDPE-A2'!E8=0,"    -",ROUND('LDPE-A2'!E37/'LDPE-A2'!E8*100,1))</f>
        <v>72.8</v>
      </c>
      <c r="F44" s="53">
        <f>IF('LDPE-A2'!F8=0,"    -",ROUND('LDPE-A2'!F37/'LDPE-A2'!F8*100,1))</f>
        <v>63.6</v>
      </c>
      <c r="G44" s="53">
        <f>IF('LDPE-A2'!G8=0,"    -",ROUND('LDPE-A2'!G37/'LDPE-A2'!G8*100,1))</f>
        <v>75.099999999999994</v>
      </c>
      <c r="H44" s="53">
        <f>IF('LDPE-A2'!H8=0,"    -",ROUND('LDPE-A2'!H37/'LDPE-A2'!H8*100,1))</f>
        <v>71.599999999999994</v>
      </c>
      <c r="I44" s="53">
        <f>IF('LDPE-A2'!I8=0,"    -",ROUND('LDPE-A2'!I37/'LDPE-A2'!I8*100,1))</f>
        <v>75.900000000000006</v>
      </c>
      <c r="J44" s="53">
        <f>IF('LDPE-A2'!J8=0,"    -",ROUND('LDPE-A2'!J37/'LDPE-A2'!J8*100,1))</f>
        <v>76.599999999999994</v>
      </c>
      <c r="K44" s="54">
        <f>IF('LDPE-A2'!K8=0,"    -",ROUND('LDPE-A2'!K37/'LDPE-A2'!K8*100,1))</f>
        <v>78.2</v>
      </c>
      <c r="L44" s="55">
        <f>IF('LDPE-A2'!L8=0,"    -",ROUND('LDPE-A2'!L37/'LDPE-A2'!L8*100,1))</f>
        <v>78.5</v>
      </c>
      <c r="M44" s="53">
        <f>IF('LDPE-A2'!M8=0,"    -",ROUND('LDPE-A2'!M37/'LDPE-A2'!M8*100,1))</f>
        <v>78.5</v>
      </c>
      <c r="N44" s="53">
        <f>IF('LDPE-A2'!N8=0,"    -",ROUND('LDPE-A2'!N37/'LDPE-A2'!N8*100,1))</f>
        <v>78.5</v>
      </c>
      <c r="O44" s="53">
        <f>IF('LDPE-A2'!O8=0,"    -",ROUND('LDPE-A2'!O37/'LDPE-A2'!O8*100,1))</f>
        <v>79.599999999999994</v>
      </c>
      <c r="P44" s="53">
        <f>IF('LDPE-A2'!P8=0,"    -",ROUND('LDPE-A2'!P37/'LDPE-A2'!P8*100,1))</f>
        <v>79.599999999999994</v>
      </c>
      <c r="Q44" s="56">
        <f>IF('LDPE-A2'!Q8=0,"    -",ROUND('LDPE-A2'!Q37/'LDPE-A2'!Q8*100,1))</f>
        <v>79.599999999999994</v>
      </c>
    </row>
    <row r="45" spans="2:17" ht="16.5" customHeight="1">
      <c r="B45" s="605" t="s">
        <v>435</v>
      </c>
      <c r="C45" s="606"/>
      <c r="D45" s="52">
        <f>IF('LDPE-A2'!D9=0,"    -",ROUND('LDPE-A2'!D38/'LDPE-A2'!D9*100,1))</f>
        <v>96.2</v>
      </c>
      <c r="E45" s="53">
        <f>IF('LDPE-A2'!E9=0,"    -",ROUND('LDPE-A2'!E38/'LDPE-A2'!E9*100,1))</f>
        <v>96.4</v>
      </c>
      <c r="F45" s="53">
        <f>IF('LDPE-A2'!F9=0,"    -",ROUND('LDPE-A2'!F38/'LDPE-A2'!F9*100,1))</f>
        <v>48.2</v>
      </c>
      <c r="G45" s="53">
        <f>IF('LDPE-A2'!G9=0,"    -",ROUND('LDPE-A2'!G38/'LDPE-A2'!G9*100,1))</f>
        <v>80.2</v>
      </c>
      <c r="H45" s="53">
        <f>IF('LDPE-A2'!H9=0,"    -",ROUND('LDPE-A2'!H38/'LDPE-A2'!H9*100,1))</f>
        <v>98</v>
      </c>
      <c r="I45" s="53">
        <f>IF('LDPE-A2'!I9=0,"    -",ROUND('LDPE-A2'!I38/'LDPE-A2'!I9*100,1))</f>
        <v>82.2</v>
      </c>
      <c r="J45" s="53">
        <f>IF('LDPE-A2'!J9=0,"    -",ROUND('LDPE-A2'!J38/'LDPE-A2'!J9*100,1))</f>
        <v>84.7</v>
      </c>
      <c r="K45" s="54">
        <f>IF('LDPE-A2'!K9=0,"    -",ROUND('LDPE-A2'!K38/'LDPE-A2'!K9*100,1))</f>
        <v>79.5</v>
      </c>
      <c r="L45" s="55">
        <f>IF('LDPE-A2'!L9=0,"    -",ROUND('LDPE-A2'!L38/'LDPE-A2'!L9*100,1))</f>
        <v>90.1</v>
      </c>
      <c r="M45" s="53">
        <f>IF('LDPE-A2'!M9=0,"    -",ROUND('LDPE-A2'!M38/'LDPE-A2'!M9*100,1))</f>
        <v>93.9</v>
      </c>
      <c r="N45" s="53">
        <f>IF('LDPE-A2'!N9=0,"    -",ROUND('LDPE-A2'!N38/'LDPE-A2'!N9*100,1))</f>
        <v>95</v>
      </c>
      <c r="O45" s="53">
        <f>IF('LDPE-A2'!O9=0,"    -",ROUND('LDPE-A2'!O38/'LDPE-A2'!O9*100,1))</f>
        <v>95</v>
      </c>
      <c r="P45" s="53">
        <f>IF('LDPE-A2'!P9=0,"    -",ROUND('LDPE-A2'!P38/'LDPE-A2'!P9*100,1))</f>
        <v>90</v>
      </c>
      <c r="Q45" s="56">
        <f>IF('LDPE-A2'!Q9=0,"    -",ROUND('LDPE-A2'!Q38/'LDPE-A2'!Q9*100,1))</f>
        <v>92</v>
      </c>
    </row>
    <row r="46" spans="2:17" ht="16.5" customHeight="1">
      <c r="B46" s="605" t="s">
        <v>436</v>
      </c>
      <c r="C46" s="606"/>
      <c r="D46" s="52">
        <f>IF('LDPE-A2'!D10=0,"    -",ROUND('LDPE-A2'!D39/'LDPE-A2'!D10*100,1))</f>
        <v>100.7</v>
      </c>
      <c r="E46" s="53">
        <f>IF('LDPE-A2'!E10=0,"    -",ROUND('LDPE-A2'!E39/'LDPE-A2'!E10*100,1))</f>
        <v>97.3</v>
      </c>
      <c r="F46" s="53">
        <f>IF('LDPE-A2'!F10=0,"    -",ROUND('LDPE-A2'!F39/'LDPE-A2'!F10*100,1))</f>
        <v>86.5</v>
      </c>
      <c r="G46" s="53">
        <f>IF('LDPE-A2'!G10=0,"    -",ROUND('LDPE-A2'!G39/'LDPE-A2'!G10*100,1))</f>
        <v>92.5</v>
      </c>
      <c r="H46" s="53">
        <f>IF('LDPE-A2'!H10=0,"    -",ROUND('LDPE-A2'!H39/'LDPE-A2'!H10*100,1))</f>
        <v>93.3</v>
      </c>
      <c r="I46" s="53">
        <f>IF('LDPE-A2'!I10=0,"    -",ROUND('LDPE-A2'!I39/'LDPE-A2'!I10*100,1))</f>
        <v>91.7</v>
      </c>
      <c r="J46" s="53">
        <f>IF('LDPE-A2'!J10=0,"    -",ROUND('LDPE-A2'!J39/'LDPE-A2'!J10*100,1))</f>
        <v>98.4</v>
      </c>
      <c r="K46" s="54">
        <f>IF('LDPE-A2'!K10=0,"    -",ROUND('LDPE-A2'!K39/'LDPE-A2'!K10*100,1))</f>
        <v>94.7</v>
      </c>
      <c r="L46" s="55">
        <f>IF('LDPE-A2'!L10=0,"    -",ROUND('LDPE-A2'!L39/'LDPE-A2'!L10*100,1))</f>
        <v>91.1</v>
      </c>
      <c r="M46" s="53">
        <f>IF('LDPE-A2'!M10=0,"    -",ROUND('LDPE-A2'!M39/'LDPE-A2'!M10*100,1))</f>
        <v>90.5</v>
      </c>
      <c r="N46" s="53">
        <f>IF('LDPE-A2'!N10=0,"    -",ROUND('LDPE-A2'!N39/'LDPE-A2'!N10*100,1))</f>
        <v>87.8</v>
      </c>
      <c r="O46" s="53">
        <f>IF('LDPE-A2'!O10=0,"    -",ROUND('LDPE-A2'!O39/'LDPE-A2'!O10*100,1))</f>
        <v>83.9</v>
      </c>
      <c r="P46" s="53">
        <f>IF('LDPE-A2'!P10=0,"    -",ROUND('LDPE-A2'!P39/'LDPE-A2'!P10*100,1))</f>
        <v>86.8</v>
      </c>
      <c r="Q46" s="56">
        <f>IF('LDPE-A2'!Q10=0,"    -",ROUND('LDPE-A2'!Q39/'LDPE-A2'!Q10*100,1))</f>
        <v>90.1</v>
      </c>
    </row>
    <row r="47" spans="2:17" ht="16.5" customHeight="1">
      <c r="B47" s="605" t="s">
        <v>437</v>
      </c>
      <c r="C47" s="606"/>
      <c r="D47" s="52">
        <f>IF('LDPE-A2'!D11=0,"    -",ROUND('LDPE-A2'!D40/'LDPE-A2'!D11*100,1))</f>
        <v>58.6</v>
      </c>
      <c r="E47" s="53">
        <f>IF('LDPE-A2'!E11=0,"    -",ROUND('LDPE-A2'!E40/'LDPE-A2'!E11*100,1))</f>
        <v>70.5</v>
      </c>
      <c r="F47" s="53">
        <f>IF('LDPE-A2'!F11=0,"    -",ROUND('LDPE-A2'!F40/'LDPE-A2'!F11*100,1))</f>
        <v>69.2</v>
      </c>
      <c r="G47" s="53">
        <f>IF('LDPE-A2'!G11=0,"    -",ROUND('LDPE-A2'!G40/'LDPE-A2'!G11*100,1))</f>
        <v>64.900000000000006</v>
      </c>
      <c r="H47" s="53">
        <f>IF('LDPE-A2'!H11=0,"    -",ROUND('LDPE-A2'!H40/'LDPE-A2'!H11*100,1))</f>
        <v>71.099999999999994</v>
      </c>
      <c r="I47" s="53">
        <f>IF('LDPE-A2'!I11=0,"    -",ROUND('LDPE-A2'!I40/'LDPE-A2'!I11*100,1))</f>
        <v>70.8</v>
      </c>
      <c r="J47" s="53">
        <f>IF('LDPE-A2'!J11=0,"    -",ROUND('LDPE-A2'!J40/'LDPE-A2'!J11*100,1))</f>
        <v>69.099999999999994</v>
      </c>
      <c r="K47" s="54">
        <f>IF('LDPE-A2'!K11=0,"    -",ROUND('LDPE-A2'!K40/'LDPE-A2'!K11*100,1))</f>
        <v>69.099999999999994</v>
      </c>
      <c r="L47" s="55">
        <f>IF('LDPE-A2'!L11=0,"    -",ROUND('LDPE-A2'!L40/'LDPE-A2'!L11*100,1))</f>
        <v>70</v>
      </c>
      <c r="M47" s="53">
        <f>IF('LDPE-A2'!M11=0,"    -",ROUND('LDPE-A2'!M40/'LDPE-A2'!M11*100,1))</f>
        <v>70</v>
      </c>
      <c r="N47" s="53">
        <f>IF('LDPE-A2'!N11=0,"    -",ROUND('LDPE-A2'!N40/'LDPE-A2'!N11*100,1))</f>
        <v>70</v>
      </c>
      <c r="O47" s="53">
        <f>IF('LDPE-A2'!O11=0,"    -",ROUND('LDPE-A2'!O40/'LDPE-A2'!O11*100,1))</f>
        <v>70</v>
      </c>
      <c r="P47" s="53">
        <f>IF('LDPE-A2'!P11=0,"    -",ROUND('LDPE-A2'!P40/'LDPE-A2'!P11*100,1))</f>
        <v>70</v>
      </c>
      <c r="Q47" s="56">
        <f>IF('LDPE-A2'!Q11=0,"    -",ROUND('LDPE-A2'!Q40/'LDPE-A2'!Q11*100,1))</f>
        <v>70</v>
      </c>
    </row>
    <row r="48" spans="2:17" ht="16.5" customHeight="1">
      <c r="B48" s="605" t="s">
        <v>438</v>
      </c>
      <c r="C48" s="606"/>
      <c r="D48" s="52">
        <f>IF('LDPE-A2'!D12=0,"    -",ROUND('LDPE-A2'!D41/'LDPE-A2'!D12*100,1))</f>
        <v>72.3</v>
      </c>
      <c r="E48" s="53">
        <f>IF('LDPE-A2'!E12=0,"    -",ROUND('LDPE-A2'!E41/'LDPE-A2'!E12*100,1))</f>
        <v>72.3</v>
      </c>
      <c r="F48" s="53">
        <f>IF('LDPE-A2'!F12=0,"    -",ROUND('LDPE-A2'!F41/'LDPE-A2'!F12*100,1))</f>
        <v>72.3</v>
      </c>
      <c r="G48" s="53">
        <f>IF('LDPE-A2'!G12=0,"    -",ROUND('LDPE-A2'!G41/'LDPE-A2'!G12*100,1))</f>
        <v>72.3</v>
      </c>
      <c r="H48" s="53">
        <f>IF('LDPE-A2'!H12=0,"    -",ROUND('LDPE-A2'!H41/'LDPE-A2'!H12*100,1))</f>
        <v>72.3</v>
      </c>
      <c r="I48" s="53">
        <f>IF('LDPE-A2'!I12=0,"    -",ROUND('LDPE-A2'!I41/'LDPE-A2'!I12*100,1))</f>
        <v>72.3</v>
      </c>
      <c r="J48" s="53">
        <f>IF('LDPE-A2'!J12=0,"    -",ROUND('LDPE-A2'!J41/'LDPE-A2'!J12*100,1))</f>
        <v>72.3</v>
      </c>
      <c r="K48" s="54">
        <f>IF('LDPE-A2'!K12=0,"    -",ROUND('LDPE-A2'!K41/'LDPE-A2'!K12*100,1))</f>
        <v>72.3</v>
      </c>
      <c r="L48" s="55">
        <f>IF('LDPE-A2'!L12=0,"    -",ROUND('LDPE-A2'!L41/'LDPE-A2'!L12*100,1))</f>
        <v>76.900000000000006</v>
      </c>
      <c r="M48" s="53">
        <f>IF('LDPE-A2'!M12=0,"    -",ROUND('LDPE-A2'!M41/'LDPE-A2'!M12*100,1))</f>
        <v>76.900000000000006</v>
      </c>
      <c r="N48" s="53">
        <f>IF('LDPE-A2'!N12=0,"    -",ROUND('LDPE-A2'!N41/'LDPE-A2'!N12*100,1))</f>
        <v>76.900000000000006</v>
      </c>
      <c r="O48" s="53">
        <f>IF('LDPE-A2'!O12=0,"    -",ROUND('LDPE-A2'!O41/'LDPE-A2'!O12*100,1))</f>
        <v>184.6</v>
      </c>
      <c r="P48" s="53">
        <f>IF('LDPE-A2'!P12=0,"    -",ROUND('LDPE-A2'!P41/'LDPE-A2'!P12*100,1))</f>
        <v>184.6</v>
      </c>
      <c r="Q48" s="56">
        <f>IF('LDPE-A2'!Q12=0,"    -",ROUND('LDPE-A2'!Q41/'LDPE-A2'!Q12*100,1))</f>
        <v>82.8</v>
      </c>
    </row>
    <row r="49" spans="2:17" ht="16.5" customHeight="1">
      <c r="B49" s="605" t="s">
        <v>439</v>
      </c>
      <c r="C49" s="606"/>
      <c r="D49" s="52">
        <f>IF('LDPE-A2'!D13=0,"    -",ROUND('LDPE-A2'!D42/'LDPE-A2'!D13*100,1))</f>
        <v>112</v>
      </c>
      <c r="E49" s="53">
        <f>IF('LDPE-A2'!E13=0,"    -",ROUND('LDPE-A2'!E42/'LDPE-A2'!E13*100,1))</f>
        <v>130.5</v>
      </c>
      <c r="F49" s="53">
        <f>IF('LDPE-A2'!F13=0,"    -",ROUND('LDPE-A2'!F42/'LDPE-A2'!F13*100,1))</f>
        <v>60</v>
      </c>
      <c r="G49" s="53">
        <f>IF('LDPE-A2'!G13=0,"    -",ROUND('LDPE-A2'!G42/'LDPE-A2'!G13*100,1))</f>
        <v>66.2</v>
      </c>
      <c r="H49" s="53">
        <f>IF('LDPE-A2'!H13=0,"    -",ROUND('LDPE-A2'!H42/'LDPE-A2'!H13*100,1))</f>
        <v>61.5</v>
      </c>
      <c r="I49" s="53">
        <f>IF('LDPE-A2'!I13=0,"    -",ROUND('LDPE-A2'!I42/'LDPE-A2'!I13*100,1))</f>
        <v>75</v>
      </c>
      <c r="J49" s="53">
        <f>IF('LDPE-A2'!J13=0,"    -",ROUND('LDPE-A2'!J42/'LDPE-A2'!J13*100,1))</f>
        <v>59.5</v>
      </c>
      <c r="K49" s="54">
        <f>IF('LDPE-A2'!K13=0,"    -",ROUND('LDPE-A2'!K42/'LDPE-A2'!K13*100,1))</f>
        <v>65.900000000000006</v>
      </c>
      <c r="L49" s="55">
        <f>IF('LDPE-A2'!L13=0,"    -",ROUND('LDPE-A2'!L42/'LDPE-A2'!L13*100,1))</f>
        <v>70.599999999999994</v>
      </c>
      <c r="M49" s="53">
        <f>IF('LDPE-A2'!M13=0,"    -",ROUND('LDPE-A2'!M42/'LDPE-A2'!M13*100,1))</f>
        <v>75.3</v>
      </c>
      <c r="N49" s="53">
        <f>IF('LDPE-A2'!N13=0,"    -",ROUND('LDPE-A2'!N42/'LDPE-A2'!N13*100,1))</f>
        <v>80</v>
      </c>
      <c r="O49" s="53">
        <f>IF('LDPE-A2'!O13=0,"    -",ROUND('LDPE-A2'!O42/'LDPE-A2'!O13*100,1))</f>
        <v>94.1</v>
      </c>
      <c r="P49" s="53">
        <f>IF('LDPE-A2'!P13=0,"    -",ROUND('LDPE-A2'!P42/'LDPE-A2'!P13*100,1))</f>
        <v>94.1</v>
      </c>
      <c r="Q49" s="56">
        <f>IF('LDPE-A2'!Q13=0,"    -",ROUND('LDPE-A2'!Q42/'LDPE-A2'!Q13*100,1))</f>
        <v>94.1</v>
      </c>
    </row>
    <row r="50" spans="2:17" ht="18" hidden="1" customHeight="1">
      <c r="B50" s="16"/>
      <c r="C50" s="90" t="s">
        <v>306</v>
      </c>
      <c r="D50" s="52" t="str">
        <f>IF('LDPE-A2'!D14=0,"    -",ROUND('LDPE-A2'!D43/'LDPE-A2'!D14*100,1))</f>
        <v xml:space="preserve">    -</v>
      </c>
      <c r="E50" s="53" t="str">
        <f>IF('LDPE-A2'!E14=0,"    -",ROUND('LDPE-A2'!E43/'LDPE-A2'!E14*100,1))</f>
        <v xml:space="preserve">    -</v>
      </c>
      <c r="F50" s="53" t="str">
        <f>IF('LDPE-A2'!F14=0,"    -",ROUND('LDPE-A2'!F43/'LDPE-A2'!F14*100,1))</f>
        <v xml:space="preserve">    -</v>
      </c>
      <c r="G50" s="53" t="str">
        <f>IF('LDPE-A2'!G14=0,"    -",ROUND('LDPE-A2'!G43/'LDPE-A2'!G14*100,1))</f>
        <v xml:space="preserve">    -</v>
      </c>
      <c r="H50" s="53" t="str">
        <f>IF('LDPE-A2'!H14=0,"    -",ROUND('LDPE-A2'!H43/'LDPE-A2'!H14*100,1))</f>
        <v xml:space="preserve">    -</v>
      </c>
      <c r="I50" s="53" t="str">
        <f>IF('LDPE-A2'!I14=0,"    -",ROUND('LDPE-A2'!I43/'LDPE-A2'!I14*100,1))</f>
        <v xml:space="preserve">    -</v>
      </c>
      <c r="J50" s="53" t="str">
        <f>IF('LDPE-A2'!J14=0,"    -",ROUND('LDPE-A2'!J43/'LDPE-A2'!J14*100,1))</f>
        <v xml:space="preserve">    -</v>
      </c>
      <c r="K50" s="54" t="str">
        <f>IF('LDPE-A2'!K14=0,"    -",ROUND('LDPE-A2'!K43/'LDPE-A2'!K14*100,1))</f>
        <v xml:space="preserve">    -</v>
      </c>
      <c r="L50" s="55" t="str">
        <f>IF('LDPE-A2'!L14=0,"    -",ROUND('LDPE-A2'!L43/'LDPE-A2'!L14*100,1))</f>
        <v xml:space="preserve">    -</v>
      </c>
      <c r="M50" s="53" t="str">
        <f>IF('LDPE-A2'!M14=0,"    -",ROUND('LDPE-A2'!M43/'LDPE-A2'!M14*100,1))</f>
        <v xml:space="preserve">    -</v>
      </c>
      <c r="N50" s="53" t="str">
        <f>IF('LDPE-A2'!N14=0,"    -",ROUND('LDPE-A2'!N43/'LDPE-A2'!N14*100,1))</f>
        <v xml:space="preserve">    -</v>
      </c>
      <c r="O50" s="53" t="str">
        <f>IF('LDPE-A2'!O14=0,"    -",ROUND('LDPE-A2'!O43/'LDPE-A2'!O14*100,1))</f>
        <v xml:space="preserve">    -</v>
      </c>
      <c r="P50" s="53" t="str">
        <f>IF('LDPE-A2'!P14=0,"    -",ROUND('LDPE-A2'!P43/'LDPE-A2'!P14*100,1))</f>
        <v xml:space="preserve">    -</v>
      </c>
      <c r="Q50" s="56" t="str">
        <f>IF('LDPE-A2'!Q14=0,"    -",ROUND('LDPE-A2'!Q43/'LDPE-A2'!Q14*100,1))</f>
        <v xml:space="preserve">    -</v>
      </c>
    </row>
    <row r="51" spans="2:17" ht="16.5" customHeight="1">
      <c r="B51" s="605" t="s">
        <v>440</v>
      </c>
      <c r="C51" s="606"/>
      <c r="D51" s="52">
        <f>IF('LDPE-A2'!D15=0,"    -",ROUND('LDPE-A2'!D44/'LDPE-A2'!D15*100,1))</f>
        <v>40.9</v>
      </c>
      <c r="E51" s="53">
        <f>IF('LDPE-A2'!E15=0,"    -",ROUND('LDPE-A2'!E44/'LDPE-A2'!E15*100,1))</f>
        <v>33.200000000000003</v>
      </c>
      <c r="F51" s="53">
        <f>IF('LDPE-A2'!F15=0,"    -",ROUND('LDPE-A2'!F44/'LDPE-A2'!F15*100,1))</f>
        <v>30.5</v>
      </c>
      <c r="G51" s="53">
        <f>IF('LDPE-A2'!G15=0,"    -",ROUND('LDPE-A2'!G44/'LDPE-A2'!G15*100,1))</f>
        <v>11.4</v>
      </c>
      <c r="H51" s="53">
        <f>IF('LDPE-A2'!H15=0,"    -",ROUND('LDPE-A2'!H44/'LDPE-A2'!H15*100,1))</f>
        <v>8.6</v>
      </c>
      <c r="I51" s="53">
        <f>IF('LDPE-A2'!I15=0,"    -",ROUND('LDPE-A2'!I44/'LDPE-A2'!I15*100,1))</f>
        <v>31.7</v>
      </c>
      <c r="J51" s="53">
        <f>IF('LDPE-A2'!J15=0,"    -",ROUND('LDPE-A2'!J44/'LDPE-A2'!J15*100,1))</f>
        <v>41.4</v>
      </c>
      <c r="K51" s="54">
        <f>IF('LDPE-A2'!K15=0,"    -",ROUND('LDPE-A2'!K44/'LDPE-A2'!K15*100,1))</f>
        <v>48.3</v>
      </c>
      <c r="L51" s="55">
        <f>IF('LDPE-A2'!L15=0,"    -",ROUND('LDPE-A2'!L44/'LDPE-A2'!L15*100,1))</f>
        <v>55.2</v>
      </c>
      <c r="M51" s="53">
        <f>IF('LDPE-A2'!M15=0,"    -",ROUND('LDPE-A2'!M44/'LDPE-A2'!M15*100,1))</f>
        <v>62.1</v>
      </c>
      <c r="N51" s="53">
        <f>IF('LDPE-A2'!N15=0,"    -",ROUND('LDPE-A2'!N44/'LDPE-A2'!N15*100,1))</f>
        <v>69</v>
      </c>
      <c r="O51" s="53">
        <f>IF('LDPE-A2'!O15=0,"    -",ROUND('LDPE-A2'!O44/'LDPE-A2'!O15*100,1))</f>
        <v>59.5</v>
      </c>
      <c r="P51" s="53">
        <f>IF('LDPE-A2'!P15=0,"    -",ROUND('LDPE-A2'!P44/'LDPE-A2'!P15*100,1))</f>
        <v>64.900000000000006</v>
      </c>
      <c r="Q51" s="56">
        <f>IF('LDPE-A2'!Q15=0,"    -",ROUND('LDPE-A2'!Q44/'LDPE-A2'!Q15*100,1))</f>
        <v>70.3</v>
      </c>
    </row>
    <row r="52" spans="2:17" ht="16.5" customHeight="1">
      <c r="B52" s="605" t="s">
        <v>441</v>
      </c>
      <c r="C52" s="606"/>
      <c r="D52" s="52">
        <f>IF('LDPE-A2'!D16=0,"    -",ROUND('LDPE-A2'!D45/'LDPE-A2'!D16*100,1))</f>
        <v>93.7</v>
      </c>
      <c r="E52" s="53">
        <f>IF('LDPE-A2'!E16=0,"    -",ROUND('LDPE-A2'!E45/'LDPE-A2'!E16*100,1))</f>
        <v>93.7</v>
      </c>
      <c r="F52" s="53">
        <f>IF('LDPE-A2'!F16=0,"    -",ROUND('LDPE-A2'!F45/'LDPE-A2'!F16*100,1))</f>
        <v>93.6</v>
      </c>
      <c r="G52" s="53">
        <f>IF('LDPE-A2'!G16=0,"    -",ROUND('LDPE-A2'!G45/'LDPE-A2'!G16*100,1))</f>
        <v>87.3</v>
      </c>
      <c r="H52" s="53">
        <f>IF('LDPE-A2'!H16=0,"    -",ROUND('LDPE-A2'!H45/'LDPE-A2'!H16*100,1))</f>
        <v>77.8</v>
      </c>
      <c r="I52" s="53">
        <f>IF('LDPE-A2'!I16=0,"    -",ROUND('LDPE-A2'!I45/'LDPE-A2'!I16*100,1))</f>
        <v>86.8</v>
      </c>
      <c r="J52" s="53">
        <f>IF('LDPE-A2'!J16=0,"    -",ROUND('LDPE-A2'!J45/'LDPE-A2'!J16*100,1))</f>
        <v>78.7</v>
      </c>
      <c r="K52" s="54">
        <f>IF('LDPE-A2'!K16=0,"    -",ROUND('LDPE-A2'!K45/'LDPE-A2'!K16*100,1))</f>
        <v>83.2</v>
      </c>
      <c r="L52" s="55">
        <f>IF('LDPE-A2'!L16=0,"    -",ROUND('LDPE-A2'!L45/'LDPE-A2'!L16*100,1))</f>
        <v>83.2</v>
      </c>
      <c r="M52" s="53">
        <f>IF('LDPE-A2'!M16=0,"    -",ROUND('LDPE-A2'!M45/'LDPE-A2'!M16*100,1))</f>
        <v>83.2</v>
      </c>
      <c r="N52" s="53">
        <f>IF('LDPE-A2'!N16=0,"    -",ROUND('LDPE-A2'!N45/'LDPE-A2'!N16*100,1))</f>
        <v>70.8</v>
      </c>
      <c r="O52" s="53">
        <f>IF('LDPE-A2'!O16=0,"    -",ROUND('LDPE-A2'!O45/'LDPE-A2'!O16*100,1))</f>
        <v>89.5</v>
      </c>
      <c r="P52" s="53">
        <f>IF('LDPE-A2'!P16=0,"    -",ROUND('LDPE-A2'!P45/'LDPE-A2'!P16*100,1))</f>
        <v>89.5</v>
      </c>
      <c r="Q52" s="56">
        <f>IF('LDPE-A2'!Q16=0,"    -",ROUND('LDPE-A2'!Q45/'LDPE-A2'!Q16*100,1))</f>
        <v>89.5</v>
      </c>
    </row>
    <row r="53" spans="2:17" ht="16.5" customHeight="1">
      <c r="B53" s="605" t="s">
        <v>442</v>
      </c>
      <c r="C53" s="606"/>
      <c r="D53" s="52" t="str">
        <f>IF('LDPE-A2'!D17=0,"    -",ROUND('LDPE-A2'!D46/'LDPE-A2'!D17*100,1))</f>
        <v xml:space="preserve">    -</v>
      </c>
      <c r="E53" s="53" t="str">
        <f>IF('LDPE-A2'!E17=0,"    -",ROUND('LDPE-A2'!E46/'LDPE-A2'!E17*100,1))</f>
        <v xml:space="preserve">    -</v>
      </c>
      <c r="F53" s="53" t="str">
        <f>IF('LDPE-A2'!F17=0,"    -",ROUND('LDPE-A2'!F46/'LDPE-A2'!F17*100,1))</f>
        <v xml:space="preserve">    -</v>
      </c>
      <c r="G53" s="53" t="str">
        <f>IF('LDPE-A2'!G17=0,"    -",ROUND('LDPE-A2'!G46/'LDPE-A2'!G17*100,1))</f>
        <v xml:space="preserve">    -</v>
      </c>
      <c r="H53" s="53" t="str">
        <f>IF('LDPE-A2'!H17=0,"    -",ROUND('LDPE-A2'!H46/'LDPE-A2'!H17*100,1))</f>
        <v xml:space="preserve">    -</v>
      </c>
      <c r="I53" s="53" t="str">
        <f>IF('LDPE-A2'!I17=0,"    -",ROUND('LDPE-A2'!I46/'LDPE-A2'!I17*100,1))</f>
        <v xml:space="preserve">    -</v>
      </c>
      <c r="J53" s="53" t="str">
        <f>IF('LDPE-A2'!J17=0,"    -",ROUND('LDPE-A2'!J46/'LDPE-A2'!J17*100,1))</f>
        <v xml:space="preserve">    -</v>
      </c>
      <c r="K53" s="54" t="str">
        <f>IF('LDPE-A2'!K17=0,"    -",ROUND('LDPE-A2'!K46/'LDPE-A2'!K17*100,1))</f>
        <v xml:space="preserve">    -</v>
      </c>
      <c r="L53" s="55" t="str">
        <f>IF('LDPE-A2'!L17=0,"    -",ROUND('LDPE-A2'!L46/'LDPE-A2'!L17*100,1))</f>
        <v xml:space="preserve">    -</v>
      </c>
      <c r="M53" s="53" t="str">
        <f>IF('LDPE-A2'!M17=0,"    -",ROUND('LDPE-A2'!M46/'LDPE-A2'!M17*100,1))</f>
        <v xml:space="preserve">    -</v>
      </c>
      <c r="N53" s="53" t="str">
        <f>IF('LDPE-A2'!N17=0,"    -",ROUND('LDPE-A2'!N46/'LDPE-A2'!N17*100,1))</f>
        <v xml:space="preserve">    -</v>
      </c>
      <c r="O53" s="53" t="str">
        <f>IF('LDPE-A2'!O17=0,"    -",ROUND('LDPE-A2'!O46/'LDPE-A2'!O17*100,1))</f>
        <v xml:space="preserve">    -</v>
      </c>
      <c r="P53" s="53" t="str">
        <f>IF('LDPE-A2'!P17=0,"    -",ROUND('LDPE-A2'!P46/'LDPE-A2'!P17*100,1))</f>
        <v xml:space="preserve">    -</v>
      </c>
      <c r="Q53" s="56">
        <f>IF('LDPE-A2'!Q17=0,"    -",ROUND('LDPE-A2'!Q46/'LDPE-A2'!Q17*100,1))</f>
        <v>100</v>
      </c>
    </row>
    <row r="54" spans="2:17" ht="16.5" customHeight="1">
      <c r="B54" s="607" t="s">
        <v>443</v>
      </c>
      <c r="C54" s="608"/>
      <c r="D54" s="52">
        <f>IF('LDPE-A2'!D18=0,"    -",ROUND('LDPE-A2'!D47/'LDPE-A2'!D18*100,1))</f>
        <v>81.599999999999994</v>
      </c>
      <c r="E54" s="53">
        <f>IF('LDPE-A2'!E18=0,"    -",ROUND('LDPE-A2'!E47/'LDPE-A2'!E18*100,1))</f>
        <v>79.2</v>
      </c>
      <c r="F54" s="53">
        <f>IF('LDPE-A2'!F18=0,"    -",ROUND('LDPE-A2'!F47/'LDPE-A2'!F18*100,1))</f>
        <v>71.3</v>
      </c>
      <c r="G54" s="53">
        <f>IF('LDPE-A2'!G18=0,"    -",ROUND('LDPE-A2'!G47/'LDPE-A2'!G18*100,1))</f>
        <v>71.2</v>
      </c>
      <c r="H54" s="53">
        <f>IF('LDPE-A2'!H18=0,"    -",ROUND('LDPE-A2'!H47/'LDPE-A2'!H18*100,1))</f>
        <v>77.599999999999994</v>
      </c>
      <c r="I54" s="53">
        <f>IF('LDPE-A2'!I18=0,"    -",ROUND('LDPE-A2'!I47/'LDPE-A2'!I18*100,1))</f>
        <v>75.5</v>
      </c>
      <c r="J54" s="53">
        <f>IF('LDPE-A2'!J18=0,"    -",ROUND('LDPE-A2'!J47/'LDPE-A2'!J18*100,1))</f>
        <v>77</v>
      </c>
      <c r="K54" s="54">
        <f>IF('LDPE-A2'!K18=0,"    -",ROUND('LDPE-A2'!K47/'LDPE-A2'!K18*100,1))</f>
        <v>78.3</v>
      </c>
      <c r="L54" s="55">
        <f>IF('LDPE-A2'!L18=0,"    -",ROUND('LDPE-A2'!L47/'LDPE-A2'!L18*100,1))</f>
        <v>71.099999999999994</v>
      </c>
      <c r="M54" s="53">
        <f>IF('LDPE-A2'!M18=0,"    -",ROUND('LDPE-A2'!M47/'LDPE-A2'!M18*100,1))</f>
        <v>69</v>
      </c>
      <c r="N54" s="53">
        <f>IF('LDPE-A2'!N18=0,"    -",ROUND('LDPE-A2'!N47/'LDPE-A2'!N18*100,1))</f>
        <v>68.400000000000006</v>
      </c>
      <c r="O54" s="53">
        <f>IF('LDPE-A2'!O18=0,"    -",ROUND('LDPE-A2'!O47/'LDPE-A2'!O18*100,1))</f>
        <v>68.099999999999994</v>
      </c>
      <c r="P54" s="53">
        <f>IF('LDPE-A2'!P18=0,"    -",ROUND('LDPE-A2'!P47/'LDPE-A2'!P18*100,1))</f>
        <v>67.900000000000006</v>
      </c>
      <c r="Q54" s="56">
        <f>IF('LDPE-A2'!Q18=0,"    -",ROUND('LDPE-A2'!Q47/'LDPE-A2'!Q18*100,1))</f>
        <v>67.599999999999994</v>
      </c>
    </row>
    <row r="55" spans="2:17" ht="17.25" customHeight="1">
      <c r="B55" s="674" t="s">
        <v>307</v>
      </c>
      <c r="C55" s="675"/>
      <c r="D55" s="69">
        <f>IF('LDPE-A2'!D19=0,"    -",ROUND('LDPE-A2'!D48/'LDPE-A2'!D19*100,1))</f>
        <v>91.7</v>
      </c>
      <c r="E55" s="70">
        <f>IF('LDPE-A2'!E19=0,"    -",ROUND('LDPE-A2'!E48/'LDPE-A2'!E19*100,1))</f>
        <v>90.9</v>
      </c>
      <c r="F55" s="70">
        <f>IF('LDPE-A2'!F19=0,"    -",ROUND('LDPE-A2'!F48/'LDPE-A2'!F19*100,1))</f>
        <v>75.900000000000006</v>
      </c>
      <c r="G55" s="70">
        <f>IF('LDPE-A2'!G19=0,"    -",ROUND('LDPE-A2'!G48/'LDPE-A2'!G19*100,1))</f>
        <v>82.2</v>
      </c>
      <c r="H55" s="70">
        <f>IF('LDPE-A2'!H19=0,"    -",ROUND('LDPE-A2'!H48/'LDPE-A2'!H19*100,1))</f>
        <v>85.2</v>
      </c>
      <c r="I55" s="70">
        <f>IF('LDPE-A2'!I19=0,"    -",ROUND('LDPE-A2'!I48/'LDPE-A2'!I19*100,1))</f>
        <v>84.1</v>
      </c>
      <c r="J55" s="70">
        <f>IF('LDPE-A2'!J19=0,"    -",ROUND('LDPE-A2'!J48/'LDPE-A2'!J19*100,1))</f>
        <v>85.7</v>
      </c>
      <c r="K55" s="71">
        <f>IF('LDPE-A2'!K19=0,"    -",ROUND('LDPE-A2'!K48/'LDPE-A2'!K19*100,1))</f>
        <v>86</v>
      </c>
      <c r="L55" s="72">
        <f>IF('LDPE-A2'!L19=0,"    -",ROUND('LDPE-A2'!L48/'LDPE-A2'!L19*100,1))</f>
        <v>84.8</v>
      </c>
      <c r="M55" s="70">
        <f>IF('LDPE-A2'!M19=0,"    -",ROUND('LDPE-A2'!M48/'LDPE-A2'!M19*100,1))</f>
        <v>85.3</v>
      </c>
      <c r="N55" s="70">
        <f>IF('LDPE-A2'!N19=0,"    -",ROUND('LDPE-A2'!N48/'LDPE-A2'!N19*100,1))</f>
        <v>84.3</v>
      </c>
      <c r="O55" s="70">
        <f>IF('LDPE-A2'!O19=0,"    -",ROUND('LDPE-A2'!O48/'LDPE-A2'!O19*100,1))</f>
        <v>86.2</v>
      </c>
      <c r="P55" s="70">
        <f>IF('LDPE-A2'!P19=0,"    -",ROUND('LDPE-A2'!P48/'LDPE-A2'!P19*100,1))</f>
        <v>87.3</v>
      </c>
      <c r="Q55" s="73">
        <f>IF('LDPE-A2'!Q19=0,"    -",ROUND('LDPE-A2'!Q48/'LDPE-A2'!Q19*100,1))</f>
        <v>86.5</v>
      </c>
    </row>
    <row r="56" spans="2:17" ht="17.25" customHeight="1">
      <c r="B56" s="672" t="s">
        <v>308</v>
      </c>
      <c r="C56" s="673"/>
      <c r="D56" s="132">
        <f>IF('LDPE-A2'!D20=0,"    -",ROUND('LDPE-A2'!D49/'LDPE-A2'!D20*100,1))</f>
        <v>79.5</v>
      </c>
      <c r="E56" s="133">
        <f>IF('LDPE-A2'!E20=0,"    -",ROUND('LDPE-A2'!E49/'LDPE-A2'!E20*100,1))</f>
        <v>81.400000000000006</v>
      </c>
      <c r="F56" s="133">
        <f>IF('LDPE-A2'!F20=0,"    -",ROUND('LDPE-A2'!F49/'LDPE-A2'!F20*100,1))</f>
        <v>81</v>
      </c>
      <c r="G56" s="133">
        <f>IF('LDPE-A2'!G20=0,"    -",ROUND('LDPE-A2'!G49/'LDPE-A2'!G20*100,1))</f>
        <v>85</v>
      </c>
      <c r="H56" s="133">
        <f>IF('LDPE-A2'!H20=0,"    -",ROUND('LDPE-A2'!H49/'LDPE-A2'!H20*100,1))</f>
        <v>85</v>
      </c>
      <c r="I56" s="133">
        <f>IF('LDPE-A2'!I20=0,"    -",ROUND('LDPE-A2'!I49/'LDPE-A2'!I20*100,1))</f>
        <v>85</v>
      </c>
      <c r="J56" s="133">
        <f>IF('LDPE-A2'!J20=0,"    -",ROUND('LDPE-A2'!J49/'LDPE-A2'!J20*100,1))</f>
        <v>85</v>
      </c>
      <c r="K56" s="134">
        <f>IF('LDPE-A2'!K20=0,"    -",ROUND('LDPE-A2'!K49/'LDPE-A2'!K20*100,1))</f>
        <v>85</v>
      </c>
      <c r="L56" s="132">
        <f>IF('LDPE-A2'!L20=0,"    -",ROUND('LDPE-A2'!L49/'LDPE-A2'!L20*100,1))</f>
        <v>85</v>
      </c>
      <c r="M56" s="133">
        <f>IF('LDPE-A2'!M20=0,"    -",ROUND('LDPE-A2'!M49/'LDPE-A2'!M20*100,1))</f>
        <v>85</v>
      </c>
      <c r="N56" s="133">
        <f>IF('LDPE-A2'!N20=0,"    -",ROUND('LDPE-A2'!N49/'LDPE-A2'!N20*100,1))</f>
        <v>85</v>
      </c>
      <c r="O56" s="133">
        <f>IF('LDPE-A2'!O20=0,"    -",ROUND('LDPE-A2'!O49/'LDPE-A2'!O20*100,1))</f>
        <v>85</v>
      </c>
      <c r="P56" s="133">
        <f>IF('LDPE-A2'!P20=0,"    -",ROUND('LDPE-A2'!P49/'LDPE-A2'!P20*100,1))</f>
        <v>85</v>
      </c>
      <c r="Q56" s="134">
        <f>IF('LDPE-A2'!Q20=0,"    -",ROUND('LDPE-A2'!Q49/'LDPE-A2'!Q20*100,1))</f>
        <v>85</v>
      </c>
    </row>
    <row r="57" spans="2:17" ht="16.5" customHeight="1">
      <c r="B57" s="105"/>
      <c r="C57" s="97" t="s">
        <v>309</v>
      </c>
      <c r="D57" s="132">
        <f>IF('LDPE-A2'!D21=0,"    -",ROUND('LDPE-A2'!D50/'LDPE-A2'!D21*100,1))</f>
        <v>79.5</v>
      </c>
      <c r="E57" s="133">
        <f>IF('LDPE-A2'!E21=0,"    -",ROUND('LDPE-A2'!E50/'LDPE-A2'!E21*100,1))</f>
        <v>81.400000000000006</v>
      </c>
      <c r="F57" s="133">
        <f>IF('LDPE-A2'!F21=0,"    -",ROUND('LDPE-A2'!F50/'LDPE-A2'!F21*100,1))</f>
        <v>81</v>
      </c>
      <c r="G57" s="133">
        <f>IF('LDPE-A2'!G21=0,"    -",ROUND('LDPE-A2'!G50/'LDPE-A2'!G21*100,1))</f>
        <v>85</v>
      </c>
      <c r="H57" s="133">
        <f>IF('LDPE-A2'!H21=0,"    -",ROUND('LDPE-A2'!H50/'LDPE-A2'!H21*100,1))</f>
        <v>85</v>
      </c>
      <c r="I57" s="133">
        <f>IF('LDPE-A2'!I21=0,"    -",ROUND('LDPE-A2'!I50/'LDPE-A2'!I21*100,1))</f>
        <v>85</v>
      </c>
      <c r="J57" s="133">
        <f>IF('LDPE-A2'!J21=0,"    -",ROUND('LDPE-A2'!J50/'LDPE-A2'!J21*100,1))</f>
        <v>85</v>
      </c>
      <c r="K57" s="134">
        <f>IF('LDPE-A2'!K21=0,"    -",ROUND('LDPE-A2'!K50/'LDPE-A2'!K21*100,1))</f>
        <v>85</v>
      </c>
      <c r="L57" s="132">
        <f>IF('LDPE-A2'!L21=0,"    -",ROUND('LDPE-A2'!L50/'LDPE-A2'!L21*100,1))</f>
        <v>85</v>
      </c>
      <c r="M57" s="133">
        <f>IF('LDPE-A2'!M21=0,"    -",ROUND('LDPE-A2'!M50/'LDPE-A2'!M21*100,1))</f>
        <v>85</v>
      </c>
      <c r="N57" s="133">
        <f>IF('LDPE-A2'!N21=0,"    -",ROUND('LDPE-A2'!N50/'LDPE-A2'!N21*100,1))</f>
        <v>85</v>
      </c>
      <c r="O57" s="133">
        <f>IF('LDPE-A2'!O21=0,"    -",ROUND('LDPE-A2'!O50/'LDPE-A2'!O21*100,1))</f>
        <v>85</v>
      </c>
      <c r="P57" s="133">
        <f>IF('LDPE-A2'!P21=0,"    -",ROUND('LDPE-A2'!P50/'LDPE-A2'!P21*100,1))</f>
        <v>85</v>
      </c>
      <c r="Q57" s="134">
        <f>IF('LDPE-A2'!Q21=0,"    -",ROUND('LDPE-A2'!Q50/'LDPE-A2'!Q21*100,1))</f>
        <v>85</v>
      </c>
    </row>
    <row r="58" spans="2:17" ht="17.25" customHeight="1">
      <c r="B58" s="672" t="s">
        <v>310</v>
      </c>
      <c r="C58" s="673"/>
      <c r="D58" s="52">
        <f>IF('LDPE-A2'!D22=0,"    -",ROUND('LDPE-A2'!D51/'LDPE-A2'!D22*100,1))</f>
        <v>73.5</v>
      </c>
      <c r="E58" s="53">
        <f>IF('LDPE-A2'!E22=0,"    -",ROUND('LDPE-A2'!E51/'LDPE-A2'!E22*100,1))</f>
        <v>69.7</v>
      </c>
      <c r="F58" s="53">
        <f>IF('LDPE-A2'!F22=0,"    -",ROUND('LDPE-A2'!F51/'LDPE-A2'!F22*100,1))</f>
        <v>69.599999999999994</v>
      </c>
      <c r="G58" s="53">
        <f>IF('LDPE-A2'!G22=0,"    -",ROUND('LDPE-A2'!G51/'LDPE-A2'!G22*100,1))</f>
        <v>74.7</v>
      </c>
      <c r="H58" s="53">
        <f>IF('LDPE-A2'!H22=0,"    -",ROUND('LDPE-A2'!H51/'LDPE-A2'!H22*100,1))</f>
        <v>78.400000000000006</v>
      </c>
      <c r="I58" s="53">
        <f>IF('LDPE-A2'!I22=0,"    -",ROUND('LDPE-A2'!I51/'LDPE-A2'!I22*100,1))</f>
        <v>80.099999999999994</v>
      </c>
      <c r="J58" s="53">
        <f>IF('LDPE-A2'!J22=0,"    -",ROUND('LDPE-A2'!J51/'LDPE-A2'!J22*100,1))</f>
        <v>80.900000000000006</v>
      </c>
      <c r="K58" s="54">
        <f>IF('LDPE-A2'!K22=0,"    -",ROUND('LDPE-A2'!K51/'LDPE-A2'!K22*100,1))</f>
        <v>78.099999999999994</v>
      </c>
      <c r="L58" s="52">
        <f>IF('LDPE-A2'!L22=0,"    -",ROUND('LDPE-A2'!L51/'LDPE-A2'!L22*100,1))</f>
        <v>77.099999999999994</v>
      </c>
      <c r="M58" s="53">
        <f>IF('LDPE-A2'!M22=0,"    -",ROUND('LDPE-A2'!M51/'LDPE-A2'!M22*100,1))</f>
        <v>78.599999999999994</v>
      </c>
      <c r="N58" s="53">
        <f>IF('LDPE-A2'!N22=0,"    -",ROUND('LDPE-A2'!N51/'LDPE-A2'!N22*100,1))</f>
        <v>78.8</v>
      </c>
      <c r="O58" s="53">
        <f>IF('LDPE-A2'!O22=0,"    -",ROUND('LDPE-A2'!O51/'LDPE-A2'!O22*100,1))</f>
        <v>79.5</v>
      </c>
      <c r="P58" s="53">
        <f>IF('LDPE-A2'!P22=0,"    -",ROUND('LDPE-A2'!P51/'LDPE-A2'!P22*100,1))</f>
        <v>81.5</v>
      </c>
      <c r="Q58" s="54">
        <f>IF('LDPE-A2'!Q22=0,"    -",ROUND('LDPE-A2'!Q51/'LDPE-A2'!Q22*100,1))</f>
        <v>83.7</v>
      </c>
    </row>
    <row r="59" spans="2:17" ht="16.5" customHeight="1">
      <c r="B59" s="105"/>
      <c r="C59" s="615" t="s">
        <v>311</v>
      </c>
      <c r="D59" s="69">
        <f>IF('LDPE-A2'!D23=0,"    -",ROUND('LDPE-A2'!D52/'LDPE-A2'!D23*100,1))</f>
        <v>73.900000000000006</v>
      </c>
      <c r="E59" s="70">
        <f>IF('LDPE-A2'!E23=0,"    -",ROUND('LDPE-A2'!E52/'LDPE-A2'!E23*100,1))</f>
        <v>69.599999999999994</v>
      </c>
      <c r="F59" s="70">
        <f>IF('LDPE-A2'!F23=0,"    -",ROUND('LDPE-A2'!F52/'LDPE-A2'!F23*100,1))</f>
        <v>69.3</v>
      </c>
      <c r="G59" s="70">
        <f>IF('LDPE-A2'!G23=0,"    -",ROUND('LDPE-A2'!G52/'LDPE-A2'!G23*100,1))</f>
        <v>74.400000000000006</v>
      </c>
      <c r="H59" s="70">
        <f>IF('LDPE-A2'!H23=0,"    -",ROUND('LDPE-A2'!H52/'LDPE-A2'!H23*100,1))</f>
        <v>78.3</v>
      </c>
      <c r="I59" s="70">
        <f>IF('LDPE-A2'!I23=0,"    -",ROUND('LDPE-A2'!I52/'LDPE-A2'!I23*100,1))</f>
        <v>79.8</v>
      </c>
      <c r="J59" s="70">
        <f>IF('LDPE-A2'!J23=0,"    -",ROUND('LDPE-A2'!J52/'LDPE-A2'!J23*100,1))</f>
        <v>81.2</v>
      </c>
      <c r="K59" s="71">
        <f>IF('LDPE-A2'!K23=0,"    -",ROUND('LDPE-A2'!K52/'LDPE-A2'!K23*100,1))</f>
        <v>78</v>
      </c>
      <c r="L59" s="69">
        <f>IF('LDPE-A2'!L23=0,"    -",ROUND('LDPE-A2'!L52/'LDPE-A2'!L23*100,1))</f>
        <v>77</v>
      </c>
      <c r="M59" s="70">
        <f>IF('LDPE-A2'!M23=0,"    -",ROUND('LDPE-A2'!M52/'LDPE-A2'!M23*100,1))</f>
        <v>78.5</v>
      </c>
      <c r="N59" s="70">
        <f>IF('LDPE-A2'!N23=0,"    -",ROUND('LDPE-A2'!N52/'LDPE-A2'!N23*100,1))</f>
        <v>78.7</v>
      </c>
      <c r="O59" s="70">
        <f>IF('LDPE-A2'!O23=0,"    -",ROUND('LDPE-A2'!O52/'LDPE-A2'!O23*100,1))</f>
        <v>79.5</v>
      </c>
      <c r="P59" s="70">
        <f>IF('LDPE-A2'!P23=0,"    -",ROUND('LDPE-A2'!P52/'LDPE-A2'!P23*100,1))</f>
        <v>81.5</v>
      </c>
      <c r="Q59" s="71">
        <f>IF('LDPE-A2'!Q23=0,"    -",ROUND('LDPE-A2'!Q52/'LDPE-A2'!Q23*100,1))</f>
        <v>83.8</v>
      </c>
    </row>
    <row r="60" spans="2:17" ht="17.25" customHeight="1">
      <c r="B60" s="672" t="s">
        <v>312</v>
      </c>
      <c r="C60" s="673"/>
      <c r="D60" s="52">
        <f>IF('LDPE-A2'!D24=0,"    -",ROUND('LDPE-A2'!D53/'LDPE-A2'!D24*100,1))</f>
        <v>67.099999999999994</v>
      </c>
      <c r="E60" s="53">
        <f>IF('LDPE-A2'!E24=0,"    -",ROUND('LDPE-A2'!E53/'LDPE-A2'!E24*100,1))</f>
        <v>82.1</v>
      </c>
      <c r="F60" s="53">
        <f>IF('LDPE-A2'!F24=0,"    -",ROUND('LDPE-A2'!F53/'LDPE-A2'!F24*100,1))</f>
        <v>82</v>
      </c>
      <c r="G60" s="53">
        <f>IF('LDPE-A2'!G24=0,"    -",ROUND('LDPE-A2'!G53/'LDPE-A2'!G24*100,1))</f>
        <v>84.8</v>
      </c>
      <c r="H60" s="53">
        <f>IF('LDPE-A2'!H24=0,"    -",ROUND('LDPE-A2'!H53/'LDPE-A2'!H24*100,1))</f>
        <v>81.3</v>
      </c>
      <c r="I60" s="53">
        <f>IF('LDPE-A2'!I24=0,"    -",ROUND('LDPE-A2'!I53/'LDPE-A2'!I24*100,1))</f>
        <v>80.2</v>
      </c>
      <c r="J60" s="53">
        <f>IF('LDPE-A2'!J24=0,"    -",ROUND('LDPE-A2'!J53/'LDPE-A2'!J24*100,1))</f>
        <v>78.599999999999994</v>
      </c>
      <c r="K60" s="54">
        <f>IF('LDPE-A2'!K24=0,"    -",ROUND('LDPE-A2'!K53/'LDPE-A2'!K24*100,1))</f>
        <v>83.2</v>
      </c>
      <c r="L60" s="52">
        <f>IF('LDPE-A2'!L24=0,"    -",ROUND('LDPE-A2'!L53/'LDPE-A2'!L24*100,1))</f>
        <v>88.2</v>
      </c>
      <c r="M60" s="53">
        <f>IF('LDPE-A2'!M24=0,"    -",ROUND('LDPE-A2'!M53/'LDPE-A2'!M24*100,1))</f>
        <v>90.6</v>
      </c>
      <c r="N60" s="53">
        <f>IF('LDPE-A2'!N24=0,"    -",ROUND('LDPE-A2'!N53/'LDPE-A2'!N24*100,1))</f>
        <v>89.1</v>
      </c>
      <c r="O60" s="53">
        <f>IF('LDPE-A2'!O24=0,"    -",ROUND('LDPE-A2'!O53/'LDPE-A2'!O24*100,1))</f>
        <v>90.4</v>
      </c>
      <c r="P60" s="53">
        <f>IF('LDPE-A2'!P24=0,"    -",ROUND('LDPE-A2'!P53/'LDPE-A2'!P24*100,1))</f>
        <v>93.3</v>
      </c>
      <c r="Q60" s="54">
        <f>IF('LDPE-A2'!Q24=0,"    -",ROUND('LDPE-A2'!Q53/'LDPE-A2'!Q24*100,1))</f>
        <v>93.8</v>
      </c>
    </row>
    <row r="61" spans="2:17" ht="16.5" customHeight="1">
      <c r="B61" s="16"/>
      <c r="C61" s="615" t="s">
        <v>313</v>
      </c>
      <c r="D61" s="69">
        <f>IF('LDPE-A2'!D25=0,"    -",ROUND('LDPE-A2'!D54/'LDPE-A2'!D25*100,1))</f>
        <v>75.3</v>
      </c>
      <c r="E61" s="70">
        <f>IF('LDPE-A2'!E25=0,"    -",ROUND('LDPE-A2'!E54/'LDPE-A2'!E25*100,1))</f>
        <v>75.3</v>
      </c>
      <c r="F61" s="70">
        <f>IF('LDPE-A2'!F25=0,"    -",ROUND('LDPE-A2'!F54/'LDPE-A2'!F25*100,1))</f>
        <v>78.7</v>
      </c>
      <c r="G61" s="70">
        <f>IF('LDPE-A2'!G25=0,"    -",ROUND('LDPE-A2'!G54/'LDPE-A2'!G25*100,1))</f>
        <v>82.2</v>
      </c>
      <c r="H61" s="70">
        <f>IF('LDPE-A2'!H25=0,"    -",ROUND('LDPE-A2'!H54/'LDPE-A2'!H25*100,1))</f>
        <v>86.7</v>
      </c>
      <c r="I61" s="70">
        <f>IF('LDPE-A2'!I25=0,"    -",ROUND('LDPE-A2'!I54/'LDPE-A2'!I25*100,1))</f>
        <v>76.900000000000006</v>
      </c>
      <c r="J61" s="70">
        <f>IF('LDPE-A2'!J25=0,"    -",ROUND('LDPE-A2'!J54/'LDPE-A2'!J25*100,1))</f>
        <v>68.3</v>
      </c>
      <c r="K61" s="71">
        <f>IF('LDPE-A2'!K25=0,"    -",ROUND('LDPE-A2'!K54/'LDPE-A2'!K25*100,1))</f>
        <v>72.7</v>
      </c>
      <c r="L61" s="69">
        <f>IF('LDPE-A2'!L25=0,"    -",ROUND('LDPE-A2'!L54/'LDPE-A2'!L25*100,1))</f>
        <v>79.2</v>
      </c>
      <c r="M61" s="70">
        <f>IF('LDPE-A2'!M25=0,"    -",ROUND('LDPE-A2'!M54/'LDPE-A2'!M25*100,1))</f>
        <v>82.7</v>
      </c>
      <c r="N61" s="70">
        <f>IF('LDPE-A2'!N25=0,"    -",ROUND('LDPE-A2'!N54/'LDPE-A2'!N25*100,1))</f>
        <v>84.6</v>
      </c>
      <c r="O61" s="70">
        <f>IF('LDPE-A2'!O25=0,"    -",ROUND('LDPE-A2'!O54/'LDPE-A2'!O25*100,1))</f>
        <v>85.7</v>
      </c>
      <c r="P61" s="70">
        <f>IF('LDPE-A2'!P25=0,"    -",ROUND('LDPE-A2'!P54/'LDPE-A2'!P25*100,1))</f>
        <v>86.4</v>
      </c>
      <c r="Q61" s="71">
        <f>IF('LDPE-A2'!Q25=0,"    -",ROUND('LDPE-A2'!Q54/'LDPE-A2'!Q25*100,1))</f>
        <v>86.9</v>
      </c>
    </row>
    <row r="62" spans="2:17" ht="17.25" customHeight="1">
      <c r="B62" s="674" t="s">
        <v>314</v>
      </c>
      <c r="C62" s="675"/>
      <c r="D62" s="52">
        <f>IF('LDPE-A2'!D26=0,"    -",ROUND('LDPE-A2'!D55/'LDPE-A2'!D26*100,1))</f>
        <v>92</v>
      </c>
      <c r="E62" s="53">
        <f>IF('LDPE-A2'!E26=0,"    -",ROUND('LDPE-A2'!E55/'LDPE-A2'!E26*100,1))</f>
        <v>66.7</v>
      </c>
      <c r="F62" s="53">
        <f>IF('LDPE-A2'!F26=0,"    -",ROUND('LDPE-A2'!F55/'LDPE-A2'!F26*100,1))</f>
        <v>73.2</v>
      </c>
      <c r="G62" s="53">
        <f>IF('LDPE-A2'!G26=0,"    -",ROUND('LDPE-A2'!G55/'LDPE-A2'!G26*100,1))</f>
        <v>64.8</v>
      </c>
      <c r="H62" s="53">
        <f>IF('LDPE-A2'!H26=0,"    -",ROUND('LDPE-A2'!H55/'LDPE-A2'!H26*100,1))</f>
        <v>66.599999999999994</v>
      </c>
      <c r="I62" s="53">
        <f>IF('LDPE-A2'!I26=0,"    -",ROUND('LDPE-A2'!I55/'LDPE-A2'!I26*100,1))</f>
        <v>68</v>
      </c>
      <c r="J62" s="53">
        <f>IF('LDPE-A2'!J26=0,"    -",ROUND('LDPE-A2'!J55/'LDPE-A2'!J26*100,1))</f>
        <v>55.5</v>
      </c>
      <c r="K62" s="54">
        <f>IF('LDPE-A2'!K26=0,"    -",ROUND('LDPE-A2'!K55/'LDPE-A2'!K26*100,1))</f>
        <v>73.7</v>
      </c>
      <c r="L62" s="52">
        <f>IF('LDPE-A2'!L26=0,"    -",ROUND('LDPE-A2'!L55/'LDPE-A2'!L26*100,1))</f>
        <v>76.8</v>
      </c>
      <c r="M62" s="53">
        <f>IF('LDPE-A2'!M26=0,"    -",ROUND('LDPE-A2'!M55/'LDPE-A2'!M26*100,1))</f>
        <v>77.900000000000006</v>
      </c>
      <c r="N62" s="53">
        <f>IF('LDPE-A2'!N26=0,"    -",ROUND('LDPE-A2'!N55/'LDPE-A2'!N26*100,1))</f>
        <v>78.900000000000006</v>
      </c>
      <c r="O62" s="53">
        <f>IF('LDPE-A2'!O26=0,"    -",ROUND('LDPE-A2'!O55/'LDPE-A2'!O26*100,1))</f>
        <v>80</v>
      </c>
      <c r="P62" s="53">
        <f>IF('LDPE-A2'!P26=0,"    -",ROUND('LDPE-A2'!P55/'LDPE-A2'!P26*100,1))</f>
        <v>84.2</v>
      </c>
      <c r="Q62" s="54">
        <f>IF('LDPE-A2'!Q26=0,"    -",ROUND('LDPE-A2'!Q55/'LDPE-A2'!Q26*100,1))</f>
        <v>88.4</v>
      </c>
    </row>
    <row r="63" spans="2:17" ht="17.25" customHeight="1">
      <c r="B63" s="674" t="s">
        <v>315</v>
      </c>
      <c r="C63" s="675"/>
      <c r="D63" s="69">
        <f>IF('LDPE-A2'!D27=0,"    -",ROUND('LDPE-A2'!D56/'LDPE-A2'!D27*100,1))</f>
        <v>85.4</v>
      </c>
      <c r="E63" s="70">
        <f>IF('LDPE-A2'!E27=0,"    -",ROUND('LDPE-A2'!E56/'LDPE-A2'!E27*100,1))</f>
        <v>84.6</v>
      </c>
      <c r="F63" s="70">
        <f>IF('LDPE-A2'!F27=0,"    -",ROUND('LDPE-A2'!F56/'LDPE-A2'!F27*100,1))</f>
        <v>88.1</v>
      </c>
      <c r="G63" s="70">
        <f>IF('LDPE-A2'!G27=0,"    -",ROUND('LDPE-A2'!G56/'LDPE-A2'!G27*100,1))</f>
        <v>100.4</v>
      </c>
      <c r="H63" s="70">
        <f>IF('LDPE-A2'!H27=0,"    -",ROUND('LDPE-A2'!H56/'LDPE-A2'!H27*100,1))</f>
        <v>96.5</v>
      </c>
      <c r="I63" s="70">
        <f>IF('LDPE-A2'!I27=0,"    -",ROUND('LDPE-A2'!I56/'LDPE-A2'!I27*100,1))</f>
        <v>94.3</v>
      </c>
      <c r="J63" s="70">
        <f>IF('LDPE-A2'!J27=0,"    -",ROUND('LDPE-A2'!J56/'LDPE-A2'!J27*100,1))</f>
        <v>82.6</v>
      </c>
      <c r="K63" s="71">
        <f>IF('LDPE-A2'!K27=0,"    -",ROUND('LDPE-A2'!K56/'LDPE-A2'!K27*100,1))</f>
        <v>83.2</v>
      </c>
      <c r="L63" s="72">
        <f>IF('LDPE-A2'!L27=0,"    -",ROUND('LDPE-A2'!L56/'LDPE-A2'!L27*100,1))</f>
        <v>84.5</v>
      </c>
      <c r="M63" s="70">
        <f>IF('LDPE-A2'!M27=0,"    -",ROUND('LDPE-A2'!M56/'LDPE-A2'!M27*100,1))</f>
        <v>81</v>
      </c>
      <c r="N63" s="70">
        <f>IF('LDPE-A2'!N27=0,"    -",ROUND('LDPE-A2'!N56/'LDPE-A2'!N27*100,1))</f>
        <v>77</v>
      </c>
      <c r="O63" s="70">
        <f>IF('LDPE-A2'!O27=0,"    -",ROUND('LDPE-A2'!O56/'LDPE-A2'!O27*100,1))</f>
        <v>73.900000000000006</v>
      </c>
      <c r="P63" s="70">
        <f>IF('LDPE-A2'!P27=0,"    -",ROUND('LDPE-A2'!P56/'LDPE-A2'!P27*100,1))</f>
        <v>71.5</v>
      </c>
      <c r="Q63" s="73">
        <f>IF('LDPE-A2'!Q27=0,"    -",ROUND('LDPE-A2'!Q56/'LDPE-A2'!Q27*100,1))</f>
        <v>82.3</v>
      </c>
    </row>
    <row r="64" spans="2:17" ht="16.5" customHeight="1">
      <c r="B64" s="672" t="s">
        <v>316</v>
      </c>
      <c r="C64" s="673"/>
      <c r="D64" s="52">
        <f>IF('LDPE-A2'!D28=0,"    -",ROUND('LDPE-A2'!D57/'LDPE-A2'!D28*100,1))</f>
        <v>90</v>
      </c>
      <c r="E64" s="53">
        <f>IF('LDPE-A2'!E28=0,"    -",ROUND('LDPE-A2'!E57/'LDPE-A2'!E28*100,1))</f>
        <v>90</v>
      </c>
      <c r="F64" s="53">
        <f>IF('LDPE-A2'!F28=0,"    -",ROUND('LDPE-A2'!F57/'LDPE-A2'!F28*100,1))</f>
        <v>90</v>
      </c>
      <c r="G64" s="53">
        <f>IF('LDPE-A2'!G28=0,"    -",ROUND('LDPE-A2'!G57/'LDPE-A2'!G28*100,1))</f>
        <v>90.7</v>
      </c>
      <c r="H64" s="53">
        <f>IF('LDPE-A2'!H28=0,"    -",ROUND('LDPE-A2'!H57/'LDPE-A2'!H28*100,1))</f>
        <v>90</v>
      </c>
      <c r="I64" s="53">
        <f>IF('LDPE-A2'!I28=0,"    -",ROUND('LDPE-A2'!I57/'LDPE-A2'!I28*100,1))</f>
        <v>95.8</v>
      </c>
      <c r="J64" s="53">
        <f>IF('LDPE-A2'!J28=0,"    -",ROUND('LDPE-A2'!J57/'LDPE-A2'!J28*100,1))</f>
        <v>90</v>
      </c>
      <c r="K64" s="54">
        <f>IF('LDPE-A2'!K28=0,"    -",ROUND('LDPE-A2'!K57/'LDPE-A2'!K28*100,1))</f>
        <v>90</v>
      </c>
      <c r="L64" s="55">
        <f>IF('LDPE-A2'!L28=0,"    -",ROUND('LDPE-A2'!L57/'LDPE-A2'!L28*100,1))</f>
        <v>90</v>
      </c>
      <c r="M64" s="53">
        <f>IF('LDPE-A2'!M28=0,"    -",ROUND('LDPE-A2'!M57/'LDPE-A2'!M28*100,1))</f>
        <v>90</v>
      </c>
      <c r="N64" s="53">
        <f>IF('LDPE-A2'!N28=0,"    -",ROUND('LDPE-A2'!N57/'LDPE-A2'!N28*100,1))</f>
        <v>90</v>
      </c>
      <c r="O64" s="53">
        <f>IF('LDPE-A2'!O28=0,"    -",ROUND('LDPE-A2'!O57/'LDPE-A2'!O28*100,1))</f>
        <v>90</v>
      </c>
      <c r="P64" s="53">
        <f>IF('LDPE-A2'!P28=0,"    -",ROUND('LDPE-A2'!P57/'LDPE-A2'!P28*100,1))</f>
        <v>90</v>
      </c>
      <c r="Q64" s="56">
        <f>IF('LDPE-A2'!Q28=0,"    -",ROUND('LDPE-A2'!Q57/'LDPE-A2'!Q28*100,1))</f>
        <v>90</v>
      </c>
    </row>
    <row r="65" spans="2:17" ht="16.5" customHeight="1">
      <c r="B65" s="670" t="s">
        <v>317</v>
      </c>
      <c r="C65" s="671"/>
      <c r="D65" s="52">
        <f>IF('LDPE-A2'!D29=0,"    -",ROUND('LDPE-A2'!D58/'LDPE-A2'!D29*100,1))</f>
        <v>86.6</v>
      </c>
      <c r="E65" s="53">
        <f>IF('LDPE-A2'!E29=0,"    -",ROUND('LDPE-A2'!E58/'LDPE-A2'!E29*100,1))</f>
        <v>80.5</v>
      </c>
      <c r="F65" s="53">
        <f>IF('LDPE-A2'!F29=0,"    -",ROUND('LDPE-A2'!F58/'LDPE-A2'!F29*100,1))</f>
        <v>90</v>
      </c>
      <c r="G65" s="53">
        <f>IF('LDPE-A2'!G29=0,"    -",ROUND('LDPE-A2'!G58/'LDPE-A2'!G29*100,1))</f>
        <v>91</v>
      </c>
      <c r="H65" s="53">
        <f>IF('LDPE-A2'!H29=0,"    -",ROUND('LDPE-A2'!H58/'LDPE-A2'!H29*100,1))</f>
        <v>90</v>
      </c>
      <c r="I65" s="53">
        <f>IF('LDPE-A2'!I29=0,"    -",ROUND('LDPE-A2'!I58/'LDPE-A2'!I29*100,1))</f>
        <v>96.8</v>
      </c>
      <c r="J65" s="53">
        <f>IF('LDPE-A2'!J29=0,"    -",ROUND('LDPE-A2'!J58/'LDPE-A2'!J29*100,1))</f>
        <v>85</v>
      </c>
      <c r="K65" s="54">
        <f>IF('LDPE-A2'!K29=0,"    -",ROUND('LDPE-A2'!K58/'LDPE-A2'!K29*100,1))</f>
        <v>85</v>
      </c>
      <c r="L65" s="55">
        <f>IF('LDPE-A2'!L29=0,"    -",ROUND('LDPE-A2'!L58/'LDPE-A2'!L29*100,1))</f>
        <v>85</v>
      </c>
      <c r="M65" s="53">
        <f>IF('LDPE-A2'!M29=0,"    -",ROUND('LDPE-A2'!M58/'LDPE-A2'!M29*100,1))</f>
        <v>85</v>
      </c>
      <c r="N65" s="53">
        <f>IF('LDPE-A2'!N29=0,"    -",ROUND('LDPE-A2'!N58/'LDPE-A2'!N29*100,1))</f>
        <v>85</v>
      </c>
      <c r="O65" s="53">
        <f>IF('LDPE-A2'!O29=0,"    -",ROUND('LDPE-A2'!O58/'LDPE-A2'!O29*100,1))</f>
        <v>85</v>
      </c>
      <c r="P65" s="53">
        <f>IF('LDPE-A2'!P29=0,"    -",ROUND('LDPE-A2'!P58/'LDPE-A2'!P29*100,1))</f>
        <v>85</v>
      </c>
      <c r="Q65" s="56">
        <f>IF('LDPE-A2'!Q29=0,"    -",ROUND('LDPE-A2'!Q58/'LDPE-A2'!Q29*100,1))</f>
        <v>85</v>
      </c>
    </row>
    <row r="66" spans="2:17" ht="17.25" customHeight="1">
      <c r="B66" s="674" t="s">
        <v>318</v>
      </c>
      <c r="C66" s="675"/>
      <c r="D66" s="69">
        <f>IF('LDPE-A2'!D30=0,"    -",ROUND('LDPE-A2'!D59/'LDPE-A2'!D30*100,1))</f>
        <v>89.2</v>
      </c>
      <c r="E66" s="70">
        <f>IF('LDPE-A2'!E30=0,"    -",ROUND('LDPE-A2'!E59/'LDPE-A2'!E30*100,1))</f>
        <v>87.8</v>
      </c>
      <c r="F66" s="70">
        <f>IF('LDPE-A2'!F30=0,"    -",ROUND('LDPE-A2'!F59/'LDPE-A2'!F30*100,1))</f>
        <v>90</v>
      </c>
      <c r="G66" s="70">
        <f>IF('LDPE-A2'!G30=0,"    -",ROUND('LDPE-A2'!G59/'LDPE-A2'!G30*100,1))</f>
        <v>90.8</v>
      </c>
      <c r="H66" s="70">
        <f>IF('LDPE-A2'!H30=0,"    -",ROUND('LDPE-A2'!H59/'LDPE-A2'!H30*100,1))</f>
        <v>90</v>
      </c>
      <c r="I66" s="70">
        <f>IF('LDPE-A2'!I30=0,"    -",ROUND('LDPE-A2'!I59/'LDPE-A2'!I30*100,1))</f>
        <v>96.1</v>
      </c>
      <c r="J66" s="70">
        <f>IF('LDPE-A2'!J30=0,"    -",ROUND('LDPE-A2'!J59/'LDPE-A2'!J30*100,1))</f>
        <v>88.7</v>
      </c>
      <c r="K66" s="71">
        <f>IF('LDPE-A2'!K30=0,"    -",ROUND('LDPE-A2'!K59/'LDPE-A2'!K30*100,1))</f>
        <v>88.8</v>
      </c>
      <c r="L66" s="72">
        <f>IF('LDPE-A2'!L30=0,"    -",ROUND('LDPE-A2'!L59/'LDPE-A2'!L30*100,1))</f>
        <v>89</v>
      </c>
      <c r="M66" s="70">
        <f>IF('LDPE-A2'!M30=0,"    -",ROUND('LDPE-A2'!M59/'LDPE-A2'!M30*100,1))</f>
        <v>89.1</v>
      </c>
      <c r="N66" s="70">
        <f>IF('LDPE-A2'!N30=0,"    -",ROUND('LDPE-A2'!N59/'LDPE-A2'!N30*100,1))</f>
        <v>89.1</v>
      </c>
      <c r="O66" s="70">
        <f>IF('LDPE-A2'!O30=0,"    -",ROUND('LDPE-A2'!O59/'LDPE-A2'!O30*100,1))</f>
        <v>89.1</v>
      </c>
      <c r="P66" s="70">
        <f>IF('LDPE-A2'!P30=0,"    -",ROUND('LDPE-A2'!P59/'LDPE-A2'!P30*100,1))</f>
        <v>89</v>
      </c>
      <c r="Q66" s="73">
        <f>IF('LDPE-A2'!Q30=0,"    -",ROUND('LDPE-A2'!Q59/'LDPE-A2'!Q30*100,1))</f>
        <v>89</v>
      </c>
    </row>
    <row r="67" spans="2:17" ht="16.5" customHeight="1">
      <c r="B67" s="672" t="s">
        <v>319</v>
      </c>
      <c r="C67" s="673"/>
      <c r="D67" s="52">
        <f>IF('LDPE-A2'!D31=0,"    -",ROUND('LDPE-A2'!D60/'LDPE-A2'!D31*100,1))</f>
        <v>83.2</v>
      </c>
      <c r="E67" s="53">
        <f>IF('LDPE-A2'!E31=0,"    -",ROUND('LDPE-A2'!E60/'LDPE-A2'!E31*100,1))</f>
        <v>86.2</v>
      </c>
      <c r="F67" s="53">
        <f>IF('LDPE-A2'!F31=0,"    -",ROUND('LDPE-A2'!F60/'LDPE-A2'!F31*100,1))</f>
        <v>83.2</v>
      </c>
      <c r="G67" s="53">
        <f>IF('LDPE-A2'!G31=0,"    -",ROUND('LDPE-A2'!G60/'LDPE-A2'!G31*100,1))</f>
        <v>77.2</v>
      </c>
      <c r="H67" s="53">
        <f>IF('LDPE-A2'!H31=0,"    -",ROUND('LDPE-A2'!H60/'LDPE-A2'!H31*100,1))</f>
        <v>76.5</v>
      </c>
      <c r="I67" s="53">
        <f>IF('LDPE-A2'!I31=0,"    -",ROUND('LDPE-A2'!I60/'LDPE-A2'!I31*100,1))</f>
        <v>78.099999999999994</v>
      </c>
      <c r="J67" s="53">
        <f>IF('LDPE-A2'!J31=0,"    -",ROUND('LDPE-A2'!J60/'LDPE-A2'!J31*100,1))</f>
        <v>80</v>
      </c>
      <c r="K67" s="54">
        <f>IF('LDPE-A2'!K31=0,"    -",ROUND('LDPE-A2'!K60/'LDPE-A2'!K31*100,1))</f>
        <v>80</v>
      </c>
      <c r="L67" s="55">
        <f>IF('LDPE-A2'!L31=0,"    -",ROUND('LDPE-A2'!L60/'LDPE-A2'!L31*100,1))</f>
        <v>80</v>
      </c>
      <c r="M67" s="53">
        <f>IF('LDPE-A2'!M31=0,"    -",ROUND('LDPE-A2'!M60/'LDPE-A2'!M31*100,1))</f>
        <v>80</v>
      </c>
      <c r="N67" s="53">
        <f>IF('LDPE-A2'!N31=0,"    -",ROUND('LDPE-A2'!N60/'LDPE-A2'!N31*100,1))</f>
        <v>80</v>
      </c>
      <c r="O67" s="53">
        <f>IF('LDPE-A2'!O31=0,"    -",ROUND('LDPE-A2'!O60/'LDPE-A2'!O31*100,1))</f>
        <v>80</v>
      </c>
      <c r="P67" s="53">
        <f>IF('LDPE-A2'!P31=0,"    -",ROUND('LDPE-A2'!P60/'LDPE-A2'!P31*100,1))</f>
        <v>80</v>
      </c>
      <c r="Q67" s="56">
        <f>IF('LDPE-A2'!Q31=0,"    -",ROUND('LDPE-A2'!Q60/'LDPE-A2'!Q31*100,1))</f>
        <v>80</v>
      </c>
    </row>
    <row r="68" spans="2:17" ht="16.5" customHeight="1">
      <c r="B68" s="668" t="s">
        <v>320</v>
      </c>
      <c r="C68" s="669"/>
      <c r="D68" s="52">
        <f>IF('LDPE-A2'!D32=0,"    -",ROUND('LDPE-A2'!D61/'LDPE-A2'!D32*100,1))</f>
        <v>82.6</v>
      </c>
      <c r="E68" s="53">
        <f>IF('LDPE-A2'!E32=0,"    -",ROUND('LDPE-A2'!E61/'LDPE-A2'!E32*100,1))</f>
        <v>83.1</v>
      </c>
      <c r="F68" s="53">
        <f>IF('LDPE-A2'!F32=0,"    -",ROUND('LDPE-A2'!F61/'LDPE-A2'!F32*100,1))</f>
        <v>83.4</v>
      </c>
      <c r="G68" s="53">
        <f>IF('LDPE-A2'!G32=0,"    -",ROUND('LDPE-A2'!G61/'LDPE-A2'!G32*100,1))</f>
        <v>86</v>
      </c>
      <c r="H68" s="53">
        <f>IF('LDPE-A2'!H32=0,"    -",ROUND('LDPE-A2'!H61/'LDPE-A2'!H32*100,1))</f>
        <v>85.3</v>
      </c>
      <c r="I68" s="53">
        <f>IF('LDPE-A2'!I32=0,"    -",ROUND('LDPE-A2'!I61/'LDPE-A2'!I32*100,1))</f>
        <v>83.6</v>
      </c>
      <c r="J68" s="53">
        <f>IF('LDPE-A2'!J32=0,"    -",ROUND('LDPE-A2'!J61/'LDPE-A2'!J32*100,1))</f>
        <v>85.6</v>
      </c>
      <c r="K68" s="54">
        <f>IF('LDPE-A2'!K32=0,"    -",ROUND('LDPE-A2'!K61/'LDPE-A2'!K32*100,1))</f>
        <v>85</v>
      </c>
      <c r="L68" s="55">
        <f>IF('LDPE-A2'!L32=0,"    -",ROUND('LDPE-A2'!L61/'LDPE-A2'!L32*100,1))</f>
        <v>85</v>
      </c>
      <c r="M68" s="53">
        <f>IF('LDPE-A2'!M32=0,"    -",ROUND('LDPE-A2'!M61/'LDPE-A2'!M32*100,1))</f>
        <v>85</v>
      </c>
      <c r="N68" s="53">
        <f>IF('LDPE-A2'!N32=0,"    -",ROUND('LDPE-A2'!N61/'LDPE-A2'!N32*100,1))</f>
        <v>85</v>
      </c>
      <c r="O68" s="53">
        <f>IF('LDPE-A2'!O32=0,"    -",ROUND('LDPE-A2'!O61/'LDPE-A2'!O32*100,1))</f>
        <v>85</v>
      </c>
      <c r="P68" s="53">
        <f>IF('LDPE-A2'!P32=0,"    -",ROUND('LDPE-A2'!P61/'LDPE-A2'!P32*100,1))</f>
        <v>85</v>
      </c>
      <c r="Q68" s="56">
        <f>IF('LDPE-A2'!Q32=0,"    -",ROUND('LDPE-A2'!Q61/'LDPE-A2'!Q32*100,1))</f>
        <v>85</v>
      </c>
    </row>
    <row r="69" spans="2:17" ht="16.5" customHeight="1">
      <c r="B69" s="670" t="s">
        <v>321</v>
      </c>
      <c r="C69" s="671"/>
      <c r="D69" s="52">
        <f>IF('LDPE-A2'!D33=0,"    -",ROUND('LDPE-A2'!D62/'LDPE-A2'!D33*100,1))</f>
        <v>82.1</v>
      </c>
      <c r="E69" s="53">
        <f>IF('LDPE-A2'!E33=0,"    -",ROUND('LDPE-A2'!E62/'LDPE-A2'!E33*100,1))</f>
        <v>90</v>
      </c>
      <c r="F69" s="53">
        <f>IF('LDPE-A2'!F33=0,"    -",ROUND('LDPE-A2'!F62/'LDPE-A2'!F33*100,1))</f>
        <v>90</v>
      </c>
      <c r="G69" s="53">
        <f>IF('LDPE-A2'!G33=0,"    -",ROUND('LDPE-A2'!G62/'LDPE-A2'!G33*100,1))</f>
        <v>90</v>
      </c>
      <c r="H69" s="53">
        <f>IF('LDPE-A2'!H33=0,"    -",ROUND('LDPE-A2'!H62/'LDPE-A2'!H33*100,1))</f>
        <v>86.9</v>
      </c>
      <c r="I69" s="53">
        <f>IF('LDPE-A2'!I33=0,"    -",ROUND('LDPE-A2'!I62/'LDPE-A2'!I33*100,1))</f>
        <v>86.9</v>
      </c>
      <c r="J69" s="53">
        <f>IF('LDPE-A2'!J33=0,"    -",ROUND('LDPE-A2'!J62/'LDPE-A2'!J33*100,1))</f>
        <v>86.9</v>
      </c>
      <c r="K69" s="54">
        <f>IF('LDPE-A2'!K33=0,"    -",ROUND('LDPE-A2'!K62/'LDPE-A2'!K33*100,1))</f>
        <v>86.9</v>
      </c>
      <c r="L69" s="55">
        <f>IF('LDPE-A2'!L33=0,"    -",ROUND('LDPE-A2'!L62/'LDPE-A2'!L33*100,1))</f>
        <v>86.9</v>
      </c>
      <c r="M69" s="53">
        <f>IF('LDPE-A2'!M33=0,"    -",ROUND('LDPE-A2'!M62/'LDPE-A2'!M33*100,1))</f>
        <v>86.9</v>
      </c>
      <c r="N69" s="53">
        <f>IF('LDPE-A2'!N33=0,"    -",ROUND('LDPE-A2'!N62/'LDPE-A2'!N33*100,1))</f>
        <v>86.9</v>
      </c>
      <c r="O69" s="53">
        <f>IF('LDPE-A2'!O33=0,"    -",ROUND('LDPE-A2'!O62/'LDPE-A2'!O33*100,1))</f>
        <v>86.9</v>
      </c>
      <c r="P69" s="53">
        <f>IF('LDPE-A2'!P33=0,"    -",ROUND('LDPE-A2'!P62/'LDPE-A2'!P33*100,1))</f>
        <v>86.9</v>
      </c>
      <c r="Q69" s="56">
        <f>IF('LDPE-A2'!Q33=0,"    -",ROUND('LDPE-A2'!Q62/'LDPE-A2'!Q33*100,1))</f>
        <v>86.9</v>
      </c>
    </row>
    <row r="70" spans="2:17" ht="17.25" customHeight="1" thickBot="1">
      <c r="B70" s="678" t="s">
        <v>322</v>
      </c>
      <c r="C70" s="679"/>
      <c r="D70" s="106">
        <f>IF('LDPE-A2'!D34=0,"    -",ROUND('LDPE-A2'!D63/'LDPE-A2'!D34*100,1))</f>
        <v>82.6</v>
      </c>
      <c r="E70" s="107">
        <f>IF('LDPE-A2'!E34=0,"    -",ROUND('LDPE-A2'!E63/'LDPE-A2'!E34*100,1))</f>
        <v>85.4</v>
      </c>
      <c r="F70" s="107">
        <f>IF('LDPE-A2'!F34=0,"    -",ROUND('LDPE-A2'!F63/'LDPE-A2'!F34*100,1))</f>
        <v>85</v>
      </c>
      <c r="G70" s="107">
        <f>IF('LDPE-A2'!G34=0,"    -",ROUND('LDPE-A2'!G63/'LDPE-A2'!G34*100,1))</f>
        <v>85.2</v>
      </c>
      <c r="H70" s="107">
        <f>IF('LDPE-A2'!H34=0,"    -",ROUND('LDPE-A2'!H63/'LDPE-A2'!H34*100,1))</f>
        <v>84</v>
      </c>
      <c r="I70" s="107">
        <f>IF('LDPE-A2'!I34=0,"    -",ROUND('LDPE-A2'!I63/'LDPE-A2'!I34*100,1))</f>
        <v>83.3</v>
      </c>
      <c r="J70" s="107">
        <f>IF('LDPE-A2'!J34=0,"    -",ROUND('LDPE-A2'!J63/'LDPE-A2'!J34*100,1))</f>
        <v>84.6</v>
      </c>
      <c r="K70" s="108">
        <f>IF('LDPE-A2'!K34=0,"    -",ROUND('LDPE-A2'!K63/'LDPE-A2'!K34*100,1))</f>
        <v>84.1</v>
      </c>
      <c r="L70" s="109">
        <f>IF('LDPE-A2'!L34=0,"    -",ROUND('LDPE-A2'!L63/'LDPE-A2'!L34*100,1))</f>
        <v>84.1</v>
      </c>
      <c r="M70" s="107">
        <f>IF('LDPE-A2'!M34=0,"    -",ROUND('LDPE-A2'!M63/'LDPE-A2'!M34*100,1))</f>
        <v>84.1</v>
      </c>
      <c r="N70" s="107">
        <f>IF('LDPE-A2'!N34=0,"    -",ROUND('LDPE-A2'!N63/'LDPE-A2'!N34*100,1))</f>
        <v>84.1</v>
      </c>
      <c r="O70" s="107">
        <f>IF('LDPE-A2'!O34=0,"    -",ROUND('LDPE-A2'!O63/'LDPE-A2'!O34*100,1))</f>
        <v>84.1</v>
      </c>
      <c r="P70" s="107">
        <f>IF('LDPE-A2'!P34=0,"    -",ROUND('LDPE-A2'!P63/'LDPE-A2'!P34*100,1))</f>
        <v>84.1</v>
      </c>
      <c r="Q70" s="110">
        <f>IF('LDPE-A2'!Q34=0,"    -",ROUND('LDPE-A2'!Q63/'LDPE-A2'!Q34*100,1))</f>
        <v>84.1</v>
      </c>
    </row>
    <row r="71" spans="2:17" ht="18" customHeight="1" thickTop="1" thickBot="1">
      <c r="B71" s="21"/>
      <c r="C71" s="619" t="s">
        <v>337</v>
      </c>
      <c r="D71" s="127">
        <f>IF('LDPE-A2'!D35=0,"    -",ROUND('LDPE-A2'!D64/'LDPE-A2'!D35*100,1))</f>
        <v>82.7</v>
      </c>
      <c r="E71" s="128">
        <f>IF('LDPE-A2'!E35=0,"    -",ROUND('LDPE-A2'!E64/'LDPE-A2'!E35*100,1))</f>
        <v>83.7</v>
      </c>
      <c r="F71" s="128">
        <f>IF('LDPE-A2'!F35=0,"    -",ROUND('LDPE-A2'!F64/'LDPE-A2'!F35*100,1))</f>
        <v>79.2</v>
      </c>
      <c r="G71" s="128">
        <f>IF('LDPE-A2'!G35=0,"    -",ROUND('LDPE-A2'!G64/'LDPE-A2'!G35*100,1))</f>
        <v>83.2</v>
      </c>
      <c r="H71" s="128">
        <f>IF('LDPE-A2'!H35=0,"    -",ROUND('LDPE-A2'!H64/'LDPE-A2'!H35*100,1))</f>
        <v>84.1</v>
      </c>
      <c r="I71" s="128">
        <f>IF('LDPE-A2'!I35=0,"    -",ROUND('LDPE-A2'!I64/'LDPE-A2'!I35*100,1))</f>
        <v>84.8</v>
      </c>
      <c r="J71" s="128">
        <f>IF('LDPE-A2'!J35=0,"    -",ROUND('LDPE-A2'!J64/'LDPE-A2'!J35*100,1))</f>
        <v>83.6</v>
      </c>
      <c r="K71" s="129">
        <f>IF('LDPE-A2'!K35=0,"    -",ROUND('LDPE-A2'!K64/'LDPE-A2'!K35*100,1))</f>
        <v>84.4</v>
      </c>
      <c r="L71" s="130">
        <f>IF('LDPE-A2'!L35=0,"    -",ROUND('LDPE-A2'!L64/'LDPE-A2'!L35*100,1))</f>
        <v>84.9</v>
      </c>
      <c r="M71" s="128">
        <f>IF('LDPE-A2'!M35=0,"    -",ROUND('LDPE-A2'!M64/'LDPE-A2'!M35*100,1))</f>
        <v>85.8</v>
      </c>
      <c r="N71" s="128">
        <f>IF('LDPE-A2'!N35=0,"    -",ROUND('LDPE-A2'!N64/'LDPE-A2'!N35*100,1))</f>
        <v>85.2</v>
      </c>
      <c r="O71" s="128">
        <f>IF('LDPE-A2'!O35=0,"    -",ROUND('LDPE-A2'!O64/'LDPE-A2'!O35*100,1))</f>
        <v>86.2</v>
      </c>
      <c r="P71" s="128">
        <f>IF('LDPE-A2'!P35=0,"    -",ROUND('LDPE-A2'!P64/'LDPE-A2'!P35*100,1))</f>
        <v>87.3</v>
      </c>
      <c r="Q71" s="131">
        <f>IF('LDPE-A2'!Q35=0,"    -",ROUND('LDPE-A2'!Q64/'LDPE-A2'!Q35*100,1))</f>
        <v>87.6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221" priority="5">
      <formula>CELL("protect",C75)=0</formula>
    </cfRule>
    <cfRule type="expression" dxfId="220" priority="6">
      <formula>CELL("protect",C75)=0</formula>
    </cfRule>
  </conditionalFormatting>
  <conditionalFormatting sqref="C73">
    <cfRule type="expression" dxfId="219" priority="3">
      <formula>CELL("protect",C73)=0</formula>
    </cfRule>
    <cfRule type="expression" dxfId="218" priority="4">
      <formula>CELL("protect",C73)=0</formula>
    </cfRule>
  </conditionalFormatting>
  <conditionalFormatting sqref="C75">
    <cfRule type="expression" dxfId="217" priority="1">
      <formula>CELL("protect",C75)=0</formula>
    </cfRule>
    <cfRule type="expression" dxfId="216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&amp;C164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3" sqref="R3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2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'HDPE-A3'!D36-'HDPE-A3'!D65</f>
        <v>1104</v>
      </c>
      <c r="E7" s="240">
        <f>'HDPE-A3'!E36-'HDPE-A3'!E65</f>
        <v>1041</v>
      </c>
      <c r="F7" s="240">
        <f>'HDPE-A3'!F36-'HDPE-A3'!F65</f>
        <v>1205</v>
      </c>
      <c r="G7" s="240">
        <f>'HDPE-A3'!G36-'HDPE-A3'!G65</f>
        <v>1353</v>
      </c>
      <c r="H7" s="240">
        <f>'HDPE-A3'!H36-'HDPE-A3'!H65</f>
        <v>1153</v>
      </c>
      <c r="I7" s="240">
        <f>'HDPE-A3'!I36-'HDPE-A3'!I65</f>
        <v>1166</v>
      </c>
      <c r="J7" s="240">
        <f>'HDPE-A3'!J36-'HDPE-A3'!J65</f>
        <v>1057</v>
      </c>
      <c r="K7" s="241">
        <f>'HDPE-A3'!K36-'HDPE-A3'!K65</f>
        <v>1053</v>
      </c>
      <c r="L7" s="242">
        <f>'HDPE-A3'!L36-'HDPE-A3'!L65</f>
        <v>1050</v>
      </c>
      <c r="M7" s="240">
        <f>'HDPE-A3'!M36-'HDPE-A3'!M65</f>
        <v>1330</v>
      </c>
      <c r="N7" s="240">
        <f>'HDPE-A3'!N36-'HDPE-A3'!N65</f>
        <v>1800</v>
      </c>
      <c r="O7" s="240">
        <f>'HDPE-A3'!O36-'HDPE-A3'!O65</f>
        <v>1780</v>
      </c>
      <c r="P7" s="240">
        <f>'HDPE-A3'!P36-'HDPE-A3'!P65</f>
        <v>2260</v>
      </c>
      <c r="Q7" s="159">
        <f>'HDPE-A3'!Q36-'HDPE-A3'!Q65</f>
        <v>2440</v>
      </c>
    </row>
    <row r="8" spans="2:19" ht="16.5" customHeight="1">
      <c r="B8" s="605" t="s">
        <v>434</v>
      </c>
      <c r="C8" s="606"/>
      <c r="D8" s="239">
        <f>'HDPE-A3'!D37-'HDPE-A3'!D66</f>
        <v>207</v>
      </c>
      <c r="E8" s="240">
        <f>'HDPE-A3'!E37-'HDPE-A3'!E66</f>
        <v>204</v>
      </c>
      <c r="F8" s="240">
        <f>'HDPE-A3'!F37-'HDPE-A3'!F66</f>
        <v>180</v>
      </c>
      <c r="G8" s="240">
        <f>'HDPE-A3'!G37-'HDPE-A3'!G66</f>
        <v>252</v>
      </c>
      <c r="H8" s="240">
        <f>'HDPE-A3'!H37-'HDPE-A3'!H66</f>
        <v>223</v>
      </c>
      <c r="I8" s="240">
        <f>'HDPE-A3'!I37-'HDPE-A3'!I66</f>
        <v>254</v>
      </c>
      <c r="J8" s="240">
        <f>'HDPE-A3'!J37-'HDPE-A3'!J66</f>
        <v>265</v>
      </c>
      <c r="K8" s="241">
        <f>'HDPE-A3'!K37-'HDPE-A3'!K66</f>
        <v>267</v>
      </c>
      <c r="L8" s="242">
        <f>'HDPE-A3'!L37-'HDPE-A3'!L66</f>
        <v>260</v>
      </c>
      <c r="M8" s="240">
        <f>'HDPE-A3'!M37-'HDPE-A3'!M66</f>
        <v>280</v>
      </c>
      <c r="N8" s="240">
        <f>'HDPE-A3'!N37-'HDPE-A3'!N66</f>
        <v>260</v>
      </c>
      <c r="O8" s="240">
        <f>'HDPE-A3'!O37-'HDPE-A3'!O66</f>
        <v>260</v>
      </c>
      <c r="P8" s="240">
        <f>'HDPE-A3'!P37-'HDPE-A3'!P66</f>
        <v>260</v>
      </c>
      <c r="Q8" s="243">
        <f>'HDPE-A3'!Q37-'HDPE-A3'!Q66</f>
        <v>260</v>
      </c>
    </row>
    <row r="9" spans="2:19" ht="16.5" customHeight="1">
      <c r="B9" s="605" t="s">
        <v>435</v>
      </c>
      <c r="C9" s="606"/>
      <c r="D9" s="239">
        <f>'HDPE-A3'!D38-'HDPE-A3'!D67</f>
        <v>341</v>
      </c>
      <c r="E9" s="240">
        <f>'HDPE-A3'!E38-'HDPE-A3'!E67</f>
        <v>321.55199999999996</v>
      </c>
      <c r="F9" s="240">
        <f>'HDPE-A3'!F38-'HDPE-A3'!F67</f>
        <v>289.29900933333329</v>
      </c>
      <c r="G9" s="240">
        <f>'HDPE-A3'!G38-'HDPE-A3'!G67</f>
        <v>345.17037168799999</v>
      </c>
      <c r="H9" s="240">
        <f>'HDPE-A3'!H38-'HDPE-A3'!H67</f>
        <v>320.79200000000009</v>
      </c>
      <c r="I9" s="240">
        <f>'HDPE-A3'!I38-'HDPE-A3'!I67</f>
        <v>357.64183871629103</v>
      </c>
      <c r="J9" s="240">
        <f>'HDPE-A3'!J38-'HDPE-A3'!J67</f>
        <v>338</v>
      </c>
      <c r="K9" s="241">
        <f>'HDPE-A3'!K38-'HDPE-A3'!K67</f>
        <v>309</v>
      </c>
      <c r="L9" s="242">
        <f>'HDPE-A3'!L38-'HDPE-A3'!L67</f>
        <v>318</v>
      </c>
      <c r="M9" s="240">
        <f>'HDPE-A3'!M38-'HDPE-A3'!M67</f>
        <v>335</v>
      </c>
      <c r="N9" s="240">
        <f>'HDPE-A3'!N38-'HDPE-A3'!N67</f>
        <v>334</v>
      </c>
      <c r="O9" s="240">
        <f>'HDPE-A3'!O38-'HDPE-A3'!O67</f>
        <v>315</v>
      </c>
      <c r="P9" s="240">
        <f>'HDPE-A3'!P38-'HDPE-A3'!P67</f>
        <v>332</v>
      </c>
      <c r="Q9" s="243">
        <f>'HDPE-A3'!Q38-'HDPE-A3'!Q67</f>
        <v>313</v>
      </c>
    </row>
    <row r="10" spans="2:19" ht="16.5" customHeight="1">
      <c r="B10" s="605" t="s">
        <v>436</v>
      </c>
      <c r="C10" s="606"/>
      <c r="D10" s="239">
        <f>'HDPE-A3'!D39-'HDPE-A3'!D68</f>
        <v>-3435</v>
      </c>
      <c r="E10" s="240">
        <f>'HDPE-A3'!E39-'HDPE-A3'!E68</f>
        <v>-3350</v>
      </c>
      <c r="F10" s="240">
        <f>'HDPE-A3'!F39-'HDPE-A3'!F68</f>
        <v>-3875</v>
      </c>
      <c r="G10" s="240">
        <f>'HDPE-A3'!G39-'HDPE-A3'!G68</f>
        <v>-4626</v>
      </c>
      <c r="H10" s="240">
        <f>'HDPE-A3'!H39-'HDPE-A3'!H68</f>
        <v>-4439</v>
      </c>
      <c r="I10" s="240">
        <f>'HDPE-A3'!I39-'HDPE-A3'!I68</f>
        <v>-4974</v>
      </c>
      <c r="J10" s="240">
        <f>'HDPE-A3'!J39-'HDPE-A3'!J68</f>
        <v>-5113</v>
      </c>
      <c r="K10" s="241">
        <f>'HDPE-A3'!K39-'HDPE-A3'!K68</f>
        <v>-6240</v>
      </c>
      <c r="L10" s="242">
        <f>'HDPE-A3'!L39-'HDPE-A3'!L68</f>
        <v>-6343</v>
      </c>
      <c r="M10" s="240">
        <f>'HDPE-A3'!M39-'HDPE-A3'!M68</f>
        <v>-6517</v>
      </c>
      <c r="N10" s="240">
        <f>'HDPE-A3'!N39-'HDPE-A3'!N68</f>
        <v>-6332</v>
      </c>
      <c r="O10" s="240">
        <f>'HDPE-A3'!O39-'HDPE-A3'!O68</f>
        <v>-6050</v>
      </c>
      <c r="P10" s="240">
        <f>'HDPE-A3'!P39-'HDPE-A3'!P68</f>
        <v>-6415</v>
      </c>
      <c r="Q10" s="243">
        <f>'HDPE-A3'!Q39-'HDPE-A3'!Q68</f>
        <v>-6582</v>
      </c>
    </row>
    <row r="11" spans="2:19" ht="16.5" customHeight="1">
      <c r="B11" s="605" t="s">
        <v>437</v>
      </c>
      <c r="C11" s="606"/>
      <c r="D11" s="239">
        <f>'HDPE-A3'!D40-'HDPE-A3'!D69</f>
        <v>637</v>
      </c>
      <c r="E11" s="240">
        <f>'HDPE-A3'!E40-'HDPE-A3'!E69</f>
        <v>904</v>
      </c>
      <c r="F11" s="240">
        <f>'HDPE-A3'!F40-'HDPE-A3'!F69</f>
        <v>928</v>
      </c>
      <c r="G11" s="240">
        <f>'HDPE-A3'!G40-'HDPE-A3'!G69</f>
        <v>997.26800000000003</v>
      </c>
      <c r="H11" s="240">
        <f>'HDPE-A3'!H40-'HDPE-A3'!H69</f>
        <v>853.75600000000009</v>
      </c>
      <c r="I11" s="240">
        <f>'HDPE-A3'!I40-'HDPE-A3'!I69</f>
        <v>1070.7169999999999</v>
      </c>
      <c r="J11" s="240">
        <f>'HDPE-A3'!J40-'HDPE-A3'!J69</f>
        <v>980</v>
      </c>
      <c r="K11" s="241">
        <f>'HDPE-A3'!K40-'HDPE-A3'!K69</f>
        <v>1010.7910000000002</v>
      </c>
      <c r="L11" s="242">
        <f>'HDPE-A3'!L40-'HDPE-A3'!L69</f>
        <v>973.70538600000009</v>
      </c>
      <c r="M11" s="240">
        <f>'HDPE-A3'!M40-'HDPE-A3'!M69</f>
        <v>941.15421389960011</v>
      </c>
      <c r="N11" s="240">
        <f>'HDPE-A3'!N40-'HDPE-A3'!N69</f>
        <v>908.83550439249541</v>
      </c>
      <c r="O11" s="240">
        <f>'HDPE-A3'!O40-'HDPE-A3'!O69</f>
        <v>876.59566479842897</v>
      </c>
      <c r="P11" s="240">
        <f>'HDPE-A3'!P40-'HDPE-A3'!P69</f>
        <v>843.68151306637401</v>
      </c>
      <c r="Q11" s="243">
        <f>'HDPE-A3'!Q40-'HDPE-A3'!Q69</f>
        <v>809.0313749315369</v>
      </c>
    </row>
    <row r="12" spans="2:19" ht="16.5" customHeight="1">
      <c r="B12" s="605" t="s">
        <v>438</v>
      </c>
      <c r="C12" s="606"/>
      <c r="D12" s="239">
        <f>'HDPE-A3'!D41-'HDPE-A3'!D70</f>
        <v>-111.01043482809192</v>
      </c>
      <c r="E12" s="240">
        <f>'HDPE-A3'!E41-'HDPE-A3'!E70</f>
        <v>-153.21252179371029</v>
      </c>
      <c r="F12" s="240">
        <f>'HDPE-A3'!F41-'HDPE-A3'!F70</f>
        <v>-168.91169814492036</v>
      </c>
      <c r="G12" s="240">
        <f>'HDPE-A3'!G41-'HDPE-A3'!G70</f>
        <v>-229</v>
      </c>
      <c r="H12" s="240">
        <f>'HDPE-A3'!H41-'HDPE-A3'!H70</f>
        <v>-238</v>
      </c>
      <c r="I12" s="240">
        <f>'HDPE-A3'!I41-'HDPE-A3'!I70</f>
        <v>-249</v>
      </c>
      <c r="J12" s="240">
        <f>'HDPE-A3'!J41-'HDPE-A3'!J70</f>
        <v>-259</v>
      </c>
      <c r="K12" s="241">
        <f>'HDPE-A3'!K41-'HDPE-A3'!K70</f>
        <v>-330</v>
      </c>
      <c r="L12" s="242">
        <f>'HDPE-A3'!L41-'HDPE-A3'!L70</f>
        <v>-290</v>
      </c>
      <c r="M12" s="240">
        <f>'HDPE-A3'!M41-'HDPE-A3'!M70</f>
        <v>-310</v>
      </c>
      <c r="N12" s="240">
        <f>'HDPE-A3'!N41-'HDPE-A3'!N70</f>
        <v>-330</v>
      </c>
      <c r="O12" s="240">
        <f>'HDPE-A3'!O41-'HDPE-A3'!O70</f>
        <v>-350</v>
      </c>
      <c r="P12" s="240">
        <f>'HDPE-A3'!P41-'HDPE-A3'!P70</f>
        <v>-370</v>
      </c>
      <c r="Q12" s="243">
        <f>'HDPE-A3'!Q41-'HDPE-A3'!Q70</f>
        <v>-390</v>
      </c>
    </row>
    <row r="13" spans="2:19" ht="16.5" customHeight="1">
      <c r="B13" s="605" t="s">
        <v>439</v>
      </c>
      <c r="C13" s="606"/>
      <c r="D13" s="239">
        <f>'HDPE-A3'!D42-'HDPE-A3'!D71</f>
        <v>-19</v>
      </c>
      <c r="E13" s="240">
        <f>'HDPE-A3'!E42-'HDPE-A3'!E71</f>
        <v>-90</v>
      </c>
      <c r="F13" s="240">
        <f>'HDPE-A3'!F42-'HDPE-A3'!F71</f>
        <v>-278</v>
      </c>
      <c r="G13" s="240">
        <f>'HDPE-A3'!G42-'HDPE-A3'!G71</f>
        <v>-295</v>
      </c>
      <c r="H13" s="240">
        <f>'HDPE-A3'!H42-'HDPE-A3'!H71</f>
        <v>-229</v>
      </c>
      <c r="I13" s="240">
        <f>'HDPE-A3'!I42-'HDPE-A3'!I71</f>
        <v>-252</v>
      </c>
      <c r="J13" s="240">
        <f>'HDPE-A3'!J42-'HDPE-A3'!J71</f>
        <v>-690</v>
      </c>
      <c r="K13" s="241">
        <f>'HDPE-A3'!K42-'HDPE-A3'!K71</f>
        <v>-450</v>
      </c>
      <c r="L13" s="242">
        <f>'HDPE-A3'!L42-'HDPE-A3'!L71</f>
        <v>-400</v>
      </c>
      <c r="M13" s="240">
        <f>'HDPE-A3'!M42-'HDPE-A3'!M71</f>
        <v>-400</v>
      </c>
      <c r="N13" s="240">
        <f>'HDPE-A3'!N42-'HDPE-A3'!N71</f>
        <v>-300</v>
      </c>
      <c r="O13" s="240">
        <f>'HDPE-A3'!O42-'HDPE-A3'!O71</f>
        <v>-400</v>
      </c>
      <c r="P13" s="240">
        <f>'HDPE-A3'!P42-'HDPE-A3'!P71</f>
        <v>-300</v>
      </c>
      <c r="Q13" s="243">
        <f>'HDPE-A3'!Q42-'HDPE-A3'!Q71</f>
        <v>-300</v>
      </c>
    </row>
    <row r="14" spans="2:19" ht="18" hidden="1" customHeight="1">
      <c r="B14" s="16"/>
      <c r="C14" s="90" t="s">
        <v>306</v>
      </c>
      <c r="D14" s="239">
        <f>'HDPE-A3'!D43-'HDPE-A3'!D72</f>
        <v>0</v>
      </c>
      <c r="E14" s="240">
        <f>'HDPE-A3'!E43-'HDPE-A3'!E72</f>
        <v>0</v>
      </c>
      <c r="F14" s="240">
        <f>'HDPE-A3'!F43-'HDPE-A3'!F72</f>
        <v>0</v>
      </c>
      <c r="G14" s="240">
        <f>'HDPE-A3'!G43-'HDPE-A3'!G72</f>
        <v>0</v>
      </c>
      <c r="H14" s="240">
        <f>'HDPE-A3'!H43-'HDPE-A3'!H72</f>
        <v>0</v>
      </c>
      <c r="I14" s="240">
        <f>'HDPE-A3'!I43-'HDPE-A3'!I72</f>
        <v>0</v>
      </c>
      <c r="J14" s="240">
        <f>'HDPE-A3'!J43-'HDPE-A3'!J72</f>
        <v>0</v>
      </c>
      <c r="K14" s="241">
        <f>'HDPE-A3'!K43-'HDPE-A3'!K72</f>
        <v>0</v>
      </c>
      <c r="L14" s="242">
        <f>'HDPE-A3'!L43-'HDPE-A3'!L72</f>
        <v>0</v>
      </c>
      <c r="M14" s="240">
        <f>'HDPE-A3'!M43-'HDPE-A3'!M72</f>
        <v>0</v>
      </c>
      <c r="N14" s="240">
        <f>'HDPE-A3'!N43-'HDPE-A3'!N72</f>
        <v>0</v>
      </c>
      <c r="O14" s="240">
        <f>'HDPE-A3'!O43-'HDPE-A3'!O72</f>
        <v>0</v>
      </c>
      <c r="P14" s="240">
        <f>'HDPE-A3'!P43-'HDPE-A3'!P72</f>
        <v>0</v>
      </c>
      <c r="Q14" s="243">
        <f>'HDPE-A3'!Q43-'HDPE-A3'!Q72</f>
        <v>0</v>
      </c>
    </row>
    <row r="15" spans="2:19" ht="16.5" customHeight="1">
      <c r="B15" s="605" t="s">
        <v>440</v>
      </c>
      <c r="C15" s="606"/>
      <c r="D15" s="239">
        <f>'HDPE-A3'!D44-'HDPE-A3'!D73</f>
        <v>-62</v>
      </c>
      <c r="E15" s="240">
        <f>'HDPE-A3'!E44-'HDPE-A3'!E73</f>
        <v>-75</v>
      </c>
      <c r="F15" s="240">
        <f>'HDPE-A3'!F44-'HDPE-A3'!F73</f>
        <v>-81</v>
      </c>
      <c r="G15" s="240">
        <f>'HDPE-A3'!G44-'HDPE-A3'!G73</f>
        <v>-85</v>
      </c>
      <c r="H15" s="240">
        <f>'HDPE-A3'!H44-'HDPE-A3'!H73</f>
        <v>-109</v>
      </c>
      <c r="I15" s="240">
        <f>'HDPE-A3'!I44-'HDPE-A3'!I73</f>
        <v>-79.08</v>
      </c>
      <c r="J15" s="240">
        <f>'HDPE-A3'!J44-'HDPE-A3'!J73</f>
        <v>-52.5</v>
      </c>
      <c r="K15" s="241">
        <f>'HDPE-A3'!K44-'HDPE-A3'!K73</f>
        <v>-21</v>
      </c>
      <c r="L15" s="242">
        <f>'HDPE-A3'!L44-'HDPE-A3'!L73</f>
        <v>-9</v>
      </c>
      <c r="M15" s="240">
        <f>'HDPE-A3'!M44-'HDPE-A3'!M73</f>
        <v>2</v>
      </c>
      <c r="N15" s="240">
        <f>'HDPE-A3'!N44-'HDPE-A3'!N73</f>
        <v>13</v>
      </c>
      <c r="O15" s="240">
        <f>'HDPE-A3'!O44-'HDPE-A3'!O73</f>
        <v>23</v>
      </c>
      <c r="P15" s="240">
        <f>'HDPE-A3'!P44-'HDPE-A3'!P73</f>
        <v>32</v>
      </c>
      <c r="Q15" s="243">
        <f>'HDPE-A3'!Q44-'HDPE-A3'!Q73</f>
        <v>40</v>
      </c>
    </row>
    <row r="16" spans="2:19" ht="16.5" customHeight="1">
      <c r="B16" s="605" t="s">
        <v>441</v>
      </c>
      <c r="C16" s="606"/>
      <c r="D16" s="239">
        <f>'HDPE-A3'!D45-'HDPE-A3'!D74</f>
        <v>50</v>
      </c>
      <c r="E16" s="240">
        <f>'HDPE-A3'!E45-'HDPE-A3'!E74</f>
        <v>-49</v>
      </c>
      <c r="F16" s="240">
        <f>'HDPE-A3'!F45-'HDPE-A3'!F74</f>
        <v>-3</v>
      </c>
      <c r="G16" s="240">
        <f>'HDPE-A3'!G45-'HDPE-A3'!G74</f>
        <v>-40.486999999999966</v>
      </c>
      <c r="H16" s="240">
        <f>'HDPE-A3'!H45-'HDPE-A3'!H74</f>
        <v>-183.21499999999992</v>
      </c>
      <c r="I16" s="240">
        <f>'HDPE-A3'!I45-'HDPE-A3'!I74</f>
        <v>-115.76400000000001</v>
      </c>
      <c r="J16" s="240">
        <f>'HDPE-A3'!J45-'HDPE-A3'!J74</f>
        <v>-138.82199999999989</v>
      </c>
      <c r="K16" s="241">
        <f>'HDPE-A3'!K45-'HDPE-A3'!K74</f>
        <v>-162.29199999999992</v>
      </c>
      <c r="L16" s="242">
        <f>'HDPE-A3'!L45-'HDPE-A3'!L74</f>
        <v>-191.63372399999992</v>
      </c>
      <c r="M16" s="240">
        <f>'HDPE-A3'!M45-'HDPE-A3'!M74</f>
        <v>-221.70087530399996</v>
      </c>
      <c r="N16" s="240">
        <f>'HDPE-A3'!N45-'HDPE-A3'!N74</f>
        <v>45.481482681408011</v>
      </c>
      <c r="O16" s="240">
        <f>'HDPE-A3'!O45-'HDPE-A3'!O74</f>
        <v>10.801986443188184</v>
      </c>
      <c r="P16" s="240">
        <f>'HDPE-A3'!P45-'HDPE-A3'!P74</f>
        <v>-25.55599741296146</v>
      </c>
      <c r="Q16" s="243">
        <f>'HDPE-A3'!Q45-'HDPE-A3'!Q74</f>
        <v>-63.673707687748788</v>
      </c>
    </row>
    <row r="17" spans="2:17" ht="16.5" customHeight="1">
      <c r="B17" s="605" t="s">
        <v>442</v>
      </c>
      <c r="C17" s="606"/>
      <c r="D17" s="239">
        <f>'HDPE-A3'!D46-'HDPE-A3'!D75</f>
        <v>-214</v>
      </c>
      <c r="E17" s="240">
        <f>'HDPE-A3'!E46-'HDPE-A3'!E75</f>
        <v>-229</v>
      </c>
      <c r="F17" s="240">
        <f>'HDPE-A3'!F46-'HDPE-A3'!F75</f>
        <v>-244</v>
      </c>
      <c r="G17" s="240">
        <f>'HDPE-A3'!G46-'HDPE-A3'!G75</f>
        <v>-261</v>
      </c>
      <c r="H17" s="240">
        <f>'HDPE-A3'!H46-'HDPE-A3'!H75</f>
        <v>-278</v>
      </c>
      <c r="I17" s="240">
        <f>'HDPE-A3'!I46-'HDPE-A3'!I75</f>
        <v>-297</v>
      </c>
      <c r="J17" s="240">
        <f>'HDPE-A3'!J46-'HDPE-A3'!J75</f>
        <v>-315</v>
      </c>
      <c r="K17" s="241">
        <f>'HDPE-A3'!K46-'HDPE-A3'!K75</f>
        <v>-1097</v>
      </c>
      <c r="L17" s="242">
        <f>'HDPE-A3'!L46-'HDPE-A3'!L75</f>
        <v>-1280</v>
      </c>
      <c r="M17" s="240">
        <f>'HDPE-A3'!M46-'HDPE-A3'!M75</f>
        <v>-1356</v>
      </c>
      <c r="N17" s="240">
        <f>'HDPE-A3'!N46-'HDPE-A3'!N75</f>
        <v>-1437</v>
      </c>
      <c r="O17" s="240">
        <f>'HDPE-A3'!O46-'HDPE-A3'!O75</f>
        <v>-1523</v>
      </c>
      <c r="P17" s="240">
        <f>'HDPE-A3'!P46-'HDPE-A3'!P75</f>
        <v>-1614</v>
      </c>
      <c r="Q17" s="243">
        <f>'HDPE-A3'!Q46-'HDPE-A3'!Q75</f>
        <v>-1260</v>
      </c>
    </row>
    <row r="18" spans="2:17" ht="16.5" customHeight="1">
      <c r="B18" s="607" t="s">
        <v>443</v>
      </c>
      <c r="C18" s="608"/>
      <c r="D18" s="239">
        <f>'HDPE-A3'!D47-'HDPE-A3'!D76</f>
        <v>189.80000000000007</v>
      </c>
      <c r="E18" s="240">
        <f>'HDPE-A3'!E47-'HDPE-A3'!E76</f>
        <v>81.899999999999977</v>
      </c>
      <c r="F18" s="240">
        <f>'HDPE-A3'!F47-'HDPE-A3'!F76</f>
        <v>68.5</v>
      </c>
      <c r="G18" s="240">
        <f>'HDPE-A3'!G47-'HDPE-A3'!G76</f>
        <v>34.600000000000023</v>
      </c>
      <c r="H18" s="240">
        <f>'HDPE-A3'!H47-'HDPE-A3'!H76</f>
        <v>-30.200000000000045</v>
      </c>
      <c r="I18" s="240">
        <f>'HDPE-A3'!I47-'HDPE-A3'!I76</f>
        <v>4.4000000000000909</v>
      </c>
      <c r="J18" s="240">
        <f>'HDPE-A3'!J47-'HDPE-A3'!J76</f>
        <v>-18.299999999999955</v>
      </c>
      <c r="K18" s="241">
        <f>'HDPE-A3'!K47-'HDPE-A3'!K76</f>
        <v>-60.399999999999977</v>
      </c>
      <c r="L18" s="242">
        <f>'HDPE-A3'!L47-'HDPE-A3'!L76</f>
        <v>-71.699999999999932</v>
      </c>
      <c r="M18" s="240">
        <f>'HDPE-A3'!M47-'HDPE-A3'!M76</f>
        <v>-79.399999999999977</v>
      </c>
      <c r="N18" s="240">
        <f>'HDPE-A3'!N47-'HDPE-A3'!N76</f>
        <v>-86.900000000000091</v>
      </c>
      <c r="O18" s="240">
        <f>'HDPE-A3'!O47-'HDPE-A3'!O76</f>
        <v>-87.899999999999977</v>
      </c>
      <c r="P18" s="240">
        <f>'HDPE-A3'!P47-'HDPE-A3'!P76</f>
        <v>-89.000000000000114</v>
      </c>
      <c r="Q18" s="243">
        <f>'HDPE-A3'!Q47-'HDPE-A3'!Q76</f>
        <v>-90</v>
      </c>
    </row>
    <row r="19" spans="2:17" ht="17.25" customHeight="1">
      <c r="B19" s="674" t="s">
        <v>307</v>
      </c>
      <c r="C19" s="675"/>
      <c r="D19" s="244">
        <f t="shared" ref="D19:K19" si="0">SUM(D7:D18)</f>
        <v>-1312.2104348280918</v>
      </c>
      <c r="E19" s="245">
        <f t="shared" si="0"/>
        <v>-1393.7605217937103</v>
      </c>
      <c r="F19" s="245">
        <f t="shared" si="0"/>
        <v>-1979.1126888115871</v>
      </c>
      <c r="G19" s="245">
        <f t="shared" si="0"/>
        <v>-2554.448628312</v>
      </c>
      <c r="H19" s="245">
        <f t="shared" si="0"/>
        <v>-2955.8669999999993</v>
      </c>
      <c r="I19" s="245">
        <f t="shared" si="0"/>
        <v>-3114.0851612837091</v>
      </c>
      <c r="J19" s="245">
        <f t="shared" si="0"/>
        <v>-3946.6220000000003</v>
      </c>
      <c r="K19" s="246">
        <f t="shared" si="0"/>
        <v>-5720.9009999999998</v>
      </c>
      <c r="L19" s="247">
        <f t="shared" ref="L19:Q19" si="1">SUM(L7:L18)</f>
        <v>-5983.6283380000004</v>
      </c>
      <c r="M19" s="245">
        <f t="shared" si="1"/>
        <v>-5995.9466614043995</v>
      </c>
      <c r="N19" s="245">
        <f t="shared" si="1"/>
        <v>-5124.5830129260958</v>
      </c>
      <c r="O19" s="245">
        <f t="shared" si="1"/>
        <v>-5145.5023487583821</v>
      </c>
      <c r="P19" s="245">
        <f t="shared" si="1"/>
        <v>-5085.8744843465875</v>
      </c>
      <c r="Q19" s="248">
        <f t="shared" si="1"/>
        <v>-4823.6423327562115</v>
      </c>
    </row>
    <row r="20" spans="2:17" ht="17.25" customHeight="1">
      <c r="B20" s="672" t="s">
        <v>308</v>
      </c>
      <c r="C20" s="673"/>
      <c r="D20" s="244">
        <f>'HDPE-A3'!D49-'HDPE-A3'!D78</f>
        <v>-128</v>
      </c>
      <c r="E20" s="245">
        <f>'HDPE-A3'!E49-'HDPE-A3'!E78</f>
        <v>-134</v>
      </c>
      <c r="F20" s="245">
        <f>'HDPE-A3'!F49-'HDPE-A3'!F78</f>
        <v>-160</v>
      </c>
      <c r="G20" s="245">
        <f>'HDPE-A3'!G49-'HDPE-A3'!G78</f>
        <v>-190</v>
      </c>
      <c r="H20" s="245">
        <f>'HDPE-A3'!H49-'HDPE-A3'!H78</f>
        <v>-165</v>
      </c>
      <c r="I20" s="245">
        <f>'HDPE-A3'!I49-'HDPE-A3'!I78</f>
        <v>-143</v>
      </c>
      <c r="J20" s="245">
        <f>'HDPE-A3'!J49-'HDPE-A3'!J78</f>
        <v>-139</v>
      </c>
      <c r="K20" s="246">
        <f>'HDPE-A3'!K49-'HDPE-A3'!K78</f>
        <v>-180</v>
      </c>
      <c r="L20" s="247">
        <f>'HDPE-A3'!L49-'HDPE-A3'!L78</f>
        <v>-175</v>
      </c>
      <c r="M20" s="245">
        <f>'HDPE-A3'!M49-'HDPE-A3'!M78</f>
        <v>-175</v>
      </c>
      <c r="N20" s="245">
        <f>'HDPE-A3'!N49-'HDPE-A3'!N78</f>
        <v>-177</v>
      </c>
      <c r="O20" s="245">
        <f>'HDPE-A3'!O49-'HDPE-A3'!O78</f>
        <v>-177</v>
      </c>
      <c r="P20" s="245">
        <f>'HDPE-A3'!P49-'HDPE-A3'!P78</f>
        <v>-179</v>
      </c>
      <c r="Q20" s="248">
        <f>'HDPE-A3'!Q49-'HDPE-A3'!Q78</f>
        <v>-179</v>
      </c>
    </row>
    <row r="21" spans="2:17" ht="16.5" customHeight="1">
      <c r="B21" s="105"/>
      <c r="C21" s="97" t="s">
        <v>309</v>
      </c>
      <c r="D21" s="244">
        <f>'HDPE-A3'!D50-'HDPE-A3'!D79</f>
        <v>-67</v>
      </c>
      <c r="E21" s="245">
        <f>'HDPE-A3'!E50-'HDPE-A3'!E79</f>
        <v>-134</v>
      </c>
      <c r="F21" s="245">
        <f>'HDPE-A3'!F50-'HDPE-A3'!F79</f>
        <v>-160</v>
      </c>
      <c r="G21" s="245">
        <f>'HDPE-A3'!G50-'HDPE-A3'!G79</f>
        <v>-190</v>
      </c>
      <c r="H21" s="245">
        <f>'HDPE-A3'!H50-'HDPE-A3'!H79</f>
        <v>-165</v>
      </c>
      <c r="I21" s="245">
        <f>'HDPE-A3'!I50-'HDPE-A3'!I79</f>
        <v>-143</v>
      </c>
      <c r="J21" s="245">
        <f>'HDPE-A3'!J50-'HDPE-A3'!J79</f>
        <v>-139</v>
      </c>
      <c r="K21" s="246">
        <f>'HDPE-A3'!K50-'HDPE-A3'!K79</f>
        <v>-180</v>
      </c>
      <c r="L21" s="247">
        <f>'HDPE-A3'!L50-'HDPE-A3'!L79</f>
        <v>-175</v>
      </c>
      <c r="M21" s="245">
        <f>'HDPE-A3'!M50-'HDPE-A3'!M79</f>
        <v>-175</v>
      </c>
      <c r="N21" s="245">
        <f>'HDPE-A3'!N50-'HDPE-A3'!N79</f>
        <v>-177</v>
      </c>
      <c r="O21" s="245">
        <f>'HDPE-A3'!O50-'HDPE-A3'!O79</f>
        <v>-177</v>
      </c>
      <c r="P21" s="245">
        <f>'HDPE-A3'!P50-'HDPE-A3'!P79</f>
        <v>-179</v>
      </c>
      <c r="Q21" s="248">
        <f>'HDPE-A3'!Q50-'HDPE-A3'!Q79</f>
        <v>-179</v>
      </c>
    </row>
    <row r="22" spans="2:17" ht="17.25" customHeight="1">
      <c r="B22" s="672" t="s">
        <v>310</v>
      </c>
      <c r="C22" s="673"/>
      <c r="D22" s="239">
        <f>'HDPE-A3'!D51-'HDPE-A3'!D80</f>
        <v>-1487</v>
      </c>
      <c r="E22" s="240">
        <f>'HDPE-A3'!E51-'HDPE-A3'!E80</f>
        <v>-336</v>
      </c>
      <c r="F22" s="240">
        <f>'HDPE-A3'!F51-'HDPE-A3'!F80</f>
        <v>-153</v>
      </c>
      <c r="G22" s="240">
        <f>'HDPE-A3'!G51-'HDPE-A3'!G80</f>
        <v>-227</v>
      </c>
      <c r="H22" s="240">
        <f>'HDPE-A3'!H51-'HDPE-A3'!H80</f>
        <v>-52</v>
      </c>
      <c r="I22" s="240">
        <f>'HDPE-A3'!I51-'HDPE-A3'!I80</f>
        <v>-309.61999999999989</v>
      </c>
      <c r="J22" s="240">
        <f>'HDPE-A3'!J51-'HDPE-A3'!J80</f>
        <v>-731.92144300000018</v>
      </c>
      <c r="K22" s="241">
        <f>'HDPE-A3'!K51-'HDPE-A3'!K80</f>
        <v>-753.97672700000021</v>
      </c>
      <c r="L22" s="242">
        <f>'HDPE-A3'!L51-'HDPE-A3'!L80</f>
        <v>-958.3080630000004</v>
      </c>
      <c r="M22" s="240">
        <f>'HDPE-A3'!M51-'HDPE-A3'!M80</f>
        <v>-944.15250500000002</v>
      </c>
      <c r="N22" s="240">
        <f>'HDPE-A3'!N51-'HDPE-A3'!N80</f>
        <v>-932.69615899999917</v>
      </c>
      <c r="O22" s="240">
        <f>'HDPE-A3'!O51-'HDPE-A3'!O80</f>
        <v>-1039.6519759999992</v>
      </c>
      <c r="P22" s="240">
        <f>'HDPE-A3'!P51-'HDPE-A3'!P80</f>
        <v>-1167.8775840000008</v>
      </c>
      <c r="Q22" s="243">
        <f>'HDPE-A3'!Q51-'HDPE-A3'!Q80</f>
        <v>-1100.4118690000005</v>
      </c>
    </row>
    <row r="23" spans="2:17" ht="16.5" customHeight="1">
      <c r="B23" s="105"/>
      <c r="C23" s="615" t="s">
        <v>311</v>
      </c>
      <c r="D23" s="244">
        <f>'HDPE-A3'!D52-'HDPE-A3'!D81</f>
        <v>-821</v>
      </c>
      <c r="E23" s="245">
        <f>'HDPE-A3'!E52-'HDPE-A3'!E81</f>
        <v>409</v>
      </c>
      <c r="F23" s="245">
        <f>'HDPE-A3'!F52-'HDPE-A3'!F81</f>
        <v>-126</v>
      </c>
      <c r="G23" s="245">
        <f>'HDPE-A3'!G52-'HDPE-A3'!G81</f>
        <v>-289</v>
      </c>
      <c r="H23" s="245">
        <f>'HDPE-A3'!H52-'HDPE-A3'!H81</f>
        <v>-59</v>
      </c>
      <c r="I23" s="245">
        <f>'HDPE-A3'!I52-'HDPE-A3'!I81</f>
        <v>-276</v>
      </c>
      <c r="J23" s="245">
        <f>'HDPE-A3'!J52-'HDPE-A3'!J81</f>
        <v>-520.68857000000025</v>
      </c>
      <c r="K23" s="246">
        <f>'HDPE-A3'!K52-'HDPE-A3'!K81</f>
        <v>-673.13620600000013</v>
      </c>
      <c r="L23" s="247">
        <f>'HDPE-A3'!L52-'HDPE-A3'!L81</f>
        <v>-844</v>
      </c>
      <c r="M23" s="245">
        <f>'HDPE-A3'!M52-'HDPE-A3'!M81</f>
        <v>-850</v>
      </c>
      <c r="N23" s="245">
        <f>'HDPE-A3'!N52-'HDPE-A3'!N81</f>
        <v>-870</v>
      </c>
      <c r="O23" s="245">
        <f>'HDPE-A3'!O52-'HDPE-A3'!O81</f>
        <v>-949.49157699999978</v>
      </c>
      <c r="P23" s="245">
        <f>'HDPE-A3'!P52-'HDPE-A3'!P81</f>
        <v>-1039.4915770000007</v>
      </c>
      <c r="Q23" s="248">
        <f>'HDPE-A3'!Q52-'HDPE-A3'!Q81</f>
        <v>-924</v>
      </c>
    </row>
    <row r="24" spans="2:17" ht="17.25" customHeight="1">
      <c r="B24" s="672" t="s">
        <v>312</v>
      </c>
      <c r="C24" s="673"/>
      <c r="D24" s="239">
        <f>'HDPE-A3'!D53-'HDPE-A3'!D82</f>
        <v>4135</v>
      </c>
      <c r="E24" s="240">
        <f>'HDPE-A3'!E53-'HDPE-A3'!E82</f>
        <v>3958</v>
      </c>
      <c r="F24" s="240">
        <f>'HDPE-A3'!F53-'HDPE-A3'!F82</f>
        <v>4508.038461538461</v>
      </c>
      <c r="G24" s="240">
        <f>'HDPE-A3'!G53-'HDPE-A3'!G82</f>
        <v>5000.3846153846152</v>
      </c>
      <c r="H24" s="240">
        <f>'HDPE-A3'!H53-'HDPE-A3'!H82</f>
        <v>5697</v>
      </c>
      <c r="I24" s="240">
        <f>'HDPE-A3'!I53-'HDPE-A3'!I82</f>
        <v>5773</v>
      </c>
      <c r="J24" s="240">
        <f>'HDPE-A3'!J53-'HDPE-A3'!J82</f>
        <v>6091</v>
      </c>
      <c r="K24" s="241">
        <f>'HDPE-A3'!K53-'HDPE-A3'!K82</f>
        <v>6171</v>
      </c>
      <c r="L24" s="242">
        <f>'HDPE-A3'!L53-'HDPE-A3'!L82</f>
        <v>6153</v>
      </c>
      <c r="M24" s="240">
        <f>'HDPE-A3'!M53-'HDPE-A3'!M82</f>
        <v>6133</v>
      </c>
      <c r="N24" s="240">
        <f>'HDPE-A3'!N53-'HDPE-A3'!N82</f>
        <v>6159</v>
      </c>
      <c r="O24" s="240">
        <f>'HDPE-A3'!O53-'HDPE-A3'!O82</f>
        <v>6178</v>
      </c>
      <c r="P24" s="240">
        <f>'HDPE-A3'!P53-'HDPE-A3'!P82</f>
        <v>6242</v>
      </c>
      <c r="Q24" s="243">
        <f>'HDPE-A3'!Q53-'HDPE-A3'!Q82</f>
        <v>6224</v>
      </c>
    </row>
    <row r="25" spans="2:17" ht="16.5" customHeight="1">
      <c r="B25" s="16"/>
      <c r="C25" s="615" t="s">
        <v>313</v>
      </c>
      <c r="D25" s="244">
        <f>'HDPE-A3'!D54-'HDPE-A3'!D83</f>
        <v>-493</v>
      </c>
      <c r="E25" s="245">
        <f>'HDPE-A3'!E54-'HDPE-A3'!E83</f>
        <v>2728.1538461538462</v>
      </c>
      <c r="F25" s="245">
        <f>'HDPE-A3'!F54-'HDPE-A3'!F83</f>
        <v>3144.6153846153843</v>
      </c>
      <c r="G25" s="245">
        <f>'HDPE-A3'!G54-'HDPE-A3'!G83</f>
        <v>3471.3461538461538</v>
      </c>
      <c r="H25" s="245">
        <f>'HDPE-A3'!H54-'HDPE-A3'!H83</f>
        <v>3955</v>
      </c>
      <c r="I25" s="245">
        <f>'HDPE-A3'!I54-'HDPE-A3'!I83</f>
        <v>4030</v>
      </c>
      <c r="J25" s="245">
        <f>'HDPE-A3'!J54-'HDPE-A3'!J83</f>
        <v>4074</v>
      </c>
      <c r="K25" s="246">
        <f>'HDPE-A3'!K54-'HDPE-A3'!K83</f>
        <v>4080</v>
      </c>
      <c r="L25" s="247">
        <f>'HDPE-A3'!L54-'HDPE-A3'!L83</f>
        <v>4089</v>
      </c>
      <c r="M25" s="245">
        <f>'HDPE-A3'!M54-'HDPE-A3'!M83</f>
        <v>4130</v>
      </c>
      <c r="N25" s="245">
        <f>'HDPE-A3'!N54-'HDPE-A3'!N83</f>
        <v>4161</v>
      </c>
      <c r="O25" s="245">
        <f>'HDPE-A3'!O54-'HDPE-A3'!O83</f>
        <v>4170</v>
      </c>
      <c r="P25" s="245">
        <f>'HDPE-A3'!P54-'HDPE-A3'!P83</f>
        <v>4197</v>
      </c>
      <c r="Q25" s="248">
        <f>'HDPE-A3'!Q54-'HDPE-A3'!Q83</f>
        <v>4292</v>
      </c>
    </row>
    <row r="26" spans="2:17" ht="17.25" customHeight="1">
      <c r="B26" s="674" t="s">
        <v>314</v>
      </c>
      <c r="C26" s="675"/>
      <c r="D26" s="244">
        <f>'HDPE-A3'!D55-'HDPE-A3'!D84</f>
        <v>-581</v>
      </c>
      <c r="E26" s="245">
        <f>'HDPE-A3'!E55-'HDPE-A3'!E84</f>
        <v>-757</v>
      </c>
      <c r="F26" s="245">
        <f>'HDPE-A3'!F55-'HDPE-A3'!F84</f>
        <v>-802.84615384615381</v>
      </c>
      <c r="G26" s="245">
        <f>'HDPE-A3'!G55-'HDPE-A3'!G84</f>
        <v>-935.91499999999996</v>
      </c>
      <c r="H26" s="245">
        <f>'HDPE-A3'!H55-'HDPE-A3'!H84</f>
        <v>-1068</v>
      </c>
      <c r="I26" s="245">
        <f>'HDPE-A3'!I55-'HDPE-A3'!I84</f>
        <v>-1238</v>
      </c>
      <c r="J26" s="245">
        <f>'HDPE-A3'!J55-'HDPE-A3'!J84</f>
        <v>-1232</v>
      </c>
      <c r="K26" s="246">
        <f>'HDPE-A3'!K55-'HDPE-A3'!K84</f>
        <v>-1332</v>
      </c>
      <c r="L26" s="247">
        <f>'HDPE-A3'!L55-'HDPE-A3'!L84</f>
        <v>-1349</v>
      </c>
      <c r="M26" s="245">
        <f>'HDPE-A3'!M55-'HDPE-A3'!M84</f>
        <v>-1498</v>
      </c>
      <c r="N26" s="245">
        <f>'HDPE-A3'!N55-'HDPE-A3'!N84</f>
        <v>-1628</v>
      </c>
      <c r="O26" s="245">
        <f>'HDPE-A3'!O55-'HDPE-A3'!O84</f>
        <v>-1748</v>
      </c>
      <c r="P26" s="245">
        <f>'HDPE-A3'!P55-'HDPE-A3'!P84</f>
        <v>-1895</v>
      </c>
      <c r="Q26" s="248">
        <f>'HDPE-A3'!Q55-'HDPE-A3'!Q84</f>
        <v>-2052</v>
      </c>
    </row>
    <row r="27" spans="2:17" ht="17.25" customHeight="1">
      <c r="B27" s="674" t="s">
        <v>315</v>
      </c>
      <c r="C27" s="675"/>
      <c r="D27" s="244">
        <f>'HDPE-A3'!D56-'HDPE-A3'!D85</f>
        <v>-307</v>
      </c>
      <c r="E27" s="245">
        <f>'HDPE-A3'!E56-'HDPE-A3'!E85</f>
        <v>-503</v>
      </c>
      <c r="F27" s="245">
        <f>'HDPE-A3'!F56-'HDPE-A3'!F85</f>
        <v>-491.40000000000009</v>
      </c>
      <c r="G27" s="245">
        <f>'HDPE-A3'!G56-'HDPE-A3'!G85</f>
        <v>-303</v>
      </c>
      <c r="H27" s="245">
        <f>'HDPE-A3'!H56-'HDPE-A3'!H85</f>
        <v>-413</v>
      </c>
      <c r="I27" s="245">
        <f>'HDPE-A3'!I56-'HDPE-A3'!I85</f>
        <v>-306</v>
      </c>
      <c r="J27" s="245">
        <f>'HDPE-A3'!J56-'HDPE-A3'!J85</f>
        <v>-220</v>
      </c>
      <c r="K27" s="246">
        <f>'HDPE-A3'!K56-'HDPE-A3'!K85</f>
        <v>-74</v>
      </c>
      <c r="L27" s="247">
        <f>'HDPE-A3'!L56-'HDPE-A3'!L85</f>
        <v>246.53600000000006</v>
      </c>
      <c r="M27" s="245">
        <f>'HDPE-A3'!M56-'HDPE-A3'!M85</f>
        <v>800</v>
      </c>
      <c r="N27" s="245">
        <f>'HDPE-A3'!N56-'HDPE-A3'!N85</f>
        <v>700</v>
      </c>
      <c r="O27" s="245">
        <f>'HDPE-A3'!O56-'HDPE-A3'!O85</f>
        <v>1100</v>
      </c>
      <c r="P27" s="245">
        <f>'HDPE-A3'!P56-'HDPE-A3'!P85</f>
        <v>1450</v>
      </c>
      <c r="Q27" s="248">
        <f>'HDPE-A3'!Q56-'HDPE-A3'!Q85</f>
        <v>1600</v>
      </c>
    </row>
    <row r="28" spans="2:17" ht="16.5" customHeight="1">
      <c r="B28" s="672" t="s">
        <v>316</v>
      </c>
      <c r="C28" s="673"/>
      <c r="D28" s="239">
        <f>'HDPE-A3'!D57-'HDPE-A3'!D86</f>
        <v>676</v>
      </c>
      <c r="E28" s="240">
        <f>'HDPE-A3'!E57-'HDPE-A3'!E86</f>
        <v>732.74000000000069</v>
      </c>
      <c r="F28" s="240">
        <f>'HDPE-A3'!F57-'HDPE-A3'!F86</f>
        <v>360</v>
      </c>
      <c r="G28" s="240">
        <f>'HDPE-A3'!G57-'HDPE-A3'!G86</f>
        <v>564</v>
      </c>
      <c r="H28" s="240">
        <f>'HDPE-A3'!H57-'HDPE-A3'!H86</f>
        <v>559</v>
      </c>
      <c r="I28" s="240">
        <f>'HDPE-A3'!I57-'HDPE-A3'!I86</f>
        <v>908</v>
      </c>
      <c r="J28" s="240">
        <f>'HDPE-A3'!J57-'HDPE-A3'!J86</f>
        <v>1006</v>
      </c>
      <c r="K28" s="241">
        <f>'HDPE-A3'!K57-'HDPE-A3'!K86</f>
        <v>910.10000000000036</v>
      </c>
      <c r="L28" s="242">
        <f>'HDPE-A3'!L57-'HDPE-A3'!L86</f>
        <v>1299</v>
      </c>
      <c r="M28" s="240">
        <f>'HDPE-A3'!M57-'HDPE-A3'!M86</f>
        <v>1453.3999999999996</v>
      </c>
      <c r="N28" s="240">
        <f>'HDPE-A3'!N57-'HDPE-A3'!N86</f>
        <v>1875.6000000000004</v>
      </c>
      <c r="O28" s="240">
        <f>'HDPE-A3'!O57-'HDPE-A3'!O86</f>
        <v>2204.6000000000004</v>
      </c>
      <c r="P28" s="240">
        <f>'HDPE-A3'!P57-'HDPE-A3'!P86</f>
        <v>2838.3999999999996</v>
      </c>
      <c r="Q28" s="243">
        <f>'HDPE-A3'!Q57-'HDPE-A3'!Q86</f>
        <v>3011.1000000000004</v>
      </c>
    </row>
    <row r="29" spans="2:17" ht="16.5" customHeight="1">
      <c r="B29" s="670" t="s">
        <v>317</v>
      </c>
      <c r="C29" s="671"/>
      <c r="D29" s="239">
        <f>'HDPE-A3'!D58-'HDPE-A3'!D87</f>
        <v>756</v>
      </c>
      <c r="E29" s="240">
        <f>'HDPE-A3'!E58-'HDPE-A3'!E87</f>
        <v>748</v>
      </c>
      <c r="F29" s="240">
        <f>'HDPE-A3'!F58-'HDPE-A3'!F87</f>
        <v>791</v>
      </c>
      <c r="G29" s="240">
        <f>'HDPE-A3'!G58-'HDPE-A3'!G87</f>
        <v>956</v>
      </c>
      <c r="H29" s="240">
        <f>'HDPE-A3'!H58-'HDPE-A3'!H87</f>
        <v>921</v>
      </c>
      <c r="I29" s="240">
        <f>'HDPE-A3'!I58-'HDPE-A3'!I87</f>
        <v>952</v>
      </c>
      <c r="J29" s="240">
        <f>'HDPE-A3'!J58-'HDPE-A3'!J87</f>
        <v>947</v>
      </c>
      <c r="K29" s="241">
        <f>'HDPE-A3'!K58-'HDPE-A3'!K87</f>
        <v>846</v>
      </c>
      <c r="L29" s="242">
        <f>'HDPE-A3'!L58-'HDPE-A3'!L87</f>
        <v>837</v>
      </c>
      <c r="M29" s="240">
        <f>'HDPE-A3'!M58-'HDPE-A3'!M87</f>
        <v>827</v>
      </c>
      <c r="N29" s="240">
        <f>'HDPE-A3'!N58-'HDPE-A3'!N87</f>
        <v>818</v>
      </c>
      <c r="O29" s="240">
        <f>'HDPE-A3'!O58-'HDPE-A3'!O87</f>
        <v>809</v>
      </c>
      <c r="P29" s="240">
        <f>'HDPE-A3'!P58-'HDPE-A3'!P87</f>
        <v>801</v>
      </c>
      <c r="Q29" s="243">
        <f>'HDPE-A3'!Q58-'HDPE-A3'!Q87</f>
        <v>793</v>
      </c>
    </row>
    <row r="30" spans="2:17" ht="17.25" customHeight="1">
      <c r="B30" s="674" t="s">
        <v>318</v>
      </c>
      <c r="C30" s="675"/>
      <c r="D30" s="244">
        <f t="shared" ref="D30:K30" si="2">SUM(D28:D29)</f>
        <v>1432</v>
      </c>
      <c r="E30" s="245">
        <f t="shared" si="2"/>
        <v>1480.7400000000007</v>
      </c>
      <c r="F30" s="245">
        <f t="shared" si="2"/>
        <v>1151</v>
      </c>
      <c r="G30" s="245">
        <f t="shared" si="2"/>
        <v>1520</v>
      </c>
      <c r="H30" s="245">
        <f t="shared" si="2"/>
        <v>1480</v>
      </c>
      <c r="I30" s="245">
        <f t="shared" si="2"/>
        <v>1860</v>
      </c>
      <c r="J30" s="245">
        <f t="shared" si="2"/>
        <v>1953</v>
      </c>
      <c r="K30" s="246">
        <f t="shared" si="2"/>
        <v>1756.1000000000004</v>
      </c>
      <c r="L30" s="247">
        <f t="shared" ref="L30:Q30" si="3">SUM(L28:L29)</f>
        <v>2136</v>
      </c>
      <c r="M30" s="245">
        <f t="shared" si="3"/>
        <v>2280.3999999999996</v>
      </c>
      <c r="N30" s="245">
        <f t="shared" si="3"/>
        <v>2693.6000000000004</v>
      </c>
      <c r="O30" s="245">
        <f t="shared" si="3"/>
        <v>3013.6000000000004</v>
      </c>
      <c r="P30" s="245">
        <f t="shared" si="3"/>
        <v>3639.3999999999996</v>
      </c>
      <c r="Q30" s="248">
        <f t="shared" si="3"/>
        <v>3804.1000000000004</v>
      </c>
    </row>
    <row r="31" spans="2:17" ht="16.5" customHeight="1">
      <c r="B31" s="672" t="s">
        <v>319</v>
      </c>
      <c r="C31" s="673"/>
      <c r="D31" s="239">
        <f>'HDPE-A3'!D60-'HDPE-A3'!D89</f>
        <v>-587</v>
      </c>
      <c r="E31" s="240">
        <f>'HDPE-A3'!E60-'HDPE-A3'!E89</f>
        <v>-603</v>
      </c>
      <c r="F31" s="240">
        <f>'HDPE-A3'!F60-'HDPE-A3'!F89</f>
        <v>-619</v>
      </c>
      <c r="G31" s="240">
        <f>'HDPE-A3'!G60-'HDPE-A3'!G89</f>
        <v>-636</v>
      </c>
      <c r="H31" s="240">
        <f>'HDPE-A3'!H60-'HDPE-A3'!H89</f>
        <v>-655</v>
      </c>
      <c r="I31" s="240">
        <f>'HDPE-A3'!I60-'HDPE-A3'!I89</f>
        <v>-735</v>
      </c>
      <c r="J31" s="240">
        <f>'HDPE-A3'!J60-'HDPE-A3'!J89</f>
        <v>-484</v>
      </c>
      <c r="K31" s="241">
        <f>'HDPE-A3'!K60-'HDPE-A3'!K89</f>
        <v>-122</v>
      </c>
      <c r="L31" s="242">
        <f>'HDPE-A3'!L60-'HDPE-A3'!L89</f>
        <v>-142</v>
      </c>
      <c r="M31" s="240">
        <f>'HDPE-A3'!M60-'HDPE-A3'!M89</f>
        <v>-165</v>
      </c>
      <c r="N31" s="240">
        <f>'HDPE-A3'!N60-'HDPE-A3'!N89</f>
        <v>-191</v>
      </c>
      <c r="O31" s="240">
        <f>'HDPE-A3'!O60-'HDPE-A3'!O89</f>
        <v>-219</v>
      </c>
      <c r="P31" s="240">
        <f>'HDPE-A3'!P60-'HDPE-A3'!P89</f>
        <v>-249</v>
      </c>
      <c r="Q31" s="243">
        <f>'HDPE-A3'!Q60-'HDPE-A3'!Q89</f>
        <v>-280</v>
      </c>
    </row>
    <row r="32" spans="2:17" ht="16.5" customHeight="1">
      <c r="B32" s="668" t="s">
        <v>320</v>
      </c>
      <c r="C32" s="669"/>
      <c r="D32" s="239">
        <f>'HDPE-A3'!D61-'HDPE-A3'!D90</f>
        <v>-8</v>
      </c>
      <c r="E32" s="240">
        <f>'HDPE-A3'!E61-'HDPE-A3'!E90</f>
        <v>75</v>
      </c>
      <c r="F32" s="240">
        <f>'HDPE-A3'!F61-'HDPE-A3'!F90</f>
        <v>63</v>
      </c>
      <c r="G32" s="240">
        <f>'HDPE-A3'!G61-'HDPE-A3'!G90</f>
        <v>27</v>
      </c>
      <c r="H32" s="240">
        <f>'HDPE-A3'!H61-'HDPE-A3'!H90</f>
        <v>-7</v>
      </c>
      <c r="I32" s="240">
        <f>'HDPE-A3'!I61-'HDPE-A3'!I90</f>
        <v>108</v>
      </c>
      <c r="J32" s="240">
        <f>'HDPE-A3'!J61-'HDPE-A3'!J90</f>
        <v>131</v>
      </c>
      <c r="K32" s="241">
        <f>'HDPE-A3'!K61-'HDPE-A3'!K90</f>
        <v>142.5</v>
      </c>
      <c r="L32" s="242">
        <f>'HDPE-A3'!L61-'HDPE-A3'!L90</f>
        <v>128.5</v>
      </c>
      <c r="M32" s="240">
        <f>'HDPE-A3'!M61-'HDPE-A3'!M90</f>
        <v>104.5</v>
      </c>
      <c r="N32" s="240">
        <f>'HDPE-A3'!N61-'HDPE-A3'!N90</f>
        <v>81.5</v>
      </c>
      <c r="O32" s="240">
        <f>'HDPE-A3'!O61-'HDPE-A3'!O90</f>
        <v>58.5</v>
      </c>
      <c r="P32" s="240">
        <f>'HDPE-A3'!P61-'HDPE-A3'!P90</f>
        <v>34.5</v>
      </c>
      <c r="Q32" s="243">
        <f>'HDPE-A3'!Q61-'HDPE-A3'!Q90</f>
        <v>11</v>
      </c>
    </row>
    <row r="33" spans="2:17" ht="16.5" customHeight="1">
      <c r="B33" s="670" t="s">
        <v>321</v>
      </c>
      <c r="C33" s="671"/>
      <c r="D33" s="239">
        <f>'HDPE-A3'!D62-'HDPE-A3'!D91</f>
        <v>-521</v>
      </c>
      <c r="E33" s="240">
        <f>'HDPE-A3'!E62-'HDPE-A3'!E91</f>
        <v>-565</v>
      </c>
      <c r="F33" s="240">
        <f>'HDPE-A3'!F62-'HDPE-A3'!F91</f>
        <v>-636</v>
      </c>
      <c r="G33" s="240">
        <f>'HDPE-A3'!G62-'HDPE-A3'!G91</f>
        <v>-725</v>
      </c>
      <c r="H33" s="240">
        <f>'HDPE-A3'!H62-'HDPE-A3'!H91</f>
        <v>-755</v>
      </c>
      <c r="I33" s="240">
        <f>'HDPE-A3'!I62-'HDPE-A3'!I91</f>
        <v>-752</v>
      </c>
      <c r="J33" s="240">
        <f>'HDPE-A3'!J62-'HDPE-A3'!J91</f>
        <v>-761</v>
      </c>
      <c r="K33" s="241">
        <f>'HDPE-A3'!K62-'HDPE-A3'!K91</f>
        <v>-775</v>
      </c>
      <c r="L33" s="242">
        <f>'HDPE-A3'!L62-'HDPE-A3'!L91</f>
        <v>-790</v>
      </c>
      <c r="M33" s="240">
        <f>'HDPE-A3'!M62-'HDPE-A3'!M91</f>
        <v>-804</v>
      </c>
      <c r="N33" s="240">
        <f>'HDPE-A3'!N62-'HDPE-A3'!N91</f>
        <v>-836</v>
      </c>
      <c r="O33" s="240">
        <f>'HDPE-A3'!O62-'HDPE-A3'!O91</f>
        <v>-869</v>
      </c>
      <c r="P33" s="240">
        <f>'HDPE-A3'!P62-'HDPE-A3'!P91</f>
        <v>-904</v>
      </c>
      <c r="Q33" s="243">
        <f>'HDPE-A3'!Q62-'HDPE-A3'!Q91</f>
        <v>-940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-1116</v>
      </c>
      <c r="E34" s="250">
        <f t="shared" si="4"/>
        <v>-1093</v>
      </c>
      <c r="F34" s="250">
        <f t="shared" si="4"/>
        <v>-1192</v>
      </c>
      <c r="G34" s="250">
        <f t="shared" si="4"/>
        <v>-1334</v>
      </c>
      <c r="H34" s="250">
        <f t="shared" si="4"/>
        <v>-1417</v>
      </c>
      <c r="I34" s="250">
        <f t="shared" si="4"/>
        <v>-1379</v>
      </c>
      <c r="J34" s="250">
        <f t="shared" si="4"/>
        <v>-1114</v>
      </c>
      <c r="K34" s="251">
        <f t="shared" si="4"/>
        <v>-754.5</v>
      </c>
      <c r="L34" s="252">
        <f t="shared" ref="L34:Q34" si="5">SUM(L31:L33)</f>
        <v>-803.5</v>
      </c>
      <c r="M34" s="250">
        <f t="shared" si="5"/>
        <v>-864.5</v>
      </c>
      <c r="N34" s="250">
        <f t="shared" si="5"/>
        <v>-945.5</v>
      </c>
      <c r="O34" s="250">
        <f t="shared" si="5"/>
        <v>-1029.5</v>
      </c>
      <c r="P34" s="250">
        <f t="shared" si="5"/>
        <v>-1118.5</v>
      </c>
      <c r="Q34" s="253">
        <f t="shared" si="5"/>
        <v>-1209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635.78956517190818</v>
      </c>
      <c r="E35" s="171">
        <f t="shared" ref="E35:Q35" si="6">SUM(E19+E20+E22+E24+E26+E27+E30+E34)</f>
        <v>1221.9794782062904</v>
      </c>
      <c r="F35" s="171">
        <f t="shared" si="6"/>
        <v>880.67961888072023</v>
      </c>
      <c r="G35" s="171">
        <f t="shared" si="6"/>
        <v>976.0209870726153</v>
      </c>
      <c r="H35" s="171">
        <f t="shared" si="6"/>
        <v>1106.1330000000007</v>
      </c>
      <c r="I35" s="171">
        <f t="shared" si="6"/>
        <v>1143.294838716291</v>
      </c>
      <c r="J35" s="171">
        <f t="shared" si="6"/>
        <v>660.45655699999952</v>
      </c>
      <c r="K35" s="173">
        <f t="shared" si="6"/>
        <v>-888.27772699999969</v>
      </c>
      <c r="L35" s="172">
        <f t="shared" si="6"/>
        <v>-733.90040100000078</v>
      </c>
      <c r="M35" s="171">
        <f t="shared" si="6"/>
        <v>-264.19916640439988</v>
      </c>
      <c r="N35" s="171">
        <f t="shared" si="6"/>
        <v>744.82082807390543</v>
      </c>
      <c r="O35" s="171">
        <f t="shared" si="6"/>
        <v>1151.945675241619</v>
      </c>
      <c r="P35" s="171">
        <f t="shared" si="6"/>
        <v>1885.1479316534114</v>
      </c>
      <c r="Q35" s="174">
        <f t="shared" si="6"/>
        <v>2264.0457982437883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2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2">
        <f>IF('HDPE-A3'!D7=0,"    -",ROUND('HDPE-A3'!D36/'HDPE-A3'!D7*100,1))</f>
        <v>85.1</v>
      </c>
      <c r="E43" s="53">
        <f>IF('HDPE-A3'!E7=0,"    -",ROUND('HDPE-A3'!E36/'HDPE-A3'!E7*100,1))</f>
        <v>84.5</v>
      </c>
      <c r="F43" s="53">
        <f>IF('HDPE-A3'!F7=0,"    -",ROUND('HDPE-A3'!F36/'HDPE-A3'!F7*100,1))</f>
        <v>89</v>
      </c>
      <c r="G43" s="53">
        <f>IF('HDPE-A3'!G7=0,"    -",ROUND('HDPE-A3'!G36/'HDPE-A3'!G7*100,1))</f>
        <v>93.8</v>
      </c>
      <c r="H43" s="53">
        <f>IF('HDPE-A3'!H7=0,"    -",ROUND('HDPE-A3'!H36/'HDPE-A3'!H7*100,1))</f>
        <v>89.9</v>
      </c>
      <c r="I43" s="53">
        <f>IF('HDPE-A3'!I7=0,"    -",ROUND('HDPE-A3'!I36/'HDPE-A3'!I7*100,1))</f>
        <v>91.5</v>
      </c>
      <c r="J43" s="53">
        <f>IF('HDPE-A3'!J7=0,"    -",ROUND('HDPE-A3'!J36/'HDPE-A3'!J7*100,1))</f>
        <v>89.3</v>
      </c>
      <c r="K43" s="54">
        <f>IF('HDPE-A3'!K7=0,"    -",ROUND('HDPE-A3'!K36/'HDPE-A3'!K7*100,1))</f>
        <v>87.3</v>
      </c>
      <c r="L43" s="55">
        <f>IF('HDPE-A3'!L7=0,"    -",ROUND('HDPE-A3'!L36/'HDPE-A3'!L7*100,1))</f>
        <v>88.1</v>
      </c>
      <c r="M43" s="53">
        <f>IF('HDPE-A3'!M7=0,"    -",ROUND('HDPE-A3'!M36/'HDPE-A3'!M7*100,1))</f>
        <v>86.2</v>
      </c>
      <c r="N43" s="53">
        <f>IF('HDPE-A3'!N7=0,"    -",ROUND('HDPE-A3'!N36/'HDPE-A3'!N7*100,1))</f>
        <v>84.4</v>
      </c>
      <c r="O43" s="53">
        <f>IF('HDPE-A3'!O7=0,"    -",ROUND('HDPE-A3'!O36/'HDPE-A3'!O7*100,1))</f>
        <v>84.4</v>
      </c>
      <c r="P43" s="53">
        <f>IF('HDPE-A3'!P7=0,"    -",ROUND('HDPE-A3'!P36/'HDPE-A3'!P7*100,1))</f>
        <v>86.4</v>
      </c>
      <c r="Q43" s="56">
        <f>IF('HDPE-A3'!Q7=0,"    -",ROUND('HDPE-A3'!Q36/'HDPE-A3'!Q7*100,1))</f>
        <v>81.2</v>
      </c>
    </row>
    <row r="44" spans="2:17" ht="16.5" customHeight="1">
      <c r="B44" s="605" t="s">
        <v>434</v>
      </c>
      <c r="C44" s="606"/>
      <c r="D44" s="52">
        <f>IF('HDPE-A3'!D8=0,"    -",ROUND('HDPE-A3'!D37/'HDPE-A3'!D8*100,1))</f>
        <v>81.7</v>
      </c>
      <c r="E44" s="53">
        <f>IF('HDPE-A3'!E8=0,"    -",ROUND('HDPE-A3'!E37/'HDPE-A3'!E8*100,1))</f>
        <v>78.099999999999994</v>
      </c>
      <c r="F44" s="53">
        <f>IF('HDPE-A3'!F8=0,"    -",ROUND('HDPE-A3'!F37/'HDPE-A3'!F8*100,1))</f>
        <v>70.599999999999994</v>
      </c>
      <c r="G44" s="53">
        <f>IF('HDPE-A3'!G8=0,"    -",ROUND('HDPE-A3'!G37/'HDPE-A3'!G8*100,1))</f>
        <v>84.1</v>
      </c>
      <c r="H44" s="53">
        <f>IF('HDPE-A3'!H8=0,"    -",ROUND('HDPE-A3'!H37/'HDPE-A3'!H8*100,1))</f>
        <v>78.5</v>
      </c>
      <c r="I44" s="53">
        <f>IF('HDPE-A3'!I8=0,"    -",ROUND('HDPE-A3'!I37/'HDPE-A3'!I8*100,1))</f>
        <v>88</v>
      </c>
      <c r="J44" s="53">
        <f>IF('HDPE-A3'!J8=0,"    -",ROUND('HDPE-A3'!J37/'HDPE-A3'!J8*100,1))</f>
        <v>89.5</v>
      </c>
      <c r="K44" s="54">
        <f>IF('HDPE-A3'!K8=0,"    -",ROUND('HDPE-A3'!K37/'HDPE-A3'!K8*100,1))</f>
        <v>87.4</v>
      </c>
      <c r="L44" s="55">
        <f>IF('HDPE-A3'!L8=0,"    -",ROUND('HDPE-A3'!L37/'HDPE-A3'!L8*100,1))</f>
        <v>87.1</v>
      </c>
      <c r="M44" s="53">
        <f>IF('HDPE-A3'!M8=0,"    -",ROUND('HDPE-A3'!M37/'HDPE-A3'!M8*100,1))</f>
        <v>90.1</v>
      </c>
      <c r="N44" s="53">
        <f>IF('HDPE-A3'!N8=0,"    -",ROUND('HDPE-A3'!N37/'HDPE-A3'!N8*100,1))</f>
        <v>90.1</v>
      </c>
      <c r="O44" s="53">
        <f>IF('HDPE-A3'!O8=0,"    -",ROUND('HDPE-A3'!O37/'HDPE-A3'!O8*100,1))</f>
        <v>90.1</v>
      </c>
      <c r="P44" s="53">
        <f>IF('HDPE-A3'!P8=0,"    -",ROUND('HDPE-A3'!P37/'HDPE-A3'!P8*100,1))</f>
        <v>90.1</v>
      </c>
      <c r="Q44" s="56">
        <f>IF('HDPE-A3'!Q8=0,"    -",ROUND('HDPE-A3'!Q37/'HDPE-A3'!Q8*100,1))</f>
        <v>90.1</v>
      </c>
    </row>
    <row r="45" spans="2:17" ht="16.5" customHeight="1">
      <c r="B45" s="605" t="s">
        <v>435</v>
      </c>
      <c r="C45" s="606"/>
      <c r="D45" s="52">
        <f>IF('HDPE-A3'!D9=0,"    -",ROUND('HDPE-A3'!D38/'HDPE-A3'!D9*100,1))</f>
        <v>95.1</v>
      </c>
      <c r="E45" s="53">
        <f>IF('HDPE-A3'!E9=0,"    -",ROUND('HDPE-A3'!E38/'HDPE-A3'!E9*100,1))</f>
        <v>90.7</v>
      </c>
      <c r="F45" s="53">
        <f>IF('HDPE-A3'!F9=0,"    -",ROUND('HDPE-A3'!F38/'HDPE-A3'!F9*100,1))</f>
        <v>81.8</v>
      </c>
      <c r="G45" s="53">
        <f>IF('HDPE-A3'!G9=0,"    -",ROUND('HDPE-A3'!G38/'HDPE-A3'!G9*100,1))</f>
        <v>96.4</v>
      </c>
      <c r="H45" s="53">
        <f>IF('HDPE-A3'!H9=0,"    -",ROUND('HDPE-A3'!H38/'HDPE-A3'!H9*100,1))</f>
        <v>90.4</v>
      </c>
      <c r="I45" s="53">
        <f>IF('HDPE-A3'!I9=0,"    -",ROUND('HDPE-A3'!I38/'HDPE-A3'!I9*100,1))</f>
        <v>100</v>
      </c>
      <c r="J45" s="53">
        <f>IF('HDPE-A3'!J9=0,"    -",ROUND('HDPE-A3'!J38/'HDPE-A3'!J9*100,1))</f>
        <v>95.1</v>
      </c>
      <c r="K45" s="54">
        <f>IF('HDPE-A3'!K9=0,"    -",ROUND('HDPE-A3'!K38/'HDPE-A3'!K9*100,1))</f>
        <v>87.9</v>
      </c>
      <c r="L45" s="55">
        <f>IF('HDPE-A3'!L9=0,"    -",ROUND('HDPE-A3'!L38/'HDPE-A3'!L9*100,1))</f>
        <v>90.5</v>
      </c>
      <c r="M45" s="53">
        <f>IF('HDPE-A3'!M9=0,"    -",ROUND('HDPE-A3'!M38/'HDPE-A3'!M9*100,1))</f>
        <v>95.1</v>
      </c>
      <c r="N45" s="53">
        <f>IF('HDPE-A3'!N9=0,"    -",ROUND('HDPE-A3'!N38/'HDPE-A3'!N9*100,1))</f>
        <v>95.1</v>
      </c>
      <c r="O45" s="53">
        <f>IF('HDPE-A3'!O9=0,"    -",ROUND('HDPE-A3'!O38/'HDPE-A3'!O9*100,1))</f>
        <v>90.5</v>
      </c>
      <c r="P45" s="53">
        <f>IF('HDPE-A3'!P9=0,"    -",ROUND('HDPE-A3'!P38/'HDPE-A3'!P9*100,1))</f>
        <v>95.1</v>
      </c>
      <c r="Q45" s="56">
        <f>IF('HDPE-A3'!Q9=0,"    -",ROUND('HDPE-A3'!Q38/'HDPE-A3'!Q9*100,1))</f>
        <v>90.5</v>
      </c>
    </row>
    <row r="46" spans="2:17" ht="16.5" customHeight="1">
      <c r="B46" s="605" t="s">
        <v>436</v>
      </c>
      <c r="C46" s="606"/>
      <c r="D46" s="52">
        <f>IF('HDPE-A3'!D10=0,"    -",ROUND('HDPE-A3'!D39/'HDPE-A3'!D10*100,1))</f>
        <v>100.2</v>
      </c>
      <c r="E46" s="53">
        <f>IF('HDPE-A3'!E10=0,"    -",ROUND('HDPE-A3'!E39/'HDPE-A3'!E10*100,1))</f>
        <v>103.4</v>
      </c>
      <c r="F46" s="53">
        <f>IF('HDPE-A3'!F10=0,"    -",ROUND('HDPE-A3'!F39/'HDPE-A3'!F10*100,1))</f>
        <v>99.8</v>
      </c>
      <c r="G46" s="53">
        <f>IF('HDPE-A3'!G10=0,"    -",ROUND('HDPE-A3'!G39/'HDPE-A3'!G10*100,1))</f>
        <v>90.9</v>
      </c>
      <c r="H46" s="53">
        <f>IF('HDPE-A3'!H10=0,"    -",ROUND('HDPE-A3'!H39/'HDPE-A3'!H10*100,1))</f>
        <v>90</v>
      </c>
      <c r="I46" s="53">
        <f>IF('HDPE-A3'!I10=0,"    -",ROUND('HDPE-A3'!I39/'HDPE-A3'!I10*100,1))</f>
        <v>86.2</v>
      </c>
      <c r="J46" s="53">
        <f>IF('HDPE-A3'!J10=0,"    -",ROUND('HDPE-A3'!J39/'HDPE-A3'!J10*100,1))</f>
        <v>91.2</v>
      </c>
      <c r="K46" s="54">
        <f>IF('HDPE-A3'!K10=0,"    -",ROUND('HDPE-A3'!K39/'HDPE-A3'!K10*100,1))</f>
        <v>92.2</v>
      </c>
      <c r="L46" s="55">
        <f>IF('HDPE-A3'!L10=0,"    -",ROUND('HDPE-A3'!L39/'HDPE-A3'!L10*100,1))</f>
        <v>97.7</v>
      </c>
      <c r="M46" s="53">
        <f>IF('HDPE-A3'!M10=0,"    -",ROUND('HDPE-A3'!M39/'HDPE-A3'!M10*100,1))</f>
        <v>90.3</v>
      </c>
      <c r="N46" s="53">
        <f>IF('HDPE-A3'!N10=0,"    -",ROUND('HDPE-A3'!N39/'HDPE-A3'!N10*100,1))</f>
        <v>83.2</v>
      </c>
      <c r="O46" s="53">
        <f>IF('HDPE-A3'!O10=0,"    -",ROUND('HDPE-A3'!O39/'HDPE-A3'!O10*100,1))</f>
        <v>81.400000000000006</v>
      </c>
      <c r="P46" s="53">
        <f>IF('HDPE-A3'!P10=0,"    -",ROUND('HDPE-A3'!P39/'HDPE-A3'!P10*100,1))</f>
        <v>82.8</v>
      </c>
      <c r="Q46" s="56">
        <f>IF('HDPE-A3'!Q10=0,"    -",ROUND('HDPE-A3'!Q39/'HDPE-A3'!Q10*100,1))</f>
        <v>85.6</v>
      </c>
    </row>
    <row r="47" spans="2:17" ht="16.5" customHeight="1">
      <c r="B47" s="605" t="s">
        <v>437</v>
      </c>
      <c r="C47" s="606"/>
      <c r="D47" s="52">
        <f>IF('HDPE-A3'!D11=0,"    -",ROUND('HDPE-A3'!D40/'HDPE-A3'!D11*100,1))</f>
        <v>65.400000000000006</v>
      </c>
      <c r="E47" s="53">
        <f>IF('HDPE-A3'!E11=0,"    -",ROUND('HDPE-A3'!E40/'HDPE-A3'!E11*100,1))</f>
        <v>85.1</v>
      </c>
      <c r="F47" s="53">
        <f>IF('HDPE-A3'!F11=0,"    -",ROUND('HDPE-A3'!F40/'HDPE-A3'!F11*100,1))</f>
        <v>86.2</v>
      </c>
      <c r="G47" s="53">
        <f>IF('HDPE-A3'!G11=0,"    -",ROUND('HDPE-A3'!G40/'HDPE-A3'!G11*100,1))</f>
        <v>91.9</v>
      </c>
      <c r="H47" s="53">
        <f>IF('HDPE-A3'!H11=0,"    -",ROUND('HDPE-A3'!H40/'HDPE-A3'!H11*100,1))</f>
        <v>87.9</v>
      </c>
      <c r="I47" s="53">
        <f>IF('HDPE-A3'!I11=0,"    -",ROUND('HDPE-A3'!I40/'HDPE-A3'!I11*100,1))</f>
        <v>97.4</v>
      </c>
      <c r="J47" s="53">
        <f>IF('HDPE-A3'!J11=0,"    -",ROUND('HDPE-A3'!J40/'HDPE-A3'!J11*100,1))</f>
        <v>94.6</v>
      </c>
      <c r="K47" s="54">
        <f>IF('HDPE-A3'!K11=0,"    -",ROUND('HDPE-A3'!K40/'HDPE-A3'!K11*100,1))</f>
        <v>95</v>
      </c>
      <c r="L47" s="55">
        <f>IF('HDPE-A3'!L11=0,"    -",ROUND('HDPE-A3'!L40/'HDPE-A3'!L11*100,1))</f>
        <v>95</v>
      </c>
      <c r="M47" s="53">
        <f>IF('HDPE-A3'!M11=0,"    -",ROUND('HDPE-A3'!M40/'HDPE-A3'!M11*100,1))</f>
        <v>95</v>
      </c>
      <c r="N47" s="53">
        <f>IF('HDPE-A3'!N11=0,"    -",ROUND('HDPE-A3'!N40/'HDPE-A3'!N11*100,1))</f>
        <v>95</v>
      </c>
      <c r="O47" s="53">
        <f>IF('HDPE-A3'!O11=0,"    -",ROUND('HDPE-A3'!O40/'HDPE-A3'!O11*100,1))</f>
        <v>95</v>
      </c>
      <c r="P47" s="53">
        <f>IF('HDPE-A3'!P11=0,"    -",ROUND('HDPE-A3'!P40/'HDPE-A3'!P11*100,1))</f>
        <v>95</v>
      </c>
      <c r="Q47" s="56">
        <f>IF('HDPE-A3'!Q11=0,"    -",ROUND('HDPE-A3'!Q40/'HDPE-A3'!Q11*100,1))</f>
        <v>95</v>
      </c>
    </row>
    <row r="48" spans="2:17" ht="16.5" customHeight="1">
      <c r="B48" s="605" t="s">
        <v>438</v>
      </c>
      <c r="C48" s="606"/>
      <c r="D48" s="52">
        <f>IF('HDPE-A3'!D12=0,"    -",ROUND('HDPE-A3'!D41/'HDPE-A3'!D12*100,1))</f>
        <v>73.5</v>
      </c>
      <c r="E48" s="53">
        <f>IF('HDPE-A3'!E12=0,"    -",ROUND('HDPE-A3'!E41/'HDPE-A3'!E12*100,1))</f>
        <v>73.5</v>
      </c>
      <c r="F48" s="53">
        <f>IF('HDPE-A3'!F12=0,"    -",ROUND('HDPE-A3'!F41/'HDPE-A3'!F12*100,1))</f>
        <v>73.5</v>
      </c>
      <c r="G48" s="53">
        <f>IF('HDPE-A3'!G12=0,"    -",ROUND('HDPE-A3'!G41/'HDPE-A3'!G12*100,1))</f>
        <v>73.5</v>
      </c>
      <c r="H48" s="53">
        <f>IF('HDPE-A3'!H12=0,"    -",ROUND('HDPE-A3'!H41/'HDPE-A3'!H12*100,1))</f>
        <v>73.5</v>
      </c>
      <c r="I48" s="53">
        <f>IF('HDPE-A3'!I12=0,"    -",ROUND('HDPE-A3'!I41/'HDPE-A3'!I12*100,1))</f>
        <v>73.5</v>
      </c>
      <c r="J48" s="53">
        <f>IF('HDPE-A3'!J12=0,"    -",ROUND('HDPE-A3'!J41/'HDPE-A3'!J12*100,1))</f>
        <v>73.5</v>
      </c>
      <c r="K48" s="54">
        <f>IF('HDPE-A3'!K12=0,"    -",ROUND('HDPE-A3'!K41/'HDPE-A3'!K12*100,1))</f>
        <v>73.5</v>
      </c>
      <c r="L48" s="55">
        <f>IF('HDPE-A3'!L12=0,"    -",ROUND('HDPE-A3'!L41/'HDPE-A3'!L12*100,1))</f>
        <v>73.5</v>
      </c>
      <c r="M48" s="53">
        <f>IF('HDPE-A3'!M12=0,"    -",ROUND('HDPE-A3'!M41/'HDPE-A3'!M12*100,1))</f>
        <v>73.5</v>
      </c>
      <c r="N48" s="53">
        <f>IF('HDPE-A3'!N12=0,"    -",ROUND('HDPE-A3'!N41/'HDPE-A3'!N12*100,1))</f>
        <v>73.5</v>
      </c>
      <c r="O48" s="53">
        <f>IF('HDPE-A3'!O12=0,"    -",ROUND('HDPE-A3'!O41/'HDPE-A3'!O12*100,1))</f>
        <v>73.5</v>
      </c>
      <c r="P48" s="53">
        <f>IF('HDPE-A3'!P12=0,"    -",ROUND('HDPE-A3'!P41/'HDPE-A3'!P12*100,1))</f>
        <v>73.5</v>
      </c>
      <c r="Q48" s="56">
        <f>IF('HDPE-A3'!Q12=0,"    -",ROUND('HDPE-A3'!Q41/'HDPE-A3'!Q12*100,1))</f>
        <v>73.5</v>
      </c>
    </row>
    <row r="49" spans="2:17" ht="16.5" customHeight="1">
      <c r="B49" s="605" t="s">
        <v>439</v>
      </c>
      <c r="C49" s="606"/>
      <c r="D49" s="52">
        <f>IF('HDPE-A3'!D13=0,"    -",ROUND('HDPE-A3'!D42/'HDPE-A3'!D13*100,1))</f>
        <v>96.3</v>
      </c>
      <c r="E49" s="53">
        <f>IF('HDPE-A3'!E13=0,"    -",ROUND('HDPE-A3'!E42/'HDPE-A3'!E13*100,1))</f>
        <v>87</v>
      </c>
      <c r="F49" s="53">
        <f>IF('HDPE-A3'!F13=0,"    -",ROUND('HDPE-A3'!F42/'HDPE-A3'!F13*100,1))</f>
        <v>84.2</v>
      </c>
      <c r="G49" s="53">
        <f>IF('HDPE-A3'!G13=0,"    -",ROUND('HDPE-A3'!G42/'HDPE-A3'!G13*100,1))</f>
        <v>88.5</v>
      </c>
      <c r="H49" s="53">
        <f>IF('HDPE-A3'!H13=0,"    -",ROUND('HDPE-A3'!H42/'HDPE-A3'!H13*100,1))</f>
        <v>93.4</v>
      </c>
      <c r="I49" s="53">
        <f>IF('HDPE-A3'!I13=0,"    -",ROUND('HDPE-A3'!I42/'HDPE-A3'!I13*100,1))</f>
        <v>93.4</v>
      </c>
      <c r="J49" s="53">
        <f>IF('HDPE-A3'!J13=0,"    -",ROUND('HDPE-A3'!J42/'HDPE-A3'!J13*100,1))</f>
        <v>66.900000000000006</v>
      </c>
      <c r="K49" s="54">
        <f>IF('HDPE-A3'!K13=0,"    -",ROUND('HDPE-A3'!K42/'HDPE-A3'!K13*100,1))</f>
        <v>60.9</v>
      </c>
      <c r="L49" s="55">
        <f>IF('HDPE-A3'!L13=0,"    -",ROUND('HDPE-A3'!L42/'HDPE-A3'!L13*100,1))</f>
        <v>66.099999999999994</v>
      </c>
      <c r="M49" s="53">
        <f>IF('HDPE-A3'!M13=0,"    -",ROUND('HDPE-A3'!M42/'HDPE-A3'!M13*100,1))</f>
        <v>69.599999999999994</v>
      </c>
      <c r="N49" s="53">
        <f>IF('HDPE-A3'!N13=0,"    -",ROUND('HDPE-A3'!N42/'HDPE-A3'!N13*100,1))</f>
        <v>76.599999999999994</v>
      </c>
      <c r="O49" s="53">
        <f>IF('HDPE-A3'!O13=0,"    -",ROUND('HDPE-A3'!O42/'HDPE-A3'!O13*100,1))</f>
        <v>76.599999999999994</v>
      </c>
      <c r="P49" s="53">
        <f>IF('HDPE-A3'!P13=0,"    -",ROUND('HDPE-A3'!P42/'HDPE-A3'!P13*100,1))</f>
        <v>83.5</v>
      </c>
      <c r="Q49" s="56">
        <f>IF('HDPE-A3'!Q13=0,"    -",ROUND('HDPE-A3'!Q42/'HDPE-A3'!Q13*100,1))</f>
        <v>83.5</v>
      </c>
    </row>
    <row r="50" spans="2:17" ht="18" hidden="1" customHeight="1">
      <c r="B50" s="16"/>
      <c r="C50" s="90" t="s">
        <v>306</v>
      </c>
      <c r="D50" s="52" t="str">
        <f>IF('HDPE-A3'!D14=0,"    -",ROUND('HDPE-A3'!D43/'HDPE-A3'!D14*100,1))</f>
        <v xml:space="preserve">    -</v>
      </c>
      <c r="E50" s="53" t="str">
        <f>IF('HDPE-A3'!E14=0,"    -",ROUND('HDPE-A3'!E43/'HDPE-A3'!E14*100,1))</f>
        <v xml:space="preserve">    -</v>
      </c>
      <c r="F50" s="53" t="str">
        <f>IF('HDPE-A3'!F14=0,"    -",ROUND('HDPE-A3'!F43/'HDPE-A3'!F14*100,1))</f>
        <v xml:space="preserve">    -</v>
      </c>
      <c r="G50" s="53" t="str">
        <f>IF('HDPE-A3'!G14=0,"    -",ROUND('HDPE-A3'!G43/'HDPE-A3'!G14*100,1))</f>
        <v xml:space="preserve">    -</v>
      </c>
      <c r="H50" s="53" t="str">
        <f>IF('HDPE-A3'!H14=0,"    -",ROUND('HDPE-A3'!H43/'HDPE-A3'!H14*100,1))</f>
        <v xml:space="preserve">    -</v>
      </c>
      <c r="I50" s="53" t="str">
        <f>IF('HDPE-A3'!I14=0,"    -",ROUND('HDPE-A3'!I43/'HDPE-A3'!I14*100,1))</f>
        <v xml:space="preserve">    -</v>
      </c>
      <c r="J50" s="53" t="str">
        <f>IF('HDPE-A3'!J14=0,"    -",ROUND('HDPE-A3'!J43/'HDPE-A3'!J14*100,1))</f>
        <v xml:space="preserve">    -</v>
      </c>
      <c r="K50" s="54" t="str">
        <f>IF('HDPE-A3'!K14=0,"    -",ROUND('HDPE-A3'!K43/'HDPE-A3'!K14*100,1))</f>
        <v xml:space="preserve">    -</v>
      </c>
      <c r="L50" s="55" t="str">
        <f>IF('HDPE-A3'!L14=0,"    -",ROUND('HDPE-A3'!L43/'HDPE-A3'!L14*100,1))</f>
        <v xml:space="preserve">    -</v>
      </c>
      <c r="M50" s="53" t="str">
        <f>IF('HDPE-A3'!M14=0,"    -",ROUND('HDPE-A3'!M43/'HDPE-A3'!M14*100,1))</f>
        <v xml:space="preserve">    -</v>
      </c>
      <c r="N50" s="53" t="str">
        <f>IF('HDPE-A3'!N14=0,"    -",ROUND('HDPE-A3'!N43/'HDPE-A3'!N14*100,1))</f>
        <v xml:space="preserve">    -</v>
      </c>
      <c r="O50" s="53" t="str">
        <f>IF('HDPE-A3'!O14=0,"    -",ROUND('HDPE-A3'!O43/'HDPE-A3'!O14*100,1))</f>
        <v xml:space="preserve">    -</v>
      </c>
      <c r="P50" s="53" t="str">
        <f>IF('HDPE-A3'!P14=0,"    -",ROUND('HDPE-A3'!P43/'HDPE-A3'!P14*100,1))</f>
        <v xml:space="preserve">    -</v>
      </c>
      <c r="Q50" s="56" t="str">
        <f>IF('HDPE-A3'!Q14=0,"    -",ROUND('HDPE-A3'!Q43/'HDPE-A3'!Q14*100,1))</f>
        <v xml:space="preserve">    -</v>
      </c>
    </row>
    <row r="51" spans="2:17" ht="16.5" customHeight="1">
      <c r="B51" s="605" t="s">
        <v>440</v>
      </c>
      <c r="C51" s="606"/>
      <c r="D51" s="52">
        <f>IF('HDPE-A3'!D15=0,"    -",ROUND('HDPE-A3'!D44/'HDPE-A3'!D15*100,1))</f>
        <v>20.5</v>
      </c>
      <c r="E51" s="53">
        <f>IF('HDPE-A3'!E15=0,"    -",ROUND('HDPE-A3'!E44/'HDPE-A3'!E15*100,1))</f>
        <v>16.399999999999999</v>
      </c>
      <c r="F51" s="53">
        <f>IF('HDPE-A3'!F15=0,"    -",ROUND('HDPE-A3'!F44/'HDPE-A3'!F15*100,1))</f>
        <v>15</v>
      </c>
      <c r="G51" s="53">
        <f>IF('HDPE-A3'!G15=0,"    -",ROUND('HDPE-A3'!G44/'HDPE-A3'!G15*100,1))</f>
        <v>5.5</v>
      </c>
      <c r="H51" s="53">
        <f>IF('HDPE-A3'!H15=0,"    -",ROUND('HDPE-A3'!H44/'HDPE-A3'!H15*100,1))</f>
        <v>4.0999999999999996</v>
      </c>
      <c r="I51" s="53">
        <f>IF('HDPE-A3'!I15=0,"    -",ROUND('HDPE-A3'!I44/'HDPE-A3'!I15*100,1))</f>
        <v>15.9</v>
      </c>
      <c r="J51" s="53">
        <f>IF('HDPE-A3'!J15=0,"    -",ROUND('HDPE-A3'!J44/'HDPE-A3'!J15*100,1))</f>
        <v>27.6</v>
      </c>
      <c r="K51" s="54">
        <f>IF('HDPE-A3'!K15=0,"    -",ROUND('HDPE-A3'!K44/'HDPE-A3'!K15*100,1))</f>
        <v>41.4</v>
      </c>
      <c r="L51" s="55">
        <f>IF('HDPE-A3'!L15=0,"    -",ROUND('HDPE-A3'!L44/'HDPE-A3'!L15*100,1))</f>
        <v>48.3</v>
      </c>
      <c r="M51" s="53">
        <f>IF('HDPE-A3'!M15=0,"    -",ROUND('HDPE-A3'!M44/'HDPE-A3'!M15*100,1))</f>
        <v>55.2</v>
      </c>
      <c r="N51" s="53">
        <f>IF('HDPE-A3'!N15=0,"    -",ROUND('HDPE-A3'!N44/'HDPE-A3'!N15*100,1))</f>
        <v>62.1</v>
      </c>
      <c r="O51" s="53">
        <f>IF('HDPE-A3'!O15=0,"    -",ROUND('HDPE-A3'!O44/'HDPE-A3'!O15*100,1))</f>
        <v>54.1</v>
      </c>
      <c r="P51" s="53">
        <f>IF('HDPE-A3'!P15=0,"    -",ROUND('HDPE-A3'!P44/'HDPE-A3'!P15*100,1))</f>
        <v>59.5</v>
      </c>
      <c r="Q51" s="56">
        <f>IF('HDPE-A3'!Q15=0,"    -",ROUND('HDPE-A3'!Q44/'HDPE-A3'!Q15*100,1))</f>
        <v>64.900000000000006</v>
      </c>
    </row>
    <row r="52" spans="2:17" ht="16.5" customHeight="1">
      <c r="B52" s="605" t="s">
        <v>441</v>
      </c>
      <c r="C52" s="606"/>
      <c r="D52" s="52">
        <f>IF('HDPE-A3'!D16=0,"    -",ROUND('HDPE-A3'!D45/'HDPE-A3'!D16*100,1))</f>
        <v>92.5</v>
      </c>
      <c r="E52" s="53">
        <f>IF('HDPE-A3'!E16=0,"    -",ROUND('HDPE-A3'!E45/'HDPE-A3'!E16*100,1))</f>
        <v>90.6</v>
      </c>
      <c r="F52" s="53">
        <f>IF('HDPE-A3'!F16=0,"    -",ROUND('HDPE-A3'!F45/'HDPE-A3'!F16*100,1))</f>
        <v>92.5</v>
      </c>
      <c r="G52" s="53">
        <f>IF('HDPE-A3'!G16=0,"    -",ROUND('HDPE-A3'!G45/'HDPE-A3'!G16*100,1))</f>
        <v>91.9</v>
      </c>
      <c r="H52" s="53">
        <f>IF('HDPE-A3'!H16=0,"    -",ROUND('HDPE-A3'!H45/'HDPE-A3'!H16*100,1))</f>
        <v>81.099999999999994</v>
      </c>
      <c r="I52" s="53">
        <f>IF('HDPE-A3'!I16=0,"    -",ROUND('HDPE-A3'!I45/'HDPE-A3'!I16*100,1))</f>
        <v>90.6</v>
      </c>
      <c r="J52" s="53">
        <f>IF('HDPE-A3'!J16=0,"    -",ROUND('HDPE-A3'!J45/'HDPE-A3'!J16*100,1))</f>
        <v>90</v>
      </c>
      <c r="K52" s="54">
        <f>IF('HDPE-A3'!K16=0,"    -",ROUND('HDPE-A3'!K45/'HDPE-A3'!K16*100,1))</f>
        <v>87.2</v>
      </c>
      <c r="L52" s="55">
        <f>IF('HDPE-A3'!L16=0,"    -",ROUND('HDPE-A3'!L45/'HDPE-A3'!L16*100,1))</f>
        <v>87.2</v>
      </c>
      <c r="M52" s="53">
        <f>IF('HDPE-A3'!M16=0,"    -",ROUND('HDPE-A3'!M45/'HDPE-A3'!M16*100,1))</f>
        <v>87.2</v>
      </c>
      <c r="N52" s="53">
        <f>IF('HDPE-A3'!N16=0,"    -",ROUND('HDPE-A3'!N45/'HDPE-A3'!N16*100,1))</f>
        <v>86.6</v>
      </c>
      <c r="O52" s="53">
        <f>IF('HDPE-A3'!O16=0,"    -",ROUND('HDPE-A3'!O45/'HDPE-A3'!O16*100,1))</f>
        <v>86.6</v>
      </c>
      <c r="P52" s="53">
        <f>IF('HDPE-A3'!P16=0,"    -",ROUND('HDPE-A3'!P45/'HDPE-A3'!P16*100,1))</f>
        <v>86.6</v>
      </c>
      <c r="Q52" s="56">
        <f>IF('HDPE-A3'!Q16=0,"    -",ROUND('HDPE-A3'!Q45/'HDPE-A3'!Q16*100,1))</f>
        <v>86.6</v>
      </c>
    </row>
    <row r="53" spans="2:17" ht="16.5" customHeight="1">
      <c r="B53" s="605" t="s">
        <v>442</v>
      </c>
      <c r="C53" s="606"/>
      <c r="D53" s="52" t="str">
        <f>IF('HDPE-A3'!D17=0,"    -",ROUND('HDPE-A3'!D46/'HDPE-A3'!D17*100,1))</f>
        <v xml:space="preserve">    -</v>
      </c>
      <c r="E53" s="53" t="str">
        <f>IF('HDPE-A3'!E17=0,"    -",ROUND('HDPE-A3'!E46/'HDPE-A3'!E17*100,1))</f>
        <v xml:space="preserve">    -</v>
      </c>
      <c r="F53" s="53" t="str">
        <f>IF('HDPE-A3'!F17=0,"    -",ROUND('HDPE-A3'!F46/'HDPE-A3'!F17*100,1))</f>
        <v xml:space="preserve">    -</v>
      </c>
      <c r="G53" s="53" t="str">
        <f>IF('HDPE-A3'!G17=0,"    -",ROUND('HDPE-A3'!G46/'HDPE-A3'!G17*100,1))</f>
        <v xml:space="preserve">    -</v>
      </c>
      <c r="H53" s="53" t="str">
        <f>IF('HDPE-A3'!H17=0,"    -",ROUND('HDPE-A3'!H46/'HDPE-A3'!H17*100,1))</f>
        <v xml:space="preserve">    -</v>
      </c>
      <c r="I53" s="53" t="str">
        <f>IF('HDPE-A3'!I17=0,"    -",ROUND('HDPE-A3'!I46/'HDPE-A3'!I17*100,1))</f>
        <v xml:space="preserve">    -</v>
      </c>
      <c r="J53" s="53" t="str">
        <f>IF('HDPE-A3'!J17=0,"    -",ROUND('HDPE-A3'!J46/'HDPE-A3'!J17*100,1))</f>
        <v xml:space="preserve">    -</v>
      </c>
      <c r="K53" s="54" t="str">
        <f>IF('HDPE-A3'!K17=0,"    -",ROUND('HDPE-A3'!K46/'HDPE-A3'!K17*100,1))</f>
        <v xml:space="preserve">    -</v>
      </c>
      <c r="L53" s="55" t="str">
        <f>IF('HDPE-A3'!L17=0,"    -",ROUND('HDPE-A3'!L46/'HDPE-A3'!L17*100,1))</f>
        <v xml:space="preserve">    -</v>
      </c>
      <c r="M53" s="53" t="str">
        <f>IF('HDPE-A3'!M17=0,"    -",ROUND('HDPE-A3'!M46/'HDPE-A3'!M17*100,1))</f>
        <v xml:space="preserve">    -</v>
      </c>
      <c r="N53" s="53" t="str">
        <f>IF('HDPE-A3'!N17=0,"    -",ROUND('HDPE-A3'!N46/'HDPE-A3'!N17*100,1))</f>
        <v xml:space="preserve">    -</v>
      </c>
      <c r="O53" s="53" t="str">
        <f>IF('HDPE-A3'!O17=0,"    -",ROUND('HDPE-A3'!O46/'HDPE-A3'!O17*100,1))</f>
        <v xml:space="preserve">    -</v>
      </c>
      <c r="P53" s="53" t="str">
        <f>IF('HDPE-A3'!P17=0,"    -",ROUND('HDPE-A3'!P46/'HDPE-A3'!P17*100,1))</f>
        <v xml:space="preserve">    -</v>
      </c>
      <c r="Q53" s="56">
        <f>IF('HDPE-A3'!Q17=0,"    -",ROUND('HDPE-A3'!Q46/'HDPE-A3'!Q17*100,1))</f>
        <v>100</v>
      </c>
    </row>
    <row r="54" spans="2:17" ht="16.5" customHeight="1">
      <c r="B54" s="607" t="s">
        <v>443</v>
      </c>
      <c r="C54" s="608"/>
      <c r="D54" s="52">
        <f>IF('HDPE-A3'!D18=0,"    -",ROUND('HDPE-A3'!D47/'HDPE-A3'!D18*100,1))</f>
        <v>75.3</v>
      </c>
      <c r="E54" s="53">
        <f>IF('HDPE-A3'!E18=0,"    -",ROUND('HDPE-A3'!E47/'HDPE-A3'!E18*100,1))</f>
        <v>71.400000000000006</v>
      </c>
      <c r="F54" s="53">
        <f>IF('HDPE-A3'!F18=0,"    -",ROUND('HDPE-A3'!F47/'HDPE-A3'!F18*100,1))</f>
        <v>70.5</v>
      </c>
      <c r="G54" s="53">
        <f>IF('HDPE-A3'!G18=0,"    -",ROUND('HDPE-A3'!G47/'HDPE-A3'!G18*100,1))</f>
        <v>76.599999999999994</v>
      </c>
      <c r="H54" s="53">
        <f>IF('HDPE-A3'!H18=0,"    -",ROUND('HDPE-A3'!H47/'HDPE-A3'!H18*100,1))</f>
        <v>71.599999999999994</v>
      </c>
      <c r="I54" s="53">
        <f>IF('HDPE-A3'!I18=0,"    -",ROUND('HDPE-A3'!I47/'HDPE-A3'!I18*100,1))</f>
        <v>79</v>
      </c>
      <c r="J54" s="53">
        <f>IF('HDPE-A3'!J18=0,"    -",ROUND('HDPE-A3'!J47/'HDPE-A3'!J18*100,1))</f>
        <v>72.400000000000006</v>
      </c>
      <c r="K54" s="54">
        <f>IF('HDPE-A3'!K18=0,"    -",ROUND('HDPE-A3'!K47/'HDPE-A3'!K18*100,1))</f>
        <v>78</v>
      </c>
      <c r="L54" s="55">
        <f>IF('HDPE-A3'!L18=0,"    -",ROUND('HDPE-A3'!L47/'HDPE-A3'!L18*100,1))</f>
        <v>75.400000000000006</v>
      </c>
      <c r="M54" s="53">
        <f>IF('HDPE-A3'!M18=0,"    -",ROUND('HDPE-A3'!M47/'HDPE-A3'!M18*100,1))</f>
        <v>73.099999999999994</v>
      </c>
      <c r="N54" s="53">
        <f>IF('HDPE-A3'!N18=0,"    -",ROUND('HDPE-A3'!N47/'HDPE-A3'!N18*100,1))</f>
        <v>72.5</v>
      </c>
      <c r="O54" s="53">
        <f>IF('HDPE-A3'!O18=0,"    -",ROUND('HDPE-A3'!O47/'HDPE-A3'!O18*100,1))</f>
        <v>72.5</v>
      </c>
      <c r="P54" s="53">
        <f>IF('HDPE-A3'!P18=0,"    -",ROUND('HDPE-A3'!P47/'HDPE-A3'!P18*100,1))</f>
        <v>72.5</v>
      </c>
      <c r="Q54" s="56">
        <f>IF('HDPE-A3'!Q18=0,"    -",ROUND('HDPE-A3'!Q47/'HDPE-A3'!Q18*100,1))</f>
        <v>72.5</v>
      </c>
    </row>
    <row r="55" spans="2:17" ht="17.25" customHeight="1">
      <c r="B55" s="674" t="s">
        <v>307</v>
      </c>
      <c r="C55" s="675"/>
      <c r="D55" s="69">
        <f>IF('HDPE-A3'!D19=0,"    -",ROUND('HDPE-A3'!D48/'HDPE-A3'!D19*100,1))</f>
        <v>87.2</v>
      </c>
      <c r="E55" s="70">
        <f>IF('HDPE-A3'!E19=0,"    -",ROUND('HDPE-A3'!E48/'HDPE-A3'!E19*100,1))</f>
        <v>89.4</v>
      </c>
      <c r="F55" s="70">
        <f>IF('HDPE-A3'!F19=0,"    -",ROUND('HDPE-A3'!F48/'HDPE-A3'!F19*100,1))</f>
        <v>88.1</v>
      </c>
      <c r="G55" s="70">
        <f>IF('HDPE-A3'!G19=0,"    -",ROUND('HDPE-A3'!G48/'HDPE-A3'!G19*100,1))</f>
        <v>88.5</v>
      </c>
      <c r="H55" s="70">
        <f>IF('HDPE-A3'!H19=0,"    -",ROUND('HDPE-A3'!H48/'HDPE-A3'!H19*100,1))</f>
        <v>86.6</v>
      </c>
      <c r="I55" s="70">
        <f>IF('HDPE-A3'!I19=0,"    -",ROUND('HDPE-A3'!I48/'HDPE-A3'!I19*100,1))</f>
        <v>87.8</v>
      </c>
      <c r="J55" s="70">
        <f>IF('HDPE-A3'!J19=0,"    -",ROUND('HDPE-A3'!J48/'HDPE-A3'!J19*100,1))</f>
        <v>85.4</v>
      </c>
      <c r="K55" s="71">
        <f>IF('HDPE-A3'!K19=0,"    -",ROUND('HDPE-A3'!K48/'HDPE-A3'!K19*100,1))</f>
        <v>84.3</v>
      </c>
      <c r="L55" s="72">
        <f>IF('HDPE-A3'!L19=0,"    -",ROUND('HDPE-A3'!L48/'HDPE-A3'!L19*100,1))</f>
        <v>87.6</v>
      </c>
      <c r="M55" s="70">
        <f>IF('HDPE-A3'!M19=0,"    -",ROUND('HDPE-A3'!M48/'HDPE-A3'!M19*100,1))</f>
        <v>85.4</v>
      </c>
      <c r="N55" s="70">
        <f>IF('HDPE-A3'!N19=0,"    -",ROUND('HDPE-A3'!N48/'HDPE-A3'!N19*100,1))</f>
        <v>83.2</v>
      </c>
      <c r="O55" s="70">
        <f>IF('HDPE-A3'!O19=0,"    -",ROUND('HDPE-A3'!O48/'HDPE-A3'!O19*100,1))</f>
        <v>82.1</v>
      </c>
      <c r="P55" s="70">
        <f>IF('HDPE-A3'!P19=0,"    -",ROUND('HDPE-A3'!P48/'HDPE-A3'!P19*100,1))</f>
        <v>84.1</v>
      </c>
      <c r="Q55" s="73">
        <f>IF('HDPE-A3'!Q19=0,"    -",ROUND('HDPE-A3'!Q48/'HDPE-A3'!Q19*100,1))</f>
        <v>84.8</v>
      </c>
    </row>
    <row r="56" spans="2:17" ht="17.25" customHeight="1">
      <c r="B56" s="672" t="s">
        <v>308</v>
      </c>
      <c r="C56" s="673"/>
      <c r="D56" s="132">
        <f>IF('HDPE-A3'!D20=0,"    -",ROUND('HDPE-A3'!D49/'HDPE-A3'!D20*100,1))</f>
        <v>100</v>
      </c>
      <c r="E56" s="133">
        <f>IF('HDPE-A3'!E20=0,"    -",ROUND('HDPE-A3'!E49/'HDPE-A3'!E20*100,1))</f>
        <v>77</v>
      </c>
      <c r="F56" s="133">
        <f>IF('HDPE-A3'!F20=0,"    -",ROUND('HDPE-A3'!F49/'HDPE-A3'!F20*100,1))</f>
        <v>90</v>
      </c>
      <c r="G56" s="133">
        <f>IF('HDPE-A3'!G20=0,"    -",ROUND('HDPE-A3'!G49/'HDPE-A3'!G20*100,1))</f>
        <v>100</v>
      </c>
      <c r="H56" s="133">
        <f>IF('HDPE-A3'!H20=0,"    -",ROUND('HDPE-A3'!H49/'HDPE-A3'!H20*100,1))</f>
        <v>100</v>
      </c>
      <c r="I56" s="133">
        <f>IF('HDPE-A3'!I20=0,"    -",ROUND('HDPE-A3'!I49/'HDPE-A3'!I20*100,1))</f>
        <v>100</v>
      </c>
      <c r="J56" s="133">
        <f>IF('HDPE-A3'!J20=0,"    -",ROUND('HDPE-A3'!J49/'HDPE-A3'!J20*100,1))</f>
        <v>100</v>
      </c>
      <c r="K56" s="134">
        <f>IF('HDPE-A3'!K20=0,"    -",ROUND('HDPE-A3'!K49/'HDPE-A3'!K20*100,1))</f>
        <v>90.2</v>
      </c>
      <c r="L56" s="132">
        <f>IF('HDPE-A3'!L20=0,"    -",ROUND('HDPE-A3'!L49/'HDPE-A3'!L20*100,1))</f>
        <v>95.1</v>
      </c>
      <c r="M56" s="133">
        <f>IF('HDPE-A3'!M20=0,"    -",ROUND('HDPE-A3'!M49/'HDPE-A3'!M20*100,1))</f>
        <v>95.1</v>
      </c>
      <c r="N56" s="133">
        <f>IF('HDPE-A3'!N20=0,"    -",ROUND('HDPE-A3'!N49/'HDPE-A3'!N20*100,1))</f>
        <v>95.1</v>
      </c>
      <c r="O56" s="133">
        <f>IF('HDPE-A3'!O20=0,"    -",ROUND('HDPE-A3'!O49/'HDPE-A3'!O20*100,1))</f>
        <v>95.1</v>
      </c>
      <c r="P56" s="133">
        <f>IF('HDPE-A3'!P20=0,"    -",ROUND('HDPE-A3'!P49/'HDPE-A3'!P20*100,1))</f>
        <v>95.1</v>
      </c>
      <c r="Q56" s="134">
        <f>IF('HDPE-A3'!Q20=0,"    -",ROUND('HDPE-A3'!Q49/'HDPE-A3'!Q20*100,1))</f>
        <v>95.1</v>
      </c>
    </row>
    <row r="57" spans="2:17" ht="16.5" customHeight="1">
      <c r="B57" s="105"/>
      <c r="C57" s="97" t="s">
        <v>309</v>
      </c>
      <c r="D57" s="132">
        <f>IF('HDPE-A3'!D21=0,"    -",ROUND('HDPE-A3'!D50/'HDPE-A3'!D21*100,1))</f>
        <v>100</v>
      </c>
      <c r="E57" s="133">
        <f>IF('HDPE-A3'!E21=0,"    -",ROUND('HDPE-A3'!E50/'HDPE-A3'!E21*100,1))</f>
        <v>77</v>
      </c>
      <c r="F57" s="133">
        <f>IF('HDPE-A3'!F21=0,"    -",ROUND('HDPE-A3'!F50/'HDPE-A3'!F21*100,1))</f>
        <v>90</v>
      </c>
      <c r="G57" s="133">
        <f>IF('HDPE-A3'!G21=0,"    -",ROUND('HDPE-A3'!G50/'HDPE-A3'!G21*100,1))</f>
        <v>100</v>
      </c>
      <c r="H57" s="133">
        <f>IF('HDPE-A3'!H21=0,"    -",ROUND('HDPE-A3'!H50/'HDPE-A3'!H21*100,1))</f>
        <v>100</v>
      </c>
      <c r="I57" s="133">
        <f>IF('HDPE-A3'!I21=0,"    -",ROUND('HDPE-A3'!I50/'HDPE-A3'!I21*100,1))</f>
        <v>100</v>
      </c>
      <c r="J57" s="133">
        <f>IF('HDPE-A3'!J21=0,"    -",ROUND('HDPE-A3'!J50/'HDPE-A3'!J21*100,1))</f>
        <v>100</v>
      </c>
      <c r="K57" s="134">
        <f>IF('HDPE-A3'!K21=0,"    -",ROUND('HDPE-A3'!K50/'HDPE-A3'!K21*100,1))</f>
        <v>90.2</v>
      </c>
      <c r="L57" s="132">
        <f>IF('HDPE-A3'!L21=0,"    -",ROUND('HDPE-A3'!L50/'HDPE-A3'!L21*100,1))</f>
        <v>95.1</v>
      </c>
      <c r="M57" s="133">
        <f>IF('HDPE-A3'!M21=0,"    -",ROUND('HDPE-A3'!M50/'HDPE-A3'!M21*100,1))</f>
        <v>95.1</v>
      </c>
      <c r="N57" s="133">
        <f>IF('HDPE-A3'!N21=0,"    -",ROUND('HDPE-A3'!N50/'HDPE-A3'!N21*100,1))</f>
        <v>95.1</v>
      </c>
      <c r="O57" s="133">
        <f>IF('HDPE-A3'!O21=0,"    -",ROUND('HDPE-A3'!O50/'HDPE-A3'!O21*100,1))</f>
        <v>95.1</v>
      </c>
      <c r="P57" s="133">
        <f>IF('HDPE-A3'!P21=0,"    -",ROUND('HDPE-A3'!P50/'HDPE-A3'!P21*100,1))</f>
        <v>95.1</v>
      </c>
      <c r="Q57" s="134">
        <f>IF('HDPE-A3'!Q21=0,"    -",ROUND('HDPE-A3'!Q50/'HDPE-A3'!Q21*100,1))</f>
        <v>95.1</v>
      </c>
    </row>
    <row r="58" spans="2:17" ht="17.25" customHeight="1">
      <c r="B58" s="672" t="s">
        <v>310</v>
      </c>
      <c r="C58" s="673"/>
      <c r="D58" s="52">
        <f>IF('HDPE-A3'!D22=0,"    -",ROUND('HDPE-A3'!D51/'HDPE-A3'!D22*100,1))</f>
        <v>87.3</v>
      </c>
      <c r="E58" s="53">
        <f>IF('HDPE-A3'!E22=0,"    -",ROUND('HDPE-A3'!E51/'HDPE-A3'!E22*100,1))</f>
        <v>84.1</v>
      </c>
      <c r="F58" s="53">
        <f>IF('HDPE-A3'!F22=0,"    -",ROUND('HDPE-A3'!F51/'HDPE-A3'!F22*100,1))</f>
        <v>77.900000000000006</v>
      </c>
      <c r="G58" s="53">
        <f>IF('HDPE-A3'!G22=0,"    -",ROUND('HDPE-A3'!G51/'HDPE-A3'!G22*100,1))</f>
        <v>81.5</v>
      </c>
      <c r="H58" s="53">
        <f>IF('HDPE-A3'!H22=0,"    -",ROUND('HDPE-A3'!H51/'HDPE-A3'!H22*100,1))</f>
        <v>88.7</v>
      </c>
      <c r="I58" s="53">
        <f>IF('HDPE-A3'!I22=0,"    -",ROUND('HDPE-A3'!I51/'HDPE-A3'!I22*100,1))</f>
        <v>90.1</v>
      </c>
      <c r="J58" s="53">
        <f>IF('HDPE-A3'!J22=0,"    -",ROUND('HDPE-A3'!J51/'HDPE-A3'!J22*100,1))</f>
        <v>87.6</v>
      </c>
      <c r="K58" s="54">
        <f>IF('HDPE-A3'!K22=0,"    -",ROUND('HDPE-A3'!K51/'HDPE-A3'!K22*100,1))</f>
        <v>88.5</v>
      </c>
      <c r="L58" s="52">
        <f>IF('HDPE-A3'!L22=0,"    -",ROUND('HDPE-A3'!L51/'HDPE-A3'!L22*100,1))</f>
        <v>86.8</v>
      </c>
      <c r="M58" s="53">
        <f>IF('HDPE-A3'!M22=0,"    -",ROUND('HDPE-A3'!M51/'HDPE-A3'!M22*100,1))</f>
        <v>84.9</v>
      </c>
      <c r="N58" s="53">
        <f>IF('HDPE-A3'!N22=0,"    -",ROUND('HDPE-A3'!N51/'HDPE-A3'!N22*100,1))</f>
        <v>86.5</v>
      </c>
      <c r="O58" s="53">
        <f>IF('HDPE-A3'!O22=0,"    -",ROUND('HDPE-A3'!O51/'HDPE-A3'!O22*100,1))</f>
        <v>86.3</v>
      </c>
      <c r="P58" s="53">
        <f>IF('HDPE-A3'!P22=0,"    -",ROUND('HDPE-A3'!P51/'HDPE-A3'!P22*100,1))</f>
        <v>85.6</v>
      </c>
      <c r="Q58" s="54">
        <f>IF('HDPE-A3'!Q22=0,"    -",ROUND('HDPE-A3'!Q51/'HDPE-A3'!Q22*100,1))</f>
        <v>88.1</v>
      </c>
    </row>
    <row r="59" spans="2:17" ht="16.5" customHeight="1">
      <c r="B59" s="105"/>
      <c r="C59" s="615" t="s">
        <v>311</v>
      </c>
      <c r="D59" s="69">
        <f>IF('HDPE-A3'!D23=0,"    -",ROUND('HDPE-A3'!D52/'HDPE-A3'!D23*100,1))</f>
        <v>84.8</v>
      </c>
      <c r="E59" s="70">
        <f>IF('HDPE-A3'!E23=0,"    -",ROUND('HDPE-A3'!E52/'HDPE-A3'!E23*100,1))</f>
        <v>100</v>
      </c>
      <c r="F59" s="70">
        <f>IF('HDPE-A3'!F23=0,"    -",ROUND('HDPE-A3'!F52/'HDPE-A3'!F23*100,1))</f>
        <v>79.5</v>
      </c>
      <c r="G59" s="70">
        <f>IF('HDPE-A3'!G23=0,"    -",ROUND('HDPE-A3'!G52/'HDPE-A3'!G23*100,1))</f>
        <v>82.2</v>
      </c>
      <c r="H59" s="70">
        <f>IF('HDPE-A3'!H23=0,"    -",ROUND('HDPE-A3'!H52/'HDPE-A3'!H23*100,1))</f>
        <v>91.8</v>
      </c>
      <c r="I59" s="70">
        <f>IF('HDPE-A3'!I23=0,"    -",ROUND('HDPE-A3'!I52/'HDPE-A3'!I23*100,1))</f>
        <v>93.7</v>
      </c>
      <c r="J59" s="70">
        <f>IF('HDPE-A3'!J23=0,"    -",ROUND('HDPE-A3'!J52/'HDPE-A3'!J23*100,1))</f>
        <v>93.5</v>
      </c>
      <c r="K59" s="71">
        <f>IF('HDPE-A3'!K23=0,"    -",ROUND('HDPE-A3'!K52/'HDPE-A3'!K23*100,1))</f>
        <v>91.4</v>
      </c>
      <c r="L59" s="69">
        <f>IF('HDPE-A3'!L23=0,"    -",ROUND('HDPE-A3'!L52/'HDPE-A3'!L23*100,1))</f>
        <v>89.3</v>
      </c>
      <c r="M59" s="70">
        <f>IF('HDPE-A3'!M23=0,"    -",ROUND('HDPE-A3'!M52/'HDPE-A3'!M23*100,1))</f>
        <v>90.6</v>
      </c>
      <c r="N59" s="70">
        <f>IF('HDPE-A3'!N23=0,"    -",ROUND('HDPE-A3'!N52/'HDPE-A3'!N23*100,1))</f>
        <v>91.5</v>
      </c>
      <c r="O59" s="70">
        <f>IF('HDPE-A3'!O23=0,"    -",ROUND('HDPE-A3'!O52/'HDPE-A3'!O23*100,1))</f>
        <v>91.2</v>
      </c>
      <c r="P59" s="70">
        <f>IF('HDPE-A3'!P23=0,"    -",ROUND('HDPE-A3'!P52/'HDPE-A3'!P23*100,1))</f>
        <v>90.6</v>
      </c>
      <c r="Q59" s="71">
        <f>IF('HDPE-A3'!Q23=0,"    -",ROUND('HDPE-A3'!Q52/'HDPE-A3'!Q23*100,1))</f>
        <v>94.3</v>
      </c>
    </row>
    <row r="60" spans="2:17" ht="17.25" customHeight="1">
      <c r="B60" s="672" t="s">
        <v>312</v>
      </c>
      <c r="C60" s="673"/>
      <c r="D60" s="52">
        <f>IF('HDPE-A3'!D24=0,"    -",ROUND('HDPE-A3'!D53/'HDPE-A3'!D24*100,1))</f>
        <v>88.5</v>
      </c>
      <c r="E60" s="53">
        <f>IF('HDPE-A3'!E24=0,"    -",ROUND('HDPE-A3'!E53/'HDPE-A3'!E24*100,1))</f>
        <v>85.9</v>
      </c>
      <c r="F60" s="53">
        <f>IF('HDPE-A3'!F24=0,"    -",ROUND('HDPE-A3'!F53/'HDPE-A3'!F24*100,1))</f>
        <v>82.4</v>
      </c>
      <c r="G60" s="53">
        <f>IF('HDPE-A3'!G24=0,"    -",ROUND('HDPE-A3'!G53/'HDPE-A3'!G24*100,1))</f>
        <v>88.8</v>
      </c>
      <c r="H60" s="53">
        <f>IF('HDPE-A3'!H24=0,"    -",ROUND('HDPE-A3'!H53/'HDPE-A3'!H24*100,1))</f>
        <v>91</v>
      </c>
      <c r="I60" s="53">
        <f>IF('HDPE-A3'!I24=0,"    -",ROUND('HDPE-A3'!I53/'HDPE-A3'!I24*100,1))</f>
        <v>92.4</v>
      </c>
      <c r="J60" s="53">
        <f>IF('HDPE-A3'!J24=0,"    -",ROUND('HDPE-A3'!J53/'HDPE-A3'!J24*100,1))</f>
        <v>93.3</v>
      </c>
      <c r="K60" s="54">
        <f>IF('HDPE-A3'!K24=0,"    -",ROUND('HDPE-A3'!K53/'HDPE-A3'!K24*100,1))</f>
        <v>94.4</v>
      </c>
      <c r="L60" s="52">
        <f>IF('HDPE-A3'!L24=0,"    -",ROUND('HDPE-A3'!L53/'HDPE-A3'!L24*100,1))</f>
        <v>95.5</v>
      </c>
      <c r="M60" s="53">
        <f>IF('HDPE-A3'!M24=0,"    -",ROUND('HDPE-A3'!M53/'HDPE-A3'!M24*100,1))</f>
        <v>93.6</v>
      </c>
      <c r="N60" s="53">
        <f>IF('HDPE-A3'!N24=0,"    -",ROUND('HDPE-A3'!N53/'HDPE-A3'!N24*100,1))</f>
        <v>90.3</v>
      </c>
      <c r="O60" s="53">
        <f>IF('HDPE-A3'!O24=0,"    -",ROUND('HDPE-A3'!O53/'HDPE-A3'!O24*100,1))</f>
        <v>91.7</v>
      </c>
      <c r="P60" s="53">
        <f>IF('HDPE-A3'!P24=0,"    -",ROUND('HDPE-A3'!P53/'HDPE-A3'!P24*100,1))</f>
        <v>93.2</v>
      </c>
      <c r="Q60" s="54">
        <f>IF('HDPE-A3'!Q24=0,"    -",ROUND('HDPE-A3'!Q53/'HDPE-A3'!Q24*100,1))</f>
        <v>94</v>
      </c>
    </row>
    <row r="61" spans="2:17" ht="16.5" customHeight="1">
      <c r="B61" s="16"/>
      <c r="C61" s="615" t="s">
        <v>313</v>
      </c>
      <c r="D61" s="69">
        <f>IF('HDPE-A3'!D25=0,"    -",ROUND('HDPE-A3'!D54/'HDPE-A3'!D25*100,1))</f>
        <v>0</v>
      </c>
      <c r="E61" s="70">
        <f>IF('HDPE-A3'!E25=0,"    -",ROUND('HDPE-A3'!E54/'HDPE-A3'!E25*100,1))</f>
        <v>79.7</v>
      </c>
      <c r="F61" s="70">
        <f>IF('HDPE-A3'!F25=0,"    -",ROUND('HDPE-A3'!F54/'HDPE-A3'!F25*100,1))</f>
        <v>71.2</v>
      </c>
      <c r="G61" s="70">
        <f>IF('HDPE-A3'!G25=0,"    -",ROUND('HDPE-A3'!G54/'HDPE-A3'!G25*100,1))</f>
        <v>77.7</v>
      </c>
      <c r="H61" s="70">
        <f>IF('HDPE-A3'!H25=0,"    -",ROUND('HDPE-A3'!H54/'HDPE-A3'!H25*100,1))</f>
        <v>87.3</v>
      </c>
      <c r="I61" s="70">
        <f>IF('HDPE-A3'!I25=0,"    -",ROUND('HDPE-A3'!I54/'HDPE-A3'!I25*100,1))</f>
        <v>89</v>
      </c>
      <c r="J61" s="70">
        <f>IF('HDPE-A3'!J25=0,"    -",ROUND('HDPE-A3'!J54/'HDPE-A3'!J25*100,1))</f>
        <v>84.3</v>
      </c>
      <c r="K61" s="71">
        <f>IF('HDPE-A3'!K25=0,"    -",ROUND('HDPE-A3'!K54/'HDPE-A3'!K25*100,1))</f>
        <v>84.6</v>
      </c>
      <c r="L61" s="69">
        <f>IF('HDPE-A3'!L25=0,"    -",ROUND('HDPE-A3'!L54/'HDPE-A3'!L25*100,1))</f>
        <v>85.1</v>
      </c>
      <c r="M61" s="70">
        <f>IF('HDPE-A3'!M25=0,"    -",ROUND('HDPE-A3'!M54/'HDPE-A3'!M25*100,1))</f>
        <v>86.2</v>
      </c>
      <c r="N61" s="70">
        <f>IF('HDPE-A3'!N25=0,"    -",ROUND('HDPE-A3'!N54/'HDPE-A3'!N25*100,1))</f>
        <v>87.1</v>
      </c>
      <c r="O61" s="70">
        <f>IF('HDPE-A3'!O25=0,"    -",ROUND('HDPE-A3'!O54/'HDPE-A3'!O25*100,1))</f>
        <v>87.6</v>
      </c>
      <c r="P61" s="70">
        <f>IF('HDPE-A3'!P25=0,"    -",ROUND('HDPE-A3'!P54/'HDPE-A3'!P25*100,1))</f>
        <v>88.4</v>
      </c>
      <c r="Q61" s="71">
        <f>IF('HDPE-A3'!Q25=0,"    -",ROUND('HDPE-A3'!Q54/'HDPE-A3'!Q25*100,1))</f>
        <v>90.7</v>
      </c>
    </row>
    <row r="62" spans="2:17" ht="17.25" customHeight="1">
      <c r="B62" s="674" t="s">
        <v>314</v>
      </c>
      <c r="C62" s="675"/>
      <c r="D62" s="52">
        <f>IF('HDPE-A3'!D26=0,"    -",ROUND('HDPE-A3'!D55/'HDPE-A3'!D26*100,1))</f>
        <v>87</v>
      </c>
      <c r="E62" s="53">
        <f>IF('HDPE-A3'!E26=0,"    -",ROUND('HDPE-A3'!E55/'HDPE-A3'!E26*100,1))</f>
        <v>71.900000000000006</v>
      </c>
      <c r="F62" s="53">
        <f>IF('HDPE-A3'!F26=0,"    -",ROUND('HDPE-A3'!F55/'HDPE-A3'!F26*100,1))</f>
        <v>64.400000000000006</v>
      </c>
      <c r="G62" s="53">
        <f>IF('HDPE-A3'!G26=0,"    -",ROUND('HDPE-A3'!G55/'HDPE-A3'!G26*100,1))</f>
        <v>59.3</v>
      </c>
      <c r="H62" s="53">
        <f>IF('HDPE-A3'!H26=0,"    -",ROUND('HDPE-A3'!H55/'HDPE-A3'!H26*100,1))</f>
        <v>62.9</v>
      </c>
      <c r="I62" s="53">
        <f>IF('HDPE-A3'!I26=0,"    -",ROUND('HDPE-A3'!I55/'HDPE-A3'!I26*100,1))</f>
        <v>88</v>
      </c>
      <c r="J62" s="53">
        <f>IF('HDPE-A3'!J26=0,"    -",ROUND('HDPE-A3'!J55/'HDPE-A3'!J26*100,1))</f>
        <v>72.900000000000006</v>
      </c>
      <c r="K62" s="54">
        <f>IF('HDPE-A3'!K26=0,"    -",ROUND('HDPE-A3'!K55/'HDPE-A3'!K26*100,1))</f>
        <v>74.8</v>
      </c>
      <c r="L62" s="52">
        <f>IF('HDPE-A3'!L26=0,"    -",ROUND('HDPE-A3'!L55/'HDPE-A3'!L26*100,1))</f>
        <v>88.2</v>
      </c>
      <c r="M62" s="53">
        <f>IF('HDPE-A3'!M26=0,"    -",ROUND('HDPE-A3'!M55/'HDPE-A3'!M26*100,1))</f>
        <v>86.1</v>
      </c>
      <c r="N62" s="53">
        <f>IF('HDPE-A3'!N26=0,"    -",ROUND('HDPE-A3'!N55/'HDPE-A3'!N26*100,1))</f>
        <v>87.1</v>
      </c>
      <c r="O62" s="53">
        <f>IF('HDPE-A3'!O26=0,"    -",ROUND('HDPE-A3'!O55/'HDPE-A3'!O26*100,1))</f>
        <v>89.8</v>
      </c>
      <c r="P62" s="53">
        <f>IF('HDPE-A3'!P26=0,"    -",ROUND('HDPE-A3'!P55/'HDPE-A3'!P26*100,1))</f>
        <v>90.2</v>
      </c>
      <c r="Q62" s="54">
        <f>IF('HDPE-A3'!Q26=0,"    -",ROUND('HDPE-A3'!Q55/'HDPE-A3'!Q26*100,1))</f>
        <v>90.6</v>
      </c>
    </row>
    <row r="63" spans="2:17" ht="17.25" customHeight="1">
      <c r="B63" s="674" t="s">
        <v>315</v>
      </c>
      <c r="C63" s="675"/>
      <c r="D63" s="69">
        <f>IF('HDPE-A3'!D27=0,"    -",ROUND('HDPE-A3'!D56/'HDPE-A3'!D27*100,1))</f>
        <v>67.5</v>
      </c>
      <c r="E63" s="70">
        <f>IF('HDPE-A3'!E27=0,"    -",ROUND('HDPE-A3'!E56/'HDPE-A3'!E27*100,1))</f>
        <v>81.7</v>
      </c>
      <c r="F63" s="70">
        <f>IF('HDPE-A3'!F27=0,"    -",ROUND('HDPE-A3'!F56/'HDPE-A3'!F27*100,1))</f>
        <v>57.1</v>
      </c>
      <c r="G63" s="70">
        <f>IF('HDPE-A3'!G27=0,"    -",ROUND('HDPE-A3'!G56/'HDPE-A3'!G27*100,1))</f>
        <v>80.099999999999994</v>
      </c>
      <c r="H63" s="70">
        <f>IF('HDPE-A3'!H27=0,"    -",ROUND('HDPE-A3'!H56/'HDPE-A3'!H27*100,1))</f>
        <v>64.8</v>
      </c>
      <c r="I63" s="70">
        <f>IF('HDPE-A3'!I27=0,"    -",ROUND('HDPE-A3'!I56/'HDPE-A3'!I27*100,1))</f>
        <v>51.7</v>
      </c>
      <c r="J63" s="70">
        <f>IF('HDPE-A3'!J27=0,"    -",ROUND('HDPE-A3'!J56/'HDPE-A3'!J27*100,1))</f>
        <v>91</v>
      </c>
      <c r="K63" s="71">
        <f>IF('HDPE-A3'!K27=0,"    -",ROUND('HDPE-A3'!K56/'HDPE-A3'!K27*100,1))</f>
        <v>82.4</v>
      </c>
      <c r="L63" s="72">
        <f>IF('HDPE-A3'!L27=0,"    -",ROUND('HDPE-A3'!L56/'HDPE-A3'!L27*100,1))</f>
        <v>79.099999999999994</v>
      </c>
      <c r="M63" s="70">
        <f>IF('HDPE-A3'!M27=0,"    -",ROUND('HDPE-A3'!M56/'HDPE-A3'!M27*100,1))</f>
        <v>83.5</v>
      </c>
      <c r="N63" s="70">
        <f>IF('HDPE-A3'!N27=0,"    -",ROUND('HDPE-A3'!N56/'HDPE-A3'!N27*100,1))</f>
        <v>83.5</v>
      </c>
      <c r="O63" s="70">
        <f>IF('HDPE-A3'!O27=0,"    -",ROUND('HDPE-A3'!O56/'HDPE-A3'!O27*100,1))</f>
        <v>84.6</v>
      </c>
      <c r="P63" s="70">
        <f>IF('HDPE-A3'!P27=0,"    -",ROUND('HDPE-A3'!P56/'HDPE-A3'!P27*100,1))</f>
        <v>70.099999999999994</v>
      </c>
      <c r="Q63" s="73">
        <f>IF('HDPE-A3'!Q27=0,"    -",ROUND('HDPE-A3'!Q56/'HDPE-A3'!Q27*100,1))</f>
        <v>76.099999999999994</v>
      </c>
    </row>
    <row r="64" spans="2:17" ht="16.5" customHeight="1">
      <c r="B64" s="672" t="s">
        <v>316</v>
      </c>
      <c r="C64" s="673"/>
      <c r="D64" s="52">
        <f>IF('HDPE-A3'!D28=0,"    -",ROUND('HDPE-A3'!D57/'HDPE-A3'!D28*100,1))</f>
        <v>89.6</v>
      </c>
      <c r="E64" s="53">
        <f>IF('HDPE-A3'!E28=0,"    -",ROUND('HDPE-A3'!E57/'HDPE-A3'!E28*100,1))</f>
        <v>94.6</v>
      </c>
      <c r="F64" s="53">
        <f>IF('HDPE-A3'!F28=0,"    -",ROUND('HDPE-A3'!F57/'HDPE-A3'!F28*100,1))</f>
        <v>90</v>
      </c>
      <c r="G64" s="53">
        <f>IF('HDPE-A3'!G28=0,"    -",ROUND('HDPE-A3'!G57/'HDPE-A3'!G28*100,1))</f>
        <v>91.8</v>
      </c>
      <c r="H64" s="53">
        <f>IF('HDPE-A3'!H28=0,"    -",ROUND('HDPE-A3'!H57/'HDPE-A3'!H28*100,1))</f>
        <v>90</v>
      </c>
      <c r="I64" s="53">
        <f>IF('HDPE-A3'!I28=0,"    -",ROUND('HDPE-A3'!I57/'HDPE-A3'!I28*100,1))</f>
        <v>95.1</v>
      </c>
      <c r="J64" s="53">
        <f>IF('HDPE-A3'!J28=0,"    -",ROUND('HDPE-A3'!J57/'HDPE-A3'!J28*100,1))</f>
        <v>93.8</v>
      </c>
      <c r="K64" s="54">
        <f>IF('HDPE-A3'!K28=0,"    -",ROUND('HDPE-A3'!K57/'HDPE-A3'!K28*100,1))</f>
        <v>91.3</v>
      </c>
      <c r="L64" s="55">
        <f>IF('HDPE-A3'!L28=0,"    -",ROUND('HDPE-A3'!L57/'HDPE-A3'!L28*100,1))</f>
        <v>90</v>
      </c>
      <c r="M64" s="53">
        <f>IF('HDPE-A3'!M28=0,"    -",ROUND('HDPE-A3'!M57/'HDPE-A3'!M28*100,1))</f>
        <v>90</v>
      </c>
      <c r="N64" s="53">
        <f>IF('HDPE-A3'!N28=0,"    -",ROUND('HDPE-A3'!N57/'HDPE-A3'!N28*100,1))</f>
        <v>90</v>
      </c>
      <c r="O64" s="53">
        <f>IF('HDPE-A3'!O28=0,"    -",ROUND('HDPE-A3'!O57/'HDPE-A3'!O28*100,1))</f>
        <v>90</v>
      </c>
      <c r="P64" s="53">
        <f>IF('HDPE-A3'!P28=0,"    -",ROUND('HDPE-A3'!P57/'HDPE-A3'!P28*100,1))</f>
        <v>90</v>
      </c>
      <c r="Q64" s="56">
        <f>IF('HDPE-A3'!Q28=0,"    -",ROUND('HDPE-A3'!Q57/'HDPE-A3'!Q28*100,1))</f>
        <v>90</v>
      </c>
    </row>
    <row r="65" spans="2:17" ht="16.5" customHeight="1">
      <c r="B65" s="670" t="s">
        <v>317</v>
      </c>
      <c r="C65" s="671"/>
      <c r="D65" s="52">
        <f>IF('HDPE-A3'!D29=0,"    -",ROUND('HDPE-A3'!D58/'HDPE-A3'!D29*100,1))</f>
        <v>82</v>
      </c>
      <c r="E65" s="53">
        <f>IF('HDPE-A3'!E29=0,"    -",ROUND('HDPE-A3'!E58/'HDPE-A3'!E29*100,1))</f>
        <v>82</v>
      </c>
      <c r="F65" s="53">
        <f>IF('HDPE-A3'!F29=0,"    -",ROUND('HDPE-A3'!F58/'HDPE-A3'!F29*100,1))</f>
        <v>85.6</v>
      </c>
      <c r="G65" s="53">
        <f>IF('HDPE-A3'!G29=0,"    -",ROUND('HDPE-A3'!G58/'HDPE-A3'!G29*100,1))</f>
        <v>86.8</v>
      </c>
      <c r="H65" s="53">
        <f>IF('HDPE-A3'!H29=0,"    -",ROUND('HDPE-A3'!H58/'HDPE-A3'!H29*100,1))</f>
        <v>85.3</v>
      </c>
      <c r="I65" s="53">
        <f>IF('HDPE-A3'!I29=0,"    -",ROUND('HDPE-A3'!I58/'HDPE-A3'!I29*100,1))</f>
        <v>86.2</v>
      </c>
      <c r="J65" s="53">
        <f>IF('HDPE-A3'!J29=0,"    -",ROUND('HDPE-A3'!J58/'HDPE-A3'!J29*100,1))</f>
        <v>85.4</v>
      </c>
      <c r="K65" s="54">
        <f>IF('HDPE-A3'!K29=0,"    -",ROUND('HDPE-A3'!K58/'HDPE-A3'!K29*100,1))</f>
        <v>80</v>
      </c>
      <c r="L65" s="55">
        <f>IF('HDPE-A3'!L29=0,"    -",ROUND('HDPE-A3'!L58/'HDPE-A3'!L29*100,1))</f>
        <v>80</v>
      </c>
      <c r="M65" s="53">
        <f>IF('HDPE-A3'!M29=0,"    -",ROUND('HDPE-A3'!M58/'HDPE-A3'!M29*100,1))</f>
        <v>80</v>
      </c>
      <c r="N65" s="53">
        <f>IF('HDPE-A3'!N29=0,"    -",ROUND('HDPE-A3'!N58/'HDPE-A3'!N29*100,1))</f>
        <v>80</v>
      </c>
      <c r="O65" s="53">
        <f>IF('HDPE-A3'!O29=0,"    -",ROUND('HDPE-A3'!O58/'HDPE-A3'!O29*100,1))</f>
        <v>80</v>
      </c>
      <c r="P65" s="53">
        <f>IF('HDPE-A3'!P29=0,"    -",ROUND('HDPE-A3'!P58/'HDPE-A3'!P29*100,1))</f>
        <v>80</v>
      </c>
      <c r="Q65" s="56">
        <f>IF('HDPE-A3'!Q29=0,"    -",ROUND('HDPE-A3'!Q58/'HDPE-A3'!Q29*100,1))</f>
        <v>80</v>
      </c>
    </row>
    <row r="66" spans="2:17" ht="17.25" customHeight="1">
      <c r="B66" s="674" t="s">
        <v>318</v>
      </c>
      <c r="C66" s="675"/>
      <c r="D66" s="69">
        <f>IF('HDPE-A3'!D30=0,"    -",ROUND('HDPE-A3'!D59/'HDPE-A3'!D30*100,1))</f>
        <v>88.4</v>
      </c>
      <c r="E66" s="70">
        <f>IF('HDPE-A3'!E30=0,"    -",ROUND('HDPE-A3'!E59/'HDPE-A3'!E30*100,1))</f>
        <v>92.5</v>
      </c>
      <c r="F66" s="70">
        <f>IF('HDPE-A3'!F30=0,"    -",ROUND('HDPE-A3'!F59/'HDPE-A3'!F30*100,1))</f>
        <v>89.2</v>
      </c>
      <c r="G66" s="70">
        <f>IF('HDPE-A3'!G30=0,"    -",ROUND('HDPE-A3'!G59/'HDPE-A3'!G30*100,1))</f>
        <v>90.9</v>
      </c>
      <c r="H66" s="70">
        <f>IF('HDPE-A3'!H30=0,"    -",ROUND('HDPE-A3'!H59/'HDPE-A3'!H30*100,1))</f>
        <v>89.2</v>
      </c>
      <c r="I66" s="70">
        <f>IF('HDPE-A3'!I30=0,"    -",ROUND('HDPE-A3'!I59/'HDPE-A3'!I30*100,1))</f>
        <v>93.5</v>
      </c>
      <c r="J66" s="70">
        <f>IF('HDPE-A3'!J30=0,"    -",ROUND('HDPE-A3'!J59/'HDPE-A3'!J30*100,1))</f>
        <v>92.3</v>
      </c>
      <c r="K66" s="71">
        <f>IF('HDPE-A3'!K30=0,"    -",ROUND('HDPE-A3'!K59/'HDPE-A3'!K30*100,1))</f>
        <v>89.4</v>
      </c>
      <c r="L66" s="72">
        <f>IF('HDPE-A3'!L30=0,"    -",ROUND('HDPE-A3'!L59/'HDPE-A3'!L30*100,1))</f>
        <v>88.4</v>
      </c>
      <c r="M66" s="70">
        <f>IF('HDPE-A3'!M30=0,"    -",ROUND('HDPE-A3'!M59/'HDPE-A3'!M30*100,1))</f>
        <v>88.5</v>
      </c>
      <c r="N66" s="70">
        <f>IF('HDPE-A3'!N30=0,"    -",ROUND('HDPE-A3'!N59/'HDPE-A3'!N30*100,1))</f>
        <v>88.6</v>
      </c>
      <c r="O66" s="70">
        <f>IF('HDPE-A3'!O30=0,"    -",ROUND('HDPE-A3'!O59/'HDPE-A3'!O30*100,1))</f>
        <v>88.6</v>
      </c>
      <c r="P66" s="70">
        <f>IF('HDPE-A3'!P30=0,"    -",ROUND('HDPE-A3'!P59/'HDPE-A3'!P30*100,1))</f>
        <v>88.7</v>
      </c>
      <c r="Q66" s="73">
        <f>IF('HDPE-A3'!Q30=0,"    -",ROUND('HDPE-A3'!Q59/'HDPE-A3'!Q30*100,1))</f>
        <v>88.8</v>
      </c>
    </row>
    <row r="67" spans="2:17" ht="16.5" customHeight="1">
      <c r="B67" s="672" t="s">
        <v>319</v>
      </c>
      <c r="C67" s="673"/>
      <c r="D67" s="52">
        <f>IF('HDPE-A3'!D31=0,"    -",ROUND('HDPE-A3'!D60/'HDPE-A3'!D31*100,1))</f>
        <v>84.3</v>
      </c>
      <c r="E67" s="53">
        <f>IF('HDPE-A3'!E31=0,"    -",ROUND('HDPE-A3'!E60/'HDPE-A3'!E31*100,1))</f>
        <v>84.3</v>
      </c>
      <c r="F67" s="53">
        <f>IF('HDPE-A3'!F31=0,"    -",ROUND('HDPE-A3'!F60/'HDPE-A3'!F31*100,1))</f>
        <v>84.3</v>
      </c>
      <c r="G67" s="53">
        <f>IF('HDPE-A3'!G31=0,"    -",ROUND('HDPE-A3'!G60/'HDPE-A3'!G31*100,1))</f>
        <v>84.3</v>
      </c>
      <c r="H67" s="53">
        <f>IF('HDPE-A3'!H31=0,"    -",ROUND('HDPE-A3'!H60/'HDPE-A3'!H31*100,1))</f>
        <v>84.3</v>
      </c>
      <c r="I67" s="53">
        <f>IF('HDPE-A3'!I31=0,"    -",ROUND('HDPE-A3'!I60/'HDPE-A3'!I31*100,1))</f>
        <v>58.7</v>
      </c>
      <c r="J67" s="53">
        <f>IF('HDPE-A3'!J31=0,"    -",ROUND('HDPE-A3'!J60/'HDPE-A3'!J31*100,1))</f>
        <v>50.9</v>
      </c>
      <c r="K67" s="54">
        <f>IF('HDPE-A3'!K31=0,"    -",ROUND('HDPE-A3'!K60/'HDPE-A3'!K31*100,1))</f>
        <v>80</v>
      </c>
      <c r="L67" s="55">
        <f>IF('HDPE-A3'!L31=0,"    -",ROUND('HDPE-A3'!L60/'HDPE-A3'!L31*100,1))</f>
        <v>80</v>
      </c>
      <c r="M67" s="53">
        <f>IF('HDPE-A3'!M31=0,"    -",ROUND('HDPE-A3'!M60/'HDPE-A3'!M31*100,1))</f>
        <v>80</v>
      </c>
      <c r="N67" s="53">
        <f>IF('HDPE-A3'!N31=0,"    -",ROUND('HDPE-A3'!N60/'HDPE-A3'!N31*100,1))</f>
        <v>80</v>
      </c>
      <c r="O67" s="53">
        <f>IF('HDPE-A3'!O31=0,"    -",ROUND('HDPE-A3'!O60/'HDPE-A3'!O31*100,1))</f>
        <v>80</v>
      </c>
      <c r="P67" s="53">
        <f>IF('HDPE-A3'!P31=0,"    -",ROUND('HDPE-A3'!P60/'HDPE-A3'!P31*100,1))</f>
        <v>80</v>
      </c>
      <c r="Q67" s="56">
        <f>IF('HDPE-A3'!Q31=0,"    -",ROUND('HDPE-A3'!Q60/'HDPE-A3'!Q31*100,1))</f>
        <v>80</v>
      </c>
    </row>
    <row r="68" spans="2:17" ht="16.5" customHeight="1">
      <c r="B68" s="668" t="s">
        <v>320</v>
      </c>
      <c r="C68" s="669"/>
      <c r="D68" s="52">
        <f>IF('HDPE-A3'!D32=0,"    -",ROUND('HDPE-A3'!D61/'HDPE-A3'!D32*100,1))</f>
        <v>71.599999999999994</v>
      </c>
      <c r="E68" s="53">
        <f>IF('HDPE-A3'!E32=0,"    -",ROUND('HDPE-A3'!E61/'HDPE-A3'!E32*100,1))</f>
        <v>79.5</v>
      </c>
      <c r="F68" s="53">
        <f>IF('HDPE-A3'!F32=0,"    -",ROUND('HDPE-A3'!F61/'HDPE-A3'!F32*100,1))</f>
        <v>77.900000000000006</v>
      </c>
      <c r="G68" s="53">
        <f>IF('HDPE-A3'!G32=0,"    -",ROUND('HDPE-A3'!G61/'HDPE-A3'!G32*100,1))</f>
        <v>76.7</v>
      </c>
      <c r="H68" s="53">
        <f>IF('HDPE-A3'!H32=0,"    -",ROUND('HDPE-A3'!H61/'HDPE-A3'!H32*100,1))</f>
        <v>75.599999999999994</v>
      </c>
      <c r="I68" s="53">
        <f>IF('HDPE-A3'!I32=0,"    -",ROUND('HDPE-A3'!I61/'HDPE-A3'!I32*100,1))</f>
        <v>84.1</v>
      </c>
      <c r="J68" s="53">
        <f>IF('HDPE-A3'!J32=0,"    -",ROUND('HDPE-A3'!J61/'HDPE-A3'!J32*100,1))</f>
        <v>83.3</v>
      </c>
      <c r="K68" s="54">
        <f>IF('HDPE-A3'!K32=0,"    -",ROUND('HDPE-A3'!K61/'HDPE-A3'!K32*100,1))</f>
        <v>85</v>
      </c>
      <c r="L68" s="55">
        <f>IF('HDPE-A3'!L32=0,"    -",ROUND('HDPE-A3'!L61/'HDPE-A3'!L32*100,1))</f>
        <v>85</v>
      </c>
      <c r="M68" s="53">
        <f>IF('HDPE-A3'!M32=0,"    -",ROUND('HDPE-A3'!M61/'HDPE-A3'!M32*100,1))</f>
        <v>85</v>
      </c>
      <c r="N68" s="53">
        <f>IF('HDPE-A3'!N32=0,"    -",ROUND('HDPE-A3'!N61/'HDPE-A3'!N32*100,1))</f>
        <v>85</v>
      </c>
      <c r="O68" s="53">
        <f>IF('HDPE-A3'!O32=0,"    -",ROUND('HDPE-A3'!O61/'HDPE-A3'!O32*100,1))</f>
        <v>85</v>
      </c>
      <c r="P68" s="53">
        <f>IF('HDPE-A3'!P32=0,"    -",ROUND('HDPE-A3'!P61/'HDPE-A3'!P32*100,1))</f>
        <v>85</v>
      </c>
      <c r="Q68" s="56">
        <f>IF('HDPE-A3'!Q32=0,"    -",ROUND('HDPE-A3'!Q61/'HDPE-A3'!Q32*100,1))</f>
        <v>85</v>
      </c>
    </row>
    <row r="69" spans="2:17" ht="16.5" customHeight="1">
      <c r="B69" s="670" t="s">
        <v>321</v>
      </c>
      <c r="C69" s="671"/>
      <c r="D69" s="52">
        <f>IF('HDPE-A3'!D33=0,"    -",ROUND('HDPE-A3'!D62/'HDPE-A3'!D33*100,1))</f>
        <v>85</v>
      </c>
      <c r="E69" s="53">
        <f>IF('HDPE-A3'!E33=0,"    -",ROUND('HDPE-A3'!E62/'HDPE-A3'!E33*100,1))</f>
        <v>85</v>
      </c>
      <c r="F69" s="53">
        <f>IF('HDPE-A3'!F33=0,"    -",ROUND('HDPE-A3'!F62/'HDPE-A3'!F33*100,1))</f>
        <v>85</v>
      </c>
      <c r="G69" s="53">
        <f>IF('HDPE-A3'!G33=0,"    -",ROUND('HDPE-A3'!G62/'HDPE-A3'!G33*100,1))</f>
        <v>85</v>
      </c>
      <c r="H69" s="53">
        <f>IF('HDPE-A3'!H33=0,"    -",ROUND('HDPE-A3'!H62/'HDPE-A3'!H33*100,1))</f>
        <v>85</v>
      </c>
      <c r="I69" s="53">
        <f>IF('HDPE-A3'!I33=0,"    -",ROUND('HDPE-A3'!I62/'HDPE-A3'!I33*100,1))</f>
        <v>85</v>
      </c>
      <c r="J69" s="53">
        <f>IF('HDPE-A3'!J33=0,"    -",ROUND('HDPE-A3'!J62/'HDPE-A3'!J33*100,1))</f>
        <v>85</v>
      </c>
      <c r="K69" s="54">
        <f>IF('HDPE-A3'!K33=0,"    -",ROUND('HDPE-A3'!K62/'HDPE-A3'!K33*100,1))</f>
        <v>85</v>
      </c>
      <c r="L69" s="55">
        <f>IF('HDPE-A3'!L33=0,"    -",ROUND('HDPE-A3'!L62/'HDPE-A3'!L33*100,1))</f>
        <v>85</v>
      </c>
      <c r="M69" s="53">
        <f>IF('HDPE-A3'!M33=0,"    -",ROUND('HDPE-A3'!M62/'HDPE-A3'!M33*100,1))</f>
        <v>85</v>
      </c>
      <c r="N69" s="53">
        <f>IF('HDPE-A3'!N33=0,"    -",ROUND('HDPE-A3'!N62/'HDPE-A3'!N33*100,1))</f>
        <v>85</v>
      </c>
      <c r="O69" s="53">
        <f>IF('HDPE-A3'!O33=0,"    -",ROUND('HDPE-A3'!O62/'HDPE-A3'!O33*100,1))</f>
        <v>85</v>
      </c>
      <c r="P69" s="53">
        <f>IF('HDPE-A3'!P33=0,"    -",ROUND('HDPE-A3'!P62/'HDPE-A3'!P33*100,1))</f>
        <v>85</v>
      </c>
      <c r="Q69" s="56">
        <f>IF('HDPE-A3'!Q33=0,"    -",ROUND('HDPE-A3'!Q62/'HDPE-A3'!Q33*100,1))</f>
        <v>85</v>
      </c>
    </row>
    <row r="70" spans="2:17" ht="17.25" customHeight="1" thickBot="1">
      <c r="B70" s="678" t="s">
        <v>322</v>
      </c>
      <c r="C70" s="679"/>
      <c r="D70" s="106">
        <f>IF('HDPE-A3'!D34=0,"    -",ROUND('HDPE-A3'!D63/'HDPE-A3'!D34*100,1))</f>
        <v>76.099999999999994</v>
      </c>
      <c r="E70" s="107">
        <f>IF('HDPE-A3'!E34=0,"    -",ROUND('HDPE-A3'!E63/'HDPE-A3'!E34*100,1))</f>
        <v>81.3</v>
      </c>
      <c r="F70" s="107">
        <f>IF('HDPE-A3'!F34=0,"    -",ROUND('HDPE-A3'!F63/'HDPE-A3'!F34*100,1))</f>
        <v>80.2</v>
      </c>
      <c r="G70" s="107">
        <f>IF('HDPE-A3'!G34=0,"    -",ROUND('HDPE-A3'!G63/'HDPE-A3'!G34*100,1))</f>
        <v>79.400000000000006</v>
      </c>
      <c r="H70" s="107">
        <f>IF('HDPE-A3'!H34=0,"    -",ROUND('HDPE-A3'!H63/'HDPE-A3'!H34*100,1))</f>
        <v>78.7</v>
      </c>
      <c r="I70" s="107">
        <f>IF('HDPE-A3'!I34=0,"    -",ROUND('HDPE-A3'!I63/'HDPE-A3'!I34*100,1))</f>
        <v>81.400000000000006</v>
      </c>
      <c r="J70" s="107">
        <f>IF('HDPE-A3'!J34=0,"    -",ROUND('HDPE-A3'!J63/'HDPE-A3'!J34*100,1))</f>
        <v>73.599999999999994</v>
      </c>
      <c r="K70" s="108">
        <f>IF('HDPE-A3'!K34=0,"    -",ROUND('HDPE-A3'!K63/'HDPE-A3'!K34*100,1))</f>
        <v>83.2</v>
      </c>
      <c r="L70" s="109">
        <f>IF('HDPE-A3'!L34=0,"    -",ROUND('HDPE-A3'!L63/'HDPE-A3'!L34*100,1))</f>
        <v>83.2</v>
      </c>
      <c r="M70" s="107">
        <f>IF('HDPE-A3'!M34=0,"    -",ROUND('HDPE-A3'!M63/'HDPE-A3'!M34*100,1))</f>
        <v>83.2</v>
      </c>
      <c r="N70" s="107">
        <f>IF('HDPE-A3'!N34=0,"    -",ROUND('HDPE-A3'!N63/'HDPE-A3'!N34*100,1))</f>
        <v>83.2</v>
      </c>
      <c r="O70" s="107">
        <f>IF('HDPE-A3'!O34=0,"    -",ROUND('HDPE-A3'!O63/'HDPE-A3'!O34*100,1))</f>
        <v>83.2</v>
      </c>
      <c r="P70" s="107">
        <f>IF('HDPE-A3'!P34=0,"    -",ROUND('HDPE-A3'!P63/'HDPE-A3'!P34*100,1))</f>
        <v>83.2</v>
      </c>
      <c r="Q70" s="110">
        <f>IF('HDPE-A3'!Q34=0,"    -",ROUND('HDPE-A3'!Q63/'HDPE-A3'!Q34*100,1))</f>
        <v>83.2</v>
      </c>
    </row>
    <row r="71" spans="2:17" ht="18" customHeight="1" thickTop="1" thickBot="1">
      <c r="B71" s="21"/>
      <c r="C71" s="619" t="s">
        <v>337</v>
      </c>
      <c r="D71" s="127">
        <f>IF('HDPE-A3'!D35=0,"    -",ROUND('HDPE-A3'!D64/'HDPE-A3'!D35*100,1))</f>
        <v>86.5</v>
      </c>
      <c r="E71" s="128">
        <f>IF('HDPE-A3'!E35=0,"    -",ROUND('HDPE-A3'!E64/'HDPE-A3'!E35*100,1))</f>
        <v>87.6</v>
      </c>
      <c r="F71" s="128">
        <f>IF('HDPE-A3'!F35=0,"    -",ROUND('HDPE-A3'!F64/'HDPE-A3'!F35*100,1))</f>
        <v>83.8</v>
      </c>
      <c r="G71" s="128">
        <f>IF('HDPE-A3'!G35=0,"    -",ROUND('HDPE-A3'!G64/'HDPE-A3'!G35*100,1))</f>
        <v>87</v>
      </c>
      <c r="H71" s="128">
        <f>IF('HDPE-A3'!H35=0,"    -",ROUND('HDPE-A3'!H64/'HDPE-A3'!H35*100,1))</f>
        <v>87</v>
      </c>
      <c r="I71" s="128">
        <f>IF('HDPE-A3'!I35=0,"    -",ROUND('HDPE-A3'!I64/'HDPE-A3'!I35*100,1))</f>
        <v>88.5</v>
      </c>
      <c r="J71" s="128">
        <f>IF('HDPE-A3'!J35=0,"    -",ROUND('HDPE-A3'!J64/'HDPE-A3'!J35*100,1))</f>
        <v>88.1</v>
      </c>
      <c r="K71" s="129">
        <f>IF('HDPE-A3'!K35=0,"    -",ROUND('HDPE-A3'!K64/'HDPE-A3'!K35*100,1))</f>
        <v>87.6</v>
      </c>
      <c r="L71" s="130">
        <f>IF('HDPE-A3'!L35=0,"    -",ROUND('HDPE-A3'!L64/'HDPE-A3'!L35*100,1))</f>
        <v>88.6</v>
      </c>
      <c r="M71" s="128">
        <f>IF('HDPE-A3'!M35=0,"    -",ROUND('HDPE-A3'!M64/'HDPE-A3'!M35*100,1))</f>
        <v>87.3</v>
      </c>
      <c r="N71" s="128">
        <f>IF('HDPE-A3'!N35=0,"    -",ROUND('HDPE-A3'!N64/'HDPE-A3'!N35*100,1))</f>
        <v>86.1</v>
      </c>
      <c r="O71" s="128">
        <f>IF('HDPE-A3'!O35=0,"    -",ROUND('HDPE-A3'!O64/'HDPE-A3'!O35*100,1))</f>
        <v>85.9</v>
      </c>
      <c r="P71" s="128">
        <f>IF('HDPE-A3'!P35=0,"    -",ROUND('HDPE-A3'!P64/'HDPE-A3'!P35*100,1))</f>
        <v>85.7</v>
      </c>
      <c r="Q71" s="131">
        <f>IF('HDPE-A3'!Q35=0,"    -",ROUND('HDPE-A3'!Q64/'HDPE-A3'!Q35*100,1))</f>
        <v>86.8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215" priority="5">
      <formula>CELL("protect",C75)=0</formula>
    </cfRule>
    <cfRule type="expression" dxfId="214" priority="6">
      <formula>CELL("protect",C75)=0</formula>
    </cfRule>
  </conditionalFormatting>
  <conditionalFormatting sqref="C73">
    <cfRule type="expression" dxfId="213" priority="3">
      <formula>CELL("protect",C73)=0</formula>
    </cfRule>
    <cfRule type="expression" dxfId="212" priority="4">
      <formula>CELL("protect",C73)=0</formula>
    </cfRule>
  </conditionalFormatting>
  <conditionalFormatting sqref="C75">
    <cfRule type="expression" dxfId="211" priority="1">
      <formula>CELL("protect",C75)=0</formula>
    </cfRule>
    <cfRule type="expression" dxfId="210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&amp;C165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>
    <tabColor rgb="FFC00000"/>
    <pageSetUpPr fitToPage="1"/>
  </sheetPr>
  <dimension ref="A1:S76"/>
  <sheetViews>
    <sheetView showGridLines="0" view="pageBreakPreview" zoomScaleNormal="75" zoomScaleSheetLayoutView="100" workbookViewId="0">
      <selection activeCell="R4" sqref="R4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1:19" ht="13.5" customHeight="1">
      <c r="A1" s="443"/>
      <c r="R1" s="26"/>
      <c r="S1" s="26"/>
    </row>
    <row r="2" spans="1:19" s="2" customFormat="1" ht="33" customHeight="1">
      <c r="B2" s="685" t="s">
        <v>335</v>
      </c>
      <c r="C2" s="685"/>
      <c r="F2" s="685" t="s">
        <v>296</v>
      </c>
      <c r="G2" s="685"/>
      <c r="H2" s="397" t="s">
        <v>3</v>
      </c>
    </row>
    <row r="3" spans="1:19" ht="33" customHeight="1" thickBot="1">
      <c r="P3" s="686" t="s">
        <v>297</v>
      </c>
      <c r="Q3" s="686"/>
    </row>
    <row r="4" spans="1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1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1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1:19" ht="17.25" customHeight="1">
      <c r="B7" s="644" t="s">
        <v>433</v>
      </c>
      <c r="C7" s="645"/>
      <c r="D7" s="239">
        <f>'PE-A4'!D36-'PE-A4'!D65</f>
        <v>2090</v>
      </c>
      <c r="E7" s="240">
        <f>'PE-A4'!E36-'PE-A4'!E65</f>
        <v>1997</v>
      </c>
      <c r="F7" s="240">
        <f>'PE-A4'!F36-'PE-A4'!F65</f>
        <v>2156</v>
      </c>
      <c r="G7" s="240">
        <f>'PE-A4'!G36-'PE-A4'!G65</f>
        <v>2281</v>
      </c>
      <c r="H7" s="240">
        <f>'PE-A4'!H36-'PE-A4'!H65</f>
        <v>2542</v>
      </c>
      <c r="I7" s="240">
        <f>'PE-A4'!I36-'PE-A4'!I65</f>
        <v>2617</v>
      </c>
      <c r="J7" s="240">
        <f>'PE-A4'!J36-'PE-A4'!J65</f>
        <v>2471</v>
      </c>
      <c r="K7" s="241">
        <f>'PE-A4'!K36-'PE-A4'!K65</f>
        <v>2586</v>
      </c>
      <c r="L7" s="242">
        <f>'PE-A4'!L36-'PE-A4'!L65</f>
        <v>2530</v>
      </c>
      <c r="M7" s="240">
        <f>'PE-A4'!M36-'PE-A4'!M65</f>
        <v>2760</v>
      </c>
      <c r="N7" s="240">
        <f>'PE-A4'!N36-'PE-A4'!N65</f>
        <v>3180</v>
      </c>
      <c r="O7" s="240">
        <f>'PE-A4'!O36-'PE-A4'!O65</f>
        <v>3870</v>
      </c>
      <c r="P7" s="240">
        <f>'PE-A4'!P36-'PE-A4'!P65</f>
        <v>4300</v>
      </c>
      <c r="Q7" s="243">
        <f>'PE-A4'!Q36-'PE-A4'!Q65</f>
        <v>4740</v>
      </c>
    </row>
    <row r="8" spans="1:19" ht="16.5" customHeight="1">
      <c r="B8" s="605" t="s">
        <v>434</v>
      </c>
      <c r="C8" s="606"/>
      <c r="D8" s="239">
        <f>'PE-A4'!D37-'PE-A4'!D66</f>
        <v>521</v>
      </c>
      <c r="E8" s="240">
        <f>'PE-A4'!E37-'PE-A4'!E66</f>
        <v>334</v>
      </c>
      <c r="F8" s="240">
        <f>'PE-A4'!F37-'PE-A4'!F66</f>
        <v>251</v>
      </c>
      <c r="G8" s="240">
        <f>'PE-A4'!G37-'PE-A4'!G66</f>
        <v>445</v>
      </c>
      <c r="H8" s="240">
        <f>'PE-A4'!H37-'PE-A4'!H66</f>
        <v>349</v>
      </c>
      <c r="I8" s="240">
        <f>'PE-A4'!I37-'PE-A4'!I66</f>
        <v>444</v>
      </c>
      <c r="J8" s="240">
        <f>'PE-A4'!J37-'PE-A4'!J66</f>
        <v>479</v>
      </c>
      <c r="K8" s="241">
        <f>'PE-A4'!K37-'PE-A4'!K66</f>
        <v>463</v>
      </c>
      <c r="L8" s="242">
        <f>'PE-A4'!L37-'PE-A4'!L66</f>
        <v>450</v>
      </c>
      <c r="M8" s="240">
        <f>'PE-A4'!M37-'PE-A4'!M66</f>
        <v>470</v>
      </c>
      <c r="N8" s="240">
        <f>'PE-A4'!N37-'PE-A4'!N66</f>
        <v>450</v>
      </c>
      <c r="O8" s="240">
        <f>'PE-A4'!O37-'PE-A4'!O66</f>
        <v>450</v>
      </c>
      <c r="P8" s="240">
        <f>'PE-A4'!P37-'PE-A4'!P66</f>
        <v>450</v>
      </c>
      <c r="Q8" s="243">
        <f>'PE-A4'!Q37-'PE-A4'!Q66</f>
        <v>450</v>
      </c>
    </row>
    <row r="9" spans="1:19" ht="16.5" customHeight="1">
      <c r="B9" s="605" t="s">
        <v>435</v>
      </c>
      <c r="C9" s="606"/>
      <c r="D9" s="239">
        <f>'PE-A4'!D38-'PE-A4'!D67</f>
        <v>1008</v>
      </c>
      <c r="E9" s="240">
        <f>'PE-A4'!E38-'PE-A4'!E67</f>
        <v>1010.829</v>
      </c>
      <c r="F9" s="240">
        <f>'PE-A4'!F38-'PE-A4'!F67</f>
        <v>1227.7606103333333</v>
      </c>
      <c r="G9" s="240">
        <f>'PE-A4'!G38-'PE-A4'!G67</f>
        <v>1946.4675135259999</v>
      </c>
      <c r="H9" s="240">
        <f>'PE-A4'!H38-'PE-A4'!H67</f>
        <v>2291.326508951302</v>
      </c>
      <c r="I9" s="240">
        <f>'PE-A4'!I38-'PE-A4'!I67</f>
        <v>2243.7615036000439</v>
      </c>
      <c r="J9" s="240">
        <f>'PE-A4'!J38-'PE-A4'!J67</f>
        <v>2284</v>
      </c>
      <c r="K9" s="241">
        <f>'PE-A4'!K38-'PE-A4'!K67</f>
        <v>2128</v>
      </c>
      <c r="L9" s="242">
        <f>'PE-A4'!L38-'PE-A4'!L67</f>
        <v>2387</v>
      </c>
      <c r="M9" s="240">
        <f>'PE-A4'!M38-'PE-A4'!M67</f>
        <v>2492</v>
      </c>
      <c r="N9" s="240">
        <f>'PE-A4'!N38-'PE-A4'!N67</f>
        <v>2516</v>
      </c>
      <c r="O9" s="240">
        <f>'PE-A4'!O38-'PE-A4'!O67</f>
        <v>2495</v>
      </c>
      <c r="P9" s="240">
        <f>'PE-A4'!P38-'PE-A4'!P67</f>
        <v>2392</v>
      </c>
      <c r="Q9" s="243">
        <f>'PE-A4'!Q38-'PE-A4'!Q67</f>
        <v>2418</v>
      </c>
    </row>
    <row r="10" spans="1:19" ht="16.5" customHeight="1">
      <c r="B10" s="605" t="s">
        <v>436</v>
      </c>
      <c r="C10" s="606"/>
      <c r="D10" s="239">
        <f>'PE-A4'!D39-'PE-A4'!D68</f>
        <v>-7190</v>
      </c>
      <c r="E10" s="240">
        <f>'PE-A4'!E39-'PE-A4'!E68</f>
        <v>-7121</v>
      </c>
      <c r="F10" s="240">
        <f>'PE-A4'!F39-'PE-A4'!F68</f>
        <v>-7660</v>
      </c>
      <c r="G10" s="240">
        <f>'PE-A4'!G39-'PE-A4'!G68</f>
        <v>-8613</v>
      </c>
      <c r="H10" s="240">
        <f>'PE-A4'!H39-'PE-A4'!H68</f>
        <v>-8859</v>
      </c>
      <c r="I10" s="240">
        <f>'PE-A4'!I39-'PE-A4'!I68</f>
        <v>-9597</v>
      </c>
      <c r="J10" s="240">
        <f>'PE-A4'!J39-'PE-A4'!J68</f>
        <v>-9645</v>
      </c>
      <c r="K10" s="241">
        <f>'PE-A4'!K39-'PE-A4'!K68</f>
        <v>-11779</v>
      </c>
      <c r="L10" s="242">
        <f>'PE-A4'!L39-'PE-A4'!L68</f>
        <v>-12197</v>
      </c>
      <c r="M10" s="240">
        <f>'PE-A4'!M39-'PE-A4'!M68</f>
        <v>-12873</v>
      </c>
      <c r="N10" s="240">
        <f>'PE-A4'!N39-'PE-A4'!N68</f>
        <v>-12918</v>
      </c>
      <c r="O10" s="240">
        <f>'PE-A4'!O39-'PE-A4'!O68</f>
        <v>-13046</v>
      </c>
      <c r="P10" s="240">
        <f>'PE-A4'!P39-'PE-A4'!P68</f>
        <v>-13833</v>
      </c>
      <c r="Q10" s="243">
        <f>'PE-A4'!Q39-'PE-A4'!Q68</f>
        <v>-14447</v>
      </c>
    </row>
    <row r="11" spans="1:19" ht="16.5" customHeight="1">
      <c r="B11" s="605" t="s">
        <v>437</v>
      </c>
      <c r="C11" s="606"/>
      <c r="D11" s="239">
        <f>'PE-A4'!D40-'PE-A4'!D69</f>
        <v>1022</v>
      </c>
      <c r="E11" s="240">
        <f>'PE-A4'!E40-'PE-A4'!E69</f>
        <v>1726</v>
      </c>
      <c r="F11" s="240">
        <f>'PE-A4'!F40-'PE-A4'!F69</f>
        <v>1747</v>
      </c>
      <c r="G11" s="240">
        <f>'PE-A4'!G40-'PE-A4'!G69</f>
        <v>1732.89</v>
      </c>
      <c r="H11" s="240">
        <f>'PE-A4'!H40-'PE-A4'!H69</f>
        <v>1707.5120000000002</v>
      </c>
      <c r="I11" s="240">
        <f>'PE-A4'!I40-'PE-A4'!I69</f>
        <v>1911.5529999999999</v>
      </c>
      <c r="J11" s="240">
        <f>'PE-A4'!J40-'PE-A4'!J69</f>
        <v>1563.0449999999998</v>
      </c>
      <c r="K11" s="241">
        <f>'PE-A4'!K40-'PE-A4'!K69</f>
        <v>1395.7930000000001</v>
      </c>
      <c r="L11" s="242">
        <f>'PE-A4'!L40-'PE-A4'!L69</f>
        <v>1607.4174780000001</v>
      </c>
      <c r="M11" s="240">
        <f>'PE-A4'!M40-'PE-A4'!M69</f>
        <v>1529.8475926507999</v>
      </c>
      <c r="N11" s="240">
        <f>'PE-A4'!N40-'PE-A4'!N69</f>
        <v>1452.8316688196146</v>
      </c>
      <c r="O11" s="240">
        <f>'PE-A4'!O40-'PE-A4'!O69</f>
        <v>1376.0036930627111</v>
      </c>
      <c r="P11" s="240">
        <f>'PE-A4'!P40-'PE-A4'!P69</f>
        <v>1297.5688223199058</v>
      </c>
      <c r="Q11" s="243">
        <f>'PE-A4'!Q40-'PE-A4'!Q69</f>
        <v>1214.9970723944944</v>
      </c>
    </row>
    <row r="12" spans="1:19" ht="16.5" customHeight="1">
      <c r="B12" s="605" t="s">
        <v>438</v>
      </c>
      <c r="C12" s="606"/>
      <c r="D12" s="239">
        <f>'PE-A4'!D41-'PE-A4'!D70</f>
        <v>-173.55933834791176</v>
      </c>
      <c r="E12" s="240">
        <f>'PE-A4'!E41-'PE-A4'!E70</f>
        <v>-209.84455513879868</v>
      </c>
      <c r="F12" s="240">
        <f>'PE-A4'!F41-'PE-A4'!F70</f>
        <v>-423.91169814492036</v>
      </c>
      <c r="G12" s="240">
        <f>'PE-A4'!G41-'PE-A4'!G70</f>
        <v>-511</v>
      </c>
      <c r="H12" s="240">
        <f>'PE-A4'!H41-'PE-A4'!H70</f>
        <v>-529</v>
      </c>
      <c r="I12" s="240">
        <f>'PE-A4'!I41-'PE-A4'!I70</f>
        <v>-559</v>
      </c>
      <c r="J12" s="240">
        <f>'PE-A4'!J41-'PE-A4'!J70</f>
        <v>-589</v>
      </c>
      <c r="K12" s="241">
        <f>'PE-A4'!K41-'PE-A4'!K70</f>
        <v>-800</v>
      </c>
      <c r="L12" s="242">
        <f>'PE-A4'!L41-'PE-A4'!L70</f>
        <v>-670</v>
      </c>
      <c r="M12" s="240">
        <f>'PE-A4'!M41-'PE-A4'!M70</f>
        <v>-735</v>
      </c>
      <c r="N12" s="240">
        <f>'PE-A4'!N41-'PE-A4'!N70</f>
        <v>-800</v>
      </c>
      <c r="O12" s="240">
        <f>'PE-A4'!O41-'PE-A4'!O70</f>
        <v>-170</v>
      </c>
      <c r="P12" s="240">
        <f>'PE-A4'!P41-'PE-A4'!P70</f>
        <v>-240</v>
      </c>
      <c r="Q12" s="243">
        <f>'PE-A4'!Q41-'PE-A4'!Q70</f>
        <v>-310</v>
      </c>
    </row>
    <row r="13" spans="1:19" ht="16.5" customHeight="1">
      <c r="B13" s="605" t="s">
        <v>439</v>
      </c>
      <c r="C13" s="606"/>
      <c r="D13" s="239">
        <f>'PE-A4'!D42-'PE-A4'!D71</f>
        <v>-643</v>
      </c>
      <c r="E13" s="240">
        <f>'PE-A4'!E42-'PE-A4'!E71</f>
        <v>-74</v>
      </c>
      <c r="F13" s="240">
        <f>'PE-A4'!F42-'PE-A4'!F71</f>
        <v>-1035</v>
      </c>
      <c r="G13" s="240">
        <f>'PE-A4'!G42-'PE-A4'!G71</f>
        <v>-1054</v>
      </c>
      <c r="H13" s="240">
        <f>'PE-A4'!H42-'PE-A4'!H71</f>
        <v>-419</v>
      </c>
      <c r="I13" s="240">
        <f>'PE-A4'!I42-'PE-A4'!I71</f>
        <v>-457</v>
      </c>
      <c r="J13" s="240">
        <f>'PE-A4'!J42-'PE-A4'!J71</f>
        <v>-1040</v>
      </c>
      <c r="K13" s="241">
        <f>'PE-A4'!K42-'PE-A4'!K71</f>
        <v>-1550</v>
      </c>
      <c r="L13" s="242">
        <f>'PE-A4'!L42-'PE-A4'!L71</f>
        <v>-1500</v>
      </c>
      <c r="M13" s="240">
        <f>'PE-A4'!M42-'PE-A4'!M71</f>
        <v>-1400</v>
      </c>
      <c r="N13" s="240">
        <f>'PE-A4'!N42-'PE-A4'!N71</f>
        <v>-1200</v>
      </c>
      <c r="O13" s="240">
        <f>'PE-A4'!O42-'PE-A4'!O71</f>
        <v>-1100</v>
      </c>
      <c r="P13" s="240">
        <f>'PE-A4'!P42-'PE-A4'!P71</f>
        <v>-1000</v>
      </c>
      <c r="Q13" s="243">
        <f>'PE-A4'!Q42-'PE-A4'!Q71</f>
        <v>-1000</v>
      </c>
    </row>
    <row r="14" spans="1:19" ht="18" hidden="1" customHeight="1">
      <c r="B14" s="16"/>
      <c r="C14" s="90" t="s">
        <v>306</v>
      </c>
      <c r="D14" s="239">
        <f>'PE-A4'!D43-'PE-A4'!D72</f>
        <v>0</v>
      </c>
      <c r="E14" s="240">
        <f>'PE-A4'!E43-'PE-A4'!E72</f>
        <v>0</v>
      </c>
      <c r="F14" s="240">
        <f>'PE-A4'!F43-'PE-A4'!F72</f>
        <v>0</v>
      </c>
      <c r="G14" s="240">
        <f>'PE-A4'!G43-'PE-A4'!G72</f>
        <v>0</v>
      </c>
      <c r="H14" s="240">
        <f>'PE-A4'!H43-'PE-A4'!H72</f>
        <v>0</v>
      </c>
      <c r="I14" s="240">
        <f>'PE-A4'!I43-'PE-A4'!I72</f>
        <v>0</v>
      </c>
      <c r="J14" s="240">
        <f>'PE-A4'!J43-'PE-A4'!J72</f>
        <v>0</v>
      </c>
      <c r="K14" s="241">
        <f>'PE-A4'!K43-'PE-A4'!K72</f>
        <v>0</v>
      </c>
      <c r="L14" s="242">
        <f>'PE-A4'!L43-'PE-A4'!L72</f>
        <v>0</v>
      </c>
      <c r="M14" s="240">
        <f>'PE-A4'!M43-'PE-A4'!M72</f>
        <v>0</v>
      </c>
      <c r="N14" s="240">
        <f>'PE-A4'!N43-'PE-A4'!N72</f>
        <v>0</v>
      </c>
      <c r="O14" s="240">
        <f>'PE-A4'!O43-'PE-A4'!O72</f>
        <v>0</v>
      </c>
      <c r="P14" s="240">
        <f>'PE-A4'!P43-'PE-A4'!P72</f>
        <v>0</v>
      </c>
      <c r="Q14" s="243">
        <f>'PE-A4'!Q43-'PE-A4'!Q72</f>
        <v>0</v>
      </c>
    </row>
    <row r="15" spans="1:19" ht="16.5" customHeight="1">
      <c r="B15" s="605" t="s">
        <v>440</v>
      </c>
      <c r="C15" s="606"/>
      <c r="D15" s="239">
        <f>'PE-A4'!D44-'PE-A4'!D73</f>
        <v>-187</v>
      </c>
      <c r="E15" s="240">
        <f>'PE-A4'!E44-'PE-A4'!E73</f>
        <v>-226</v>
      </c>
      <c r="F15" s="240">
        <f>'PE-A4'!F44-'PE-A4'!F73</f>
        <v>-292</v>
      </c>
      <c r="G15" s="240">
        <f>'PE-A4'!G44-'PE-A4'!G73</f>
        <v>-255</v>
      </c>
      <c r="H15" s="240">
        <f>'PE-A4'!H44-'PE-A4'!H73</f>
        <v>-330</v>
      </c>
      <c r="I15" s="240">
        <f>'PE-A4'!I44-'PE-A4'!I73</f>
        <v>-241.14999999999998</v>
      </c>
      <c r="J15" s="240">
        <f>'PE-A4'!J44-'PE-A4'!J73</f>
        <v>-202.5</v>
      </c>
      <c r="K15" s="241">
        <f>'PE-A4'!K44-'PE-A4'!K73</f>
        <v>-171</v>
      </c>
      <c r="L15" s="242">
        <f>'PE-A4'!L44-'PE-A4'!L73</f>
        <v>-159</v>
      </c>
      <c r="M15" s="240">
        <f>'PE-A4'!M44-'PE-A4'!M73</f>
        <v>-148</v>
      </c>
      <c r="N15" s="240">
        <f>'PE-A4'!N44-'PE-A4'!N73</f>
        <v>-137</v>
      </c>
      <c r="O15" s="240">
        <f>'PE-A4'!O44-'PE-A4'!O73</f>
        <v>-127</v>
      </c>
      <c r="P15" s="240">
        <f>'PE-A4'!P44-'PE-A4'!P73</f>
        <v>-118</v>
      </c>
      <c r="Q15" s="243">
        <f>'PE-A4'!Q44-'PE-A4'!Q73</f>
        <v>-110</v>
      </c>
    </row>
    <row r="16" spans="1:19" ht="16.5" customHeight="1">
      <c r="B16" s="605" t="s">
        <v>441</v>
      </c>
      <c r="C16" s="606"/>
      <c r="D16" s="239">
        <f>'PE-A4'!D45-'PE-A4'!D74</f>
        <v>139.4545454545455</v>
      </c>
      <c r="E16" s="240">
        <f>'PE-A4'!E45-'PE-A4'!E74</f>
        <v>24.23045454545445</v>
      </c>
      <c r="F16" s="240">
        <f>'PE-A4'!F45-'PE-A4'!F74</f>
        <v>103</v>
      </c>
      <c r="G16" s="240">
        <f>'PE-A4'!G45-'PE-A4'!G74</f>
        <v>11.436000000000035</v>
      </c>
      <c r="H16" s="240">
        <f>'PE-A4'!H45-'PE-A4'!H74</f>
        <v>-366.42999999999984</v>
      </c>
      <c r="I16" s="240">
        <f>'PE-A4'!I45-'PE-A4'!I74</f>
        <v>-253.62800000000016</v>
      </c>
      <c r="J16" s="240">
        <f>'PE-A4'!J45-'PE-A4'!J74</f>
        <v>-324.70099999999979</v>
      </c>
      <c r="K16" s="241">
        <f>'PE-A4'!K45-'PE-A4'!K74</f>
        <v>-333.33299999999986</v>
      </c>
      <c r="L16" s="242">
        <f>'PE-A4'!L45-'PE-A4'!L74</f>
        <v>-393.78872399999977</v>
      </c>
      <c r="M16" s="240">
        <f>'PE-A4'!M45-'PE-A4'!M74</f>
        <v>-455.73911930399981</v>
      </c>
      <c r="N16" s="240">
        <f>'PE-A4'!N45-'PE-A4'!N74</f>
        <v>-48.356629030591876</v>
      </c>
      <c r="O16" s="240">
        <f>'PE-A4'!O45-'PE-A4'!O74</f>
        <v>55.189694524327479</v>
      </c>
      <c r="P16" s="240">
        <f>'PE-A4'!P45-'PE-A4'!P74</f>
        <v>-19.722339860695001</v>
      </c>
      <c r="Q16" s="243">
        <f>'PE-A4'!Q45-'PE-A4'!Q74</f>
        <v>-98.260116709952626</v>
      </c>
    </row>
    <row r="17" spans="2:17" ht="16.5" customHeight="1">
      <c r="B17" s="605" t="s">
        <v>442</v>
      </c>
      <c r="C17" s="606"/>
      <c r="D17" s="239">
        <f>'PE-A4'!D46-'PE-A4'!D75</f>
        <v>-428</v>
      </c>
      <c r="E17" s="240">
        <f>'PE-A4'!E46-'PE-A4'!E75</f>
        <v>-458</v>
      </c>
      <c r="F17" s="240">
        <f>'PE-A4'!F46-'PE-A4'!F75</f>
        <v>-488</v>
      </c>
      <c r="G17" s="240">
        <f>'PE-A4'!G46-'PE-A4'!G75</f>
        <v>-522</v>
      </c>
      <c r="H17" s="240">
        <f>'PE-A4'!H46-'PE-A4'!H75</f>
        <v>-556</v>
      </c>
      <c r="I17" s="240">
        <f>'PE-A4'!I46-'PE-A4'!I75</f>
        <v>-594</v>
      </c>
      <c r="J17" s="240">
        <f>'PE-A4'!J46-'PE-A4'!J75</f>
        <v>-630</v>
      </c>
      <c r="K17" s="241">
        <f>'PE-A4'!K46-'PE-A4'!K75</f>
        <v>-1687.5</v>
      </c>
      <c r="L17" s="242">
        <f>'PE-A4'!L46-'PE-A4'!L75</f>
        <v>-1969.3</v>
      </c>
      <c r="M17" s="240">
        <f>'PE-A4'!M46-'PE-A4'!M75</f>
        <v>-2086</v>
      </c>
      <c r="N17" s="240">
        <f>'PE-A4'!N46-'PE-A4'!N75</f>
        <v>-2211</v>
      </c>
      <c r="O17" s="240">
        <f>'PE-A4'!O46-'PE-A4'!O75</f>
        <v>-2343</v>
      </c>
      <c r="P17" s="240">
        <f>'PE-A4'!P46-'PE-A4'!P75</f>
        <v>-2483</v>
      </c>
      <c r="Q17" s="243">
        <f>'PE-A4'!Q46-'PE-A4'!Q75</f>
        <v>-1681</v>
      </c>
    </row>
    <row r="18" spans="2:17" ht="16.5" customHeight="1">
      <c r="B18" s="607" t="s">
        <v>443</v>
      </c>
      <c r="C18" s="608"/>
      <c r="D18" s="239">
        <f>'PE-A4'!D47-'PE-A4'!D76</f>
        <v>264.60000000000036</v>
      </c>
      <c r="E18" s="240">
        <f>'PE-A4'!E47-'PE-A4'!E76</f>
        <v>-20.400000000000091</v>
      </c>
      <c r="F18" s="240">
        <f>'PE-A4'!F47-'PE-A4'!F76</f>
        <v>-27.799999999999727</v>
      </c>
      <c r="G18" s="240">
        <f>'PE-A4'!G47-'PE-A4'!G76</f>
        <v>-42.800000000000182</v>
      </c>
      <c r="H18" s="240">
        <f>'PE-A4'!H47-'PE-A4'!H76</f>
        <v>-169.59999999999991</v>
      </c>
      <c r="I18" s="240">
        <f>'PE-A4'!I47-'PE-A4'!I76</f>
        <v>-19.099999999999454</v>
      </c>
      <c r="J18" s="240">
        <f>'PE-A4'!J47-'PE-A4'!J76</f>
        <v>-35.399999999999636</v>
      </c>
      <c r="K18" s="241">
        <f>'PE-A4'!K47-'PE-A4'!K76</f>
        <v>-135.90000000000009</v>
      </c>
      <c r="L18" s="242">
        <f>'PE-A4'!L47-'PE-A4'!L76</f>
        <v>-207.59999999999991</v>
      </c>
      <c r="M18" s="240">
        <f>'PE-A4'!M47-'PE-A4'!M76</f>
        <v>-232.19999999999982</v>
      </c>
      <c r="N18" s="240">
        <f>'PE-A4'!N47-'PE-A4'!N76</f>
        <v>-250.30000000000018</v>
      </c>
      <c r="O18" s="240">
        <f>'PE-A4'!O47-'PE-A4'!O76</f>
        <v>-256.69999999999982</v>
      </c>
      <c r="P18" s="240">
        <f>'PE-A4'!P47-'PE-A4'!P76</f>
        <v>-263.20000000000027</v>
      </c>
      <c r="Q18" s="243">
        <f>'PE-A4'!Q47-'PE-A4'!Q76</f>
        <v>-269.70000000000027</v>
      </c>
    </row>
    <row r="19" spans="2:17" ht="17.25" customHeight="1">
      <c r="B19" s="674" t="s">
        <v>307</v>
      </c>
      <c r="C19" s="675"/>
      <c r="D19" s="244">
        <f t="shared" ref="D19:K19" si="0">SUM(D7:D18)</f>
        <v>-3576.5047928933659</v>
      </c>
      <c r="E19" s="245">
        <f t="shared" si="0"/>
        <v>-3017.1851005933445</v>
      </c>
      <c r="F19" s="245">
        <f t="shared" si="0"/>
        <v>-4441.9510878115871</v>
      </c>
      <c r="G19" s="245">
        <f t="shared" si="0"/>
        <v>-4581.0064864739988</v>
      </c>
      <c r="H19" s="245">
        <f t="shared" si="0"/>
        <v>-4339.1914910486976</v>
      </c>
      <c r="I19" s="245">
        <f t="shared" si="0"/>
        <v>-4504.5634963999555</v>
      </c>
      <c r="J19" s="245">
        <f t="shared" si="0"/>
        <v>-5669.5559999999996</v>
      </c>
      <c r="K19" s="246">
        <f t="shared" si="0"/>
        <v>-9883.94</v>
      </c>
      <c r="L19" s="247">
        <f t="shared" ref="L19:Q19" si="1">SUM(L7:L18)</f>
        <v>-10122.271246</v>
      </c>
      <c r="M19" s="245">
        <f t="shared" si="1"/>
        <v>-10678.091526653199</v>
      </c>
      <c r="N19" s="245">
        <f t="shared" si="1"/>
        <v>-9965.8249602109754</v>
      </c>
      <c r="O19" s="245">
        <f t="shared" si="1"/>
        <v>-8796.5066124129626</v>
      </c>
      <c r="P19" s="245">
        <f t="shared" si="1"/>
        <v>-9517.3535175407887</v>
      </c>
      <c r="Q19" s="248">
        <f t="shared" si="1"/>
        <v>-9092.9630443154601</v>
      </c>
    </row>
    <row r="20" spans="2:17" ht="17.25" customHeight="1">
      <c r="B20" s="672" t="s">
        <v>308</v>
      </c>
      <c r="C20" s="673"/>
      <c r="D20" s="244">
        <f>'PE-A4'!D49-'PE-A4'!D78</f>
        <v>-373</v>
      </c>
      <c r="E20" s="245">
        <f>'PE-A4'!E49-'PE-A4'!E78</f>
        <v>-296</v>
      </c>
      <c r="F20" s="245">
        <f>'PE-A4'!F49-'PE-A4'!F78</f>
        <v>-205</v>
      </c>
      <c r="G20" s="245">
        <f>'PE-A4'!G49-'PE-A4'!G78</f>
        <v>-240</v>
      </c>
      <c r="H20" s="245">
        <f>'PE-A4'!H49-'PE-A4'!H78</f>
        <v>-225</v>
      </c>
      <c r="I20" s="245">
        <f>'PE-A4'!I49-'PE-A4'!I78</f>
        <v>-203</v>
      </c>
      <c r="J20" s="245">
        <f>'PE-A4'!J49-'PE-A4'!J78</f>
        <v>-215</v>
      </c>
      <c r="K20" s="246">
        <f>'PE-A4'!K49-'PE-A4'!K78</f>
        <v>-236</v>
      </c>
      <c r="L20" s="247">
        <f>'PE-A4'!L49-'PE-A4'!L78</f>
        <v>-245</v>
      </c>
      <c r="M20" s="245">
        <f>'PE-A4'!M49-'PE-A4'!M78</f>
        <v>-245</v>
      </c>
      <c r="N20" s="245">
        <f>'PE-A4'!N49-'PE-A4'!N78</f>
        <v>-252</v>
      </c>
      <c r="O20" s="245">
        <f>'PE-A4'!O49-'PE-A4'!O78</f>
        <v>-252</v>
      </c>
      <c r="P20" s="245">
        <f>'PE-A4'!P49-'PE-A4'!P78</f>
        <v>-259</v>
      </c>
      <c r="Q20" s="248">
        <f>'PE-A4'!Q49-'PE-A4'!Q78</f>
        <v>-259</v>
      </c>
    </row>
    <row r="21" spans="2:17" ht="16.5" customHeight="1">
      <c r="B21" s="105"/>
      <c r="C21" s="97" t="s">
        <v>309</v>
      </c>
      <c r="D21" s="244">
        <f>'PE-A4'!D50-'PE-A4'!D79</f>
        <v>-218</v>
      </c>
      <c r="E21" s="245">
        <f>'PE-A4'!E50-'PE-A4'!E79</f>
        <v>-296</v>
      </c>
      <c r="F21" s="245">
        <f>'PE-A4'!F50-'PE-A4'!F79</f>
        <v>-205</v>
      </c>
      <c r="G21" s="245">
        <f>'PE-A4'!G50-'PE-A4'!G79</f>
        <v>-240</v>
      </c>
      <c r="H21" s="245">
        <f>'PE-A4'!H50-'PE-A4'!H79</f>
        <v>-225</v>
      </c>
      <c r="I21" s="245">
        <f>'PE-A4'!I50-'PE-A4'!I79</f>
        <v>-203</v>
      </c>
      <c r="J21" s="245">
        <f>'PE-A4'!J50-'PE-A4'!J79</f>
        <v>-215</v>
      </c>
      <c r="K21" s="246">
        <f>'PE-A4'!K50-'PE-A4'!K79</f>
        <v>-236</v>
      </c>
      <c r="L21" s="247">
        <f>'PE-A4'!L50-'PE-A4'!L79</f>
        <v>-245</v>
      </c>
      <c r="M21" s="245">
        <f>'PE-A4'!M50-'PE-A4'!M79</f>
        <v>-245</v>
      </c>
      <c r="N21" s="245">
        <f>'PE-A4'!N50-'PE-A4'!N79</f>
        <v>-252</v>
      </c>
      <c r="O21" s="245">
        <f>'PE-A4'!O50-'PE-A4'!O79</f>
        <v>-252</v>
      </c>
      <c r="P21" s="245">
        <f>'PE-A4'!P50-'PE-A4'!P79</f>
        <v>-259</v>
      </c>
      <c r="Q21" s="248">
        <f>'PE-A4'!Q50-'PE-A4'!Q79</f>
        <v>-259</v>
      </c>
    </row>
    <row r="22" spans="2:17" ht="17.25" customHeight="1">
      <c r="B22" s="672" t="s">
        <v>310</v>
      </c>
      <c r="C22" s="673"/>
      <c r="D22" s="239">
        <f>'PE-A4'!D51-'PE-A4'!D80</f>
        <v>-2842</v>
      </c>
      <c r="E22" s="240">
        <f>'PE-A4'!E51-'PE-A4'!E80</f>
        <v>-704</v>
      </c>
      <c r="F22" s="240">
        <f>'PE-A4'!F51-'PE-A4'!F80</f>
        <v>-857</v>
      </c>
      <c r="G22" s="240">
        <f>'PE-A4'!G51-'PE-A4'!G80</f>
        <v>-653</v>
      </c>
      <c r="H22" s="240">
        <f>'PE-A4'!H51-'PE-A4'!H80</f>
        <v>-48</v>
      </c>
      <c r="I22" s="240">
        <f>'PE-A4'!I51-'PE-A4'!I80</f>
        <v>-369.0099999999984</v>
      </c>
      <c r="J22" s="240">
        <f>'PE-A4'!J51-'PE-A4'!J80</f>
        <v>-967.09483799999907</v>
      </c>
      <c r="K22" s="241">
        <f>'PE-A4'!K51-'PE-A4'!K80</f>
        <v>-1293.3739839999998</v>
      </c>
      <c r="L22" s="242">
        <f>'PE-A4'!L51-'PE-A4'!L80</f>
        <v>-1698.223532</v>
      </c>
      <c r="M22" s="240">
        <f>'PE-A4'!M51-'PE-A4'!M80</f>
        <v>-1649.8426070000005</v>
      </c>
      <c r="N22" s="240">
        <f>'PE-A4'!N51-'PE-A4'!N80</f>
        <v>-1739.4256369999985</v>
      </c>
      <c r="O22" s="240">
        <f>'PE-A4'!O51-'PE-A4'!O80</f>
        <v>-1901.6214040000013</v>
      </c>
      <c r="P22" s="240">
        <f>'PE-A4'!P51-'PE-A4'!P80</f>
        <v>-1954.8882060000014</v>
      </c>
      <c r="Q22" s="243">
        <f>'PE-A4'!Q51-'PE-A4'!Q80</f>
        <v>-1796.0148120000013</v>
      </c>
    </row>
    <row r="23" spans="2:17" ht="16.5" customHeight="1">
      <c r="B23" s="105"/>
      <c r="C23" s="615" t="s">
        <v>311</v>
      </c>
      <c r="D23" s="244">
        <f>'PE-A4'!D52-'PE-A4'!D81</f>
        <v>-895</v>
      </c>
      <c r="E23" s="245">
        <f>'PE-A4'!E52-'PE-A4'!E81</f>
        <v>381</v>
      </c>
      <c r="F23" s="245">
        <f>'PE-A4'!F52-'PE-A4'!F81</f>
        <v>-150</v>
      </c>
      <c r="G23" s="245">
        <f>'PE-A4'!G52-'PE-A4'!G81</f>
        <v>-43</v>
      </c>
      <c r="H23" s="245">
        <f>'PE-A4'!H52-'PE-A4'!H81</f>
        <v>535</v>
      </c>
      <c r="I23" s="245">
        <f>'PE-A4'!I52-'PE-A4'!I81</f>
        <v>364</v>
      </c>
      <c r="J23" s="245">
        <f>'PE-A4'!J52-'PE-A4'!J81</f>
        <v>-29.688607000000047</v>
      </c>
      <c r="K23" s="246">
        <f>'PE-A4'!K52-'PE-A4'!K81</f>
        <v>-468.08223899999939</v>
      </c>
      <c r="L23" s="247">
        <f>'PE-A4'!L52-'PE-A4'!L81</f>
        <v>-812.14904799999931</v>
      </c>
      <c r="M23" s="245">
        <f>'PE-A4'!M52-'PE-A4'!M81</f>
        <v>-763.71380599999975</v>
      </c>
      <c r="N23" s="245">
        <f>'PE-A4'!N52-'PE-A4'!N81</f>
        <v>-859.76654100000087</v>
      </c>
      <c r="O23" s="245">
        <f>'PE-A4'!O52-'PE-A4'!O81</f>
        <v>-972.44586100000015</v>
      </c>
      <c r="P23" s="245">
        <f>'PE-A4'!P52-'PE-A4'!P81</f>
        <v>-968.0421750000005</v>
      </c>
      <c r="Q23" s="248">
        <f>'PE-A4'!Q52-'PE-A4'!Q81</f>
        <v>-738.35436999999911</v>
      </c>
    </row>
    <row r="24" spans="2:17" ht="17.25" customHeight="1">
      <c r="B24" s="672" t="s">
        <v>312</v>
      </c>
      <c r="C24" s="673"/>
      <c r="D24" s="239">
        <f>'PE-A4'!D53-'PE-A4'!D82</f>
        <v>7338</v>
      </c>
      <c r="E24" s="240">
        <f>'PE-A4'!E53-'PE-A4'!E82</f>
        <v>7766</v>
      </c>
      <c r="F24" s="240">
        <f>'PE-A4'!F53-'PE-A4'!F82</f>
        <v>8740.0588697017265</v>
      </c>
      <c r="G24" s="240">
        <f>'PE-A4'!G53-'PE-A4'!G82</f>
        <v>9563.6091051805342</v>
      </c>
      <c r="H24" s="240">
        <f>'PE-A4'!H53-'PE-A4'!H82</f>
        <v>10884</v>
      </c>
      <c r="I24" s="240">
        <f>'PE-A4'!I53-'PE-A4'!I82</f>
        <v>10833</v>
      </c>
      <c r="J24" s="240">
        <f>'PE-A4'!J53-'PE-A4'!J82</f>
        <v>11686</v>
      </c>
      <c r="K24" s="241">
        <f>'PE-A4'!K53-'PE-A4'!K82</f>
        <v>12366</v>
      </c>
      <c r="L24" s="242">
        <f>'PE-A4'!L53-'PE-A4'!L82</f>
        <v>12781</v>
      </c>
      <c r="M24" s="240">
        <f>'PE-A4'!M53-'PE-A4'!M82</f>
        <v>12879</v>
      </c>
      <c r="N24" s="240">
        <f>'PE-A4'!N53-'PE-A4'!N82</f>
        <v>13047</v>
      </c>
      <c r="O24" s="240">
        <f>'PE-A4'!O53-'PE-A4'!O82</f>
        <v>13062</v>
      </c>
      <c r="P24" s="240">
        <f>'PE-A4'!P53-'PE-A4'!P82</f>
        <v>13431</v>
      </c>
      <c r="Q24" s="243">
        <f>'PE-A4'!Q53-'PE-A4'!Q82</f>
        <v>13432</v>
      </c>
    </row>
    <row r="25" spans="2:17" ht="16.5" customHeight="1">
      <c r="B25" s="16"/>
      <c r="C25" s="615" t="s">
        <v>313</v>
      </c>
      <c r="D25" s="244">
        <f>'PE-A4'!D54-'PE-A4'!D83</f>
        <v>2525</v>
      </c>
      <c r="E25" s="245">
        <f>'PE-A4'!E54-'PE-A4'!E83</f>
        <v>5746.1538461538457</v>
      </c>
      <c r="F25" s="245">
        <f>'PE-A4'!F54-'PE-A4'!F83</f>
        <v>6293.7786499215072</v>
      </c>
      <c r="G25" s="245">
        <f>'PE-A4'!G54-'PE-A4'!G83</f>
        <v>6928.040031397175</v>
      </c>
      <c r="H25" s="245">
        <f>'PE-A4'!H54-'PE-A4'!H83</f>
        <v>7785</v>
      </c>
      <c r="I25" s="245">
        <f>'PE-A4'!I54-'PE-A4'!I83</f>
        <v>7339</v>
      </c>
      <c r="J25" s="245">
        <f>'PE-A4'!J54-'PE-A4'!J83</f>
        <v>7625</v>
      </c>
      <c r="K25" s="246">
        <f>'PE-A4'!K54-'PE-A4'!K83</f>
        <v>8010</v>
      </c>
      <c r="L25" s="247">
        <f>'PE-A4'!L54-'PE-A4'!L83</f>
        <v>8401</v>
      </c>
      <c r="M25" s="245">
        <f>'PE-A4'!M54-'PE-A4'!M83</f>
        <v>8643</v>
      </c>
      <c r="N25" s="245">
        <f>'PE-A4'!N54-'PE-A4'!N83</f>
        <v>8774</v>
      </c>
      <c r="O25" s="245">
        <f>'PE-A4'!O54-'PE-A4'!O83</f>
        <v>8828</v>
      </c>
      <c r="P25" s="245">
        <f>'PE-A4'!P54-'PE-A4'!P83</f>
        <v>8881</v>
      </c>
      <c r="Q25" s="248">
        <f>'PE-A4'!Q54-'PE-A4'!Q83</f>
        <v>8980</v>
      </c>
    </row>
    <row r="26" spans="2:17" ht="17.25" customHeight="1">
      <c r="B26" s="674" t="s">
        <v>314</v>
      </c>
      <c r="C26" s="675"/>
      <c r="D26" s="244">
        <f>'PE-A4'!D55-'PE-A4'!D84</f>
        <v>-1126</v>
      </c>
      <c r="E26" s="245">
        <f>'PE-A4'!E55-'PE-A4'!E84</f>
        <v>-1517</v>
      </c>
      <c r="F26" s="245">
        <f>'PE-A4'!F55-'PE-A4'!F84</f>
        <v>-1583.8665620094191</v>
      </c>
      <c r="G26" s="245">
        <f>'PE-A4'!G55-'PE-A4'!G84</f>
        <v>-1889.6187865993854</v>
      </c>
      <c r="H26" s="245">
        <f>'PE-A4'!H55-'PE-A4'!H84</f>
        <v>-2118.4781573646405</v>
      </c>
      <c r="I26" s="245">
        <f>'PE-A4'!I55-'PE-A4'!I84</f>
        <v>-2341</v>
      </c>
      <c r="J26" s="245">
        <f>'PE-A4'!J55-'PE-A4'!J84</f>
        <v>-2385</v>
      </c>
      <c r="K26" s="246">
        <f>'PE-A4'!K55-'PE-A4'!K84</f>
        <v>-2409</v>
      </c>
      <c r="L26" s="247">
        <f>'PE-A4'!L55-'PE-A4'!L84</f>
        <v>-2507</v>
      </c>
      <c r="M26" s="245">
        <f>'PE-A4'!M55-'PE-A4'!M84</f>
        <v>-2756</v>
      </c>
      <c r="N26" s="245">
        <f>'PE-A4'!N55-'PE-A4'!N84</f>
        <v>-2994</v>
      </c>
      <c r="O26" s="245">
        <f>'PE-A4'!O55-'PE-A4'!O84</f>
        <v>-3231</v>
      </c>
      <c r="P26" s="245">
        <f>'PE-A4'!P55-'PE-A4'!P84</f>
        <v>-3445</v>
      </c>
      <c r="Q26" s="248">
        <f>'PE-A4'!Q55-'PE-A4'!Q84</f>
        <v>-3898</v>
      </c>
    </row>
    <row r="27" spans="2:17" ht="17.25" customHeight="1">
      <c r="B27" s="674" t="s">
        <v>315</v>
      </c>
      <c r="C27" s="675"/>
      <c r="D27" s="244">
        <f>'PE-A4'!D56-'PE-A4'!D85</f>
        <v>-265</v>
      </c>
      <c r="E27" s="245">
        <f>'PE-A4'!E56-'PE-A4'!E85</f>
        <v>-453</v>
      </c>
      <c r="F27" s="245">
        <f>'PE-A4'!F56-'PE-A4'!F85</f>
        <v>-499.20000000000027</v>
      </c>
      <c r="G27" s="245">
        <f>'PE-A4'!G56-'PE-A4'!G85</f>
        <v>-498</v>
      </c>
      <c r="H27" s="245">
        <f>'PE-A4'!H56-'PE-A4'!H85</f>
        <v>-420</v>
      </c>
      <c r="I27" s="245">
        <f>'PE-A4'!I56-'PE-A4'!I85</f>
        <v>-228</v>
      </c>
      <c r="J27" s="245">
        <f>'PE-A4'!J56-'PE-A4'!J85</f>
        <v>-510</v>
      </c>
      <c r="K27" s="246">
        <f>'PE-A4'!K56-'PE-A4'!K85</f>
        <v>29.289999999999964</v>
      </c>
      <c r="L27" s="247">
        <f>'PE-A4'!L56-'PE-A4'!L85</f>
        <v>351.47863999999981</v>
      </c>
      <c r="M27" s="245">
        <f>'PE-A4'!M56-'PE-A4'!M85</f>
        <v>1014.88112</v>
      </c>
      <c r="N27" s="245">
        <f>'PE-A4'!N56-'PE-A4'!N85</f>
        <v>1001.6043368000001</v>
      </c>
      <c r="O27" s="245">
        <f>'PE-A4'!O56-'PE-A4'!O85</f>
        <v>1488.128401852</v>
      </c>
      <c r="P27" s="245">
        <f>'PE-A4'!P56-'PE-A4'!P85</f>
        <v>1924.4503278797802</v>
      </c>
      <c r="Q27" s="248">
        <f>'PE-A4'!Q56-'PE-A4'!Q85</f>
        <v>2272.567082797977</v>
      </c>
    </row>
    <row r="28" spans="2:17" ht="16.5" customHeight="1">
      <c r="B28" s="672" t="s">
        <v>316</v>
      </c>
      <c r="C28" s="673"/>
      <c r="D28" s="239">
        <f>'PE-A4'!D57-'PE-A4'!D86</f>
        <v>1742</v>
      </c>
      <c r="E28" s="240">
        <f>'PE-A4'!E57-'PE-A4'!E86</f>
        <v>1737.7400000000016</v>
      </c>
      <c r="F28" s="240">
        <f>'PE-A4'!F57-'PE-A4'!F86</f>
        <v>1397</v>
      </c>
      <c r="G28" s="240">
        <f>'PE-A4'!G57-'PE-A4'!G86</f>
        <v>1854.1000000000004</v>
      </c>
      <c r="H28" s="240">
        <f>'PE-A4'!H57-'PE-A4'!H86</f>
        <v>1727</v>
      </c>
      <c r="I28" s="240">
        <f>'PE-A4'!I57-'PE-A4'!I86</f>
        <v>2138</v>
      </c>
      <c r="J28" s="240">
        <f>'PE-A4'!J57-'PE-A4'!J86</f>
        <v>1774.9000000000015</v>
      </c>
      <c r="K28" s="241">
        <f>'PE-A4'!K57-'PE-A4'!K86</f>
        <v>1957.4000000000015</v>
      </c>
      <c r="L28" s="242">
        <f>'PE-A4'!L57-'PE-A4'!L86</f>
        <v>4041.5</v>
      </c>
      <c r="M28" s="240">
        <f>'PE-A4'!M57-'PE-A4'!M86</f>
        <v>5406</v>
      </c>
      <c r="N28" s="240">
        <f>'PE-A4'!N57-'PE-A4'!N86</f>
        <v>6237.5</v>
      </c>
      <c r="O28" s="240">
        <f>'PE-A4'!O57-'PE-A4'!O86</f>
        <v>6960</v>
      </c>
      <c r="P28" s="240">
        <f>'PE-A4'!P57-'PE-A4'!P86</f>
        <v>7512.7999999999993</v>
      </c>
      <c r="Q28" s="243">
        <f>'PE-A4'!Q57-'PE-A4'!Q86</f>
        <v>7265.0999999999985</v>
      </c>
    </row>
    <row r="29" spans="2:17" ht="16.5" customHeight="1">
      <c r="B29" s="670" t="s">
        <v>317</v>
      </c>
      <c r="C29" s="671"/>
      <c r="D29" s="239">
        <f>'PE-A4'!D58-'PE-A4'!D87</f>
        <v>1006</v>
      </c>
      <c r="E29" s="240">
        <f>'PE-A4'!E58-'PE-A4'!E87</f>
        <v>813</v>
      </c>
      <c r="F29" s="240">
        <f>'PE-A4'!F58-'PE-A4'!F87</f>
        <v>1047</v>
      </c>
      <c r="G29" s="240">
        <f>'PE-A4'!G58-'PE-A4'!G87</f>
        <v>1022</v>
      </c>
      <c r="H29" s="240">
        <f>'PE-A4'!H58-'PE-A4'!H87</f>
        <v>919</v>
      </c>
      <c r="I29" s="240">
        <f>'PE-A4'!I58-'PE-A4'!I87</f>
        <v>1080</v>
      </c>
      <c r="J29" s="240">
        <f>'PE-A4'!J58-'PE-A4'!J87</f>
        <v>1220</v>
      </c>
      <c r="K29" s="241">
        <f>'PE-A4'!K58-'PE-A4'!K87</f>
        <v>1058</v>
      </c>
      <c r="L29" s="242">
        <f>'PE-A4'!L58-'PE-A4'!L87</f>
        <v>1006</v>
      </c>
      <c r="M29" s="240">
        <f>'PE-A4'!M58-'PE-A4'!M87</f>
        <v>952</v>
      </c>
      <c r="N29" s="240">
        <f>'PE-A4'!N58-'PE-A4'!N87</f>
        <v>903</v>
      </c>
      <c r="O29" s="240">
        <f>'PE-A4'!O58-'PE-A4'!O87</f>
        <v>950</v>
      </c>
      <c r="P29" s="240">
        <f>'PE-A4'!P58-'PE-A4'!P87</f>
        <v>1192</v>
      </c>
      <c r="Q29" s="243">
        <f>'PE-A4'!Q58-'PE-A4'!Q87</f>
        <v>1147</v>
      </c>
    </row>
    <row r="30" spans="2:17" ht="17.25" customHeight="1">
      <c r="B30" s="674" t="s">
        <v>318</v>
      </c>
      <c r="C30" s="675"/>
      <c r="D30" s="244">
        <f t="shared" ref="D30:K30" si="2">SUM(D28:D29)</f>
        <v>2748</v>
      </c>
      <c r="E30" s="245">
        <f t="shared" si="2"/>
        <v>2550.7400000000016</v>
      </c>
      <c r="F30" s="245">
        <f t="shared" si="2"/>
        <v>2444</v>
      </c>
      <c r="G30" s="245">
        <f t="shared" si="2"/>
        <v>2876.1000000000004</v>
      </c>
      <c r="H30" s="245">
        <f t="shared" si="2"/>
        <v>2646</v>
      </c>
      <c r="I30" s="245">
        <f t="shared" si="2"/>
        <v>3218</v>
      </c>
      <c r="J30" s="245">
        <f t="shared" si="2"/>
        <v>2994.9000000000015</v>
      </c>
      <c r="K30" s="246">
        <f t="shared" si="2"/>
        <v>3015.4000000000015</v>
      </c>
      <c r="L30" s="247">
        <f t="shared" ref="L30:Q30" si="3">SUM(L28:L29)</f>
        <v>5047.5</v>
      </c>
      <c r="M30" s="245">
        <f t="shared" si="3"/>
        <v>6358</v>
      </c>
      <c r="N30" s="245">
        <f t="shared" si="3"/>
        <v>7140.5</v>
      </c>
      <c r="O30" s="245">
        <f t="shared" si="3"/>
        <v>7910</v>
      </c>
      <c r="P30" s="245">
        <f t="shared" si="3"/>
        <v>8704.7999999999993</v>
      </c>
      <c r="Q30" s="248">
        <f t="shared" si="3"/>
        <v>8412.0999999999985</v>
      </c>
    </row>
    <row r="31" spans="2:17" ht="16.5" customHeight="1">
      <c r="B31" s="672" t="s">
        <v>319</v>
      </c>
      <c r="C31" s="673"/>
      <c r="D31" s="239">
        <f>'PE-A4'!D60-'PE-A4'!D89</f>
        <v>-832</v>
      </c>
      <c r="E31" s="240">
        <f>'PE-A4'!E60-'PE-A4'!E89</f>
        <v>-846</v>
      </c>
      <c r="F31" s="240">
        <f>'PE-A4'!F60-'PE-A4'!F89</f>
        <v>-894</v>
      </c>
      <c r="G31" s="240">
        <f>'PE-A4'!G60-'PE-A4'!G89</f>
        <v>-962</v>
      </c>
      <c r="H31" s="240">
        <f>'PE-A4'!H60-'PE-A4'!H89</f>
        <v>-1003</v>
      </c>
      <c r="I31" s="240">
        <f>'PE-A4'!I60-'PE-A4'!I89</f>
        <v>-1094</v>
      </c>
      <c r="J31" s="240">
        <f>'PE-A4'!J60-'PE-A4'!J89</f>
        <v>-725</v>
      </c>
      <c r="K31" s="241">
        <f>'PE-A4'!K60-'PE-A4'!K89</f>
        <v>-282</v>
      </c>
      <c r="L31" s="242">
        <f>'PE-A4'!L60-'PE-A4'!L89</f>
        <v>-321</v>
      </c>
      <c r="M31" s="240">
        <f>'PE-A4'!M60-'PE-A4'!M89</f>
        <v>-366</v>
      </c>
      <c r="N31" s="240">
        <f>'PE-A4'!N60-'PE-A4'!N89</f>
        <v>-416</v>
      </c>
      <c r="O31" s="240">
        <f>'PE-A4'!O60-'PE-A4'!O89</f>
        <v>-470</v>
      </c>
      <c r="P31" s="240">
        <f>'PE-A4'!P60-'PE-A4'!P89</f>
        <v>-528</v>
      </c>
      <c r="Q31" s="243">
        <f>'PE-A4'!Q60-'PE-A4'!Q89</f>
        <v>-588</v>
      </c>
    </row>
    <row r="32" spans="2:17" ht="16.5" customHeight="1">
      <c r="B32" s="668" t="s">
        <v>320</v>
      </c>
      <c r="C32" s="669"/>
      <c r="D32" s="239">
        <f>'PE-A4'!D61-'PE-A4'!D90</f>
        <v>291</v>
      </c>
      <c r="E32" s="240">
        <f>'PE-A4'!E61-'PE-A4'!E90</f>
        <v>360</v>
      </c>
      <c r="F32" s="240">
        <f>'PE-A4'!F61-'PE-A4'!F90</f>
        <v>331</v>
      </c>
      <c r="G32" s="240">
        <f>'PE-A4'!G61-'PE-A4'!G90</f>
        <v>315</v>
      </c>
      <c r="H32" s="240">
        <f>'PE-A4'!H61-'PE-A4'!H90</f>
        <v>245</v>
      </c>
      <c r="I32" s="240">
        <f>'PE-A4'!I61-'PE-A4'!I90</f>
        <v>330</v>
      </c>
      <c r="J32" s="240">
        <f>'PE-A4'!J61-'PE-A4'!J90</f>
        <v>414</v>
      </c>
      <c r="K32" s="241">
        <f>'PE-A4'!K61-'PE-A4'!K90</f>
        <v>392.75</v>
      </c>
      <c r="L32" s="242">
        <f>'PE-A4'!L61-'PE-A4'!L90</f>
        <v>361.75</v>
      </c>
      <c r="M32" s="240">
        <f>'PE-A4'!M61-'PE-A4'!M90</f>
        <v>308.75</v>
      </c>
      <c r="N32" s="240">
        <f>'PE-A4'!N61-'PE-A4'!N90</f>
        <v>256.75</v>
      </c>
      <c r="O32" s="240">
        <f>'PE-A4'!O61-'PE-A4'!O90</f>
        <v>204.75</v>
      </c>
      <c r="P32" s="240">
        <f>'PE-A4'!P61-'PE-A4'!P90</f>
        <v>151.75</v>
      </c>
      <c r="Q32" s="243">
        <f>'PE-A4'!Q61-'PE-A4'!Q90</f>
        <v>98</v>
      </c>
    </row>
    <row r="33" spans="2:17" ht="16.5" customHeight="1">
      <c r="B33" s="670" t="s">
        <v>321</v>
      </c>
      <c r="C33" s="671"/>
      <c r="D33" s="239">
        <f>'PE-A4'!D62-'PE-A4'!D91</f>
        <v>-1120</v>
      </c>
      <c r="E33" s="240">
        <f>'PE-A4'!E62-'PE-A4'!E91</f>
        <v>-1154</v>
      </c>
      <c r="F33" s="240">
        <f>'PE-A4'!F62-'PE-A4'!F91</f>
        <v>-1328</v>
      </c>
      <c r="G33" s="240">
        <f>'PE-A4'!G62-'PE-A4'!G91</f>
        <v>-1610</v>
      </c>
      <c r="H33" s="240">
        <f>'PE-A4'!H62-'PE-A4'!H91</f>
        <v>-1761</v>
      </c>
      <c r="I33" s="240">
        <f>'PE-A4'!I62-'PE-A4'!I91</f>
        <v>-1717</v>
      </c>
      <c r="J33" s="240">
        <f>'PE-A4'!J62-'PE-A4'!J91</f>
        <v>-1738</v>
      </c>
      <c r="K33" s="241">
        <f>'PE-A4'!K62-'PE-A4'!K91</f>
        <v>-1771</v>
      </c>
      <c r="L33" s="242">
        <f>'PE-A4'!L62-'PE-A4'!L91</f>
        <v>-1805</v>
      </c>
      <c r="M33" s="240">
        <f>'PE-A4'!M62-'PE-A4'!M91</f>
        <v>-1855</v>
      </c>
      <c r="N33" s="240">
        <f>'PE-A4'!N62-'PE-A4'!N91</f>
        <v>-1932</v>
      </c>
      <c r="O33" s="240">
        <f>'PE-A4'!O62-'PE-A4'!O91</f>
        <v>-2012</v>
      </c>
      <c r="P33" s="240">
        <f>'PE-A4'!P62-'PE-A4'!P91</f>
        <v>-2096</v>
      </c>
      <c r="Q33" s="243">
        <f>'PE-A4'!Q62-'PE-A4'!Q91</f>
        <v>-2184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-1661</v>
      </c>
      <c r="E34" s="250">
        <f t="shared" si="4"/>
        <v>-1640</v>
      </c>
      <c r="F34" s="250">
        <f t="shared" si="4"/>
        <v>-1891</v>
      </c>
      <c r="G34" s="250">
        <f t="shared" si="4"/>
        <v>-2257</v>
      </c>
      <c r="H34" s="250">
        <f t="shared" si="4"/>
        <v>-2519</v>
      </c>
      <c r="I34" s="250">
        <f t="shared" si="4"/>
        <v>-2481</v>
      </c>
      <c r="J34" s="250">
        <f t="shared" si="4"/>
        <v>-2049</v>
      </c>
      <c r="K34" s="251">
        <f t="shared" si="4"/>
        <v>-1660.25</v>
      </c>
      <c r="L34" s="252">
        <f t="shared" ref="L34:Q34" si="5">SUM(L31:L33)</f>
        <v>-1764.25</v>
      </c>
      <c r="M34" s="250">
        <f t="shared" si="5"/>
        <v>-1912.25</v>
      </c>
      <c r="N34" s="250">
        <f t="shared" si="5"/>
        <v>-2091.25</v>
      </c>
      <c r="O34" s="250">
        <f t="shared" si="5"/>
        <v>-2277.25</v>
      </c>
      <c r="P34" s="250">
        <f t="shared" si="5"/>
        <v>-2472.25</v>
      </c>
      <c r="Q34" s="253">
        <f t="shared" si="5"/>
        <v>-2674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242.49520710663455</v>
      </c>
      <c r="E35" s="171">
        <f t="shared" ref="E35:Q35" si="6">SUM(E19+E20+E22+E24+E26+E27+E30+E34)</f>
        <v>2689.5548994066576</v>
      </c>
      <c r="F35" s="171">
        <f t="shared" si="6"/>
        <v>1706.0412198807198</v>
      </c>
      <c r="G35" s="171">
        <f t="shared" si="6"/>
        <v>2321.0838321071506</v>
      </c>
      <c r="H35" s="171">
        <f t="shared" si="6"/>
        <v>3860.3303515866619</v>
      </c>
      <c r="I35" s="171">
        <f t="shared" si="6"/>
        <v>3924.4265036000461</v>
      </c>
      <c r="J35" s="171">
        <f t="shared" si="6"/>
        <v>2885.2491620000028</v>
      </c>
      <c r="K35" s="173">
        <f t="shared" si="6"/>
        <v>-71.873983999998927</v>
      </c>
      <c r="L35" s="172">
        <f t="shared" si="6"/>
        <v>1843.2338619999996</v>
      </c>
      <c r="M35" s="171">
        <f t="shared" si="6"/>
        <v>3010.6969863468003</v>
      </c>
      <c r="N35" s="171">
        <f t="shared" si="6"/>
        <v>4146.6037395890262</v>
      </c>
      <c r="O35" s="171">
        <f t="shared" si="6"/>
        <v>6001.7503854390361</v>
      </c>
      <c r="P35" s="171">
        <f t="shared" si="6"/>
        <v>6411.7586043389892</v>
      </c>
      <c r="Q35" s="174">
        <f t="shared" si="6"/>
        <v>6396.6892264825146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3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2">
        <f>IF('PE-A4'!D7=0,"    -",ROUND('PE-A4'!D36/'PE-A4'!D7*100,1))</f>
        <v>94.7</v>
      </c>
      <c r="E43" s="53">
        <f>IF('PE-A4'!E7=0,"    -",ROUND('PE-A4'!E36/'PE-A4'!E7*100,1))</f>
        <v>91.9</v>
      </c>
      <c r="F43" s="53">
        <f>IF('PE-A4'!F7=0,"    -",ROUND('PE-A4'!F36/'PE-A4'!F7*100,1))</f>
        <v>93.7</v>
      </c>
      <c r="G43" s="53">
        <f>IF('PE-A4'!G7=0,"    -",ROUND('PE-A4'!G36/'PE-A4'!G7*100,1))</f>
        <v>96.6</v>
      </c>
      <c r="H43" s="53">
        <f>IF('PE-A4'!H7=0,"    -",ROUND('PE-A4'!H36/'PE-A4'!H7*100,1))</f>
        <v>94.2</v>
      </c>
      <c r="I43" s="53">
        <f>IF('PE-A4'!I7=0,"    -",ROUND('PE-A4'!I36/'PE-A4'!I7*100,1))</f>
        <v>92.2</v>
      </c>
      <c r="J43" s="53">
        <f>IF('PE-A4'!J7=0,"    -",ROUND('PE-A4'!J36/'PE-A4'!J7*100,1))</f>
        <v>91.8</v>
      </c>
      <c r="K43" s="54">
        <f>IF('PE-A4'!K7=0,"    -",ROUND('PE-A4'!K36/'PE-A4'!K7*100,1))</f>
        <v>95.7</v>
      </c>
      <c r="L43" s="55">
        <f>IF('PE-A4'!L7=0,"    -",ROUND('PE-A4'!L36/'PE-A4'!L7*100,1))</f>
        <v>92.4</v>
      </c>
      <c r="M43" s="53">
        <f>IF('PE-A4'!M7=0,"    -",ROUND('PE-A4'!M36/'PE-A4'!M7*100,1))</f>
        <v>91.3</v>
      </c>
      <c r="N43" s="53">
        <f>IF('PE-A4'!N7=0,"    -",ROUND('PE-A4'!N36/'PE-A4'!N7*100,1))</f>
        <v>89.8</v>
      </c>
      <c r="O43" s="53">
        <f>IF('PE-A4'!O7=0,"    -",ROUND('PE-A4'!O36/'PE-A4'!O7*100,1))</f>
        <v>89</v>
      </c>
      <c r="P43" s="53">
        <f>IF('PE-A4'!P7=0,"    -",ROUND('PE-A4'!P36/'PE-A4'!P7*100,1))</f>
        <v>89.7</v>
      </c>
      <c r="Q43" s="56">
        <f>IF('PE-A4'!Q7=0,"    -",ROUND('PE-A4'!Q36/'PE-A4'!Q7*100,1))</f>
        <v>85.3</v>
      </c>
    </row>
    <row r="44" spans="2:17" ht="16.5" customHeight="1">
      <c r="B44" s="605" t="s">
        <v>434</v>
      </c>
      <c r="C44" s="606"/>
      <c r="D44" s="52">
        <f>IF('PE-A4'!D8=0,"    -",ROUND('PE-A4'!D37/'PE-A4'!D8*100,1))</f>
        <v>85.1</v>
      </c>
      <c r="E44" s="53">
        <f>IF('PE-A4'!E8=0,"    -",ROUND('PE-A4'!E37/'PE-A4'!E8*100,1))</f>
        <v>75.2</v>
      </c>
      <c r="F44" s="53">
        <f>IF('PE-A4'!F8=0,"    -",ROUND('PE-A4'!F37/'PE-A4'!F8*100,1))</f>
        <v>66.8</v>
      </c>
      <c r="G44" s="53">
        <f>IF('PE-A4'!G8=0,"    -",ROUND('PE-A4'!G37/'PE-A4'!G8*100,1))</f>
        <v>79.2</v>
      </c>
      <c r="H44" s="53">
        <f>IF('PE-A4'!H8=0,"    -",ROUND('PE-A4'!H37/'PE-A4'!H8*100,1))</f>
        <v>74.8</v>
      </c>
      <c r="I44" s="53">
        <f>IF('PE-A4'!I8=0,"    -",ROUND('PE-A4'!I37/'PE-A4'!I8*100,1))</f>
        <v>81.400000000000006</v>
      </c>
      <c r="J44" s="53">
        <f>IF('PE-A4'!J8=0,"    -",ROUND('PE-A4'!J37/'PE-A4'!J8*100,1))</f>
        <v>82.1</v>
      </c>
      <c r="K44" s="54">
        <f>IF('PE-A4'!K8=0,"    -",ROUND('PE-A4'!K37/'PE-A4'!K8*100,1))</f>
        <v>82.1</v>
      </c>
      <c r="L44" s="55">
        <f>IF('PE-A4'!L8=0,"    -",ROUND('PE-A4'!L37/'PE-A4'!L8*100,1))</f>
        <v>82.2</v>
      </c>
      <c r="M44" s="53">
        <f>IF('PE-A4'!M8=0,"    -",ROUND('PE-A4'!M37/'PE-A4'!M8*100,1))</f>
        <v>83.5</v>
      </c>
      <c r="N44" s="53">
        <f>IF('PE-A4'!N8=0,"    -",ROUND('PE-A4'!N37/'PE-A4'!N8*100,1))</f>
        <v>83.5</v>
      </c>
      <c r="O44" s="53">
        <f>IF('PE-A4'!O8=0,"    -",ROUND('PE-A4'!O37/'PE-A4'!O8*100,1))</f>
        <v>84.1</v>
      </c>
      <c r="P44" s="53">
        <f>IF('PE-A4'!P8=0,"    -",ROUND('PE-A4'!P37/'PE-A4'!P8*100,1))</f>
        <v>84.1</v>
      </c>
      <c r="Q44" s="56">
        <f>IF('PE-A4'!Q8=0,"    -",ROUND('PE-A4'!Q37/'PE-A4'!Q8*100,1))</f>
        <v>84.1</v>
      </c>
    </row>
    <row r="45" spans="2:17" ht="16.5" customHeight="1">
      <c r="B45" s="605" t="s">
        <v>435</v>
      </c>
      <c r="C45" s="606"/>
      <c r="D45" s="52">
        <f>IF('PE-A4'!D9=0,"    -",ROUND('PE-A4'!D38/'PE-A4'!D9*100,1))</f>
        <v>95.8</v>
      </c>
      <c r="E45" s="53">
        <f>IF('PE-A4'!E9=0,"    -",ROUND('PE-A4'!E38/'PE-A4'!E9*100,1))</f>
        <v>94.5</v>
      </c>
      <c r="F45" s="53">
        <f>IF('PE-A4'!F9=0,"    -",ROUND('PE-A4'!F38/'PE-A4'!F9*100,1))</f>
        <v>53.5</v>
      </c>
      <c r="G45" s="53">
        <f>IF('PE-A4'!G9=0,"    -",ROUND('PE-A4'!G38/'PE-A4'!G9*100,1))</f>
        <v>82.7</v>
      </c>
      <c r="H45" s="53">
        <f>IF('PE-A4'!H9=0,"    -",ROUND('PE-A4'!H38/'PE-A4'!H9*100,1))</f>
        <v>96.8</v>
      </c>
      <c r="I45" s="53">
        <f>IF('PE-A4'!I9=0,"    -",ROUND('PE-A4'!I38/'PE-A4'!I9*100,1))</f>
        <v>84.7</v>
      </c>
      <c r="J45" s="53">
        <f>IF('PE-A4'!J9=0,"    -",ROUND('PE-A4'!J38/'PE-A4'!J9*100,1))</f>
        <v>86.2</v>
      </c>
      <c r="K45" s="54">
        <f>IF('PE-A4'!K9=0,"    -",ROUND('PE-A4'!K38/'PE-A4'!K9*100,1))</f>
        <v>80.7</v>
      </c>
      <c r="L45" s="55">
        <f>IF('PE-A4'!L9=0,"    -",ROUND('PE-A4'!L38/'PE-A4'!L9*100,1))</f>
        <v>90.2</v>
      </c>
      <c r="M45" s="53">
        <f>IF('PE-A4'!M9=0,"    -",ROUND('PE-A4'!M38/'PE-A4'!M9*100,1))</f>
        <v>94</v>
      </c>
      <c r="N45" s="53">
        <f>IF('PE-A4'!N9=0,"    -",ROUND('PE-A4'!N38/'PE-A4'!N9*100,1))</f>
        <v>95</v>
      </c>
      <c r="O45" s="53">
        <f>IF('PE-A4'!O9=0,"    -",ROUND('PE-A4'!O38/'PE-A4'!O9*100,1))</f>
        <v>94.4</v>
      </c>
      <c r="P45" s="53">
        <f>IF('PE-A4'!P9=0,"    -",ROUND('PE-A4'!P38/'PE-A4'!P9*100,1))</f>
        <v>90.8</v>
      </c>
      <c r="Q45" s="56">
        <f>IF('PE-A4'!Q9=0,"    -",ROUND('PE-A4'!Q38/'PE-A4'!Q9*100,1))</f>
        <v>91.8</v>
      </c>
    </row>
    <row r="46" spans="2:17" ht="16.5" customHeight="1">
      <c r="B46" s="605" t="s">
        <v>436</v>
      </c>
      <c r="C46" s="606"/>
      <c r="D46" s="52">
        <f>IF('PE-A4'!D10=0,"    -",ROUND('PE-A4'!D39/'PE-A4'!D10*100,1))</f>
        <v>100.5</v>
      </c>
      <c r="E46" s="53">
        <f>IF('PE-A4'!E10=0,"    -",ROUND('PE-A4'!E39/'PE-A4'!E10*100,1))</f>
        <v>100.1</v>
      </c>
      <c r="F46" s="53">
        <f>IF('PE-A4'!F10=0,"    -",ROUND('PE-A4'!F39/'PE-A4'!F10*100,1))</f>
        <v>92.3</v>
      </c>
      <c r="G46" s="53">
        <f>IF('PE-A4'!G10=0,"    -",ROUND('PE-A4'!G39/'PE-A4'!G10*100,1))</f>
        <v>91.8</v>
      </c>
      <c r="H46" s="53">
        <f>IF('PE-A4'!H10=0,"    -",ROUND('PE-A4'!H39/'PE-A4'!H10*100,1))</f>
        <v>91.8</v>
      </c>
      <c r="I46" s="53">
        <f>IF('PE-A4'!I10=0,"    -",ROUND('PE-A4'!I39/'PE-A4'!I10*100,1))</f>
        <v>89.4</v>
      </c>
      <c r="J46" s="53">
        <f>IF('PE-A4'!J10=0,"    -",ROUND('PE-A4'!J39/'PE-A4'!J10*100,1))</f>
        <v>95.4</v>
      </c>
      <c r="K46" s="54">
        <f>IF('PE-A4'!K10=0,"    -",ROUND('PE-A4'!K39/'PE-A4'!K10*100,1))</f>
        <v>93.7</v>
      </c>
      <c r="L46" s="55">
        <f>IF('PE-A4'!L10=0,"    -",ROUND('PE-A4'!L39/'PE-A4'!L10*100,1))</f>
        <v>93.6</v>
      </c>
      <c r="M46" s="53">
        <f>IF('PE-A4'!M10=0,"    -",ROUND('PE-A4'!M39/'PE-A4'!M10*100,1))</f>
        <v>90.4</v>
      </c>
      <c r="N46" s="53">
        <f>IF('PE-A4'!N10=0,"    -",ROUND('PE-A4'!N39/'PE-A4'!N10*100,1))</f>
        <v>85.8</v>
      </c>
      <c r="O46" s="53">
        <f>IF('PE-A4'!O10=0,"    -",ROUND('PE-A4'!O39/'PE-A4'!O10*100,1))</f>
        <v>82.8</v>
      </c>
      <c r="P46" s="53">
        <f>IF('PE-A4'!P10=0,"    -",ROUND('PE-A4'!P39/'PE-A4'!P10*100,1))</f>
        <v>85</v>
      </c>
      <c r="Q46" s="56">
        <f>IF('PE-A4'!Q10=0,"    -",ROUND('PE-A4'!Q39/'PE-A4'!Q10*100,1))</f>
        <v>88.1</v>
      </c>
    </row>
    <row r="47" spans="2:17" ht="16.5" customHeight="1">
      <c r="B47" s="605" t="s">
        <v>437</v>
      </c>
      <c r="C47" s="606"/>
      <c r="D47" s="52">
        <f>IF('PE-A4'!D11=0,"    -",ROUND('PE-A4'!D40/'PE-A4'!D11*100,1))</f>
        <v>62.2</v>
      </c>
      <c r="E47" s="53">
        <f>IF('PE-A4'!E11=0,"    -",ROUND('PE-A4'!E40/'PE-A4'!E11*100,1))</f>
        <v>77.400000000000006</v>
      </c>
      <c r="F47" s="53">
        <f>IF('PE-A4'!F11=0,"    -",ROUND('PE-A4'!F40/'PE-A4'!F11*100,1))</f>
        <v>77.3</v>
      </c>
      <c r="G47" s="53">
        <f>IF('PE-A4'!G11=0,"    -",ROUND('PE-A4'!G40/'PE-A4'!G11*100,1))</f>
        <v>77.7</v>
      </c>
      <c r="H47" s="53">
        <f>IF('PE-A4'!H11=0,"    -",ROUND('PE-A4'!H40/'PE-A4'!H11*100,1))</f>
        <v>79.099999999999994</v>
      </c>
      <c r="I47" s="53">
        <f>IF('PE-A4'!I11=0,"    -",ROUND('PE-A4'!I40/'PE-A4'!I11*100,1))</f>
        <v>83.4</v>
      </c>
      <c r="J47" s="53">
        <f>IF('PE-A4'!J11=0,"    -",ROUND('PE-A4'!J40/'PE-A4'!J11*100,1))</f>
        <v>81</v>
      </c>
      <c r="K47" s="54">
        <f>IF('PE-A4'!K11=0,"    -",ROUND('PE-A4'!K40/'PE-A4'!K11*100,1))</f>
        <v>81.3</v>
      </c>
      <c r="L47" s="55">
        <f>IF('PE-A4'!L11=0,"    -",ROUND('PE-A4'!L40/'PE-A4'!L11*100,1))</f>
        <v>80.7</v>
      </c>
      <c r="M47" s="53">
        <f>IF('PE-A4'!M11=0,"    -",ROUND('PE-A4'!M40/'PE-A4'!M11*100,1))</f>
        <v>80.7</v>
      </c>
      <c r="N47" s="53">
        <f>IF('PE-A4'!N11=0,"    -",ROUND('PE-A4'!N40/'PE-A4'!N11*100,1))</f>
        <v>80.7</v>
      </c>
      <c r="O47" s="53">
        <f>IF('PE-A4'!O11=0,"    -",ROUND('PE-A4'!O40/'PE-A4'!O11*100,1))</f>
        <v>80.7</v>
      </c>
      <c r="P47" s="53">
        <f>IF('PE-A4'!P11=0,"    -",ROUND('PE-A4'!P40/'PE-A4'!P11*100,1))</f>
        <v>80.7</v>
      </c>
      <c r="Q47" s="56">
        <f>IF('PE-A4'!Q11=0,"    -",ROUND('PE-A4'!Q40/'PE-A4'!Q11*100,1))</f>
        <v>80.7</v>
      </c>
    </row>
    <row r="48" spans="2:17" ht="16.5" customHeight="1">
      <c r="B48" s="605" t="s">
        <v>438</v>
      </c>
      <c r="C48" s="606"/>
      <c r="D48" s="52">
        <f>IF('PE-A4'!D12=0,"    -",ROUND('PE-A4'!D41/'PE-A4'!D12*100,1))</f>
        <v>72.5</v>
      </c>
      <c r="E48" s="53">
        <f>IF('PE-A4'!E12=0,"    -",ROUND('PE-A4'!E41/'PE-A4'!E12*100,1))</f>
        <v>72.5</v>
      </c>
      <c r="F48" s="53">
        <f>IF('PE-A4'!F12=0,"    -",ROUND('PE-A4'!F41/'PE-A4'!F12*100,1))</f>
        <v>72.5</v>
      </c>
      <c r="G48" s="53">
        <f>IF('PE-A4'!G12=0,"    -",ROUND('PE-A4'!G41/'PE-A4'!G12*100,1))</f>
        <v>72.5</v>
      </c>
      <c r="H48" s="53">
        <f>IF('PE-A4'!H12=0,"    -",ROUND('PE-A4'!H41/'PE-A4'!H12*100,1))</f>
        <v>72.5</v>
      </c>
      <c r="I48" s="53">
        <f>IF('PE-A4'!I12=0,"    -",ROUND('PE-A4'!I41/'PE-A4'!I12*100,1))</f>
        <v>72.5</v>
      </c>
      <c r="J48" s="53">
        <f>IF('PE-A4'!J12=0,"    -",ROUND('PE-A4'!J41/'PE-A4'!J12*100,1))</f>
        <v>72.5</v>
      </c>
      <c r="K48" s="54">
        <f>IF('PE-A4'!K12=0,"    -",ROUND('PE-A4'!K41/'PE-A4'!K12*100,1))</f>
        <v>72.5</v>
      </c>
      <c r="L48" s="55">
        <f>IF('PE-A4'!L12=0,"    -",ROUND('PE-A4'!L41/'PE-A4'!L12*100,1))</f>
        <v>76.3</v>
      </c>
      <c r="M48" s="53">
        <f>IF('PE-A4'!M12=0,"    -",ROUND('PE-A4'!M41/'PE-A4'!M12*100,1))</f>
        <v>76.3</v>
      </c>
      <c r="N48" s="53">
        <f>IF('PE-A4'!N12=0,"    -",ROUND('PE-A4'!N41/'PE-A4'!N12*100,1))</f>
        <v>76.3</v>
      </c>
      <c r="O48" s="53">
        <f>IF('PE-A4'!O12=0,"    -",ROUND('PE-A4'!O41/'PE-A4'!O12*100,1))</f>
        <v>165.4</v>
      </c>
      <c r="P48" s="53">
        <f>IF('PE-A4'!P12=0,"    -",ROUND('PE-A4'!P41/'PE-A4'!P12*100,1))</f>
        <v>165.4</v>
      </c>
      <c r="Q48" s="56">
        <f>IF('PE-A4'!Q12=0,"    -",ROUND('PE-A4'!Q41/'PE-A4'!Q12*100,1))</f>
        <v>82</v>
      </c>
    </row>
    <row r="49" spans="2:17" ht="16.5" customHeight="1">
      <c r="B49" s="605" t="s">
        <v>439</v>
      </c>
      <c r="C49" s="606"/>
      <c r="D49" s="52">
        <f>IF('PE-A4'!D13=0,"    -",ROUND('PE-A4'!D42/'PE-A4'!D13*100,1))</f>
        <v>103</v>
      </c>
      <c r="E49" s="53">
        <f>IF('PE-A4'!E13=0,"    -",ROUND('PE-A4'!E42/'PE-A4'!E13*100,1))</f>
        <v>104.3</v>
      </c>
      <c r="F49" s="53">
        <f>IF('PE-A4'!F13=0,"    -",ROUND('PE-A4'!F42/'PE-A4'!F13*100,1))</f>
        <v>72.7</v>
      </c>
      <c r="G49" s="53">
        <f>IF('PE-A4'!G13=0,"    -",ROUND('PE-A4'!G42/'PE-A4'!G13*100,1))</f>
        <v>77.900000000000006</v>
      </c>
      <c r="H49" s="53">
        <f>IF('PE-A4'!H13=0,"    -",ROUND('PE-A4'!H42/'PE-A4'!H13*100,1))</f>
        <v>77.7</v>
      </c>
      <c r="I49" s="53">
        <f>IF('PE-A4'!I13=0,"    -",ROUND('PE-A4'!I42/'PE-A4'!I13*100,1))</f>
        <v>84.4</v>
      </c>
      <c r="J49" s="53">
        <f>IF('PE-A4'!J13=0,"    -",ROUND('PE-A4'!J42/'PE-A4'!J13*100,1))</f>
        <v>63.3</v>
      </c>
      <c r="K49" s="54">
        <f>IF('PE-A4'!K13=0,"    -",ROUND('PE-A4'!K42/'PE-A4'!K13*100,1))</f>
        <v>63</v>
      </c>
      <c r="L49" s="55">
        <f>IF('PE-A4'!L13=0,"    -",ROUND('PE-A4'!L42/'PE-A4'!L13*100,1))</f>
        <v>68</v>
      </c>
      <c r="M49" s="53">
        <f>IF('PE-A4'!M13=0,"    -",ROUND('PE-A4'!M42/'PE-A4'!M13*100,1))</f>
        <v>72</v>
      </c>
      <c r="N49" s="53">
        <f>IF('PE-A4'!N13=0,"    -",ROUND('PE-A4'!N42/'PE-A4'!N13*100,1))</f>
        <v>78</v>
      </c>
      <c r="O49" s="53">
        <f>IF('PE-A4'!O13=0,"    -",ROUND('PE-A4'!O42/'PE-A4'!O13*100,1))</f>
        <v>84</v>
      </c>
      <c r="P49" s="53">
        <f>IF('PE-A4'!P13=0,"    -",ROUND('PE-A4'!P42/'PE-A4'!P13*100,1))</f>
        <v>88</v>
      </c>
      <c r="Q49" s="56">
        <f>IF('PE-A4'!Q13=0,"    -",ROUND('PE-A4'!Q42/'PE-A4'!Q13*100,1))</f>
        <v>88</v>
      </c>
    </row>
    <row r="50" spans="2:17" ht="18" hidden="1" customHeight="1">
      <c r="B50" s="16"/>
      <c r="C50" s="90" t="s">
        <v>306</v>
      </c>
      <c r="D50" s="52" t="str">
        <f>IF('PE-A4'!D14=0,"    -",ROUND('PE-A4'!D43/'PE-A4'!D14*100,1))</f>
        <v xml:space="preserve">    -</v>
      </c>
      <c r="E50" s="53" t="str">
        <f>IF('PE-A4'!E14=0,"    -",ROUND('PE-A4'!E43/'PE-A4'!E14*100,1))</f>
        <v xml:space="preserve">    -</v>
      </c>
      <c r="F50" s="53" t="str">
        <f>IF('PE-A4'!F14=0,"    -",ROUND('PE-A4'!F43/'PE-A4'!F14*100,1))</f>
        <v xml:space="preserve">    -</v>
      </c>
      <c r="G50" s="53" t="str">
        <f>IF('PE-A4'!G14=0,"    -",ROUND('PE-A4'!G43/'PE-A4'!G14*100,1))</f>
        <v xml:space="preserve">    -</v>
      </c>
      <c r="H50" s="53" t="str">
        <f>IF('PE-A4'!H14=0,"    -",ROUND('PE-A4'!H43/'PE-A4'!H14*100,1))</f>
        <v xml:space="preserve">    -</v>
      </c>
      <c r="I50" s="53" t="str">
        <f>IF('PE-A4'!I14=0,"    -",ROUND('PE-A4'!I43/'PE-A4'!I14*100,1))</f>
        <v xml:space="preserve">    -</v>
      </c>
      <c r="J50" s="53" t="str">
        <f>IF('PE-A4'!J14=0,"    -",ROUND('PE-A4'!J43/'PE-A4'!J14*100,1))</f>
        <v xml:space="preserve">    -</v>
      </c>
      <c r="K50" s="54" t="str">
        <f>IF('PE-A4'!K14=0,"    -",ROUND('PE-A4'!K43/'PE-A4'!K14*100,1))</f>
        <v xml:space="preserve">    -</v>
      </c>
      <c r="L50" s="55" t="str">
        <f>IF('PE-A4'!L14=0,"    -",ROUND('PE-A4'!L43/'PE-A4'!L14*100,1))</f>
        <v xml:space="preserve">    -</v>
      </c>
      <c r="M50" s="53" t="str">
        <f>IF('PE-A4'!M14=0,"    -",ROUND('PE-A4'!M43/'PE-A4'!M14*100,1))</f>
        <v xml:space="preserve">    -</v>
      </c>
      <c r="N50" s="53" t="str">
        <f>IF('PE-A4'!N14=0,"    -",ROUND('PE-A4'!N43/'PE-A4'!N14*100,1))</f>
        <v xml:space="preserve">    -</v>
      </c>
      <c r="O50" s="53" t="str">
        <f>IF('PE-A4'!O14=0,"    -",ROUND('PE-A4'!O43/'PE-A4'!O14*100,1))</f>
        <v xml:space="preserve">    -</v>
      </c>
      <c r="P50" s="53" t="str">
        <f>IF('PE-A4'!P14=0,"    -",ROUND('PE-A4'!P43/'PE-A4'!P14*100,1))</f>
        <v xml:space="preserve">    -</v>
      </c>
      <c r="Q50" s="56" t="str">
        <f>IF('PE-A4'!Q14=0,"    -",ROUND('PE-A4'!Q43/'PE-A4'!Q14*100,1))</f>
        <v xml:space="preserve">    -</v>
      </c>
    </row>
    <row r="51" spans="2:17" ht="16.5" customHeight="1">
      <c r="B51" s="605" t="s">
        <v>440</v>
      </c>
      <c r="C51" s="606"/>
      <c r="D51" s="52">
        <f>IF('PE-A4'!D15=0,"    -",ROUND('PE-A4'!D44/'PE-A4'!D15*100,1))</f>
        <v>30.7</v>
      </c>
      <c r="E51" s="53">
        <f>IF('PE-A4'!E15=0,"    -",ROUND('PE-A4'!E44/'PE-A4'!E15*100,1))</f>
        <v>24.8</v>
      </c>
      <c r="F51" s="53">
        <f>IF('PE-A4'!F15=0,"    -",ROUND('PE-A4'!F44/'PE-A4'!F15*100,1))</f>
        <v>22.7</v>
      </c>
      <c r="G51" s="53">
        <f>IF('PE-A4'!G15=0,"    -",ROUND('PE-A4'!G44/'PE-A4'!G15*100,1))</f>
        <v>8.4</v>
      </c>
      <c r="H51" s="53">
        <f>IF('PE-A4'!H15=0,"    -",ROUND('PE-A4'!H44/'PE-A4'!H15*100,1))</f>
        <v>6.4</v>
      </c>
      <c r="I51" s="53">
        <f>IF('PE-A4'!I15=0,"    -",ROUND('PE-A4'!I44/'PE-A4'!I15*100,1))</f>
        <v>23.8</v>
      </c>
      <c r="J51" s="53">
        <f>IF('PE-A4'!J15=0,"    -",ROUND('PE-A4'!J44/'PE-A4'!J15*100,1))</f>
        <v>34.5</v>
      </c>
      <c r="K51" s="54">
        <f>IF('PE-A4'!K15=0,"    -",ROUND('PE-A4'!K44/'PE-A4'!K15*100,1))</f>
        <v>44.8</v>
      </c>
      <c r="L51" s="55">
        <f>IF('PE-A4'!L15=0,"    -",ROUND('PE-A4'!L44/'PE-A4'!L15*100,1))</f>
        <v>51.7</v>
      </c>
      <c r="M51" s="53">
        <f>IF('PE-A4'!M15=0,"    -",ROUND('PE-A4'!M44/'PE-A4'!M15*100,1))</f>
        <v>58.6</v>
      </c>
      <c r="N51" s="53">
        <f>IF('PE-A4'!N15=0,"    -",ROUND('PE-A4'!N44/'PE-A4'!N15*100,1))</f>
        <v>65.5</v>
      </c>
      <c r="O51" s="53">
        <f>IF('PE-A4'!O15=0,"    -",ROUND('PE-A4'!O44/'PE-A4'!O15*100,1))</f>
        <v>56.8</v>
      </c>
      <c r="P51" s="53">
        <f>IF('PE-A4'!P15=0,"    -",ROUND('PE-A4'!P44/'PE-A4'!P15*100,1))</f>
        <v>62.2</v>
      </c>
      <c r="Q51" s="56">
        <f>IF('PE-A4'!Q15=0,"    -",ROUND('PE-A4'!Q44/'PE-A4'!Q15*100,1))</f>
        <v>67.599999999999994</v>
      </c>
    </row>
    <row r="52" spans="2:17" ht="16.5" customHeight="1">
      <c r="B52" s="605" t="s">
        <v>441</v>
      </c>
      <c r="C52" s="606"/>
      <c r="D52" s="52">
        <f>IF('PE-A4'!D16=0,"    -",ROUND('PE-A4'!D45/'PE-A4'!D16*100,1))</f>
        <v>93.1</v>
      </c>
      <c r="E52" s="53">
        <f>IF('PE-A4'!E16=0,"    -",ROUND('PE-A4'!E45/'PE-A4'!E16*100,1))</f>
        <v>92.2</v>
      </c>
      <c r="F52" s="53">
        <f>IF('PE-A4'!F16=0,"    -",ROUND('PE-A4'!F45/'PE-A4'!F16*100,1))</f>
        <v>93</v>
      </c>
      <c r="G52" s="53">
        <f>IF('PE-A4'!G16=0,"    -",ROUND('PE-A4'!G45/'PE-A4'!G16*100,1))</f>
        <v>89.5</v>
      </c>
      <c r="H52" s="53">
        <f>IF('PE-A4'!H16=0,"    -",ROUND('PE-A4'!H45/'PE-A4'!H16*100,1))</f>
        <v>79.400000000000006</v>
      </c>
      <c r="I52" s="53">
        <f>IF('PE-A4'!I16=0,"    -",ROUND('PE-A4'!I45/'PE-A4'!I16*100,1))</f>
        <v>88.6</v>
      </c>
      <c r="J52" s="53">
        <f>IF('PE-A4'!J16=0,"    -",ROUND('PE-A4'!J45/'PE-A4'!J16*100,1))</f>
        <v>84</v>
      </c>
      <c r="K52" s="54">
        <f>IF('PE-A4'!K16=0,"    -",ROUND('PE-A4'!K45/'PE-A4'!K16*100,1))</f>
        <v>85.1</v>
      </c>
      <c r="L52" s="55">
        <f>IF('PE-A4'!L16=0,"    -",ROUND('PE-A4'!L45/'PE-A4'!L16*100,1))</f>
        <v>85.1</v>
      </c>
      <c r="M52" s="53">
        <f>IF('PE-A4'!M16=0,"    -",ROUND('PE-A4'!M45/'PE-A4'!M16*100,1))</f>
        <v>85.1</v>
      </c>
      <c r="N52" s="53">
        <f>IF('PE-A4'!N16=0,"    -",ROUND('PE-A4'!N45/'PE-A4'!N16*100,1))</f>
        <v>78.5</v>
      </c>
      <c r="O52" s="53">
        <f>IF('PE-A4'!O16=0,"    -",ROUND('PE-A4'!O45/'PE-A4'!O16*100,1))</f>
        <v>88.1</v>
      </c>
      <c r="P52" s="53">
        <f>IF('PE-A4'!P16=0,"    -",ROUND('PE-A4'!P45/'PE-A4'!P16*100,1))</f>
        <v>88.1</v>
      </c>
      <c r="Q52" s="56">
        <f>IF('PE-A4'!Q16=0,"    -",ROUND('PE-A4'!Q45/'PE-A4'!Q16*100,1))</f>
        <v>88.1</v>
      </c>
    </row>
    <row r="53" spans="2:17" ht="16.5" customHeight="1">
      <c r="B53" s="605" t="s">
        <v>442</v>
      </c>
      <c r="C53" s="606"/>
      <c r="D53" s="52" t="str">
        <f>IF('PE-A4'!D17=0,"    -",ROUND('PE-A4'!D46/'PE-A4'!D17*100,1))</f>
        <v xml:space="preserve">    -</v>
      </c>
      <c r="E53" s="53" t="str">
        <f>IF('PE-A4'!E17=0,"    -",ROUND('PE-A4'!E46/'PE-A4'!E17*100,1))</f>
        <v xml:space="preserve">    -</v>
      </c>
      <c r="F53" s="53" t="str">
        <f>IF('PE-A4'!F17=0,"    -",ROUND('PE-A4'!F46/'PE-A4'!F17*100,1))</f>
        <v xml:space="preserve">    -</v>
      </c>
      <c r="G53" s="53" t="str">
        <f>IF('PE-A4'!G17=0,"    -",ROUND('PE-A4'!G46/'PE-A4'!G17*100,1))</f>
        <v xml:space="preserve">    -</v>
      </c>
      <c r="H53" s="53" t="str">
        <f>IF('PE-A4'!H17=0,"    -",ROUND('PE-A4'!H46/'PE-A4'!H17*100,1))</f>
        <v xml:space="preserve">    -</v>
      </c>
      <c r="I53" s="53" t="str">
        <f>IF('PE-A4'!I17=0,"    -",ROUND('PE-A4'!I46/'PE-A4'!I17*100,1))</f>
        <v xml:space="preserve">    -</v>
      </c>
      <c r="J53" s="53" t="str">
        <f>IF('PE-A4'!J17=0,"    -",ROUND('PE-A4'!J46/'PE-A4'!J17*100,1))</f>
        <v xml:space="preserve">    -</v>
      </c>
      <c r="K53" s="54" t="str">
        <f>IF('PE-A4'!K17=0,"    -",ROUND('PE-A4'!K46/'PE-A4'!K17*100,1))</f>
        <v xml:space="preserve">    -</v>
      </c>
      <c r="L53" s="55" t="str">
        <f>IF('PE-A4'!L17=0,"    -",ROUND('PE-A4'!L46/'PE-A4'!L17*100,1))</f>
        <v xml:space="preserve">    -</v>
      </c>
      <c r="M53" s="53" t="str">
        <f>IF('PE-A4'!M17=0,"    -",ROUND('PE-A4'!M46/'PE-A4'!M17*100,1))</f>
        <v xml:space="preserve">    -</v>
      </c>
      <c r="N53" s="53" t="str">
        <f>IF('PE-A4'!N17=0,"    -",ROUND('PE-A4'!N46/'PE-A4'!N17*100,1))</f>
        <v xml:space="preserve">    -</v>
      </c>
      <c r="O53" s="53" t="str">
        <f>IF('PE-A4'!O17=0,"    -",ROUND('PE-A4'!O46/'PE-A4'!O17*100,1))</f>
        <v xml:space="preserve">    -</v>
      </c>
      <c r="P53" s="53" t="str">
        <f>IF('PE-A4'!P17=0,"    -",ROUND('PE-A4'!P46/'PE-A4'!P17*100,1))</f>
        <v xml:space="preserve">    -</v>
      </c>
      <c r="Q53" s="56">
        <f>IF('PE-A4'!Q17=0,"    -",ROUND('PE-A4'!Q46/'PE-A4'!Q17*100,1))</f>
        <v>100</v>
      </c>
    </row>
    <row r="54" spans="2:17" ht="16.5" customHeight="1">
      <c r="B54" s="607" t="s">
        <v>443</v>
      </c>
      <c r="C54" s="608"/>
      <c r="D54" s="52">
        <f>IF('PE-A4'!D18=0,"    -",ROUND('PE-A4'!D47/'PE-A4'!D18*100,1))</f>
        <v>79.3</v>
      </c>
      <c r="E54" s="53">
        <f>IF('PE-A4'!E18=0,"    -",ROUND('PE-A4'!E47/'PE-A4'!E18*100,1))</f>
        <v>76.400000000000006</v>
      </c>
      <c r="F54" s="53">
        <f>IF('PE-A4'!F18=0,"    -",ROUND('PE-A4'!F47/'PE-A4'!F18*100,1))</f>
        <v>71</v>
      </c>
      <c r="G54" s="53">
        <f>IF('PE-A4'!G18=0,"    -",ROUND('PE-A4'!G47/'PE-A4'!G18*100,1))</f>
        <v>73</v>
      </c>
      <c r="H54" s="53">
        <f>IF('PE-A4'!H18=0,"    -",ROUND('PE-A4'!H47/'PE-A4'!H18*100,1))</f>
        <v>75.599999999999994</v>
      </c>
      <c r="I54" s="53">
        <f>IF('PE-A4'!I18=0,"    -",ROUND('PE-A4'!I47/'PE-A4'!I18*100,1))</f>
        <v>76.7</v>
      </c>
      <c r="J54" s="53">
        <f>IF('PE-A4'!J18=0,"    -",ROUND('PE-A4'!J47/'PE-A4'!J18*100,1))</f>
        <v>75.5</v>
      </c>
      <c r="K54" s="54">
        <f>IF('PE-A4'!K18=0,"    -",ROUND('PE-A4'!K47/'PE-A4'!K18*100,1))</f>
        <v>78.2</v>
      </c>
      <c r="L54" s="55">
        <f>IF('PE-A4'!L18=0,"    -",ROUND('PE-A4'!L47/'PE-A4'!L18*100,1))</f>
        <v>72.5</v>
      </c>
      <c r="M54" s="53">
        <f>IF('PE-A4'!M18=0,"    -",ROUND('PE-A4'!M47/'PE-A4'!M18*100,1))</f>
        <v>70.400000000000006</v>
      </c>
      <c r="N54" s="53">
        <f>IF('PE-A4'!N18=0,"    -",ROUND('PE-A4'!N47/'PE-A4'!N18*100,1))</f>
        <v>69.8</v>
      </c>
      <c r="O54" s="53">
        <f>IF('PE-A4'!O18=0,"    -",ROUND('PE-A4'!O47/'PE-A4'!O18*100,1))</f>
        <v>69.599999999999994</v>
      </c>
      <c r="P54" s="53">
        <f>IF('PE-A4'!P18=0,"    -",ROUND('PE-A4'!P47/'PE-A4'!P18*100,1))</f>
        <v>69.400000000000006</v>
      </c>
      <c r="Q54" s="56">
        <f>IF('PE-A4'!Q18=0,"    -",ROUND('PE-A4'!Q47/'PE-A4'!Q18*100,1))</f>
        <v>69.3</v>
      </c>
    </row>
    <row r="55" spans="2:17" ht="17.25" customHeight="1">
      <c r="B55" s="674" t="s">
        <v>307</v>
      </c>
      <c r="C55" s="675"/>
      <c r="D55" s="69">
        <f>IF('PE-A4'!D19=0,"    -",ROUND('PE-A4'!D48/'PE-A4'!D19*100,1))</f>
        <v>89.6</v>
      </c>
      <c r="E55" s="70">
        <f>IF('PE-A4'!E19=0,"    -",ROUND('PE-A4'!E48/'PE-A4'!E19*100,1))</f>
        <v>90.2</v>
      </c>
      <c r="F55" s="70">
        <f>IF('PE-A4'!F19=0,"    -",ROUND('PE-A4'!F48/'PE-A4'!F19*100,1))</f>
        <v>81.2</v>
      </c>
      <c r="G55" s="70">
        <f>IF('PE-A4'!G19=0,"    -",ROUND('PE-A4'!G48/'PE-A4'!G19*100,1))</f>
        <v>84.9</v>
      </c>
      <c r="H55" s="70">
        <f>IF('PE-A4'!H19=0,"    -",ROUND('PE-A4'!H48/'PE-A4'!H19*100,1))</f>
        <v>85.8</v>
      </c>
      <c r="I55" s="70">
        <f>IF('PE-A4'!I19=0,"    -",ROUND('PE-A4'!I48/'PE-A4'!I19*100,1))</f>
        <v>85.6</v>
      </c>
      <c r="J55" s="70">
        <f>IF('PE-A4'!J19=0,"    -",ROUND('PE-A4'!J48/'PE-A4'!J19*100,1))</f>
        <v>85.6</v>
      </c>
      <c r="K55" s="71">
        <f>IF('PE-A4'!K19=0,"    -",ROUND('PE-A4'!K48/'PE-A4'!K19*100,1))</f>
        <v>85.3</v>
      </c>
      <c r="L55" s="72">
        <f>IF('PE-A4'!L19=0,"    -",ROUND('PE-A4'!L48/'PE-A4'!L19*100,1))</f>
        <v>85.9</v>
      </c>
      <c r="M55" s="70">
        <f>IF('PE-A4'!M19=0,"    -",ROUND('PE-A4'!M48/'PE-A4'!M19*100,1))</f>
        <v>85.3</v>
      </c>
      <c r="N55" s="70">
        <f>IF('PE-A4'!N19=0,"    -",ROUND('PE-A4'!N48/'PE-A4'!N19*100,1))</f>
        <v>83.8</v>
      </c>
      <c r="O55" s="70">
        <f>IF('PE-A4'!O19=0,"    -",ROUND('PE-A4'!O48/'PE-A4'!O19*100,1))</f>
        <v>84.4</v>
      </c>
      <c r="P55" s="70">
        <f>IF('PE-A4'!P19=0,"    -",ROUND('PE-A4'!P48/'PE-A4'!P19*100,1))</f>
        <v>85.9</v>
      </c>
      <c r="Q55" s="73">
        <f>IF('PE-A4'!Q19=0,"    -",ROUND('PE-A4'!Q48/'PE-A4'!Q19*100,1))</f>
        <v>85.8</v>
      </c>
    </row>
    <row r="56" spans="2:17" ht="17.25" customHeight="1">
      <c r="B56" s="672" t="s">
        <v>308</v>
      </c>
      <c r="C56" s="673"/>
      <c r="D56" s="132">
        <f>IF('PE-A4'!D20=0,"    -",ROUND('PE-A4'!D49/'PE-A4'!D20*100,1))</f>
        <v>89.5</v>
      </c>
      <c r="E56" s="133">
        <f>IF('PE-A4'!E20=0,"    -",ROUND('PE-A4'!E49/'PE-A4'!E20*100,1))</f>
        <v>79.3</v>
      </c>
      <c r="F56" s="133">
        <f>IF('PE-A4'!F20=0,"    -",ROUND('PE-A4'!F49/'PE-A4'!F20*100,1))</f>
        <v>85.4</v>
      </c>
      <c r="G56" s="133">
        <f>IF('PE-A4'!G20=0,"    -",ROUND('PE-A4'!G49/'PE-A4'!G20*100,1))</f>
        <v>92.6</v>
      </c>
      <c r="H56" s="133">
        <f>IF('PE-A4'!H20=0,"    -",ROUND('PE-A4'!H49/'PE-A4'!H20*100,1))</f>
        <v>92.6</v>
      </c>
      <c r="I56" s="133">
        <f>IF('PE-A4'!I20=0,"    -",ROUND('PE-A4'!I49/'PE-A4'!I20*100,1))</f>
        <v>92.6</v>
      </c>
      <c r="J56" s="133">
        <f>IF('PE-A4'!J20=0,"    -",ROUND('PE-A4'!J49/'PE-A4'!J20*100,1))</f>
        <v>92.6</v>
      </c>
      <c r="K56" s="134">
        <f>IF('PE-A4'!K20=0,"    -",ROUND('PE-A4'!K49/'PE-A4'!K20*100,1))</f>
        <v>87.7</v>
      </c>
      <c r="L56" s="132">
        <f>IF('PE-A4'!L20=0,"    -",ROUND('PE-A4'!L49/'PE-A4'!L20*100,1))</f>
        <v>90.1</v>
      </c>
      <c r="M56" s="133">
        <f>IF('PE-A4'!M20=0,"    -",ROUND('PE-A4'!M49/'PE-A4'!M20*100,1))</f>
        <v>90.1</v>
      </c>
      <c r="N56" s="133">
        <f>IF('PE-A4'!N20=0,"    -",ROUND('PE-A4'!N49/'PE-A4'!N20*100,1))</f>
        <v>90.1</v>
      </c>
      <c r="O56" s="133">
        <f>IF('PE-A4'!O20=0,"    -",ROUND('PE-A4'!O49/'PE-A4'!O20*100,1))</f>
        <v>90.1</v>
      </c>
      <c r="P56" s="133">
        <f>IF('PE-A4'!P20=0,"    -",ROUND('PE-A4'!P49/'PE-A4'!P20*100,1))</f>
        <v>90.1</v>
      </c>
      <c r="Q56" s="134">
        <f>IF('PE-A4'!Q20=0,"    -",ROUND('PE-A4'!Q49/'PE-A4'!Q20*100,1))</f>
        <v>90.1</v>
      </c>
    </row>
    <row r="57" spans="2:17" ht="16.5" customHeight="1">
      <c r="B57" s="105"/>
      <c r="C57" s="97" t="s">
        <v>309</v>
      </c>
      <c r="D57" s="132">
        <f>IF('PE-A4'!D21=0,"    -",ROUND('PE-A4'!D50/'PE-A4'!D21*100,1))</f>
        <v>89.5</v>
      </c>
      <c r="E57" s="133">
        <f>IF('PE-A4'!E21=0,"    -",ROUND('PE-A4'!E50/'PE-A4'!E21*100,1))</f>
        <v>79.3</v>
      </c>
      <c r="F57" s="133">
        <f>IF('PE-A4'!F21=0,"    -",ROUND('PE-A4'!F50/'PE-A4'!F21*100,1))</f>
        <v>85.4</v>
      </c>
      <c r="G57" s="133">
        <f>IF('PE-A4'!G21=0,"    -",ROUND('PE-A4'!G50/'PE-A4'!G21*100,1))</f>
        <v>92.6</v>
      </c>
      <c r="H57" s="133">
        <f>IF('PE-A4'!H21=0,"    -",ROUND('PE-A4'!H50/'PE-A4'!H21*100,1))</f>
        <v>92.6</v>
      </c>
      <c r="I57" s="133">
        <f>IF('PE-A4'!I21=0,"    -",ROUND('PE-A4'!I50/'PE-A4'!I21*100,1))</f>
        <v>92.6</v>
      </c>
      <c r="J57" s="133">
        <f>IF('PE-A4'!J21=0,"    -",ROUND('PE-A4'!J50/'PE-A4'!J21*100,1))</f>
        <v>92.6</v>
      </c>
      <c r="K57" s="134">
        <f>IF('PE-A4'!K21=0,"    -",ROUND('PE-A4'!K50/'PE-A4'!K21*100,1))</f>
        <v>87.7</v>
      </c>
      <c r="L57" s="132">
        <f>IF('PE-A4'!L21=0,"    -",ROUND('PE-A4'!L50/'PE-A4'!L21*100,1))</f>
        <v>90.1</v>
      </c>
      <c r="M57" s="133">
        <f>IF('PE-A4'!M21=0,"    -",ROUND('PE-A4'!M50/'PE-A4'!M21*100,1))</f>
        <v>90.1</v>
      </c>
      <c r="N57" s="133">
        <f>IF('PE-A4'!N21=0,"    -",ROUND('PE-A4'!N50/'PE-A4'!N21*100,1))</f>
        <v>90.1</v>
      </c>
      <c r="O57" s="133">
        <f>IF('PE-A4'!O21=0,"    -",ROUND('PE-A4'!O50/'PE-A4'!O21*100,1))</f>
        <v>90.1</v>
      </c>
      <c r="P57" s="133">
        <f>IF('PE-A4'!P21=0,"    -",ROUND('PE-A4'!P50/'PE-A4'!P21*100,1))</f>
        <v>90.1</v>
      </c>
      <c r="Q57" s="134">
        <f>IF('PE-A4'!Q21=0,"    -",ROUND('PE-A4'!Q50/'PE-A4'!Q21*100,1))</f>
        <v>90.1</v>
      </c>
    </row>
    <row r="58" spans="2:17" ht="17.25" customHeight="1">
      <c r="B58" s="672" t="s">
        <v>310</v>
      </c>
      <c r="C58" s="673"/>
      <c r="D58" s="52">
        <f>IF('PE-A4'!D22=0,"    -",ROUND('PE-A4'!D51/'PE-A4'!D22*100,1))</f>
        <v>78.7</v>
      </c>
      <c r="E58" s="53">
        <f>IF('PE-A4'!E22=0,"    -",ROUND('PE-A4'!E51/'PE-A4'!E22*100,1))</f>
        <v>75.2</v>
      </c>
      <c r="F58" s="53">
        <f>IF('PE-A4'!F22=0,"    -",ROUND('PE-A4'!F51/'PE-A4'!F22*100,1))</f>
        <v>73</v>
      </c>
      <c r="G58" s="53">
        <f>IF('PE-A4'!G22=0,"    -",ROUND('PE-A4'!G51/'PE-A4'!G22*100,1))</f>
        <v>77.5</v>
      </c>
      <c r="H58" s="53">
        <f>IF('PE-A4'!H22=0,"    -",ROUND('PE-A4'!H51/'PE-A4'!H22*100,1))</f>
        <v>82.5</v>
      </c>
      <c r="I58" s="53">
        <f>IF('PE-A4'!I22=0,"    -",ROUND('PE-A4'!I51/'PE-A4'!I22*100,1))</f>
        <v>84</v>
      </c>
      <c r="J58" s="53">
        <f>IF('PE-A4'!J22=0,"    -",ROUND('PE-A4'!J51/'PE-A4'!J22*100,1))</f>
        <v>83.5</v>
      </c>
      <c r="K58" s="54">
        <f>IF('PE-A4'!K22=0,"    -",ROUND('PE-A4'!K51/'PE-A4'!K22*100,1))</f>
        <v>82.1</v>
      </c>
      <c r="L58" s="52">
        <f>IF('PE-A4'!L22=0,"    -",ROUND('PE-A4'!L51/'PE-A4'!L22*100,1))</f>
        <v>80.8</v>
      </c>
      <c r="M58" s="53">
        <f>IF('PE-A4'!M22=0,"    -",ROUND('PE-A4'!M51/'PE-A4'!M22*100,1))</f>
        <v>81.099999999999994</v>
      </c>
      <c r="N58" s="53">
        <f>IF('PE-A4'!N22=0,"    -",ROUND('PE-A4'!N51/'PE-A4'!N22*100,1))</f>
        <v>81.900000000000006</v>
      </c>
      <c r="O58" s="53">
        <f>IF('PE-A4'!O22=0,"    -",ROUND('PE-A4'!O51/'PE-A4'!O22*100,1))</f>
        <v>82.2</v>
      </c>
      <c r="P58" s="53">
        <f>IF('PE-A4'!P22=0,"    -",ROUND('PE-A4'!P51/'PE-A4'!P22*100,1))</f>
        <v>83.1</v>
      </c>
      <c r="Q58" s="54">
        <f>IF('PE-A4'!Q22=0,"    -",ROUND('PE-A4'!Q51/'PE-A4'!Q22*100,1))</f>
        <v>85.4</v>
      </c>
    </row>
    <row r="59" spans="2:17" ht="16.5" customHeight="1">
      <c r="B59" s="105"/>
      <c r="C59" s="615" t="s">
        <v>311</v>
      </c>
      <c r="D59" s="69">
        <f>IF('PE-A4'!D23=0,"    -",ROUND('PE-A4'!D52/'PE-A4'!D23*100,1))</f>
        <v>77.8</v>
      </c>
      <c r="E59" s="70">
        <f>IF('PE-A4'!E23=0,"    -",ROUND('PE-A4'!E52/'PE-A4'!E23*100,1))</f>
        <v>80.3</v>
      </c>
      <c r="F59" s="70">
        <f>IF('PE-A4'!F23=0,"    -",ROUND('PE-A4'!F52/'PE-A4'!F23*100,1))</f>
        <v>73.099999999999994</v>
      </c>
      <c r="G59" s="70">
        <f>IF('PE-A4'!G23=0,"    -",ROUND('PE-A4'!G52/'PE-A4'!G23*100,1))</f>
        <v>77.3</v>
      </c>
      <c r="H59" s="70">
        <f>IF('PE-A4'!H23=0,"    -",ROUND('PE-A4'!H52/'PE-A4'!H23*100,1))</f>
        <v>83.1</v>
      </c>
      <c r="I59" s="70">
        <f>IF('PE-A4'!I23=0,"    -",ROUND('PE-A4'!I52/'PE-A4'!I23*100,1))</f>
        <v>84.6</v>
      </c>
      <c r="J59" s="70">
        <f>IF('PE-A4'!J23=0,"    -",ROUND('PE-A4'!J52/'PE-A4'!J23*100,1))</f>
        <v>85.5</v>
      </c>
      <c r="K59" s="71">
        <f>IF('PE-A4'!K23=0,"    -",ROUND('PE-A4'!K52/'PE-A4'!K23*100,1))</f>
        <v>82.7</v>
      </c>
      <c r="L59" s="69">
        <f>IF('PE-A4'!L23=0,"    -",ROUND('PE-A4'!L52/'PE-A4'!L23*100,1))</f>
        <v>81.3</v>
      </c>
      <c r="M59" s="70">
        <f>IF('PE-A4'!M23=0,"    -",ROUND('PE-A4'!M52/'PE-A4'!M23*100,1))</f>
        <v>82.7</v>
      </c>
      <c r="N59" s="70">
        <f>IF('PE-A4'!N23=0,"    -",ROUND('PE-A4'!N52/'PE-A4'!N23*100,1))</f>
        <v>83.2</v>
      </c>
      <c r="O59" s="70">
        <f>IF('PE-A4'!O23=0,"    -",ROUND('PE-A4'!O52/'PE-A4'!O23*100,1))</f>
        <v>83.5</v>
      </c>
      <c r="P59" s="70">
        <f>IF('PE-A4'!P23=0,"    -",ROUND('PE-A4'!P52/'PE-A4'!P23*100,1))</f>
        <v>84.7</v>
      </c>
      <c r="Q59" s="71">
        <f>IF('PE-A4'!Q23=0,"    -",ROUND('PE-A4'!Q52/'PE-A4'!Q23*100,1))</f>
        <v>87.4</v>
      </c>
    </row>
    <row r="60" spans="2:17" ht="17.25" customHeight="1">
      <c r="B60" s="672" t="s">
        <v>312</v>
      </c>
      <c r="C60" s="673"/>
      <c r="D60" s="52">
        <f>IF('PE-A4'!D24=0,"    -",ROUND('PE-A4'!D53/'PE-A4'!D24*100,1))</f>
        <v>77</v>
      </c>
      <c r="E60" s="53">
        <f>IF('PE-A4'!E24=0,"    -",ROUND('PE-A4'!E53/'PE-A4'!E24*100,1))</f>
        <v>83.9</v>
      </c>
      <c r="F60" s="53">
        <f>IF('PE-A4'!F24=0,"    -",ROUND('PE-A4'!F53/'PE-A4'!F24*100,1))</f>
        <v>82.2</v>
      </c>
      <c r="G60" s="53">
        <f>IF('PE-A4'!G24=0,"    -",ROUND('PE-A4'!G53/'PE-A4'!G24*100,1))</f>
        <v>86.8</v>
      </c>
      <c r="H60" s="53">
        <f>IF('PE-A4'!H24=0,"    -",ROUND('PE-A4'!H53/'PE-A4'!H24*100,1))</f>
        <v>85.9</v>
      </c>
      <c r="I60" s="53">
        <f>IF('PE-A4'!I24=0,"    -",ROUND('PE-A4'!I53/'PE-A4'!I24*100,1))</f>
        <v>86</v>
      </c>
      <c r="J60" s="53">
        <f>IF('PE-A4'!J24=0,"    -",ROUND('PE-A4'!J53/'PE-A4'!J24*100,1))</f>
        <v>85.3</v>
      </c>
      <c r="K60" s="54">
        <f>IF('PE-A4'!K24=0,"    -",ROUND('PE-A4'!K53/'PE-A4'!K24*100,1))</f>
        <v>88.3</v>
      </c>
      <c r="L60" s="52">
        <f>IF('PE-A4'!L24=0,"    -",ROUND('PE-A4'!L53/'PE-A4'!L24*100,1))</f>
        <v>91.5</v>
      </c>
      <c r="M60" s="53">
        <f>IF('PE-A4'!M24=0,"    -",ROUND('PE-A4'!M53/'PE-A4'!M24*100,1))</f>
        <v>92</v>
      </c>
      <c r="N60" s="53">
        <f>IF('PE-A4'!N24=0,"    -",ROUND('PE-A4'!N53/'PE-A4'!N24*100,1))</f>
        <v>89.6</v>
      </c>
      <c r="O60" s="53">
        <f>IF('PE-A4'!O24=0,"    -",ROUND('PE-A4'!O53/'PE-A4'!O24*100,1))</f>
        <v>91</v>
      </c>
      <c r="P60" s="53">
        <f>IF('PE-A4'!P24=0,"    -",ROUND('PE-A4'!P53/'PE-A4'!P24*100,1))</f>
        <v>93.3</v>
      </c>
      <c r="Q60" s="54">
        <f>IF('PE-A4'!Q24=0,"    -",ROUND('PE-A4'!Q53/'PE-A4'!Q24*100,1))</f>
        <v>93.9</v>
      </c>
    </row>
    <row r="61" spans="2:17" ht="16.5" customHeight="1">
      <c r="B61" s="16"/>
      <c r="C61" s="615" t="s">
        <v>313</v>
      </c>
      <c r="D61" s="69">
        <f>IF('PE-A4'!D25=0,"    -",ROUND('PE-A4'!D54/'PE-A4'!D25*100,1))</f>
        <v>40.299999999999997</v>
      </c>
      <c r="E61" s="70">
        <f>IF('PE-A4'!E25=0,"    -",ROUND('PE-A4'!E54/'PE-A4'!E25*100,1))</f>
        <v>77.3</v>
      </c>
      <c r="F61" s="70">
        <f>IF('PE-A4'!F25=0,"    -",ROUND('PE-A4'!F54/'PE-A4'!F25*100,1))</f>
        <v>74.7</v>
      </c>
      <c r="G61" s="70">
        <f>IF('PE-A4'!G25=0,"    -",ROUND('PE-A4'!G54/'PE-A4'!G25*100,1))</f>
        <v>79.8</v>
      </c>
      <c r="H61" s="70">
        <f>IF('PE-A4'!H25=0,"    -",ROUND('PE-A4'!H54/'PE-A4'!H25*100,1))</f>
        <v>87</v>
      </c>
      <c r="I61" s="70">
        <f>IF('PE-A4'!I25=0,"    -",ROUND('PE-A4'!I54/'PE-A4'!I25*100,1))</f>
        <v>83</v>
      </c>
      <c r="J61" s="70">
        <f>IF('PE-A4'!J25=0,"    -",ROUND('PE-A4'!J54/'PE-A4'!J25*100,1))</f>
        <v>75.900000000000006</v>
      </c>
      <c r="K61" s="71">
        <f>IF('PE-A4'!K25=0,"    -",ROUND('PE-A4'!K54/'PE-A4'!K25*100,1))</f>
        <v>78.3</v>
      </c>
      <c r="L61" s="69">
        <f>IF('PE-A4'!L25=0,"    -",ROUND('PE-A4'!L54/'PE-A4'!L25*100,1))</f>
        <v>81.900000000000006</v>
      </c>
      <c r="M61" s="70">
        <f>IF('PE-A4'!M25=0,"    -",ROUND('PE-A4'!M54/'PE-A4'!M25*100,1))</f>
        <v>84.3</v>
      </c>
      <c r="N61" s="70">
        <f>IF('PE-A4'!N25=0,"    -",ROUND('PE-A4'!N54/'PE-A4'!N25*100,1))</f>
        <v>85.8</v>
      </c>
      <c r="O61" s="70">
        <f>IF('PE-A4'!O25=0,"    -",ROUND('PE-A4'!O54/'PE-A4'!O25*100,1))</f>
        <v>86.6</v>
      </c>
      <c r="P61" s="70">
        <f>IF('PE-A4'!P25=0,"    -",ROUND('PE-A4'!P54/'PE-A4'!P25*100,1))</f>
        <v>87.3</v>
      </c>
      <c r="Q61" s="71">
        <f>IF('PE-A4'!Q25=0,"    -",ROUND('PE-A4'!Q54/'PE-A4'!Q25*100,1))</f>
        <v>88.7</v>
      </c>
    </row>
    <row r="62" spans="2:17" ht="17.25" customHeight="1">
      <c r="B62" s="674" t="s">
        <v>314</v>
      </c>
      <c r="C62" s="675"/>
      <c r="D62" s="52">
        <f>IF('PE-A4'!D26=0,"    -",ROUND('PE-A4'!D55/'PE-A4'!D26*100,1))</f>
        <v>89.7</v>
      </c>
      <c r="E62" s="53">
        <f>IF('PE-A4'!E26=0,"    -",ROUND('PE-A4'!E55/'PE-A4'!E26*100,1))</f>
        <v>69</v>
      </c>
      <c r="F62" s="53">
        <f>IF('PE-A4'!F26=0,"    -",ROUND('PE-A4'!F55/'PE-A4'!F26*100,1))</f>
        <v>69.2</v>
      </c>
      <c r="G62" s="53">
        <f>IF('PE-A4'!G26=0,"    -",ROUND('PE-A4'!G55/'PE-A4'!G26*100,1))</f>
        <v>62.4</v>
      </c>
      <c r="H62" s="53">
        <f>IF('PE-A4'!H26=0,"    -",ROUND('PE-A4'!H55/'PE-A4'!H26*100,1))</f>
        <v>64.900000000000006</v>
      </c>
      <c r="I62" s="53">
        <f>IF('PE-A4'!I26=0,"    -",ROUND('PE-A4'!I55/'PE-A4'!I26*100,1))</f>
        <v>77</v>
      </c>
      <c r="J62" s="53">
        <f>IF('PE-A4'!J26=0,"    -",ROUND('PE-A4'!J55/'PE-A4'!J26*100,1))</f>
        <v>63.5</v>
      </c>
      <c r="K62" s="54">
        <f>IF('PE-A4'!K26=0,"    -",ROUND('PE-A4'!K55/'PE-A4'!K26*100,1))</f>
        <v>74.2</v>
      </c>
      <c r="L62" s="52">
        <f>IF('PE-A4'!L26=0,"    -",ROUND('PE-A4'!L55/'PE-A4'!L26*100,1))</f>
        <v>82.1</v>
      </c>
      <c r="M62" s="53">
        <f>IF('PE-A4'!M26=0,"    -",ROUND('PE-A4'!M55/'PE-A4'!M26*100,1))</f>
        <v>81.7</v>
      </c>
      <c r="N62" s="53">
        <f>IF('PE-A4'!N26=0,"    -",ROUND('PE-A4'!N55/'PE-A4'!N26*100,1))</f>
        <v>82.7</v>
      </c>
      <c r="O62" s="53">
        <f>IF('PE-A4'!O26=0,"    -",ROUND('PE-A4'!O55/'PE-A4'!O26*100,1))</f>
        <v>84.5</v>
      </c>
      <c r="P62" s="53">
        <f>IF('PE-A4'!P26=0,"    -",ROUND('PE-A4'!P55/'PE-A4'!P26*100,1))</f>
        <v>87</v>
      </c>
      <c r="Q62" s="54">
        <f>IF('PE-A4'!Q26=0,"    -",ROUND('PE-A4'!Q55/'PE-A4'!Q26*100,1))</f>
        <v>89.4</v>
      </c>
    </row>
    <row r="63" spans="2:17" ht="17.25" customHeight="1">
      <c r="B63" s="674" t="s">
        <v>315</v>
      </c>
      <c r="C63" s="675"/>
      <c r="D63" s="69">
        <f>IF('PE-A4'!D27=0,"    -",ROUND('PE-A4'!D56/'PE-A4'!D27*100,1))</f>
        <v>74.900000000000006</v>
      </c>
      <c r="E63" s="70">
        <f>IF('PE-A4'!E27=0,"    -",ROUND('PE-A4'!E56/'PE-A4'!E27*100,1))</f>
        <v>82.9</v>
      </c>
      <c r="F63" s="70">
        <f>IF('PE-A4'!F27=0,"    -",ROUND('PE-A4'!F56/'PE-A4'!F27*100,1))</f>
        <v>70</v>
      </c>
      <c r="G63" s="70">
        <f>IF('PE-A4'!G27=0,"    -",ROUND('PE-A4'!G56/'PE-A4'!G27*100,1))</f>
        <v>88.4</v>
      </c>
      <c r="H63" s="70">
        <f>IF('PE-A4'!H27=0,"    -",ROUND('PE-A4'!H56/'PE-A4'!H27*100,1))</f>
        <v>77.599999999999994</v>
      </c>
      <c r="I63" s="70">
        <f>IF('PE-A4'!I27=0,"    -",ROUND('PE-A4'!I56/'PE-A4'!I27*100,1))</f>
        <v>66.5</v>
      </c>
      <c r="J63" s="70">
        <f>IF('PE-A4'!J27=0,"    -",ROUND('PE-A4'!J56/'PE-A4'!J27*100,1))</f>
        <v>87.5</v>
      </c>
      <c r="K63" s="71">
        <f>IF('PE-A4'!K27=0,"    -",ROUND('PE-A4'!K56/'PE-A4'!K27*100,1))</f>
        <v>82.7</v>
      </c>
      <c r="L63" s="72">
        <f>IF('PE-A4'!L27=0,"    -",ROUND('PE-A4'!L56/'PE-A4'!L27*100,1))</f>
        <v>80.900000000000006</v>
      </c>
      <c r="M63" s="70">
        <f>IF('PE-A4'!M27=0,"    -",ROUND('PE-A4'!M56/'PE-A4'!M27*100,1))</f>
        <v>82.7</v>
      </c>
      <c r="N63" s="70">
        <f>IF('PE-A4'!N27=0,"    -",ROUND('PE-A4'!N56/'PE-A4'!N27*100,1))</f>
        <v>81.3</v>
      </c>
      <c r="O63" s="70">
        <f>IF('PE-A4'!O27=0,"    -",ROUND('PE-A4'!O56/'PE-A4'!O27*100,1))</f>
        <v>81.099999999999994</v>
      </c>
      <c r="P63" s="70">
        <f>IF('PE-A4'!P27=0,"    -",ROUND('PE-A4'!P56/'PE-A4'!P27*100,1))</f>
        <v>70.5</v>
      </c>
      <c r="Q63" s="73">
        <f>IF('PE-A4'!Q27=0,"    -",ROUND('PE-A4'!Q56/'PE-A4'!Q27*100,1))</f>
        <v>77.8</v>
      </c>
    </row>
    <row r="64" spans="2:17" ht="16.5" customHeight="1">
      <c r="B64" s="672" t="s">
        <v>316</v>
      </c>
      <c r="C64" s="673"/>
      <c r="D64" s="52">
        <f>IF('PE-A4'!D28=0,"    -",ROUND('PE-A4'!D57/'PE-A4'!D28*100,1))</f>
        <v>89.8</v>
      </c>
      <c r="E64" s="53">
        <f>IF('PE-A4'!E28=0,"    -",ROUND('PE-A4'!E57/'PE-A4'!E28*100,1))</f>
        <v>92.2</v>
      </c>
      <c r="F64" s="53">
        <f>IF('PE-A4'!F28=0,"    -",ROUND('PE-A4'!F57/'PE-A4'!F28*100,1))</f>
        <v>90</v>
      </c>
      <c r="G64" s="53">
        <f>IF('PE-A4'!G28=0,"    -",ROUND('PE-A4'!G57/'PE-A4'!G28*100,1))</f>
        <v>91.2</v>
      </c>
      <c r="H64" s="53">
        <f>IF('PE-A4'!H28=0,"    -",ROUND('PE-A4'!H57/'PE-A4'!H28*100,1))</f>
        <v>90</v>
      </c>
      <c r="I64" s="53">
        <f>IF('PE-A4'!I28=0,"    -",ROUND('PE-A4'!I57/'PE-A4'!I28*100,1))</f>
        <v>95.5</v>
      </c>
      <c r="J64" s="53">
        <f>IF('PE-A4'!J28=0,"    -",ROUND('PE-A4'!J57/'PE-A4'!J28*100,1))</f>
        <v>91.9</v>
      </c>
      <c r="K64" s="54">
        <f>IF('PE-A4'!K28=0,"    -",ROUND('PE-A4'!K57/'PE-A4'!K28*100,1))</f>
        <v>90.6</v>
      </c>
      <c r="L64" s="55">
        <f>IF('PE-A4'!L28=0,"    -",ROUND('PE-A4'!L57/'PE-A4'!L28*100,1))</f>
        <v>90</v>
      </c>
      <c r="M64" s="53">
        <f>IF('PE-A4'!M28=0,"    -",ROUND('PE-A4'!M57/'PE-A4'!M28*100,1))</f>
        <v>90</v>
      </c>
      <c r="N64" s="53">
        <f>IF('PE-A4'!N28=0,"    -",ROUND('PE-A4'!N57/'PE-A4'!N28*100,1))</f>
        <v>90</v>
      </c>
      <c r="O64" s="53">
        <f>IF('PE-A4'!O28=0,"    -",ROUND('PE-A4'!O57/'PE-A4'!O28*100,1))</f>
        <v>90</v>
      </c>
      <c r="P64" s="53">
        <f>IF('PE-A4'!P28=0,"    -",ROUND('PE-A4'!P57/'PE-A4'!P28*100,1))</f>
        <v>90</v>
      </c>
      <c r="Q64" s="56">
        <f>IF('PE-A4'!Q28=0,"    -",ROUND('PE-A4'!Q57/'PE-A4'!Q28*100,1))</f>
        <v>90</v>
      </c>
    </row>
    <row r="65" spans="2:17" ht="16.5" customHeight="1">
      <c r="B65" s="670" t="s">
        <v>317</v>
      </c>
      <c r="C65" s="671"/>
      <c r="D65" s="52">
        <f>IF('PE-A4'!D29=0,"    -",ROUND('PE-A4'!D58/'PE-A4'!D29*100,1))</f>
        <v>84.9</v>
      </c>
      <c r="E65" s="53">
        <f>IF('PE-A4'!E29=0,"    -",ROUND('PE-A4'!E58/'PE-A4'!E29*100,1))</f>
        <v>81.099999999999994</v>
      </c>
      <c r="F65" s="53">
        <f>IF('PE-A4'!F29=0,"    -",ROUND('PE-A4'!F58/'PE-A4'!F29*100,1))</f>
        <v>88.4</v>
      </c>
      <c r="G65" s="53">
        <f>IF('PE-A4'!G29=0,"    -",ROUND('PE-A4'!G58/'PE-A4'!G29*100,1))</f>
        <v>89.3</v>
      </c>
      <c r="H65" s="53">
        <f>IF('PE-A4'!H29=0,"    -",ROUND('PE-A4'!H58/'PE-A4'!H29*100,1))</f>
        <v>88</v>
      </c>
      <c r="I65" s="53">
        <f>IF('PE-A4'!I29=0,"    -",ROUND('PE-A4'!I58/'PE-A4'!I29*100,1))</f>
        <v>92.4</v>
      </c>
      <c r="J65" s="53">
        <f>IF('PE-A4'!J29=0,"    -",ROUND('PE-A4'!J58/'PE-A4'!J29*100,1))</f>
        <v>85.1</v>
      </c>
      <c r="K65" s="54">
        <f>IF('PE-A4'!K29=0,"    -",ROUND('PE-A4'!K58/'PE-A4'!K29*100,1))</f>
        <v>83.1</v>
      </c>
      <c r="L65" s="55">
        <f>IF('PE-A4'!L29=0,"    -",ROUND('PE-A4'!L58/'PE-A4'!L29*100,1))</f>
        <v>83.1</v>
      </c>
      <c r="M65" s="53">
        <f>IF('PE-A4'!M29=0,"    -",ROUND('PE-A4'!M58/'PE-A4'!M29*100,1))</f>
        <v>83.1</v>
      </c>
      <c r="N65" s="53">
        <f>IF('PE-A4'!N29=0,"    -",ROUND('PE-A4'!N58/'PE-A4'!N29*100,1))</f>
        <v>83.1</v>
      </c>
      <c r="O65" s="53">
        <f>IF('PE-A4'!O29=0,"    -",ROUND('PE-A4'!O58/'PE-A4'!O29*100,1))</f>
        <v>83.2</v>
      </c>
      <c r="P65" s="53">
        <f>IF('PE-A4'!P29=0,"    -",ROUND('PE-A4'!P58/'PE-A4'!P29*100,1))</f>
        <v>83.3</v>
      </c>
      <c r="Q65" s="56">
        <f>IF('PE-A4'!Q29=0,"    -",ROUND('PE-A4'!Q58/'PE-A4'!Q29*100,1))</f>
        <v>83.3</v>
      </c>
    </row>
    <row r="66" spans="2:17" ht="17.25" customHeight="1">
      <c r="B66" s="674" t="s">
        <v>318</v>
      </c>
      <c r="C66" s="675"/>
      <c r="D66" s="69">
        <f>IF('PE-A4'!D30=0,"    -",ROUND('PE-A4'!D59/'PE-A4'!D30*100,1))</f>
        <v>88.8</v>
      </c>
      <c r="E66" s="70">
        <f>IF('PE-A4'!E30=0,"    -",ROUND('PE-A4'!E59/'PE-A4'!E30*100,1))</f>
        <v>89.9</v>
      </c>
      <c r="F66" s="70">
        <f>IF('PE-A4'!F30=0,"    -",ROUND('PE-A4'!F59/'PE-A4'!F30*100,1))</f>
        <v>89.7</v>
      </c>
      <c r="G66" s="70">
        <f>IF('PE-A4'!G30=0,"    -",ROUND('PE-A4'!G59/'PE-A4'!G30*100,1))</f>
        <v>90.8</v>
      </c>
      <c r="H66" s="70">
        <f>IF('PE-A4'!H30=0,"    -",ROUND('PE-A4'!H59/'PE-A4'!H30*100,1))</f>
        <v>89.6</v>
      </c>
      <c r="I66" s="70">
        <f>IF('PE-A4'!I30=0,"    -",ROUND('PE-A4'!I59/'PE-A4'!I30*100,1))</f>
        <v>94.9</v>
      </c>
      <c r="J66" s="70">
        <f>IF('PE-A4'!J30=0,"    -",ROUND('PE-A4'!J59/'PE-A4'!J30*100,1))</f>
        <v>90.4</v>
      </c>
      <c r="K66" s="71">
        <f>IF('PE-A4'!K30=0,"    -",ROUND('PE-A4'!K59/'PE-A4'!K30*100,1))</f>
        <v>89.1</v>
      </c>
      <c r="L66" s="72">
        <f>IF('PE-A4'!L30=0,"    -",ROUND('PE-A4'!L59/'PE-A4'!L30*100,1))</f>
        <v>88.7</v>
      </c>
      <c r="M66" s="70">
        <f>IF('PE-A4'!M30=0,"    -",ROUND('PE-A4'!M59/'PE-A4'!M30*100,1))</f>
        <v>88.8</v>
      </c>
      <c r="N66" s="70">
        <f>IF('PE-A4'!N30=0,"    -",ROUND('PE-A4'!N59/'PE-A4'!N30*100,1))</f>
        <v>88.9</v>
      </c>
      <c r="O66" s="70">
        <f>IF('PE-A4'!O30=0,"    -",ROUND('PE-A4'!O59/'PE-A4'!O30*100,1))</f>
        <v>88.9</v>
      </c>
      <c r="P66" s="70">
        <f>IF('PE-A4'!P30=0,"    -",ROUND('PE-A4'!P59/'PE-A4'!P30*100,1))</f>
        <v>88.9</v>
      </c>
      <c r="Q66" s="73">
        <f>IF('PE-A4'!Q30=0,"    -",ROUND('PE-A4'!Q59/'PE-A4'!Q30*100,1))</f>
        <v>88.9</v>
      </c>
    </row>
    <row r="67" spans="2:17" ht="16.5" customHeight="1">
      <c r="B67" s="672" t="s">
        <v>319</v>
      </c>
      <c r="C67" s="673"/>
      <c r="D67" s="52">
        <f>IF('PE-A4'!D31=0,"    -",ROUND('PE-A4'!D60/'PE-A4'!D31*100,1))</f>
        <v>83.5</v>
      </c>
      <c r="E67" s="53">
        <f>IF('PE-A4'!E31=0,"    -",ROUND('PE-A4'!E60/'PE-A4'!E31*100,1))</f>
        <v>85.7</v>
      </c>
      <c r="F67" s="53">
        <f>IF('PE-A4'!F31=0,"    -",ROUND('PE-A4'!F60/'PE-A4'!F31*100,1))</f>
        <v>83.5</v>
      </c>
      <c r="G67" s="53">
        <f>IF('PE-A4'!G31=0,"    -",ROUND('PE-A4'!G60/'PE-A4'!G31*100,1))</f>
        <v>79.2</v>
      </c>
      <c r="H67" s="53">
        <f>IF('PE-A4'!H31=0,"    -",ROUND('PE-A4'!H60/'PE-A4'!H31*100,1))</f>
        <v>78.7</v>
      </c>
      <c r="I67" s="53">
        <f>IF('PE-A4'!I31=0,"    -",ROUND('PE-A4'!I60/'PE-A4'!I31*100,1))</f>
        <v>72.5</v>
      </c>
      <c r="J67" s="53">
        <f>IF('PE-A4'!J31=0,"    -",ROUND('PE-A4'!J60/'PE-A4'!J31*100,1))</f>
        <v>65</v>
      </c>
      <c r="K67" s="54">
        <f>IF('PE-A4'!K31=0,"    -",ROUND('PE-A4'!K60/'PE-A4'!K31*100,1))</f>
        <v>80</v>
      </c>
      <c r="L67" s="55">
        <f>IF('PE-A4'!L31=0,"    -",ROUND('PE-A4'!L60/'PE-A4'!L31*100,1))</f>
        <v>80</v>
      </c>
      <c r="M67" s="53">
        <f>IF('PE-A4'!M31=0,"    -",ROUND('PE-A4'!M60/'PE-A4'!M31*100,1))</f>
        <v>80</v>
      </c>
      <c r="N67" s="53">
        <f>IF('PE-A4'!N31=0,"    -",ROUND('PE-A4'!N60/'PE-A4'!N31*100,1))</f>
        <v>80</v>
      </c>
      <c r="O67" s="53">
        <f>IF('PE-A4'!O31=0,"    -",ROUND('PE-A4'!O60/'PE-A4'!O31*100,1))</f>
        <v>80</v>
      </c>
      <c r="P67" s="53">
        <f>IF('PE-A4'!P31=0,"    -",ROUND('PE-A4'!P60/'PE-A4'!P31*100,1))</f>
        <v>80</v>
      </c>
      <c r="Q67" s="56">
        <f>IF('PE-A4'!Q31=0,"    -",ROUND('PE-A4'!Q60/'PE-A4'!Q31*100,1))</f>
        <v>80</v>
      </c>
    </row>
    <row r="68" spans="2:17" ht="16.5" customHeight="1">
      <c r="B68" s="668" t="s">
        <v>320</v>
      </c>
      <c r="C68" s="669"/>
      <c r="D68" s="52">
        <f>IF('PE-A4'!D32=0,"    -",ROUND('PE-A4'!D61/'PE-A4'!D32*100,1))</f>
        <v>77.8</v>
      </c>
      <c r="E68" s="53">
        <f>IF('PE-A4'!E32=0,"    -",ROUND('PE-A4'!E61/'PE-A4'!E32*100,1))</f>
        <v>81.5</v>
      </c>
      <c r="F68" s="53">
        <f>IF('PE-A4'!F32=0,"    -",ROUND('PE-A4'!F61/'PE-A4'!F32*100,1))</f>
        <v>81</v>
      </c>
      <c r="G68" s="53">
        <f>IF('PE-A4'!G32=0,"    -",ROUND('PE-A4'!G61/'PE-A4'!G32*100,1))</f>
        <v>81.900000000000006</v>
      </c>
      <c r="H68" s="53">
        <f>IF('PE-A4'!H32=0,"    -",ROUND('PE-A4'!H61/'PE-A4'!H32*100,1))</f>
        <v>81.099999999999994</v>
      </c>
      <c r="I68" s="53">
        <f>IF('PE-A4'!I32=0,"    -",ROUND('PE-A4'!I61/'PE-A4'!I32*100,1))</f>
        <v>83.8</v>
      </c>
      <c r="J68" s="53">
        <f>IF('PE-A4'!J32=0,"    -",ROUND('PE-A4'!J61/'PE-A4'!J32*100,1))</f>
        <v>84.6</v>
      </c>
      <c r="K68" s="54">
        <f>IF('PE-A4'!K32=0,"    -",ROUND('PE-A4'!K61/'PE-A4'!K32*100,1))</f>
        <v>85</v>
      </c>
      <c r="L68" s="55">
        <f>IF('PE-A4'!L32=0,"    -",ROUND('PE-A4'!L61/'PE-A4'!L32*100,1))</f>
        <v>85</v>
      </c>
      <c r="M68" s="53">
        <f>IF('PE-A4'!M32=0,"    -",ROUND('PE-A4'!M61/'PE-A4'!M32*100,1))</f>
        <v>85</v>
      </c>
      <c r="N68" s="53">
        <f>IF('PE-A4'!N32=0,"    -",ROUND('PE-A4'!N61/'PE-A4'!N32*100,1))</f>
        <v>85</v>
      </c>
      <c r="O68" s="53">
        <f>IF('PE-A4'!O32=0,"    -",ROUND('PE-A4'!O61/'PE-A4'!O32*100,1))</f>
        <v>85</v>
      </c>
      <c r="P68" s="53">
        <f>IF('PE-A4'!P32=0,"    -",ROUND('PE-A4'!P61/'PE-A4'!P32*100,1))</f>
        <v>85</v>
      </c>
      <c r="Q68" s="56">
        <f>IF('PE-A4'!Q32=0,"    -",ROUND('PE-A4'!Q61/'PE-A4'!Q32*100,1))</f>
        <v>85</v>
      </c>
    </row>
    <row r="69" spans="2:17" ht="16.5" customHeight="1">
      <c r="B69" s="670" t="s">
        <v>321</v>
      </c>
      <c r="C69" s="671"/>
      <c r="D69" s="52">
        <f>IF('PE-A4'!D33=0,"    -",ROUND('PE-A4'!D62/'PE-A4'!D33*100,1))</f>
        <v>83.2</v>
      </c>
      <c r="E69" s="53">
        <f>IF('PE-A4'!E33=0,"    -",ROUND('PE-A4'!E62/'PE-A4'!E33*100,1))</f>
        <v>88.2</v>
      </c>
      <c r="F69" s="53">
        <f>IF('PE-A4'!F33=0,"    -",ROUND('PE-A4'!F62/'PE-A4'!F33*100,1))</f>
        <v>88.2</v>
      </c>
      <c r="G69" s="53">
        <f>IF('PE-A4'!G33=0,"    -",ROUND('PE-A4'!G62/'PE-A4'!G33*100,1))</f>
        <v>88.1</v>
      </c>
      <c r="H69" s="53">
        <f>IF('PE-A4'!H33=0,"    -",ROUND('PE-A4'!H62/'PE-A4'!H33*100,1))</f>
        <v>86.1</v>
      </c>
      <c r="I69" s="53">
        <f>IF('PE-A4'!I33=0,"    -",ROUND('PE-A4'!I62/'PE-A4'!I33*100,1))</f>
        <v>86.1</v>
      </c>
      <c r="J69" s="53">
        <f>IF('PE-A4'!J33=0,"    -",ROUND('PE-A4'!J62/'PE-A4'!J33*100,1))</f>
        <v>86.1</v>
      </c>
      <c r="K69" s="54">
        <f>IF('PE-A4'!K33=0,"    -",ROUND('PE-A4'!K62/'PE-A4'!K33*100,1))</f>
        <v>86.1</v>
      </c>
      <c r="L69" s="55">
        <f>IF('PE-A4'!L33=0,"    -",ROUND('PE-A4'!L62/'PE-A4'!L33*100,1))</f>
        <v>86.1</v>
      </c>
      <c r="M69" s="53">
        <f>IF('PE-A4'!M33=0,"    -",ROUND('PE-A4'!M62/'PE-A4'!M33*100,1))</f>
        <v>86.1</v>
      </c>
      <c r="N69" s="53">
        <f>IF('PE-A4'!N33=0,"    -",ROUND('PE-A4'!N62/'PE-A4'!N33*100,1))</f>
        <v>86.1</v>
      </c>
      <c r="O69" s="53">
        <f>IF('PE-A4'!O33=0,"    -",ROUND('PE-A4'!O62/'PE-A4'!O33*100,1))</f>
        <v>86.1</v>
      </c>
      <c r="P69" s="53">
        <f>IF('PE-A4'!P33=0,"    -",ROUND('PE-A4'!P62/'PE-A4'!P33*100,1))</f>
        <v>86.1</v>
      </c>
      <c r="Q69" s="56">
        <f>IF('PE-A4'!Q33=0,"    -",ROUND('PE-A4'!Q62/'PE-A4'!Q33*100,1))</f>
        <v>86.1</v>
      </c>
    </row>
    <row r="70" spans="2:17" ht="17.25" customHeight="1" thickBot="1">
      <c r="B70" s="678" t="s">
        <v>322</v>
      </c>
      <c r="C70" s="679"/>
      <c r="D70" s="106">
        <f>IF('PE-A4'!D34=0,"    -",ROUND('PE-A4'!D63/'PE-A4'!D34*100,1))</f>
        <v>80</v>
      </c>
      <c r="E70" s="107">
        <f>IF('PE-A4'!E34=0,"    -",ROUND('PE-A4'!E63/'PE-A4'!E34*100,1))</f>
        <v>83.8</v>
      </c>
      <c r="F70" s="107">
        <f>IF('PE-A4'!F34=0,"    -",ROUND('PE-A4'!F63/'PE-A4'!F34*100,1))</f>
        <v>83.1</v>
      </c>
      <c r="G70" s="107">
        <f>IF('PE-A4'!G34=0,"    -",ROUND('PE-A4'!G63/'PE-A4'!G34*100,1))</f>
        <v>82.9</v>
      </c>
      <c r="H70" s="107">
        <f>IF('PE-A4'!H34=0,"    -",ROUND('PE-A4'!H63/'PE-A4'!H34*100,1))</f>
        <v>81.900000000000006</v>
      </c>
      <c r="I70" s="107">
        <f>IF('PE-A4'!I34=0,"    -",ROUND('PE-A4'!I63/'PE-A4'!I34*100,1))</f>
        <v>82.5</v>
      </c>
      <c r="J70" s="107">
        <f>IF('PE-A4'!J34=0,"    -",ROUND('PE-A4'!J63/'PE-A4'!J34*100,1))</f>
        <v>79.7</v>
      </c>
      <c r="K70" s="108">
        <f>IF('PE-A4'!K34=0,"    -",ROUND('PE-A4'!K63/'PE-A4'!K34*100,1))</f>
        <v>83.7</v>
      </c>
      <c r="L70" s="109">
        <f>IF('PE-A4'!L34=0,"    -",ROUND('PE-A4'!L63/'PE-A4'!L34*100,1))</f>
        <v>83.7</v>
      </c>
      <c r="M70" s="107">
        <f>IF('PE-A4'!M34=0,"    -",ROUND('PE-A4'!M63/'PE-A4'!M34*100,1))</f>
        <v>83.7</v>
      </c>
      <c r="N70" s="107">
        <f>IF('PE-A4'!N34=0,"    -",ROUND('PE-A4'!N63/'PE-A4'!N34*100,1))</f>
        <v>83.7</v>
      </c>
      <c r="O70" s="107">
        <f>IF('PE-A4'!O34=0,"    -",ROUND('PE-A4'!O63/'PE-A4'!O34*100,1))</f>
        <v>83.7</v>
      </c>
      <c r="P70" s="107">
        <f>IF('PE-A4'!P34=0,"    -",ROUND('PE-A4'!P63/'PE-A4'!P34*100,1))</f>
        <v>83.7</v>
      </c>
      <c r="Q70" s="110">
        <f>IF('PE-A4'!Q34=0,"    -",ROUND('PE-A4'!Q63/'PE-A4'!Q34*100,1))</f>
        <v>83.7</v>
      </c>
    </row>
    <row r="71" spans="2:17" ht="18" customHeight="1" thickTop="1" thickBot="1">
      <c r="B71" s="21"/>
      <c r="C71" s="619" t="s">
        <v>337</v>
      </c>
      <c r="D71" s="127">
        <f>IF('PE-A4'!D35=0,"    -",ROUND('PE-A4'!D64/'PE-A4'!D35*100,1))</f>
        <v>84.4</v>
      </c>
      <c r="E71" s="128">
        <f>IF('PE-A4'!E35=0,"    -",ROUND('PE-A4'!E64/'PE-A4'!E35*100,1))</f>
        <v>85.4</v>
      </c>
      <c r="F71" s="128">
        <f>IF('PE-A4'!F35=0,"    -",ROUND('PE-A4'!F64/'PE-A4'!F35*100,1))</f>
        <v>81.3</v>
      </c>
      <c r="G71" s="128">
        <f>IF('PE-A4'!G35=0,"    -",ROUND('PE-A4'!G64/'PE-A4'!G35*100,1))</f>
        <v>84.9</v>
      </c>
      <c r="H71" s="128">
        <f>IF('PE-A4'!H35=0,"    -",ROUND('PE-A4'!H64/'PE-A4'!H35*100,1))</f>
        <v>85.4</v>
      </c>
      <c r="I71" s="128">
        <f>IF('PE-A4'!I35=0,"    -",ROUND('PE-A4'!I64/'PE-A4'!I35*100,1))</f>
        <v>86.4</v>
      </c>
      <c r="J71" s="128">
        <f>IF('PE-A4'!J35=0,"    -",ROUND('PE-A4'!J64/'PE-A4'!J35*100,1))</f>
        <v>85.6</v>
      </c>
      <c r="K71" s="129">
        <f>IF('PE-A4'!K35=0,"    -",ROUND('PE-A4'!K64/'PE-A4'!K35*100,1))</f>
        <v>85.8</v>
      </c>
      <c r="L71" s="130">
        <f>IF('PE-A4'!L35=0,"    -",ROUND('PE-A4'!L64/'PE-A4'!L35*100,1))</f>
        <v>86.5</v>
      </c>
      <c r="M71" s="128">
        <f>IF('PE-A4'!M35=0,"    -",ROUND('PE-A4'!M64/'PE-A4'!M35*100,1))</f>
        <v>86.5</v>
      </c>
      <c r="N71" s="128">
        <f>IF('PE-A4'!N35=0,"    -",ROUND('PE-A4'!N64/'PE-A4'!N35*100,1))</f>
        <v>85.6</v>
      </c>
      <c r="O71" s="128">
        <f>IF('PE-A4'!O35=0,"    -",ROUND('PE-A4'!O64/'PE-A4'!O35*100,1))</f>
        <v>86.1</v>
      </c>
      <c r="P71" s="128">
        <f>IF('PE-A4'!P35=0,"    -",ROUND('PE-A4'!P64/'PE-A4'!P35*100,1))</f>
        <v>86.6</v>
      </c>
      <c r="Q71" s="131">
        <f>IF('PE-A4'!Q35=0,"    -",ROUND('PE-A4'!Q64/'PE-A4'!Q35*100,1))</f>
        <v>87.3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209" priority="5">
      <formula>CELL("protect",C75)=0</formula>
    </cfRule>
    <cfRule type="expression" dxfId="208" priority="6">
      <formula>CELL("protect",C75)=0</formula>
    </cfRule>
  </conditionalFormatting>
  <conditionalFormatting sqref="C73">
    <cfRule type="expression" dxfId="207" priority="3">
      <formula>CELL("protect",C73)=0</formula>
    </cfRule>
    <cfRule type="expression" dxfId="206" priority="4">
      <formula>CELL("protect",C73)=0</formula>
    </cfRule>
  </conditionalFormatting>
  <conditionalFormatting sqref="C75">
    <cfRule type="expression" dxfId="205" priority="1">
      <formula>CELL("protect",C75)=0</formula>
    </cfRule>
    <cfRule type="expression" dxfId="204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&amp;C166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4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'PS-A5'!D36-'PS-A5'!D65</f>
        <v>600</v>
      </c>
      <c r="E7" s="240">
        <f>'PS-A5'!E36-'PS-A5'!E65</f>
        <v>627</v>
      </c>
      <c r="F7" s="240">
        <f>'PS-A5'!F36-'PS-A5'!F65</f>
        <v>589</v>
      </c>
      <c r="G7" s="240">
        <f>'PS-A5'!G36-'PS-A5'!G65</f>
        <v>558</v>
      </c>
      <c r="H7" s="240">
        <f>'PS-A5'!H36-'PS-A5'!H65</f>
        <v>505</v>
      </c>
      <c r="I7" s="240">
        <f>'PS-A5'!I36-'PS-A5'!I65</f>
        <v>463</v>
      </c>
      <c r="J7" s="240">
        <f>'PS-A5'!J36-'PS-A5'!J65</f>
        <v>461</v>
      </c>
      <c r="K7" s="241">
        <f>'PS-A5'!K36-'PS-A5'!K65</f>
        <v>389</v>
      </c>
      <c r="L7" s="242">
        <f>'PS-A5'!L36-'PS-A5'!L65</f>
        <v>400</v>
      </c>
      <c r="M7" s="240">
        <f>'PS-A5'!M36-'PS-A5'!M65</f>
        <v>400</v>
      </c>
      <c r="N7" s="240">
        <f>'PS-A5'!N36-'PS-A5'!N65</f>
        <v>380</v>
      </c>
      <c r="O7" s="240">
        <f>'PS-A5'!O36-'PS-A5'!O65</f>
        <v>400</v>
      </c>
      <c r="P7" s="240">
        <f>'PS-A5'!P36-'PS-A5'!P65</f>
        <v>390</v>
      </c>
      <c r="Q7" s="243">
        <f>'PS-A5'!Q36-'PS-A5'!Q65</f>
        <v>390</v>
      </c>
    </row>
    <row r="8" spans="2:19" ht="16.5" customHeight="1">
      <c r="B8" s="605" t="s">
        <v>434</v>
      </c>
      <c r="C8" s="606"/>
      <c r="D8" s="239">
        <f>'PS-A5'!D37-'PS-A5'!D66</f>
        <v>736</v>
      </c>
      <c r="E8" s="240">
        <f>'PS-A5'!E37-'PS-A5'!E66</f>
        <v>770</v>
      </c>
      <c r="F8" s="240">
        <f>'PS-A5'!F37-'PS-A5'!F66</f>
        <v>735</v>
      </c>
      <c r="G8" s="240">
        <f>'PS-A5'!G37-'PS-A5'!G66</f>
        <v>752</v>
      </c>
      <c r="H8" s="240">
        <f>'PS-A5'!H37-'PS-A5'!H66</f>
        <v>716</v>
      </c>
      <c r="I8" s="240">
        <f>'PS-A5'!I37-'PS-A5'!I66</f>
        <v>760</v>
      </c>
      <c r="J8" s="240">
        <f>'PS-A5'!J37-'PS-A5'!J66</f>
        <v>723</v>
      </c>
      <c r="K8" s="241">
        <f>'PS-A5'!K37-'PS-A5'!K66</f>
        <v>724</v>
      </c>
      <c r="L8" s="242">
        <f>'PS-A5'!L37-'PS-A5'!L66</f>
        <v>725</v>
      </c>
      <c r="M8" s="240">
        <f>'PS-A5'!M37-'PS-A5'!M66</f>
        <v>720</v>
      </c>
      <c r="N8" s="240">
        <f>'PS-A5'!N37-'PS-A5'!N66</f>
        <v>735</v>
      </c>
      <c r="O8" s="240">
        <f>'PS-A5'!O37-'PS-A5'!O66</f>
        <v>735</v>
      </c>
      <c r="P8" s="240">
        <f>'PS-A5'!P37-'PS-A5'!P66</f>
        <v>760</v>
      </c>
      <c r="Q8" s="243">
        <f>'PS-A5'!Q37-'PS-A5'!Q66</f>
        <v>760</v>
      </c>
    </row>
    <row r="9" spans="2:19" ht="16.5" customHeight="1">
      <c r="B9" s="605" t="s">
        <v>435</v>
      </c>
      <c r="C9" s="606"/>
      <c r="D9" s="239">
        <f>'PS-A5'!D38-'PS-A5'!D67</f>
        <v>257</v>
      </c>
      <c r="E9" s="240">
        <f>'PS-A5'!E38-'PS-A5'!E67</f>
        <v>251.66200000000001</v>
      </c>
      <c r="F9" s="240">
        <f>'PS-A5'!F38-'PS-A5'!F67</f>
        <v>257</v>
      </c>
      <c r="G9" s="240">
        <f>'PS-A5'!G38-'PS-A5'!G67</f>
        <v>250</v>
      </c>
      <c r="H9" s="240">
        <f>'PS-A5'!H38-'PS-A5'!H67</f>
        <v>256.5</v>
      </c>
      <c r="I9" s="240">
        <f>'PS-A5'!I38-'PS-A5'!I67</f>
        <v>220.274</v>
      </c>
      <c r="J9" s="240">
        <f>'PS-A5'!J38-'PS-A5'!J67</f>
        <v>257</v>
      </c>
      <c r="K9" s="241">
        <f>'PS-A5'!K38-'PS-A5'!K67</f>
        <v>254</v>
      </c>
      <c r="L9" s="242">
        <f>'PS-A5'!L38-'PS-A5'!L67</f>
        <v>257</v>
      </c>
      <c r="M9" s="240">
        <f>'PS-A5'!M38-'PS-A5'!M67</f>
        <v>257</v>
      </c>
      <c r="N9" s="240">
        <f>'PS-A5'!N38-'PS-A5'!N67</f>
        <v>257</v>
      </c>
      <c r="O9" s="240">
        <f>'PS-A5'!O38-'PS-A5'!O67</f>
        <v>257</v>
      </c>
      <c r="P9" s="240">
        <f>'PS-A5'!P38-'PS-A5'!P67</f>
        <v>257</v>
      </c>
      <c r="Q9" s="243">
        <f>'PS-A5'!Q38-'PS-A5'!Q67</f>
        <v>257</v>
      </c>
    </row>
    <row r="10" spans="2:19" ht="16.5" customHeight="1">
      <c r="B10" s="605" t="s">
        <v>436</v>
      </c>
      <c r="C10" s="606"/>
      <c r="D10" s="239">
        <f>'PS-A5'!D39-'PS-A5'!D68</f>
        <v>-1171</v>
      </c>
      <c r="E10" s="240">
        <f>'PS-A5'!E39-'PS-A5'!E68</f>
        <v>-1109</v>
      </c>
      <c r="F10" s="240">
        <f>'PS-A5'!F39-'PS-A5'!F68</f>
        <v>-1120</v>
      </c>
      <c r="G10" s="240">
        <f>'PS-A5'!G39-'PS-A5'!G68</f>
        <v>-1112</v>
      </c>
      <c r="H10" s="240">
        <f>'PS-A5'!H39-'PS-A5'!H68</f>
        <v>-912</v>
      </c>
      <c r="I10" s="240">
        <f>'PS-A5'!I39-'PS-A5'!I68</f>
        <v>-940</v>
      </c>
      <c r="J10" s="240">
        <f>'PS-A5'!J39-'PS-A5'!J68</f>
        <v>-813</v>
      </c>
      <c r="K10" s="241">
        <f>'PS-A5'!K39-'PS-A5'!K68</f>
        <v>-876</v>
      </c>
      <c r="L10" s="242">
        <f>'PS-A5'!L39-'PS-A5'!L68</f>
        <v>-1050</v>
      </c>
      <c r="M10" s="240">
        <f>'PS-A5'!M39-'PS-A5'!M68</f>
        <v>-1064</v>
      </c>
      <c r="N10" s="240">
        <f>'PS-A5'!N39-'PS-A5'!N68</f>
        <v>-1067</v>
      </c>
      <c r="O10" s="240">
        <f>'PS-A5'!O39-'PS-A5'!O68</f>
        <v>-1041</v>
      </c>
      <c r="P10" s="240">
        <f>'PS-A5'!P39-'PS-A5'!P68</f>
        <v>-1044</v>
      </c>
      <c r="Q10" s="243">
        <f>'PS-A5'!Q39-'PS-A5'!Q68</f>
        <v>-1052</v>
      </c>
    </row>
    <row r="11" spans="2:19" ht="16.5" customHeight="1">
      <c r="B11" s="605" t="s">
        <v>437</v>
      </c>
      <c r="C11" s="606"/>
      <c r="D11" s="239">
        <f>'PS-A5'!D40-'PS-A5'!D69</f>
        <v>61</v>
      </c>
      <c r="E11" s="240">
        <f>'PS-A5'!E40-'PS-A5'!E69</f>
        <v>107</v>
      </c>
      <c r="F11" s="240">
        <f>'PS-A5'!F40-'PS-A5'!F69</f>
        <v>140</v>
      </c>
      <c r="G11" s="240">
        <f>'PS-A5'!G40-'PS-A5'!G69</f>
        <v>101.73399999999998</v>
      </c>
      <c r="H11" s="240">
        <f>'PS-A5'!H40-'PS-A5'!H69</f>
        <v>58.482999999999947</v>
      </c>
      <c r="I11" s="240">
        <f>'PS-A5'!I40-'PS-A5'!I69</f>
        <v>27.506000000000029</v>
      </c>
      <c r="J11" s="240">
        <f>'PS-A5'!J40-'PS-A5'!J69</f>
        <v>68.765194400000041</v>
      </c>
      <c r="K11" s="241">
        <f>'PS-A5'!K40-'PS-A5'!K69</f>
        <v>107</v>
      </c>
      <c r="L11" s="242">
        <f>'PS-A5'!L40-'PS-A5'!L69</f>
        <v>97.5</v>
      </c>
      <c r="M11" s="240">
        <f>'PS-A5'!M40-'PS-A5'!M69</f>
        <v>86.846400000000017</v>
      </c>
      <c r="N11" s="240">
        <f>'PS-A5'!N40-'PS-A5'!N69</f>
        <v>76.268882160000032</v>
      </c>
      <c r="O11" s="240">
        <f>'PS-A5'!O40-'PS-A5'!O69</f>
        <v>65.717177476680035</v>
      </c>
      <c r="P11" s="240">
        <f>'PS-A5'!P40-'PS-A5'!P69</f>
        <v>54.94477868836384</v>
      </c>
      <c r="Q11" s="243">
        <f>'PS-A5'!Q40-'PS-A5'!Q69</f>
        <v>43.604212809669548</v>
      </c>
    </row>
    <row r="12" spans="2:19" ht="16.5" customHeight="1">
      <c r="B12" s="605" t="s">
        <v>438</v>
      </c>
      <c r="C12" s="606"/>
      <c r="D12" s="239">
        <f>'PS-A5'!D41-'PS-A5'!D70</f>
        <v>-28.247017498362581</v>
      </c>
      <c r="E12" s="240">
        <f>'PS-A5'!E41-'PS-A5'!E70</f>
        <v>-34.00682661825779</v>
      </c>
      <c r="F12" s="240">
        <f>'PS-A5'!F41-'PS-A5'!F70</f>
        <v>-39.943749868589776</v>
      </c>
      <c r="G12" s="240">
        <f>'PS-A5'!G41-'PS-A5'!G70</f>
        <v>-43.25</v>
      </c>
      <c r="H12" s="240">
        <f>'PS-A5'!H41-'PS-A5'!H70</f>
        <v>-46.25</v>
      </c>
      <c r="I12" s="240">
        <f>'PS-A5'!I41-'PS-A5'!I70</f>
        <v>-49.25</v>
      </c>
      <c r="J12" s="240">
        <f>'PS-A5'!J41-'PS-A5'!J70</f>
        <v>-53.25</v>
      </c>
      <c r="K12" s="241">
        <f>'PS-A5'!K41-'PS-A5'!K70</f>
        <v>-59.25</v>
      </c>
      <c r="L12" s="242">
        <f>'PS-A5'!L41-'PS-A5'!L70</f>
        <v>-68.25</v>
      </c>
      <c r="M12" s="240">
        <f>'PS-A5'!M41-'PS-A5'!M70</f>
        <v>-75.25</v>
      </c>
      <c r="N12" s="240">
        <f>'PS-A5'!N41-'PS-A5'!N70</f>
        <v>-78.25</v>
      </c>
      <c r="O12" s="240">
        <f>'PS-A5'!O41-'PS-A5'!O70</f>
        <v>-88.25</v>
      </c>
      <c r="P12" s="240">
        <f>'PS-A5'!P41-'PS-A5'!P70</f>
        <v>-98</v>
      </c>
      <c r="Q12" s="243">
        <f>'PS-A5'!Q41-'PS-A5'!Q70</f>
        <v>-108</v>
      </c>
    </row>
    <row r="13" spans="2:19" ht="16.5" customHeight="1">
      <c r="B13" s="605" t="s">
        <v>439</v>
      </c>
      <c r="C13" s="606"/>
      <c r="D13" s="239">
        <f>'PS-A5'!D42-'PS-A5'!D71</f>
        <v>22</v>
      </c>
      <c r="E13" s="240">
        <f>'PS-A5'!E42-'PS-A5'!E71</f>
        <v>-4</v>
      </c>
      <c r="F13" s="240">
        <f>'PS-A5'!F42-'PS-A5'!F71</f>
        <v>-9</v>
      </c>
      <c r="G13" s="240">
        <f>'PS-A5'!G42-'PS-A5'!G71</f>
        <v>41</v>
      </c>
      <c r="H13" s="240">
        <f>'PS-A5'!H42-'PS-A5'!H71</f>
        <v>41</v>
      </c>
      <c r="I13" s="240">
        <f>'PS-A5'!I42-'PS-A5'!I71</f>
        <v>41</v>
      </c>
      <c r="J13" s="240">
        <f>'PS-A5'!J42-'PS-A5'!J71</f>
        <v>67</v>
      </c>
      <c r="K13" s="241">
        <f>'PS-A5'!K42-'PS-A5'!K71</f>
        <v>90</v>
      </c>
      <c r="L13" s="242">
        <f>'PS-A5'!L42-'PS-A5'!L71</f>
        <v>60</v>
      </c>
      <c r="M13" s="240">
        <f>'PS-A5'!M42-'PS-A5'!M71</f>
        <v>60</v>
      </c>
      <c r="N13" s="240">
        <f>'PS-A5'!N42-'PS-A5'!N71</f>
        <v>60</v>
      </c>
      <c r="O13" s="240">
        <f>'PS-A5'!O42-'PS-A5'!O71</f>
        <v>60</v>
      </c>
      <c r="P13" s="240">
        <f>'PS-A5'!P42-'PS-A5'!P71</f>
        <v>60</v>
      </c>
      <c r="Q13" s="243">
        <f>'PS-A5'!Q42-'PS-A5'!Q71</f>
        <v>60</v>
      </c>
    </row>
    <row r="14" spans="2:19" ht="18" hidden="1" customHeight="1">
      <c r="B14" s="16"/>
      <c r="C14" s="90" t="s">
        <v>306</v>
      </c>
      <c r="D14" s="239">
        <f>'PS-A5'!D43-'PS-A5'!D72</f>
        <v>0</v>
      </c>
      <c r="E14" s="240">
        <f>'PS-A5'!E43-'PS-A5'!E72</f>
        <v>0</v>
      </c>
      <c r="F14" s="240">
        <f>'PS-A5'!F43-'PS-A5'!F72</f>
        <v>0</v>
      </c>
      <c r="G14" s="240">
        <f>'PS-A5'!G43-'PS-A5'!G72</f>
        <v>0</v>
      </c>
      <c r="H14" s="240">
        <f>'PS-A5'!H43-'PS-A5'!H72</f>
        <v>0</v>
      </c>
      <c r="I14" s="240">
        <f>'PS-A5'!I43-'PS-A5'!I72</f>
        <v>0</v>
      </c>
      <c r="J14" s="240">
        <f>'PS-A5'!J43-'PS-A5'!J72</f>
        <v>0</v>
      </c>
      <c r="K14" s="241">
        <f>'PS-A5'!K43-'PS-A5'!K72</f>
        <v>0</v>
      </c>
      <c r="L14" s="242">
        <f>'PS-A5'!L43-'PS-A5'!L72</f>
        <v>0</v>
      </c>
      <c r="M14" s="240">
        <f>'PS-A5'!M43-'PS-A5'!M72</f>
        <v>0</v>
      </c>
      <c r="N14" s="240">
        <f>'PS-A5'!N43-'PS-A5'!N72</f>
        <v>0</v>
      </c>
      <c r="O14" s="240">
        <f>'PS-A5'!O43-'PS-A5'!O72</f>
        <v>0</v>
      </c>
      <c r="P14" s="240">
        <f>'PS-A5'!P43-'PS-A5'!P72</f>
        <v>0</v>
      </c>
      <c r="Q14" s="243">
        <f>'PS-A5'!Q43-'PS-A5'!Q72</f>
        <v>0</v>
      </c>
    </row>
    <row r="15" spans="2:19" ht="16.5" customHeight="1">
      <c r="B15" s="605" t="s">
        <v>440</v>
      </c>
      <c r="C15" s="606"/>
      <c r="D15" s="239">
        <f>'PS-A5'!D44-'PS-A5'!D73</f>
        <v>6</v>
      </c>
      <c r="E15" s="240">
        <f>'PS-A5'!E44-'PS-A5'!E73</f>
        <v>16</v>
      </c>
      <c r="F15" s="240">
        <f>'PS-A5'!F44-'PS-A5'!F73</f>
        <v>-7</v>
      </c>
      <c r="G15" s="240">
        <f>'PS-A5'!G44-'PS-A5'!G73</f>
        <v>3</v>
      </c>
      <c r="H15" s="240">
        <f>'PS-A5'!H44-'PS-A5'!H73</f>
        <v>-3</v>
      </c>
      <c r="I15" s="240">
        <f>'PS-A5'!I44-'PS-A5'!I73</f>
        <v>-7</v>
      </c>
      <c r="J15" s="240">
        <f>'PS-A5'!J44-'PS-A5'!J73</f>
        <v>-10</v>
      </c>
      <c r="K15" s="241">
        <f>'PS-A5'!K44-'PS-A5'!K73</f>
        <v>-15</v>
      </c>
      <c r="L15" s="242">
        <f>'PS-A5'!L44-'PS-A5'!L73</f>
        <v>-19</v>
      </c>
      <c r="M15" s="240">
        <f>'PS-A5'!M44-'PS-A5'!M73</f>
        <v>-24</v>
      </c>
      <c r="N15" s="240">
        <f>'PS-A5'!N44-'PS-A5'!N73</f>
        <v>-29</v>
      </c>
      <c r="O15" s="240">
        <f>'PS-A5'!O44-'PS-A5'!O73</f>
        <v>-34</v>
      </c>
      <c r="P15" s="240">
        <f>'PS-A5'!P44-'PS-A5'!P73</f>
        <v>-40</v>
      </c>
      <c r="Q15" s="243">
        <f>'PS-A5'!Q44-'PS-A5'!Q73</f>
        <v>-46</v>
      </c>
    </row>
    <row r="16" spans="2:19" ht="16.5" customHeight="1">
      <c r="B16" s="605" t="s">
        <v>441</v>
      </c>
      <c r="C16" s="606"/>
      <c r="D16" s="239">
        <f>'PS-A5'!D45-'PS-A5'!D74</f>
        <v>10</v>
      </c>
      <c r="E16" s="240">
        <f>'PS-A5'!E45-'PS-A5'!E74</f>
        <v>20.75</v>
      </c>
      <c r="F16" s="240">
        <f>'PS-A5'!F45-'PS-A5'!F74</f>
        <v>15.224374999999995</v>
      </c>
      <c r="G16" s="240">
        <f>'PS-A5'!G45-'PS-A5'!G74</f>
        <v>-11.614000000000004</v>
      </c>
      <c r="H16" s="240">
        <f>'PS-A5'!H45-'PS-A5'!H74</f>
        <v>-23.793000000000006</v>
      </c>
      <c r="I16" s="240">
        <f>'PS-A5'!I45-'PS-A5'!I74</f>
        <v>0</v>
      </c>
      <c r="J16" s="240">
        <f>'PS-A5'!J45-'PS-A5'!J74</f>
        <v>20</v>
      </c>
      <c r="K16" s="241">
        <f>'PS-A5'!K45-'PS-A5'!K74</f>
        <v>25</v>
      </c>
      <c r="L16" s="242">
        <f>'PS-A5'!L45-'PS-A5'!L74</f>
        <v>25</v>
      </c>
      <c r="M16" s="240">
        <f>'PS-A5'!M45-'PS-A5'!M74</f>
        <v>25</v>
      </c>
      <c r="N16" s="240">
        <f>'PS-A5'!N45-'PS-A5'!N74</f>
        <v>25</v>
      </c>
      <c r="O16" s="240">
        <f>'PS-A5'!O45-'PS-A5'!O74</f>
        <v>25</v>
      </c>
      <c r="P16" s="240">
        <f>'PS-A5'!P45-'PS-A5'!P74</f>
        <v>25</v>
      </c>
      <c r="Q16" s="243">
        <f>'PS-A5'!Q45-'PS-A5'!Q74</f>
        <v>25</v>
      </c>
    </row>
    <row r="17" spans="2:17" ht="16.5" customHeight="1">
      <c r="B17" s="605" t="s">
        <v>442</v>
      </c>
      <c r="C17" s="606"/>
      <c r="D17" s="239">
        <f>'PS-A5'!D46-'PS-A5'!D75</f>
        <v>-208</v>
      </c>
      <c r="E17" s="240">
        <f>'PS-A5'!E46-'PS-A5'!E75</f>
        <v>-222</v>
      </c>
      <c r="F17" s="240">
        <f>'PS-A5'!F46-'PS-A5'!F75</f>
        <v>-188</v>
      </c>
      <c r="G17" s="240">
        <f>'PS-A5'!G46-'PS-A5'!G75</f>
        <v>-204</v>
      </c>
      <c r="H17" s="240">
        <f>'PS-A5'!H46-'PS-A5'!H75</f>
        <v>-221</v>
      </c>
      <c r="I17" s="240">
        <f>'PS-A5'!I46-'PS-A5'!I75</f>
        <v>-239</v>
      </c>
      <c r="J17" s="240">
        <f>'PS-A5'!J46-'PS-A5'!J75</f>
        <v>-257</v>
      </c>
      <c r="K17" s="241">
        <f>'PS-A5'!K46-'PS-A5'!K75</f>
        <v>-275</v>
      </c>
      <c r="L17" s="242">
        <f>'PS-A5'!L46-'PS-A5'!L75</f>
        <v>-295</v>
      </c>
      <c r="M17" s="240">
        <f>'PS-A5'!M46-'PS-A5'!M75</f>
        <v>-316</v>
      </c>
      <c r="N17" s="240">
        <f>'PS-A5'!N46-'PS-A5'!N75</f>
        <v>-338</v>
      </c>
      <c r="O17" s="240">
        <f>'PS-A5'!O46-'PS-A5'!O75</f>
        <v>-361</v>
      </c>
      <c r="P17" s="240">
        <f>'PS-A5'!P46-'PS-A5'!P75</f>
        <v>-386</v>
      </c>
      <c r="Q17" s="243">
        <f>'PS-A5'!Q46-'PS-A5'!Q75</f>
        <v>-412</v>
      </c>
    </row>
    <row r="18" spans="2:17" ht="16.5" customHeight="1">
      <c r="B18" s="607" t="s">
        <v>443</v>
      </c>
      <c r="C18" s="608"/>
      <c r="D18" s="239">
        <f>'PS-A5'!D47-'PS-A5'!D76</f>
        <v>-43.700000000000045</v>
      </c>
      <c r="E18" s="240">
        <f>'PS-A5'!E47-'PS-A5'!E76</f>
        <v>-45.600000000000023</v>
      </c>
      <c r="F18" s="240">
        <f>'PS-A5'!F47-'PS-A5'!F76</f>
        <v>-78.300000000000068</v>
      </c>
      <c r="G18" s="240">
        <f>'PS-A5'!G47-'PS-A5'!G76</f>
        <v>-29.899999999999977</v>
      </c>
      <c r="H18" s="240">
        <f>'PS-A5'!H47-'PS-A5'!H76</f>
        <v>-29.200000000000045</v>
      </c>
      <c r="I18" s="240">
        <f>'PS-A5'!I47-'PS-A5'!I76</f>
        <v>-18.100000000000023</v>
      </c>
      <c r="J18" s="240">
        <f>'PS-A5'!J47-'PS-A5'!J76</f>
        <v>-1.5</v>
      </c>
      <c r="K18" s="241">
        <f>'PS-A5'!K47-'PS-A5'!K76</f>
        <v>1.1000000000000227</v>
      </c>
      <c r="L18" s="242">
        <f>'PS-A5'!L47-'PS-A5'!L76</f>
        <v>9.1000000000000227</v>
      </c>
      <c r="M18" s="240">
        <f>'PS-A5'!M47-'PS-A5'!M76</f>
        <v>3</v>
      </c>
      <c r="N18" s="240">
        <f>'PS-A5'!N47-'PS-A5'!N76</f>
        <v>3</v>
      </c>
      <c r="O18" s="240">
        <f>'PS-A5'!O47-'PS-A5'!O76</f>
        <v>3</v>
      </c>
      <c r="P18" s="240">
        <f>'PS-A5'!P47-'PS-A5'!P76</f>
        <v>3</v>
      </c>
      <c r="Q18" s="243">
        <f>'PS-A5'!Q47-'PS-A5'!Q76</f>
        <v>3</v>
      </c>
    </row>
    <row r="19" spans="2:17" ht="17.25" customHeight="1">
      <c r="B19" s="674" t="s">
        <v>307</v>
      </c>
      <c r="C19" s="675"/>
      <c r="D19" s="244">
        <f t="shared" ref="D19:K19" si="0">SUM(D7:D18)</f>
        <v>241.05298250163736</v>
      </c>
      <c r="E19" s="245">
        <f t="shared" si="0"/>
        <v>377.80517338174218</v>
      </c>
      <c r="F19" s="245">
        <f t="shared" si="0"/>
        <v>293.98062513141019</v>
      </c>
      <c r="G19" s="245">
        <f t="shared" si="0"/>
        <v>304.96999999999991</v>
      </c>
      <c r="H19" s="245">
        <f t="shared" si="0"/>
        <v>341.7399999999999</v>
      </c>
      <c r="I19" s="245">
        <f t="shared" si="0"/>
        <v>258.42999999999995</v>
      </c>
      <c r="J19" s="245">
        <f t="shared" si="0"/>
        <v>462.01519440000004</v>
      </c>
      <c r="K19" s="246">
        <f t="shared" si="0"/>
        <v>364.85</v>
      </c>
      <c r="L19" s="247">
        <f t="shared" ref="L19:Q19" si="1">SUM(L7:L18)</f>
        <v>141.35000000000002</v>
      </c>
      <c r="M19" s="245">
        <f t="shared" si="1"/>
        <v>72.596400000000017</v>
      </c>
      <c r="N19" s="245">
        <f t="shared" si="1"/>
        <v>24.018882160000032</v>
      </c>
      <c r="O19" s="245">
        <f t="shared" si="1"/>
        <v>21.467177476680035</v>
      </c>
      <c r="P19" s="245">
        <f t="shared" si="1"/>
        <v>-18.05522131163616</v>
      </c>
      <c r="Q19" s="248">
        <f t="shared" si="1"/>
        <v>-79.395787190330452</v>
      </c>
    </row>
    <row r="20" spans="2:17" ht="17.25" customHeight="1">
      <c r="B20" s="672" t="s">
        <v>308</v>
      </c>
      <c r="C20" s="673"/>
      <c r="D20" s="244">
        <f>'PS-A5'!D49-'PS-A5'!D78</f>
        <v>-70</v>
      </c>
      <c r="E20" s="245">
        <f>'PS-A5'!E49-'PS-A5'!E78</f>
        <v>-70</v>
      </c>
      <c r="F20" s="245">
        <f>'PS-A5'!F49-'PS-A5'!F78</f>
        <v>-55</v>
      </c>
      <c r="G20" s="245">
        <f>'PS-A5'!G49-'PS-A5'!G78</f>
        <v>-55</v>
      </c>
      <c r="H20" s="245">
        <f>'PS-A5'!H49-'PS-A5'!H78</f>
        <v>-55</v>
      </c>
      <c r="I20" s="245">
        <f>'PS-A5'!I49-'PS-A5'!I78</f>
        <v>-68</v>
      </c>
      <c r="J20" s="245">
        <f>'PS-A5'!J49-'PS-A5'!J78</f>
        <v>-67</v>
      </c>
      <c r="K20" s="246">
        <f>'PS-A5'!K49-'PS-A5'!K78</f>
        <v>-68</v>
      </c>
      <c r="L20" s="247">
        <f>'PS-A5'!L49-'PS-A5'!L78</f>
        <v>-69</v>
      </c>
      <c r="M20" s="245">
        <f>'PS-A5'!M49-'PS-A5'!M78</f>
        <v>-70</v>
      </c>
      <c r="N20" s="245">
        <f>'PS-A5'!N49-'PS-A5'!N78</f>
        <v>-71</v>
      </c>
      <c r="O20" s="245">
        <f>'PS-A5'!O49-'PS-A5'!O78</f>
        <v>-72</v>
      </c>
      <c r="P20" s="245">
        <f>'PS-A5'!P49-'PS-A5'!P78</f>
        <v>-73</v>
      </c>
      <c r="Q20" s="248">
        <f>'PS-A5'!Q49-'PS-A5'!Q78</f>
        <v>-74</v>
      </c>
    </row>
    <row r="21" spans="2:17" ht="16.5" customHeight="1">
      <c r="B21" s="105"/>
      <c r="C21" s="97" t="s">
        <v>309</v>
      </c>
      <c r="D21" s="244">
        <f>'PS-A5'!D50-'PS-A5'!D79</f>
        <v>-70</v>
      </c>
      <c r="E21" s="245">
        <f>'PS-A5'!E50-'PS-A5'!E79</f>
        <v>-70</v>
      </c>
      <c r="F21" s="245">
        <f>'PS-A5'!F50-'PS-A5'!F79</f>
        <v>-55</v>
      </c>
      <c r="G21" s="245">
        <f>'PS-A5'!G50-'PS-A5'!G79</f>
        <v>-55</v>
      </c>
      <c r="H21" s="245">
        <f>'PS-A5'!H50-'PS-A5'!H79</f>
        <v>-55</v>
      </c>
      <c r="I21" s="245">
        <f>'PS-A5'!I50-'PS-A5'!I79</f>
        <v>-68</v>
      </c>
      <c r="J21" s="245">
        <f>'PS-A5'!J50-'PS-A5'!J79</f>
        <v>-67</v>
      </c>
      <c r="K21" s="246">
        <f>'PS-A5'!K50-'PS-A5'!K79</f>
        <v>-68</v>
      </c>
      <c r="L21" s="247">
        <f>'PS-A5'!L50-'PS-A5'!L79</f>
        <v>-69</v>
      </c>
      <c r="M21" s="245">
        <f>'PS-A5'!M50-'PS-A5'!M79</f>
        <v>-70</v>
      </c>
      <c r="N21" s="245">
        <f>'PS-A5'!N50-'PS-A5'!N79</f>
        <v>-71</v>
      </c>
      <c r="O21" s="245">
        <f>'PS-A5'!O50-'PS-A5'!O79</f>
        <v>-72</v>
      </c>
      <c r="P21" s="245">
        <f>'PS-A5'!P50-'PS-A5'!P79</f>
        <v>-73</v>
      </c>
      <c r="Q21" s="248">
        <f>'PS-A5'!Q50-'PS-A5'!Q79</f>
        <v>-74</v>
      </c>
    </row>
    <row r="22" spans="2:17" ht="17.25" customHeight="1">
      <c r="B22" s="672" t="s">
        <v>310</v>
      </c>
      <c r="C22" s="673"/>
      <c r="D22" s="239">
        <f>'PS-A5'!D51-'PS-A5'!D80</f>
        <v>366</v>
      </c>
      <c r="E22" s="240">
        <f>'PS-A5'!E51-'PS-A5'!E80</f>
        <v>340</v>
      </c>
      <c r="F22" s="240">
        <f>'PS-A5'!F51-'PS-A5'!F80</f>
        <v>321.40625</v>
      </c>
      <c r="G22" s="240">
        <f>'PS-A5'!G51-'PS-A5'!G80</f>
        <v>305.50191489361691</v>
      </c>
      <c r="H22" s="240">
        <f>'PS-A5'!H51-'PS-A5'!H80</f>
        <v>233.52812500000005</v>
      </c>
      <c r="I22" s="240">
        <f>'PS-A5'!I51-'PS-A5'!I80</f>
        <v>-357</v>
      </c>
      <c r="J22" s="240">
        <f>'PS-A5'!J51-'PS-A5'!J80</f>
        <v>-1400</v>
      </c>
      <c r="K22" s="241">
        <f>'PS-A5'!K51-'PS-A5'!K80</f>
        <v>-1379</v>
      </c>
      <c r="L22" s="242">
        <f>'PS-A5'!L51-'PS-A5'!L80</f>
        <v>-1386</v>
      </c>
      <c r="M22" s="240">
        <f>'PS-A5'!M51-'PS-A5'!M80</f>
        <v>-1358</v>
      </c>
      <c r="N22" s="240">
        <f>'PS-A5'!N51-'PS-A5'!N80</f>
        <v>-1367</v>
      </c>
      <c r="O22" s="240">
        <f>'PS-A5'!O51-'PS-A5'!O80</f>
        <v>-1360</v>
      </c>
      <c r="P22" s="240">
        <f>'PS-A5'!P51-'PS-A5'!P80</f>
        <v>-1356</v>
      </c>
      <c r="Q22" s="243">
        <f>'PS-A5'!Q51-'PS-A5'!Q80</f>
        <v>-1329</v>
      </c>
    </row>
    <row r="23" spans="2:17" ht="16.5" customHeight="1">
      <c r="B23" s="105"/>
      <c r="C23" s="615" t="s">
        <v>311</v>
      </c>
      <c r="D23" s="244">
        <f>'PS-A5'!D52-'PS-A5'!D81</f>
        <v>246</v>
      </c>
      <c r="E23" s="245">
        <f>'PS-A5'!E52-'PS-A5'!E81</f>
        <v>94.012073490813691</v>
      </c>
      <c r="F23" s="245">
        <f>'PS-A5'!F52-'PS-A5'!F81</f>
        <v>95.670866141732404</v>
      </c>
      <c r="G23" s="245">
        <f>'PS-A5'!G52-'PS-A5'!G81</f>
        <v>102.17929903268646</v>
      </c>
      <c r="H23" s="245">
        <f>'PS-A5'!H52-'PS-A5'!H81</f>
        <v>86.340157480314929</v>
      </c>
      <c r="I23" s="245">
        <f>'PS-A5'!I52-'PS-A5'!I81</f>
        <v>-138</v>
      </c>
      <c r="J23" s="245">
        <f>'PS-A5'!J52-'PS-A5'!J81</f>
        <v>-1172</v>
      </c>
      <c r="K23" s="246">
        <f>'PS-A5'!K52-'PS-A5'!K81</f>
        <v>-1145</v>
      </c>
      <c r="L23" s="247">
        <f>'PS-A5'!L52-'PS-A5'!L81</f>
        <v>-1151</v>
      </c>
      <c r="M23" s="245">
        <f>'PS-A5'!M52-'PS-A5'!M81</f>
        <v>-1125</v>
      </c>
      <c r="N23" s="245">
        <f>'PS-A5'!N52-'PS-A5'!N81</f>
        <v>-1133</v>
      </c>
      <c r="O23" s="245">
        <f>'PS-A5'!O52-'PS-A5'!O81</f>
        <v>-1123</v>
      </c>
      <c r="P23" s="245">
        <f>'PS-A5'!P52-'PS-A5'!P81</f>
        <v>-1111</v>
      </c>
      <c r="Q23" s="248">
        <f>'PS-A5'!Q52-'PS-A5'!Q81</f>
        <v>-1066</v>
      </c>
    </row>
    <row r="24" spans="2:17" ht="17.25" customHeight="1">
      <c r="B24" s="672" t="s">
        <v>312</v>
      </c>
      <c r="C24" s="673"/>
      <c r="D24" s="239">
        <f>'PS-A5'!D53-'PS-A5'!D82</f>
        <v>-249</v>
      </c>
      <c r="E24" s="240">
        <f>'PS-A5'!E53-'PS-A5'!E82</f>
        <v>-338</v>
      </c>
      <c r="F24" s="240">
        <f>'PS-A5'!F53-'PS-A5'!F82</f>
        <v>-375</v>
      </c>
      <c r="G24" s="240">
        <f>'PS-A5'!G53-'PS-A5'!G82</f>
        <v>-335</v>
      </c>
      <c r="H24" s="240">
        <f>'PS-A5'!H53-'PS-A5'!H82</f>
        <v>-276.245431</v>
      </c>
      <c r="I24" s="240">
        <f>'PS-A5'!I53-'PS-A5'!I82</f>
        <v>-222.66195599999998</v>
      </c>
      <c r="J24" s="240">
        <f>'PS-A5'!J53-'PS-A5'!J82</f>
        <v>-224.323916</v>
      </c>
      <c r="K24" s="241">
        <f>'PS-A5'!K53-'PS-A5'!K82</f>
        <v>-233.87629399999997</v>
      </c>
      <c r="L24" s="242">
        <f>'PS-A5'!L53-'PS-A5'!L82</f>
        <v>-232.22039199999995</v>
      </c>
      <c r="M24" s="240">
        <f>'PS-A5'!M53-'PS-A5'!M82</f>
        <v>-250.232122</v>
      </c>
      <c r="N24" s="240">
        <f>'PS-A5'!N53-'PS-A5'!N82</f>
        <v>-250</v>
      </c>
      <c r="O24" s="240">
        <f>'PS-A5'!O53-'PS-A5'!O82</f>
        <v>-250</v>
      </c>
      <c r="P24" s="240">
        <f>'PS-A5'!P53-'PS-A5'!P82</f>
        <v>-260</v>
      </c>
      <c r="Q24" s="243">
        <f>'PS-A5'!Q53-'PS-A5'!Q82</f>
        <v>-260</v>
      </c>
    </row>
    <row r="25" spans="2:17" ht="16.5" customHeight="1">
      <c r="B25" s="16"/>
      <c r="C25" s="615" t="s">
        <v>313</v>
      </c>
      <c r="D25" s="244">
        <f>'PS-A5'!D54-'PS-A5'!D83</f>
        <v>0</v>
      </c>
      <c r="E25" s="245">
        <f>'PS-A5'!E54-'PS-A5'!E83</f>
        <v>2</v>
      </c>
      <c r="F25" s="245">
        <f>'PS-A5'!F54-'PS-A5'!F83</f>
        <v>149</v>
      </c>
      <c r="G25" s="245">
        <f>'PS-A5'!G54-'PS-A5'!G83</f>
        <v>16</v>
      </c>
      <c r="H25" s="245">
        <f>'PS-A5'!H54-'PS-A5'!H83</f>
        <v>85</v>
      </c>
      <c r="I25" s="245">
        <f>'PS-A5'!I54-'PS-A5'!I83</f>
        <v>120</v>
      </c>
      <c r="J25" s="245">
        <f>'PS-A5'!J54-'PS-A5'!J83</f>
        <v>120</v>
      </c>
      <c r="K25" s="246">
        <f>'PS-A5'!K54-'PS-A5'!K83</f>
        <v>120.00000000000003</v>
      </c>
      <c r="L25" s="247">
        <f>'PS-A5'!L54-'PS-A5'!L83</f>
        <v>116.005223</v>
      </c>
      <c r="M25" s="245">
        <f>'PS-A5'!M54-'PS-A5'!M83</f>
        <v>111.56424899999999</v>
      </c>
      <c r="N25" s="245">
        <f>'PS-A5'!N54-'PS-A5'!N83</f>
        <v>105.10428300000001</v>
      </c>
      <c r="O25" s="245">
        <f>'PS-A5'!O54-'PS-A5'!O83</f>
        <v>105.10428300000001</v>
      </c>
      <c r="P25" s="245">
        <f>'PS-A5'!P54-'PS-A5'!P83</f>
        <v>105</v>
      </c>
      <c r="Q25" s="248">
        <f>'PS-A5'!Q54-'PS-A5'!Q83</f>
        <v>100</v>
      </c>
    </row>
    <row r="26" spans="2:17" ht="17.25" customHeight="1">
      <c r="B26" s="674" t="s">
        <v>314</v>
      </c>
      <c r="C26" s="675"/>
      <c r="D26" s="244">
        <f>'PS-A5'!D55-'PS-A5'!D84</f>
        <v>-191</v>
      </c>
      <c r="E26" s="245">
        <f>'PS-A5'!E55-'PS-A5'!E84</f>
        <v>-150</v>
      </c>
      <c r="F26" s="245">
        <f>'PS-A5'!F55-'PS-A5'!F84</f>
        <v>-160</v>
      </c>
      <c r="G26" s="245">
        <f>'PS-A5'!G55-'PS-A5'!G84</f>
        <v>-175</v>
      </c>
      <c r="H26" s="245">
        <f>'PS-A5'!H55-'PS-A5'!H84</f>
        <v>-179.958001</v>
      </c>
      <c r="I26" s="245">
        <f>'PS-A5'!I55-'PS-A5'!I84</f>
        <v>-43.51379</v>
      </c>
      <c r="J26" s="245">
        <f>'PS-A5'!J55-'PS-A5'!J84</f>
        <v>-49.533755000000014</v>
      </c>
      <c r="K26" s="246">
        <f>'PS-A5'!K55-'PS-A5'!K84</f>
        <v>-58.708456000000012</v>
      </c>
      <c r="L26" s="247">
        <f>'PS-A5'!L55-'PS-A5'!L84</f>
        <v>-57.277183000000008</v>
      </c>
      <c r="M26" s="245">
        <f>'PS-A5'!M55-'PS-A5'!M84</f>
        <v>-66.449441999999976</v>
      </c>
      <c r="N26" s="245">
        <f>'PS-A5'!N55-'PS-A5'!N84</f>
        <v>-76.499997000000008</v>
      </c>
      <c r="O26" s="245">
        <f>'PS-A5'!O55-'PS-A5'!O84</f>
        <v>-76.499997000000008</v>
      </c>
      <c r="P26" s="245">
        <f>'PS-A5'!P55-'PS-A5'!P84</f>
        <v>-85</v>
      </c>
      <c r="Q26" s="248">
        <f>'PS-A5'!Q55-'PS-A5'!Q84</f>
        <v>-105</v>
      </c>
    </row>
    <row r="27" spans="2:17" ht="17.25" customHeight="1">
      <c r="B27" s="674" t="s">
        <v>315</v>
      </c>
      <c r="C27" s="675"/>
      <c r="D27" s="244">
        <f>'PS-A5'!D56-'PS-A5'!D85</f>
        <v>-105</v>
      </c>
      <c r="E27" s="245">
        <f>'PS-A5'!E56-'PS-A5'!E85</f>
        <v>-231</v>
      </c>
      <c r="F27" s="245">
        <f>'PS-A5'!F56-'PS-A5'!F85</f>
        <v>-253.5</v>
      </c>
      <c r="G27" s="245">
        <f>'PS-A5'!G56-'PS-A5'!G85</f>
        <v>-187</v>
      </c>
      <c r="H27" s="245">
        <f>'PS-A5'!H56-'PS-A5'!H85</f>
        <v>-135.44499999999994</v>
      </c>
      <c r="I27" s="245">
        <f>'PS-A5'!I56-'PS-A5'!I85</f>
        <v>-106</v>
      </c>
      <c r="J27" s="245">
        <f>'PS-A5'!J56-'PS-A5'!J85</f>
        <v>-38.899999999999977</v>
      </c>
      <c r="K27" s="246">
        <f>'PS-A5'!K56-'PS-A5'!K85</f>
        <v>12.021359999999959</v>
      </c>
      <c r="L27" s="247">
        <f>'PS-A5'!L56-'PS-A5'!L85</f>
        <v>4</v>
      </c>
      <c r="M27" s="245">
        <f>'PS-A5'!M56-'PS-A5'!M85</f>
        <v>-4</v>
      </c>
      <c r="N27" s="245">
        <f>'PS-A5'!N56-'PS-A5'!N85</f>
        <v>-12</v>
      </c>
      <c r="O27" s="245">
        <f>'PS-A5'!O56-'PS-A5'!O85</f>
        <v>-20</v>
      </c>
      <c r="P27" s="245">
        <f>'PS-A5'!P56-'PS-A5'!P85</f>
        <v>-29</v>
      </c>
      <c r="Q27" s="248">
        <f>'PS-A5'!Q56-'PS-A5'!Q85</f>
        <v>-38</v>
      </c>
    </row>
    <row r="28" spans="2:17" ht="16.5" customHeight="1">
      <c r="B28" s="672" t="s">
        <v>316</v>
      </c>
      <c r="C28" s="673"/>
      <c r="D28" s="239">
        <f>'PS-A5'!D57-'PS-A5'!D86</f>
        <v>74</v>
      </c>
      <c r="E28" s="240">
        <f>'PS-A5'!E57-'PS-A5'!E86</f>
        <v>83</v>
      </c>
      <c r="F28" s="240">
        <f>'PS-A5'!F57-'PS-A5'!F86</f>
        <v>43</v>
      </c>
      <c r="G28" s="240">
        <f>'PS-A5'!G57-'PS-A5'!G86</f>
        <v>-31</v>
      </c>
      <c r="H28" s="240">
        <f>'PS-A5'!H57-'PS-A5'!H86</f>
        <v>-80</v>
      </c>
      <c r="I28" s="240">
        <f>'PS-A5'!I57-'PS-A5'!I86</f>
        <v>-14</v>
      </c>
      <c r="J28" s="240">
        <f>'PS-A5'!J57-'PS-A5'!J86</f>
        <v>-42</v>
      </c>
      <c r="K28" s="241">
        <f>'PS-A5'!K57-'PS-A5'!K86</f>
        <v>-95</v>
      </c>
      <c r="L28" s="242">
        <f>'PS-A5'!L57-'PS-A5'!L86</f>
        <v>-163</v>
      </c>
      <c r="M28" s="240">
        <f>'PS-A5'!M57-'PS-A5'!M86</f>
        <v>-225</v>
      </c>
      <c r="N28" s="240">
        <f>'PS-A5'!N57-'PS-A5'!N86</f>
        <v>-270</v>
      </c>
      <c r="O28" s="240">
        <f>'PS-A5'!O57-'PS-A5'!O86</f>
        <v>-314</v>
      </c>
      <c r="P28" s="240">
        <f>'PS-A5'!P57-'PS-A5'!P86</f>
        <v>-352</v>
      </c>
      <c r="Q28" s="243">
        <f>'PS-A5'!Q57-'PS-A5'!Q86</f>
        <v>-388</v>
      </c>
    </row>
    <row r="29" spans="2:17" ht="16.5" customHeight="1">
      <c r="B29" s="670" t="s">
        <v>317</v>
      </c>
      <c r="C29" s="671"/>
      <c r="D29" s="239">
        <f>'PS-A5'!D58-'PS-A5'!D87</f>
        <v>-126</v>
      </c>
      <c r="E29" s="240">
        <f>'PS-A5'!E58-'PS-A5'!E87</f>
        <v>-122</v>
      </c>
      <c r="F29" s="240">
        <f>'PS-A5'!F58-'PS-A5'!F87</f>
        <v>-121</v>
      </c>
      <c r="G29" s="240">
        <f>'PS-A5'!G58-'PS-A5'!G87</f>
        <v>-101</v>
      </c>
      <c r="H29" s="240">
        <f>'PS-A5'!H58-'PS-A5'!H87</f>
        <v>-88</v>
      </c>
      <c r="I29" s="240">
        <f>'PS-A5'!I58-'PS-A5'!I87</f>
        <v>-87</v>
      </c>
      <c r="J29" s="240">
        <f>'PS-A5'!J58-'PS-A5'!J87</f>
        <v>-113</v>
      </c>
      <c r="K29" s="241">
        <f>'PS-A5'!K58-'PS-A5'!K87</f>
        <v>-116</v>
      </c>
      <c r="L29" s="242">
        <f>'PS-A5'!L58-'PS-A5'!L87</f>
        <v>-118</v>
      </c>
      <c r="M29" s="240">
        <f>'PS-A5'!M58-'PS-A5'!M87</f>
        <v>-120</v>
      </c>
      <c r="N29" s="240">
        <f>'PS-A5'!N58-'PS-A5'!N87</f>
        <v>-122</v>
      </c>
      <c r="O29" s="240">
        <f>'PS-A5'!O58-'PS-A5'!O87</f>
        <v>-124</v>
      </c>
      <c r="P29" s="240">
        <f>'PS-A5'!P58-'PS-A5'!P87</f>
        <v>-126</v>
      </c>
      <c r="Q29" s="243">
        <f>'PS-A5'!Q58-'PS-A5'!Q87</f>
        <v>-128</v>
      </c>
    </row>
    <row r="30" spans="2:17" ht="17.25" customHeight="1">
      <c r="B30" s="674" t="s">
        <v>318</v>
      </c>
      <c r="C30" s="675"/>
      <c r="D30" s="244">
        <f t="shared" ref="D30:K30" si="2">SUM(D28:D29)</f>
        <v>-52</v>
      </c>
      <c r="E30" s="245">
        <f t="shared" si="2"/>
        <v>-39</v>
      </c>
      <c r="F30" s="245">
        <f t="shared" si="2"/>
        <v>-78</v>
      </c>
      <c r="G30" s="245">
        <f t="shared" si="2"/>
        <v>-132</v>
      </c>
      <c r="H30" s="245">
        <f t="shared" si="2"/>
        <v>-168</v>
      </c>
      <c r="I30" s="245">
        <f t="shared" si="2"/>
        <v>-101</v>
      </c>
      <c r="J30" s="245">
        <f t="shared" si="2"/>
        <v>-155</v>
      </c>
      <c r="K30" s="246">
        <f t="shared" si="2"/>
        <v>-211</v>
      </c>
      <c r="L30" s="247">
        <f t="shared" ref="L30:Q30" si="3">SUM(L28:L29)</f>
        <v>-281</v>
      </c>
      <c r="M30" s="245">
        <f t="shared" si="3"/>
        <v>-345</v>
      </c>
      <c r="N30" s="245">
        <f t="shared" si="3"/>
        <v>-392</v>
      </c>
      <c r="O30" s="245">
        <f t="shared" si="3"/>
        <v>-438</v>
      </c>
      <c r="P30" s="245">
        <f t="shared" si="3"/>
        <v>-478</v>
      </c>
      <c r="Q30" s="248">
        <f t="shared" si="3"/>
        <v>-516</v>
      </c>
    </row>
    <row r="31" spans="2:17" ht="16.5" customHeight="1">
      <c r="B31" s="672" t="s">
        <v>319</v>
      </c>
      <c r="C31" s="673"/>
      <c r="D31" s="239">
        <f>'PS-A5'!D60-'PS-A5'!D89</f>
        <v>-30</v>
      </c>
      <c r="E31" s="240">
        <f>'PS-A5'!E60-'PS-A5'!E89</f>
        <v>-30</v>
      </c>
      <c r="F31" s="240">
        <f>'PS-A5'!F60-'PS-A5'!F89</f>
        <v>-29</v>
      </c>
      <c r="G31" s="240">
        <f>'PS-A5'!G60-'PS-A5'!G89</f>
        <v>-30</v>
      </c>
      <c r="H31" s="240">
        <f>'PS-A5'!H60-'PS-A5'!H89</f>
        <v>-19</v>
      </c>
      <c r="I31" s="240">
        <f>'PS-A5'!I60-'PS-A5'!I89</f>
        <v>-31</v>
      </c>
      <c r="J31" s="240">
        <f>'PS-A5'!J60-'PS-A5'!J89</f>
        <v>-38</v>
      </c>
      <c r="K31" s="241">
        <f>'PS-A5'!K60-'PS-A5'!K89</f>
        <v>-45</v>
      </c>
      <c r="L31" s="242">
        <f>'PS-A5'!L60-'PS-A5'!L89</f>
        <v>-52</v>
      </c>
      <c r="M31" s="240">
        <f>'PS-A5'!M60-'PS-A5'!M89</f>
        <v>-61</v>
      </c>
      <c r="N31" s="240">
        <f>'PS-A5'!N60-'PS-A5'!N89</f>
        <v>-71</v>
      </c>
      <c r="O31" s="240">
        <f>'PS-A5'!O60-'PS-A5'!O89</f>
        <v>-81</v>
      </c>
      <c r="P31" s="240">
        <f>'PS-A5'!P60-'PS-A5'!P89</f>
        <v>-92</v>
      </c>
      <c r="Q31" s="243">
        <f>'PS-A5'!Q60-'PS-A5'!Q89</f>
        <v>-104</v>
      </c>
    </row>
    <row r="32" spans="2:17" ht="16.5" customHeight="1">
      <c r="B32" s="668" t="s">
        <v>320</v>
      </c>
      <c r="C32" s="669"/>
      <c r="D32" s="239">
        <f>'PS-A5'!D61-'PS-A5'!D90</f>
        <v>-8</v>
      </c>
      <c r="E32" s="240">
        <f>'PS-A5'!E61-'PS-A5'!E90</f>
        <v>-6</v>
      </c>
      <c r="F32" s="240">
        <f>'PS-A5'!F61-'PS-A5'!F90</f>
        <v>43</v>
      </c>
      <c r="G32" s="240">
        <f>'PS-A5'!G61-'PS-A5'!G90</f>
        <v>23</v>
      </c>
      <c r="H32" s="240">
        <f>'PS-A5'!H61-'PS-A5'!H90</f>
        <v>20</v>
      </c>
      <c r="I32" s="240">
        <f>'PS-A5'!I61-'PS-A5'!I90</f>
        <v>0</v>
      </c>
      <c r="J32" s="240">
        <f>'PS-A5'!J61-'PS-A5'!J90</f>
        <v>17</v>
      </c>
      <c r="K32" s="241">
        <f>'PS-A5'!K61-'PS-A5'!K90</f>
        <v>38</v>
      </c>
      <c r="L32" s="242">
        <f>'PS-A5'!L61-'PS-A5'!L90</f>
        <v>31</v>
      </c>
      <c r="M32" s="240">
        <f>'PS-A5'!M61-'PS-A5'!M90</f>
        <v>19</v>
      </c>
      <c r="N32" s="240">
        <f>'PS-A5'!N61-'PS-A5'!N90</f>
        <v>7</v>
      </c>
      <c r="O32" s="240">
        <f>'PS-A5'!O61-'PS-A5'!O90</f>
        <v>-5</v>
      </c>
      <c r="P32" s="240">
        <f>'PS-A5'!P61-'PS-A5'!P90</f>
        <v>-17</v>
      </c>
      <c r="Q32" s="243">
        <f>'PS-A5'!Q61-'PS-A5'!Q90</f>
        <v>-29</v>
      </c>
    </row>
    <row r="33" spans="2:17" ht="16.5" customHeight="1">
      <c r="B33" s="670" t="s">
        <v>321</v>
      </c>
      <c r="C33" s="671"/>
      <c r="D33" s="239">
        <f>'PS-A5'!D62-'PS-A5'!D91</f>
        <v>-135</v>
      </c>
      <c r="E33" s="240">
        <f>'PS-A5'!E62-'PS-A5'!E91</f>
        <v>-154</v>
      </c>
      <c r="F33" s="240">
        <f>'PS-A5'!F62-'PS-A5'!F91</f>
        <v>-167</v>
      </c>
      <c r="G33" s="240">
        <f>'PS-A5'!G62-'PS-A5'!G91</f>
        <v>-183</v>
      </c>
      <c r="H33" s="240">
        <f>'PS-A5'!H62-'PS-A5'!H91</f>
        <v>-188</v>
      </c>
      <c r="I33" s="240">
        <f>'PS-A5'!I62-'PS-A5'!I91</f>
        <v>-179</v>
      </c>
      <c r="J33" s="240">
        <f>'PS-A5'!J62-'PS-A5'!J91</f>
        <v>-177</v>
      </c>
      <c r="K33" s="241">
        <f>'PS-A5'!K62-'PS-A5'!K91</f>
        <v>-180</v>
      </c>
      <c r="L33" s="242">
        <f>'PS-A5'!L62-'PS-A5'!L91</f>
        <v>-184</v>
      </c>
      <c r="M33" s="240">
        <f>'PS-A5'!M62-'PS-A5'!M91</f>
        <v>-192</v>
      </c>
      <c r="N33" s="240">
        <f>'PS-A5'!N62-'PS-A5'!N91</f>
        <v>-202</v>
      </c>
      <c r="O33" s="240">
        <f>'PS-A5'!O62-'PS-A5'!O91</f>
        <v>-213</v>
      </c>
      <c r="P33" s="240">
        <f>'PS-A5'!P62-'PS-A5'!P91</f>
        <v>-224</v>
      </c>
      <c r="Q33" s="243">
        <f>'PS-A5'!Q62-'PS-A5'!Q91</f>
        <v>-236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-173</v>
      </c>
      <c r="E34" s="250">
        <f t="shared" si="4"/>
        <v>-190</v>
      </c>
      <c r="F34" s="250">
        <f t="shared" si="4"/>
        <v>-153</v>
      </c>
      <c r="G34" s="250">
        <f t="shared" si="4"/>
        <v>-190</v>
      </c>
      <c r="H34" s="250">
        <f t="shared" si="4"/>
        <v>-187</v>
      </c>
      <c r="I34" s="250">
        <f t="shared" si="4"/>
        <v>-210</v>
      </c>
      <c r="J34" s="250">
        <f t="shared" si="4"/>
        <v>-198</v>
      </c>
      <c r="K34" s="251">
        <f t="shared" si="4"/>
        <v>-187</v>
      </c>
      <c r="L34" s="252">
        <f t="shared" ref="L34:Q34" si="5">SUM(L31:L33)</f>
        <v>-205</v>
      </c>
      <c r="M34" s="250">
        <f t="shared" si="5"/>
        <v>-234</v>
      </c>
      <c r="N34" s="250">
        <f t="shared" si="5"/>
        <v>-266</v>
      </c>
      <c r="O34" s="250">
        <f t="shared" si="5"/>
        <v>-299</v>
      </c>
      <c r="P34" s="250">
        <f t="shared" si="5"/>
        <v>-333</v>
      </c>
      <c r="Q34" s="253">
        <f t="shared" si="5"/>
        <v>-369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-232.94701749836258</v>
      </c>
      <c r="E35" s="171">
        <f t="shared" ref="E35:Q35" si="6">SUM(E19+E20+E22+E24+E26+E27+E30+E34)</f>
        <v>-300.19482661825782</v>
      </c>
      <c r="F35" s="171">
        <f t="shared" si="6"/>
        <v>-459.11312486858981</v>
      </c>
      <c r="G35" s="171">
        <f t="shared" si="6"/>
        <v>-463.52808510638317</v>
      </c>
      <c r="H35" s="171">
        <f t="shared" si="6"/>
        <v>-426.38030700000002</v>
      </c>
      <c r="I35" s="171">
        <f t="shared" si="6"/>
        <v>-849.74574600000005</v>
      </c>
      <c r="J35" s="171">
        <f t="shared" si="6"/>
        <v>-1670.7424765999999</v>
      </c>
      <c r="K35" s="173">
        <f t="shared" si="6"/>
        <v>-1760.7133900000001</v>
      </c>
      <c r="L35" s="172">
        <f t="shared" si="6"/>
        <v>-2085.147575</v>
      </c>
      <c r="M35" s="171">
        <f t="shared" si="6"/>
        <v>-2255.0851640000001</v>
      </c>
      <c r="N35" s="171">
        <f t="shared" si="6"/>
        <v>-2410.4811148399999</v>
      </c>
      <c r="O35" s="171">
        <f t="shared" si="6"/>
        <v>-2494.0328195233201</v>
      </c>
      <c r="P35" s="171">
        <f t="shared" si="6"/>
        <v>-2632.0552213116362</v>
      </c>
      <c r="Q35" s="174">
        <f t="shared" si="6"/>
        <v>-2770.3957871903303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54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IF('PS-A5'!D7=0,"    -",ROUND('PS-A5'!D36/'PS-A5'!D7*100,1))</f>
        <v>79.5</v>
      </c>
      <c r="E43" s="58">
        <f>IF('PS-A5'!E7=0,"    -",ROUND('PS-A5'!E36/'PS-A5'!E7*100,1))</f>
        <v>81.2</v>
      </c>
      <c r="F43" s="58">
        <f>IF('PS-A5'!F7=0,"    -",ROUND('PS-A5'!F36/'PS-A5'!F7*100,1))</f>
        <v>82.4</v>
      </c>
      <c r="G43" s="58">
        <f>IF('PS-A5'!G7=0,"    -",ROUND('PS-A5'!G36/'PS-A5'!G7*100,1))</f>
        <v>82.5</v>
      </c>
      <c r="H43" s="58">
        <f>IF('PS-A5'!H7=0,"    -",ROUND('PS-A5'!H36/'PS-A5'!H7*100,1))</f>
        <v>80.5</v>
      </c>
      <c r="I43" s="58">
        <f>IF('PS-A5'!I7=0,"    -",ROUND('PS-A5'!I36/'PS-A5'!I7*100,1))</f>
        <v>80.7</v>
      </c>
      <c r="J43" s="58">
        <f>IF('PS-A5'!J7=0,"    -",ROUND('PS-A5'!J36/'PS-A5'!J7*100,1))</f>
        <v>85</v>
      </c>
      <c r="K43" s="59">
        <f>IF('PS-A5'!K7=0,"    -",ROUND('PS-A5'!K36/'PS-A5'!K7*100,1))</f>
        <v>84.8</v>
      </c>
      <c r="L43" s="60">
        <f>IF('PS-A5'!L7=0,"    -",ROUND('PS-A5'!L36/'PS-A5'!L7*100,1))</f>
        <v>86.1</v>
      </c>
      <c r="M43" s="58">
        <f>IF('PS-A5'!M7=0,"    -",ROUND('PS-A5'!M36/'PS-A5'!M7*100,1))</f>
        <v>86.1</v>
      </c>
      <c r="N43" s="58">
        <f>IF('PS-A5'!N7=0,"    -",ROUND('PS-A5'!N36/'PS-A5'!N7*100,1))</f>
        <v>86.1</v>
      </c>
      <c r="O43" s="58">
        <f>IF('PS-A5'!O7=0,"    -",ROUND('PS-A5'!O36/'PS-A5'!O7*100,1))</f>
        <v>87.7</v>
      </c>
      <c r="P43" s="58">
        <f>IF('PS-A5'!P7=0,"    -",ROUND('PS-A5'!P36/'PS-A5'!P7*100,1))</f>
        <v>87.7</v>
      </c>
      <c r="Q43" s="61">
        <f>IF('PS-A5'!Q7=0,"    -",ROUND('PS-A5'!Q36/'PS-A5'!Q7*100,1))</f>
        <v>87.7</v>
      </c>
    </row>
    <row r="44" spans="2:17" ht="16.5" customHeight="1">
      <c r="B44" s="605" t="s">
        <v>434</v>
      </c>
      <c r="C44" s="606"/>
      <c r="D44" s="57">
        <f>IF('PS-A5'!D8=0,"    -",ROUND('PS-A5'!D37/'PS-A5'!D8*100,1))</f>
        <v>58.8</v>
      </c>
      <c r="E44" s="58">
        <f>IF('PS-A5'!E8=0,"    -",ROUND('PS-A5'!E37/'PS-A5'!E8*100,1))</f>
        <v>66.599999999999994</v>
      </c>
      <c r="F44" s="58">
        <f>IF('PS-A5'!F8=0,"    -",ROUND('PS-A5'!F37/'PS-A5'!F8*100,1))</f>
        <v>64</v>
      </c>
      <c r="G44" s="58">
        <f>IF('PS-A5'!G8=0,"    -",ROUND('PS-A5'!G37/'PS-A5'!G8*100,1))</f>
        <v>63.2</v>
      </c>
      <c r="H44" s="58">
        <f>IF('PS-A5'!H8=0,"    -",ROUND('PS-A5'!H37/'PS-A5'!H8*100,1))</f>
        <v>59.2</v>
      </c>
      <c r="I44" s="58">
        <f>IF('PS-A5'!I8=0,"    -",ROUND('PS-A5'!I37/'PS-A5'!I8*100,1))</f>
        <v>60.8</v>
      </c>
      <c r="J44" s="58">
        <f>IF('PS-A5'!J8=0,"    -",ROUND('PS-A5'!J37/'PS-A5'!J8*100,1))</f>
        <v>59.4</v>
      </c>
      <c r="K44" s="59">
        <f>IF('PS-A5'!K8=0,"    -",ROUND('PS-A5'!K37/'PS-A5'!K8*100,1))</f>
        <v>57.1</v>
      </c>
      <c r="L44" s="60">
        <f>IF('PS-A5'!L8=0,"    -",ROUND('PS-A5'!L37/'PS-A5'!L8*100,1))</f>
        <v>57.3</v>
      </c>
      <c r="M44" s="58">
        <f>IF('PS-A5'!M8=0,"    -",ROUND('PS-A5'!M37/'PS-A5'!M8*100,1))</f>
        <v>57.3</v>
      </c>
      <c r="N44" s="58">
        <f>IF('PS-A5'!N8=0,"    -",ROUND('PS-A5'!N37/'PS-A5'!N8*100,1))</f>
        <v>58.8</v>
      </c>
      <c r="O44" s="58">
        <f>IF('PS-A5'!O8=0,"    -",ROUND('PS-A5'!O37/'PS-A5'!O8*100,1))</f>
        <v>58.8</v>
      </c>
      <c r="P44" s="58">
        <f>IF('PS-A5'!P8=0,"    -",ROUND('PS-A5'!P37/'PS-A5'!P8*100,1))</f>
        <v>61.1</v>
      </c>
      <c r="Q44" s="61">
        <f>IF('PS-A5'!Q8=0,"    -",ROUND('PS-A5'!Q37/'PS-A5'!Q8*100,1))</f>
        <v>61.1</v>
      </c>
    </row>
    <row r="45" spans="2:17" ht="16.5" customHeight="1">
      <c r="B45" s="605" t="s">
        <v>435</v>
      </c>
      <c r="C45" s="606"/>
      <c r="D45" s="57">
        <f>IF('PS-A5'!D9=0,"    -",ROUND('PS-A5'!D38/'PS-A5'!D9*100,1))</f>
        <v>95.2</v>
      </c>
      <c r="E45" s="58">
        <f>IF('PS-A5'!E9=0,"    -",ROUND('PS-A5'!E38/'PS-A5'!E9*100,1))</f>
        <v>93.2</v>
      </c>
      <c r="F45" s="58">
        <f>IF('PS-A5'!F9=0,"    -",ROUND('PS-A5'!F38/'PS-A5'!F9*100,1))</f>
        <v>95.2</v>
      </c>
      <c r="G45" s="58">
        <f>IF('PS-A5'!G9=0,"    -",ROUND('PS-A5'!G38/'PS-A5'!G9*100,1))</f>
        <v>92.6</v>
      </c>
      <c r="H45" s="58">
        <f>IF('PS-A5'!H9=0,"    -",ROUND('PS-A5'!H38/'PS-A5'!H9*100,1))</f>
        <v>95</v>
      </c>
      <c r="I45" s="58">
        <f>IF('PS-A5'!I9=0,"    -",ROUND('PS-A5'!I38/'PS-A5'!I9*100,1))</f>
        <v>81.599999999999994</v>
      </c>
      <c r="J45" s="58">
        <f>IF('PS-A5'!J9=0,"    -",ROUND('PS-A5'!J38/'PS-A5'!J9*100,1))</f>
        <v>95.2</v>
      </c>
      <c r="K45" s="59">
        <f>IF('PS-A5'!K9=0,"    -",ROUND('PS-A5'!K38/'PS-A5'!K9*100,1))</f>
        <v>94.1</v>
      </c>
      <c r="L45" s="60">
        <f>IF('PS-A5'!L9=0,"    -",ROUND('PS-A5'!L38/'PS-A5'!L9*100,1))</f>
        <v>95.2</v>
      </c>
      <c r="M45" s="58">
        <f>IF('PS-A5'!M9=0,"    -",ROUND('PS-A5'!M38/'PS-A5'!M9*100,1))</f>
        <v>95.2</v>
      </c>
      <c r="N45" s="58">
        <f>IF('PS-A5'!N9=0,"    -",ROUND('PS-A5'!N38/'PS-A5'!N9*100,1))</f>
        <v>95.2</v>
      </c>
      <c r="O45" s="58">
        <f>IF('PS-A5'!O9=0,"    -",ROUND('PS-A5'!O38/'PS-A5'!O9*100,1))</f>
        <v>95.2</v>
      </c>
      <c r="P45" s="58">
        <f>IF('PS-A5'!P9=0,"    -",ROUND('PS-A5'!P38/'PS-A5'!P9*100,1))</f>
        <v>95.2</v>
      </c>
      <c r="Q45" s="61">
        <f>IF('PS-A5'!Q9=0,"    -",ROUND('PS-A5'!Q38/'PS-A5'!Q9*100,1))</f>
        <v>95.2</v>
      </c>
    </row>
    <row r="46" spans="2:17" ht="16.5" customHeight="1">
      <c r="B46" s="605" t="s">
        <v>436</v>
      </c>
      <c r="C46" s="606"/>
      <c r="D46" s="57">
        <f>IF('PS-A5'!D10=0,"    -",ROUND('PS-A5'!D39/'PS-A5'!D10*100,1))</f>
        <v>83.9</v>
      </c>
      <c r="E46" s="58">
        <f>IF('PS-A5'!E10=0,"    -",ROUND('PS-A5'!E39/'PS-A5'!E10*100,1))</f>
        <v>78.2</v>
      </c>
      <c r="F46" s="58">
        <f>IF('PS-A5'!F10=0,"    -",ROUND('PS-A5'!F39/'PS-A5'!F10*100,1))</f>
        <v>72.2</v>
      </c>
      <c r="G46" s="58">
        <f>IF('PS-A5'!G10=0,"    -",ROUND('PS-A5'!G39/'PS-A5'!G10*100,1))</f>
        <v>77</v>
      </c>
      <c r="H46" s="58">
        <f>IF('PS-A5'!H10=0,"    -",ROUND('PS-A5'!H39/'PS-A5'!H10*100,1))</f>
        <v>73.599999999999994</v>
      </c>
      <c r="I46" s="58">
        <f>IF('PS-A5'!I10=0,"    -",ROUND('PS-A5'!I39/'PS-A5'!I10*100,1))</f>
        <v>68.400000000000006</v>
      </c>
      <c r="J46" s="58">
        <f>IF('PS-A5'!J10=0,"    -",ROUND('PS-A5'!J39/'PS-A5'!J10*100,1))</f>
        <v>67</v>
      </c>
      <c r="K46" s="59">
        <f>IF('PS-A5'!K10=0,"    -",ROUND('PS-A5'!K39/'PS-A5'!K10*100,1))</f>
        <v>70.5</v>
      </c>
      <c r="L46" s="60">
        <f>IF('PS-A5'!L10=0,"    -",ROUND('PS-A5'!L39/'PS-A5'!L10*100,1))</f>
        <v>68.5</v>
      </c>
      <c r="M46" s="58">
        <f>IF('PS-A5'!M10=0,"    -",ROUND('PS-A5'!M39/'PS-A5'!M10*100,1))</f>
        <v>68.7</v>
      </c>
      <c r="N46" s="58">
        <f>IF('PS-A5'!N10=0,"    -",ROUND('PS-A5'!N39/'PS-A5'!N10*100,1))</f>
        <v>63.9</v>
      </c>
      <c r="O46" s="58">
        <f>IF('PS-A5'!O10=0,"    -",ROUND('PS-A5'!O39/'PS-A5'!O10*100,1))</f>
        <v>65.900000000000006</v>
      </c>
      <c r="P46" s="58">
        <f>IF('PS-A5'!P10=0,"    -",ROUND('PS-A5'!P39/'PS-A5'!P10*100,1))</f>
        <v>67.099999999999994</v>
      </c>
      <c r="Q46" s="61">
        <f>IF('PS-A5'!Q10=0,"    -",ROUND('PS-A5'!Q39/'PS-A5'!Q10*100,1))</f>
        <v>67.900000000000006</v>
      </c>
    </row>
    <row r="47" spans="2:17" ht="16.5" customHeight="1">
      <c r="B47" s="605" t="s">
        <v>437</v>
      </c>
      <c r="C47" s="606"/>
      <c r="D47" s="57">
        <f>IF('PS-A5'!D11=0,"    -",ROUND('PS-A5'!D40/'PS-A5'!D11*100,1))</f>
        <v>64</v>
      </c>
      <c r="E47" s="58">
        <f>IF('PS-A5'!E11=0,"    -",ROUND('PS-A5'!E40/'PS-A5'!E11*100,1))</f>
        <v>81.400000000000006</v>
      </c>
      <c r="F47" s="58">
        <f>IF('PS-A5'!F11=0,"    -",ROUND('PS-A5'!F40/'PS-A5'!F11*100,1))</f>
        <v>89.4</v>
      </c>
      <c r="G47" s="58">
        <f>IF('PS-A5'!G11=0,"    -",ROUND('PS-A5'!G40/'PS-A5'!G11*100,1))</f>
        <v>90.1</v>
      </c>
      <c r="H47" s="58">
        <f>IF('PS-A5'!H11=0,"    -",ROUND('PS-A5'!H40/'PS-A5'!H11*100,1))</f>
        <v>91.6</v>
      </c>
      <c r="I47" s="58">
        <f>IF('PS-A5'!I11=0,"    -",ROUND('PS-A5'!I40/'PS-A5'!I11*100,1))</f>
        <v>83.7</v>
      </c>
      <c r="J47" s="58">
        <f>IF('PS-A5'!J11=0,"    -",ROUND('PS-A5'!J40/'PS-A5'!J11*100,1))</f>
        <v>86.4</v>
      </c>
      <c r="K47" s="59">
        <f>IF('PS-A5'!K11=0,"    -",ROUND('PS-A5'!K40/'PS-A5'!K11*100,1))</f>
        <v>90.6</v>
      </c>
      <c r="L47" s="60">
        <f>IF('PS-A5'!L11=0,"    -",ROUND('PS-A5'!L40/'PS-A5'!L11*100,1))</f>
        <v>90</v>
      </c>
      <c r="M47" s="58">
        <f>IF('PS-A5'!M11=0,"    -",ROUND('PS-A5'!M40/'PS-A5'!M11*100,1))</f>
        <v>90</v>
      </c>
      <c r="N47" s="58">
        <f>IF('PS-A5'!N11=0,"    -",ROUND('PS-A5'!N40/'PS-A5'!N11*100,1))</f>
        <v>90</v>
      </c>
      <c r="O47" s="58">
        <f>IF('PS-A5'!O11=0,"    -",ROUND('PS-A5'!O40/'PS-A5'!O11*100,1))</f>
        <v>90</v>
      </c>
      <c r="P47" s="58">
        <f>IF('PS-A5'!P11=0,"    -",ROUND('PS-A5'!P40/'PS-A5'!P11*100,1))</f>
        <v>90</v>
      </c>
      <c r="Q47" s="61">
        <f>IF('PS-A5'!Q11=0,"    -",ROUND('PS-A5'!Q40/'PS-A5'!Q11*100,1))</f>
        <v>90</v>
      </c>
    </row>
    <row r="48" spans="2:17" ht="16.5" customHeight="1">
      <c r="B48" s="605" t="s">
        <v>438</v>
      </c>
      <c r="C48" s="606"/>
      <c r="D48" s="57">
        <f>IF('PS-A5'!D12=0,"    -",ROUND('PS-A5'!D41/'PS-A5'!D12*100,1))</f>
        <v>67.099999999999994</v>
      </c>
      <c r="E48" s="58">
        <f>IF('PS-A5'!E12=0,"    -",ROUND('PS-A5'!E41/'PS-A5'!E12*100,1))</f>
        <v>67.099999999999994</v>
      </c>
      <c r="F48" s="58">
        <f>IF('PS-A5'!F12=0,"    -",ROUND('PS-A5'!F41/'PS-A5'!F12*100,1))</f>
        <v>67.099999999999994</v>
      </c>
      <c r="G48" s="58">
        <f>IF('PS-A5'!G12=0,"    -",ROUND('PS-A5'!G41/'PS-A5'!G12*100,1))</f>
        <v>67.099999999999994</v>
      </c>
      <c r="H48" s="58">
        <f>IF('PS-A5'!H12=0,"    -",ROUND('PS-A5'!H41/'PS-A5'!H12*100,1))</f>
        <v>67.099999999999994</v>
      </c>
      <c r="I48" s="58">
        <f>IF('PS-A5'!I12=0,"    -",ROUND('PS-A5'!I41/'PS-A5'!I12*100,1))</f>
        <v>67.099999999999994</v>
      </c>
      <c r="J48" s="58">
        <f>IF('PS-A5'!J12=0,"    -",ROUND('PS-A5'!J41/'PS-A5'!J12*100,1))</f>
        <v>67.099999999999994</v>
      </c>
      <c r="K48" s="59">
        <f>IF('PS-A5'!K12=0,"    -",ROUND('PS-A5'!K41/'PS-A5'!K12*100,1))</f>
        <v>67.099999999999994</v>
      </c>
      <c r="L48" s="60">
        <f>IF('PS-A5'!L12=0,"    -",ROUND('PS-A5'!L41/'PS-A5'!L12*100,1))</f>
        <v>67.099999999999994</v>
      </c>
      <c r="M48" s="58">
        <f>IF('PS-A5'!M12=0,"    -",ROUND('PS-A5'!M41/'PS-A5'!M12*100,1))</f>
        <v>67.099999999999994</v>
      </c>
      <c r="N48" s="58">
        <f>IF('PS-A5'!N12=0,"    -",ROUND('PS-A5'!N41/'PS-A5'!N12*100,1))</f>
        <v>67.099999999999994</v>
      </c>
      <c r="O48" s="58">
        <f>IF('PS-A5'!O12=0,"    -",ROUND('PS-A5'!O41/'PS-A5'!O12*100,1))</f>
        <v>67.099999999999994</v>
      </c>
      <c r="P48" s="58">
        <f>IF('PS-A5'!P12=0,"    -",ROUND('PS-A5'!P41/'PS-A5'!P12*100,1))</f>
        <v>67.400000000000006</v>
      </c>
      <c r="Q48" s="61">
        <f>IF('PS-A5'!Q12=0,"    -",ROUND('PS-A5'!Q41/'PS-A5'!Q12*100,1))</f>
        <v>67.400000000000006</v>
      </c>
    </row>
    <row r="49" spans="2:17" ht="16.5" customHeight="1">
      <c r="B49" s="605" t="s">
        <v>439</v>
      </c>
      <c r="C49" s="606"/>
      <c r="D49" s="57">
        <f>IF('PS-A5'!D13=0,"    -",ROUND('PS-A5'!D42/'PS-A5'!D13*100,1))</f>
        <v>57.5</v>
      </c>
      <c r="E49" s="58">
        <f>IF('PS-A5'!E13=0,"    -",ROUND('PS-A5'!E42/'PS-A5'!E13*100,1))</f>
        <v>57.5</v>
      </c>
      <c r="F49" s="58">
        <f>IF('PS-A5'!F13=0,"    -",ROUND('PS-A5'!F42/'PS-A5'!F13*100,1))</f>
        <v>60.8</v>
      </c>
      <c r="G49" s="58">
        <f>IF('PS-A5'!G13=0,"    -",ROUND('PS-A5'!G42/'PS-A5'!G13*100,1))</f>
        <v>68.099999999999994</v>
      </c>
      <c r="H49" s="58">
        <f>IF('PS-A5'!H13=0,"    -",ROUND('PS-A5'!H42/'PS-A5'!H13*100,1))</f>
        <v>68.099999999999994</v>
      </c>
      <c r="I49" s="58">
        <f>IF('PS-A5'!I13=0,"    -",ROUND('PS-A5'!I42/'PS-A5'!I13*100,1))</f>
        <v>68.099999999999994</v>
      </c>
      <c r="J49" s="58">
        <f>IF('PS-A5'!J13=0,"    -",ROUND('PS-A5'!J42/'PS-A5'!J13*100,1))</f>
        <v>67.8</v>
      </c>
      <c r="K49" s="59">
        <f>IF('PS-A5'!K13=0,"    -",ROUND('PS-A5'!K42/'PS-A5'!K13*100,1))</f>
        <v>73.5</v>
      </c>
      <c r="L49" s="60">
        <f>IF('PS-A5'!L13=0,"    -",ROUND('PS-A5'!L42/'PS-A5'!L13*100,1))</f>
        <v>73.5</v>
      </c>
      <c r="M49" s="58">
        <f>IF('PS-A5'!M13=0,"    -",ROUND('PS-A5'!M42/'PS-A5'!M13*100,1))</f>
        <v>73.5</v>
      </c>
      <c r="N49" s="58">
        <f>IF('PS-A5'!N13=0,"    -",ROUND('PS-A5'!N42/'PS-A5'!N13*100,1))</f>
        <v>73.5</v>
      </c>
      <c r="O49" s="58">
        <f>IF('PS-A5'!O13=0,"    -",ROUND('PS-A5'!O42/'PS-A5'!O13*100,1))</f>
        <v>73.5</v>
      </c>
      <c r="P49" s="58">
        <f>IF('PS-A5'!P13=0,"    -",ROUND('PS-A5'!P42/'PS-A5'!P13*100,1))</f>
        <v>73.5</v>
      </c>
      <c r="Q49" s="61">
        <f>IF('PS-A5'!Q13=0,"    -",ROUND('PS-A5'!Q42/'PS-A5'!Q13*100,1))</f>
        <v>73.5</v>
      </c>
    </row>
    <row r="50" spans="2:17" ht="18" hidden="1" customHeight="1">
      <c r="B50" s="16"/>
      <c r="C50" s="90" t="s">
        <v>306</v>
      </c>
      <c r="D50" s="57" t="str">
        <f>IF('PS-A5'!D14=0,"    -",ROUND('PS-A5'!D43/'PS-A5'!D14*100,1))</f>
        <v xml:space="preserve">    -</v>
      </c>
      <c r="E50" s="58" t="str">
        <f>IF('PS-A5'!E14=0,"    -",ROUND('PS-A5'!E43/'PS-A5'!E14*100,1))</f>
        <v xml:space="preserve">    -</v>
      </c>
      <c r="F50" s="58" t="str">
        <f>IF('PS-A5'!F14=0,"    -",ROUND('PS-A5'!F43/'PS-A5'!F14*100,1))</f>
        <v xml:space="preserve">    -</v>
      </c>
      <c r="G50" s="58" t="str">
        <f>IF('PS-A5'!G14=0,"    -",ROUND('PS-A5'!G43/'PS-A5'!G14*100,1))</f>
        <v xml:space="preserve">    -</v>
      </c>
      <c r="H50" s="58" t="str">
        <f>IF('PS-A5'!H14=0,"    -",ROUND('PS-A5'!H43/'PS-A5'!H14*100,1))</f>
        <v xml:space="preserve">    -</v>
      </c>
      <c r="I50" s="58" t="str">
        <f>IF('PS-A5'!I14=0,"    -",ROUND('PS-A5'!I43/'PS-A5'!I14*100,1))</f>
        <v xml:space="preserve">    -</v>
      </c>
      <c r="J50" s="58" t="str">
        <f>IF('PS-A5'!J14=0,"    -",ROUND('PS-A5'!J43/'PS-A5'!J14*100,1))</f>
        <v xml:space="preserve">    -</v>
      </c>
      <c r="K50" s="59" t="str">
        <f>IF('PS-A5'!K14=0,"    -",ROUND('PS-A5'!K43/'PS-A5'!K14*100,1))</f>
        <v xml:space="preserve">    -</v>
      </c>
      <c r="L50" s="60" t="str">
        <f>IF('PS-A5'!L14=0,"    -",ROUND('PS-A5'!L43/'PS-A5'!L14*100,1))</f>
        <v xml:space="preserve">    -</v>
      </c>
      <c r="M50" s="58" t="str">
        <f>IF('PS-A5'!M14=0,"    -",ROUND('PS-A5'!M43/'PS-A5'!M14*100,1))</f>
        <v xml:space="preserve">    -</v>
      </c>
      <c r="N50" s="58" t="str">
        <f>IF('PS-A5'!N14=0,"    -",ROUND('PS-A5'!N43/'PS-A5'!N14*100,1))</f>
        <v xml:space="preserve">    -</v>
      </c>
      <c r="O50" s="58" t="str">
        <f>IF('PS-A5'!O14=0,"    -",ROUND('PS-A5'!O43/'PS-A5'!O14*100,1))</f>
        <v xml:space="preserve">    -</v>
      </c>
      <c r="P50" s="58" t="str">
        <f>IF('PS-A5'!P14=0,"    -",ROUND('PS-A5'!P43/'PS-A5'!P14*100,1))</f>
        <v xml:space="preserve">    -</v>
      </c>
      <c r="Q50" s="61" t="str">
        <f>IF('PS-A5'!Q14=0,"    -",ROUND('PS-A5'!Q43/'PS-A5'!Q14*100,1))</f>
        <v xml:space="preserve">    -</v>
      </c>
    </row>
    <row r="51" spans="2:17" ht="16.5" customHeight="1">
      <c r="B51" s="605" t="s">
        <v>440</v>
      </c>
      <c r="C51" s="606"/>
      <c r="D51" s="57">
        <f>IF('PS-A5'!D15=0,"    -",ROUND('PS-A5'!D44/'PS-A5'!D15*100,1))</f>
        <v>80.599999999999994</v>
      </c>
      <c r="E51" s="58">
        <f>IF('PS-A5'!E15=0,"    -",ROUND('PS-A5'!E44/'PS-A5'!E15*100,1))</f>
        <v>80.599999999999994</v>
      </c>
      <c r="F51" s="58">
        <f>IF('PS-A5'!F15=0,"    -",ROUND('PS-A5'!F44/'PS-A5'!F15*100,1))</f>
        <v>80.599999999999994</v>
      </c>
      <c r="G51" s="58">
        <f>IF('PS-A5'!G15=0,"    -",ROUND('PS-A5'!G44/'PS-A5'!G15*100,1))</f>
        <v>80.599999999999994</v>
      </c>
      <c r="H51" s="58">
        <f>IF('PS-A5'!H15=0,"    -",ROUND('PS-A5'!H44/'PS-A5'!H15*100,1))</f>
        <v>80.599999999999994</v>
      </c>
      <c r="I51" s="58">
        <f>IF('PS-A5'!I15=0,"    -",ROUND('PS-A5'!I44/'PS-A5'!I15*100,1))</f>
        <v>80.599999999999994</v>
      </c>
      <c r="J51" s="58">
        <f>IF('PS-A5'!J15=0,"    -",ROUND('PS-A5'!J44/'PS-A5'!J15*100,1))</f>
        <v>80.599999999999994</v>
      </c>
      <c r="K51" s="59">
        <f>IF('PS-A5'!K15=0,"    -",ROUND('PS-A5'!K44/'PS-A5'!K15*100,1))</f>
        <v>80.599999999999994</v>
      </c>
      <c r="L51" s="60">
        <f>IF('PS-A5'!L15=0,"    -",ROUND('PS-A5'!L44/'PS-A5'!L15*100,1))</f>
        <v>80.599999999999994</v>
      </c>
      <c r="M51" s="58">
        <f>IF('PS-A5'!M15=0,"    -",ROUND('PS-A5'!M44/'PS-A5'!M15*100,1))</f>
        <v>80.599999999999994</v>
      </c>
      <c r="N51" s="58">
        <f>IF('PS-A5'!N15=0,"    -",ROUND('PS-A5'!N44/'PS-A5'!N15*100,1))</f>
        <v>80.599999999999994</v>
      </c>
      <c r="O51" s="58">
        <f>IF('PS-A5'!O15=0,"    -",ROUND('PS-A5'!O44/'PS-A5'!O15*100,1))</f>
        <v>80.599999999999994</v>
      </c>
      <c r="P51" s="58">
        <f>IF('PS-A5'!P15=0,"    -",ROUND('PS-A5'!P44/'PS-A5'!P15*100,1))</f>
        <v>80.599999999999994</v>
      </c>
      <c r="Q51" s="61">
        <f>IF('PS-A5'!Q15=0,"    -",ROUND('PS-A5'!Q44/'PS-A5'!Q15*100,1))</f>
        <v>80.599999999999994</v>
      </c>
    </row>
    <row r="52" spans="2:17" ht="16.5" customHeight="1">
      <c r="B52" s="605" t="s">
        <v>441</v>
      </c>
      <c r="C52" s="606"/>
      <c r="D52" s="57">
        <f>IF('PS-A5'!D16=0,"    -",ROUND('PS-A5'!D45/'PS-A5'!D16*100,1))</f>
        <v>78.599999999999994</v>
      </c>
      <c r="E52" s="58">
        <f>IF('PS-A5'!E16=0,"    -",ROUND('PS-A5'!E45/'PS-A5'!E16*100,1))</f>
        <v>90</v>
      </c>
      <c r="F52" s="58">
        <f>IF('PS-A5'!F16=0,"    -",ROUND('PS-A5'!F45/'PS-A5'!F16*100,1))</f>
        <v>90</v>
      </c>
      <c r="G52" s="58">
        <f>IF('PS-A5'!G16=0,"    -",ROUND('PS-A5'!G45/'PS-A5'!G16*100,1))</f>
        <v>63.1</v>
      </c>
      <c r="H52" s="58">
        <f>IF('PS-A5'!H16=0,"    -",ROUND('PS-A5'!H45/'PS-A5'!H16*100,1))</f>
        <v>57.1</v>
      </c>
      <c r="I52" s="58">
        <f>IF('PS-A5'!I16=0,"    -",ROUND('PS-A5'!I45/'PS-A5'!I16*100,1))</f>
        <v>57.1</v>
      </c>
      <c r="J52" s="58">
        <f>IF('PS-A5'!J16=0,"    -",ROUND('PS-A5'!J45/'PS-A5'!J16*100,1))</f>
        <v>71.400000000000006</v>
      </c>
      <c r="K52" s="59">
        <f>IF('PS-A5'!K16=0,"    -",ROUND('PS-A5'!K45/'PS-A5'!K16*100,1))</f>
        <v>64.3</v>
      </c>
      <c r="L52" s="60">
        <f>IF('PS-A5'!L16=0,"    -",ROUND('PS-A5'!L45/'PS-A5'!L16*100,1))</f>
        <v>64.3</v>
      </c>
      <c r="M52" s="58">
        <f>IF('PS-A5'!M16=0,"    -",ROUND('PS-A5'!M45/'PS-A5'!M16*100,1))</f>
        <v>64.3</v>
      </c>
      <c r="N52" s="58">
        <f>IF('PS-A5'!N16=0,"    -",ROUND('PS-A5'!N45/'PS-A5'!N16*100,1))</f>
        <v>64.3</v>
      </c>
      <c r="O52" s="58">
        <f>IF('PS-A5'!O16=0,"    -",ROUND('PS-A5'!O45/'PS-A5'!O16*100,1))</f>
        <v>64.3</v>
      </c>
      <c r="P52" s="58">
        <f>IF('PS-A5'!P16=0,"    -",ROUND('PS-A5'!P45/'PS-A5'!P16*100,1))</f>
        <v>64.3</v>
      </c>
      <c r="Q52" s="61">
        <f>IF('PS-A5'!Q16=0,"    -",ROUND('PS-A5'!Q45/'PS-A5'!Q16*100,1))</f>
        <v>64.3</v>
      </c>
    </row>
    <row r="53" spans="2:17" ht="16.5" customHeight="1">
      <c r="B53" s="605" t="s">
        <v>442</v>
      </c>
      <c r="C53" s="606"/>
      <c r="D53" s="57" t="str">
        <f>IF('PS-A5'!D17=0,"    -",ROUND('PS-A5'!D46/'PS-A5'!D17*100,1))</f>
        <v xml:space="preserve">    -</v>
      </c>
      <c r="E53" s="58" t="str">
        <f>IF('PS-A5'!E17=0,"    -",ROUND('PS-A5'!E46/'PS-A5'!E17*100,1))</f>
        <v xml:space="preserve">    -</v>
      </c>
      <c r="F53" s="58">
        <f>IF('PS-A5'!F17=0,"    -",ROUND('PS-A5'!F46/'PS-A5'!F17*100,1))</f>
        <v>100</v>
      </c>
      <c r="G53" s="58">
        <f>IF('PS-A5'!G17=0,"    -",ROUND('PS-A5'!G46/'PS-A5'!G17*100,1))</f>
        <v>100</v>
      </c>
      <c r="H53" s="58">
        <f>IF('PS-A5'!H17=0,"    -",ROUND('PS-A5'!H46/'PS-A5'!H17*100,1))</f>
        <v>100</v>
      </c>
      <c r="I53" s="58">
        <f>IF('PS-A5'!I17=0,"    -",ROUND('PS-A5'!I46/'PS-A5'!I17*100,1))</f>
        <v>100</v>
      </c>
      <c r="J53" s="58">
        <f>IF('PS-A5'!J17=0,"    -",ROUND('PS-A5'!J46/'PS-A5'!J17*100,1))</f>
        <v>100</v>
      </c>
      <c r="K53" s="59">
        <f>IF('PS-A5'!K17=0,"    -",ROUND('PS-A5'!K46/'PS-A5'!K17*100,1))</f>
        <v>100</v>
      </c>
      <c r="L53" s="60">
        <f>IF('PS-A5'!L17=0,"    -",ROUND('PS-A5'!L46/'PS-A5'!L17*100,1))</f>
        <v>100</v>
      </c>
      <c r="M53" s="58">
        <f>IF('PS-A5'!M17=0,"    -",ROUND('PS-A5'!M46/'PS-A5'!M17*100,1))</f>
        <v>100</v>
      </c>
      <c r="N53" s="58">
        <f>IF('PS-A5'!N17=0,"    -",ROUND('PS-A5'!N46/'PS-A5'!N17*100,1))</f>
        <v>100</v>
      </c>
      <c r="O53" s="58">
        <f>IF('PS-A5'!O17=0,"    -",ROUND('PS-A5'!O46/'PS-A5'!O17*100,1))</f>
        <v>100</v>
      </c>
      <c r="P53" s="58">
        <f>IF('PS-A5'!P17=0,"    -",ROUND('PS-A5'!P46/'PS-A5'!P17*100,1))</f>
        <v>100</v>
      </c>
      <c r="Q53" s="61">
        <f>IF('PS-A5'!Q17=0,"    -",ROUND('PS-A5'!Q46/'PS-A5'!Q17*100,1))</f>
        <v>100</v>
      </c>
    </row>
    <row r="54" spans="2:17" ht="16.5" customHeight="1">
      <c r="B54" s="607" t="s">
        <v>443</v>
      </c>
      <c r="C54" s="608"/>
      <c r="D54" s="57">
        <f>IF('PS-A5'!D18=0,"    -",ROUND('PS-A5'!D47/'PS-A5'!D18*100,1))</f>
        <v>77.599999999999994</v>
      </c>
      <c r="E54" s="58">
        <f>IF('PS-A5'!E18=0,"    -",ROUND('PS-A5'!E47/'PS-A5'!E18*100,1))</f>
        <v>78.3</v>
      </c>
      <c r="F54" s="58">
        <f>IF('PS-A5'!F18=0,"    -",ROUND('PS-A5'!F47/'PS-A5'!F18*100,1))</f>
        <v>73.599999999999994</v>
      </c>
      <c r="G54" s="58">
        <f>IF('PS-A5'!G18=0,"    -",ROUND('PS-A5'!G47/'PS-A5'!G18*100,1))</f>
        <v>80.400000000000006</v>
      </c>
      <c r="H54" s="58">
        <f>IF('PS-A5'!H18=0,"    -",ROUND('PS-A5'!H47/'PS-A5'!H18*100,1))</f>
        <v>80</v>
      </c>
      <c r="I54" s="58">
        <f>IF('PS-A5'!I18=0,"    -",ROUND('PS-A5'!I47/'PS-A5'!I18*100,1))</f>
        <v>82.7</v>
      </c>
      <c r="J54" s="58">
        <f>IF('PS-A5'!J18=0,"    -",ROUND('PS-A5'!J47/'PS-A5'!J18*100,1))</f>
        <v>84.3</v>
      </c>
      <c r="K54" s="59">
        <f>IF('PS-A5'!K18=0,"    -",ROUND('PS-A5'!K47/'PS-A5'!K18*100,1))</f>
        <v>82.8</v>
      </c>
      <c r="L54" s="60">
        <f>IF('PS-A5'!L18=0,"    -",ROUND('PS-A5'!L47/'PS-A5'!L18*100,1))</f>
        <v>81.099999999999994</v>
      </c>
      <c r="M54" s="58">
        <f>IF('PS-A5'!M18=0,"    -",ROUND('PS-A5'!M47/'PS-A5'!M18*100,1))</f>
        <v>81.599999999999994</v>
      </c>
      <c r="N54" s="58">
        <f>IF('PS-A5'!N18=0,"    -",ROUND('PS-A5'!N47/'PS-A5'!N18*100,1))</f>
        <v>81.599999999999994</v>
      </c>
      <c r="O54" s="58">
        <f>IF('PS-A5'!O18=0,"    -",ROUND('PS-A5'!O47/'PS-A5'!O18*100,1))</f>
        <v>81.5</v>
      </c>
      <c r="P54" s="58">
        <f>IF('PS-A5'!P18=0,"    -",ROUND('PS-A5'!P47/'PS-A5'!P18*100,1))</f>
        <v>81.400000000000006</v>
      </c>
      <c r="Q54" s="61">
        <f>IF('PS-A5'!Q18=0,"    -",ROUND('PS-A5'!Q47/'PS-A5'!Q18*100,1))</f>
        <v>81.2</v>
      </c>
    </row>
    <row r="55" spans="2:17" ht="17.25" customHeight="1">
      <c r="B55" s="674" t="s">
        <v>307</v>
      </c>
      <c r="C55" s="675"/>
      <c r="D55" s="74">
        <f>IF('PS-A5'!D19=0,"    -",ROUND('PS-A5'!D48/'PS-A5'!D19*100,1))</f>
        <v>74.7</v>
      </c>
      <c r="E55" s="75">
        <f>IF('PS-A5'!E19=0,"    -",ROUND('PS-A5'!E48/'PS-A5'!E19*100,1))</f>
        <v>76.2</v>
      </c>
      <c r="F55" s="75">
        <f>IF('PS-A5'!F19=0,"    -",ROUND('PS-A5'!F48/'PS-A5'!F19*100,1))</f>
        <v>74.2</v>
      </c>
      <c r="G55" s="75">
        <f>IF('PS-A5'!G19=0,"    -",ROUND('PS-A5'!G48/'PS-A5'!G19*100,1))</f>
        <v>76.5</v>
      </c>
      <c r="H55" s="75">
        <f>IF('PS-A5'!H19=0,"    -",ROUND('PS-A5'!H48/'PS-A5'!H19*100,1))</f>
        <v>74.2</v>
      </c>
      <c r="I55" s="75">
        <f>IF('PS-A5'!I19=0,"    -",ROUND('PS-A5'!I48/'PS-A5'!I19*100,1))</f>
        <v>71.8</v>
      </c>
      <c r="J55" s="75">
        <f>IF('PS-A5'!J19=0,"    -",ROUND('PS-A5'!J48/'PS-A5'!J19*100,1))</f>
        <v>72.5</v>
      </c>
      <c r="K55" s="76">
        <f>IF('PS-A5'!K19=0,"    -",ROUND('PS-A5'!K48/'PS-A5'!K19*100,1))</f>
        <v>73.8</v>
      </c>
      <c r="L55" s="77">
        <f>IF('PS-A5'!L19=0,"    -",ROUND('PS-A5'!L48/'PS-A5'!L19*100,1))</f>
        <v>73</v>
      </c>
      <c r="M55" s="75">
        <f>IF('PS-A5'!M19=0,"    -",ROUND('PS-A5'!M48/'PS-A5'!M19*100,1))</f>
        <v>73.099999999999994</v>
      </c>
      <c r="N55" s="75">
        <f>IF('PS-A5'!N19=0,"    -",ROUND('PS-A5'!N48/'PS-A5'!N19*100,1))</f>
        <v>71</v>
      </c>
      <c r="O55" s="75">
        <f>IF('PS-A5'!O19=0,"    -",ROUND('PS-A5'!O48/'PS-A5'!O19*100,1))</f>
        <v>72.099999999999994</v>
      </c>
      <c r="P55" s="75">
        <f>IF('PS-A5'!P19=0,"    -",ROUND('PS-A5'!P48/'PS-A5'!P19*100,1))</f>
        <v>73</v>
      </c>
      <c r="Q55" s="78">
        <f>IF('PS-A5'!Q19=0,"    -",ROUND('PS-A5'!Q48/'PS-A5'!Q19*100,1))</f>
        <v>73.3</v>
      </c>
    </row>
    <row r="56" spans="2:17" ht="17.25" customHeight="1">
      <c r="B56" s="672" t="s">
        <v>308</v>
      </c>
      <c r="C56" s="673"/>
      <c r="D56" s="135">
        <f>IF('PS-A5'!D20=0,"    -",ROUND('PS-A5'!D49/'PS-A5'!D20*100,1))</f>
        <v>0</v>
      </c>
      <c r="E56" s="136">
        <f>IF('PS-A5'!E20=0,"    -",ROUND('PS-A5'!E49/'PS-A5'!E20*100,1))</f>
        <v>0</v>
      </c>
      <c r="F56" s="136" t="str">
        <f>IF('PS-A5'!F20=0,"    -",ROUND('PS-A5'!F49/'PS-A5'!F20*100,1))</f>
        <v xml:space="preserve">    -</v>
      </c>
      <c r="G56" s="136" t="str">
        <f>IF('PS-A5'!G20=0,"    -",ROUND('PS-A5'!G49/'PS-A5'!G20*100,1))</f>
        <v xml:space="preserve">    -</v>
      </c>
      <c r="H56" s="136" t="str">
        <f>IF('PS-A5'!H20=0,"    -",ROUND('PS-A5'!H49/'PS-A5'!H20*100,1))</f>
        <v xml:space="preserve">    -</v>
      </c>
      <c r="I56" s="136" t="str">
        <f>IF('PS-A5'!I20=0,"    -",ROUND('PS-A5'!I49/'PS-A5'!I20*100,1))</f>
        <v xml:space="preserve">    -</v>
      </c>
      <c r="J56" s="136" t="str">
        <f>IF('PS-A5'!J20=0,"    -",ROUND('PS-A5'!J49/'PS-A5'!J20*100,1))</f>
        <v xml:space="preserve">    -</v>
      </c>
      <c r="K56" s="137" t="str">
        <f>IF('PS-A5'!K20=0,"    -",ROUND('PS-A5'!K49/'PS-A5'!K20*100,1))</f>
        <v xml:space="preserve">    -</v>
      </c>
      <c r="L56" s="135" t="str">
        <f>IF('PS-A5'!L20=0,"    -",ROUND('PS-A5'!L49/'PS-A5'!L20*100,1))</f>
        <v xml:space="preserve">    -</v>
      </c>
      <c r="M56" s="136" t="str">
        <f>IF('PS-A5'!M20=0,"    -",ROUND('PS-A5'!M49/'PS-A5'!M20*100,1))</f>
        <v xml:space="preserve">    -</v>
      </c>
      <c r="N56" s="136" t="str">
        <f>IF('PS-A5'!N20=0,"    -",ROUND('PS-A5'!N49/'PS-A5'!N20*100,1))</f>
        <v xml:space="preserve">    -</v>
      </c>
      <c r="O56" s="136" t="str">
        <f>IF('PS-A5'!O20=0,"    -",ROUND('PS-A5'!O49/'PS-A5'!O20*100,1))</f>
        <v xml:space="preserve">    -</v>
      </c>
      <c r="P56" s="136" t="str">
        <f>IF('PS-A5'!P20=0,"    -",ROUND('PS-A5'!P49/'PS-A5'!P20*100,1))</f>
        <v xml:space="preserve">    -</v>
      </c>
      <c r="Q56" s="137" t="str">
        <f>IF('PS-A5'!Q20=0,"    -",ROUND('PS-A5'!Q49/'PS-A5'!Q20*100,1))</f>
        <v xml:space="preserve">    -</v>
      </c>
    </row>
    <row r="57" spans="2:17" ht="16.5" customHeight="1">
      <c r="B57" s="105"/>
      <c r="C57" s="97" t="s">
        <v>309</v>
      </c>
      <c r="D57" s="135">
        <f>IF('PS-A5'!D21=0,"    -",ROUND('PS-A5'!D50/'PS-A5'!D21*100,1))</f>
        <v>0</v>
      </c>
      <c r="E57" s="136">
        <f>IF('PS-A5'!E21=0,"    -",ROUND('PS-A5'!E50/'PS-A5'!E21*100,1))</f>
        <v>0</v>
      </c>
      <c r="F57" s="136" t="str">
        <f>IF('PS-A5'!F21=0,"    -",ROUND('PS-A5'!F50/'PS-A5'!F21*100,1))</f>
        <v xml:space="preserve">    -</v>
      </c>
      <c r="G57" s="136" t="str">
        <f>IF('PS-A5'!G21=0,"    -",ROUND('PS-A5'!G50/'PS-A5'!G21*100,1))</f>
        <v xml:space="preserve">    -</v>
      </c>
      <c r="H57" s="136" t="str">
        <f>IF('PS-A5'!H21=0,"    -",ROUND('PS-A5'!H50/'PS-A5'!H21*100,1))</f>
        <v xml:space="preserve">    -</v>
      </c>
      <c r="I57" s="136" t="str">
        <f>IF('PS-A5'!I21=0,"    -",ROUND('PS-A5'!I50/'PS-A5'!I21*100,1))</f>
        <v xml:space="preserve">    -</v>
      </c>
      <c r="J57" s="136" t="str">
        <f>IF('PS-A5'!J21=0,"    -",ROUND('PS-A5'!J50/'PS-A5'!J21*100,1))</f>
        <v xml:space="preserve">    -</v>
      </c>
      <c r="K57" s="137" t="str">
        <f>IF('PS-A5'!K21=0,"    -",ROUND('PS-A5'!K50/'PS-A5'!K21*100,1))</f>
        <v xml:space="preserve">    -</v>
      </c>
      <c r="L57" s="135" t="str">
        <f>IF('PS-A5'!L21=0,"    -",ROUND('PS-A5'!L50/'PS-A5'!L21*100,1))</f>
        <v xml:space="preserve">    -</v>
      </c>
      <c r="M57" s="136" t="str">
        <f>IF('PS-A5'!M21=0,"    -",ROUND('PS-A5'!M50/'PS-A5'!M21*100,1))</f>
        <v xml:space="preserve">    -</v>
      </c>
      <c r="N57" s="136" t="str">
        <f>IF('PS-A5'!N21=0,"    -",ROUND('PS-A5'!N50/'PS-A5'!N21*100,1))</f>
        <v xml:space="preserve">    -</v>
      </c>
      <c r="O57" s="136" t="str">
        <f>IF('PS-A5'!O21=0,"    -",ROUND('PS-A5'!O50/'PS-A5'!O21*100,1))</f>
        <v xml:space="preserve">    -</v>
      </c>
      <c r="P57" s="136" t="str">
        <f>IF('PS-A5'!P21=0,"    -",ROUND('PS-A5'!P50/'PS-A5'!P21*100,1))</f>
        <v xml:space="preserve">    -</v>
      </c>
      <c r="Q57" s="137" t="str">
        <f>IF('PS-A5'!Q21=0,"    -",ROUND('PS-A5'!Q50/'PS-A5'!Q21*100,1))</f>
        <v xml:space="preserve">    -</v>
      </c>
    </row>
    <row r="58" spans="2:17" ht="17.25" customHeight="1">
      <c r="B58" s="672" t="s">
        <v>310</v>
      </c>
      <c r="C58" s="673"/>
      <c r="D58" s="57">
        <f>IF('PS-A5'!D22=0,"    -",ROUND('PS-A5'!D51/'PS-A5'!D22*100,1))</f>
        <v>91.8</v>
      </c>
      <c r="E58" s="58">
        <f>IF('PS-A5'!E22=0,"    -",ROUND('PS-A5'!E51/'PS-A5'!E22*100,1))</f>
        <v>89.3</v>
      </c>
      <c r="F58" s="58">
        <f>IF('PS-A5'!F22=0,"    -",ROUND('PS-A5'!F51/'PS-A5'!F22*100,1))</f>
        <v>86.6</v>
      </c>
      <c r="G58" s="58">
        <f>IF('PS-A5'!G22=0,"    -",ROUND('PS-A5'!G51/'PS-A5'!G22*100,1))</f>
        <v>93.1</v>
      </c>
      <c r="H58" s="58">
        <f>IF('PS-A5'!H22=0,"    -",ROUND('PS-A5'!H51/'PS-A5'!H22*100,1))</f>
        <v>89.1</v>
      </c>
      <c r="I58" s="58">
        <f>IF('PS-A5'!I22=0,"    -",ROUND('PS-A5'!I51/'PS-A5'!I22*100,1))</f>
        <v>81.099999999999994</v>
      </c>
      <c r="J58" s="58">
        <f>IF('PS-A5'!J22=0,"    -",ROUND('PS-A5'!J51/'PS-A5'!J22*100,1))</f>
        <v>73.7</v>
      </c>
      <c r="K58" s="59">
        <f>IF('PS-A5'!K22=0,"    -",ROUND('PS-A5'!K51/'PS-A5'!K22*100,1))</f>
        <v>72.099999999999994</v>
      </c>
      <c r="L58" s="57">
        <f>IF('PS-A5'!L22=0,"    -",ROUND('PS-A5'!L51/'PS-A5'!L22*100,1))</f>
        <v>72.900000000000006</v>
      </c>
      <c r="M58" s="58">
        <f>IF('PS-A5'!M22=0,"    -",ROUND('PS-A5'!M51/'PS-A5'!M22*100,1))</f>
        <v>76.099999999999994</v>
      </c>
      <c r="N58" s="58">
        <f>IF('PS-A5'!N22=0,"    -",ROUND('PS-A5'!N51/'PS-A5'!N22*100,1))</f>
        <v>75.5</v>
      </c>
      <c r="O58" s="58">
        <f>IF('PS-A5'!O22=0,"    -",ROUND('PS-A5'!O51/'PS-A5'!O22*100,1))</f>
        <v>75</v>
      </c>
      <c r="P58" s="58">
        <f>IF('PS-A5'!P22=0,"    -",ROUND('PS-A5'!P51/'PS-A5'!P22*100,1))</f>
        <v>75</v>
      </c>
      <c r="Q58" s="59">
        <f>IF('PS-A5'!Q22=0,"    -",ROUND('PS-A5'!Q51/'PS-A5'!Q22*100,1))</f>
        <v>75</v>
      </c>
    </row>
    <row r="59" spans="2:17" ht="16.5" customHeight="1">
      <c r="B59" s="105"/>
      <c r="C59" s="615" t="s">
        <v>311</v>
      </c>
      <c r="D59" s="74">
        <f>IF('PS-A5'!D23=0,"    -",ROUND('PS-A5'!D52/'PS-A5'!D23*100,1))</f>
        <v>90.2</v>
      </c>
      <c r="E59" s="75">
        <f>IF('PS-A5'!E23=0,"    -",ROUND('PS-A5'!E52/'PS-A5'!E23*100,1))</f>
        <v>89.4</v>
      </c>
      <c r="F59" s="75">
        <f>IF('PS-A5'!F23=0,"    -",ROUND('PS-A5'!F52/'PS-A5'!F23*100,1))</f>
        <v>93.7</v>
      </c>
      <c r="G59" s="75">
        <f>IF('PS-A5'!G23=0,"    -",ROUND('PS-A5'!G52/'PS-A5'!G23*100,1))</f>
        <v>91.3</v>
      </c>
      <c r="H59" s="75">
        <f>IF('PS-A5'!H23=0,"    -",ROUND('PS-A5'!H52/'PS-A5'!H23*100,1))</f>
        <v>90.3</v>
      </c>
      <c r="I59" s="75">
        <f>IF('PS-A5'!I23=0,"    -",ROUND('PS-A5'!I52/'PS-A5'!I23*100,1))</f>
        <v>80.599999999999994</v>
      </c>
      <c r="J59" s="75">
        <f>IF('PS-A5'!J23=0,"    -",ROUND('PS-A5'!J52/'PS-A5'!J23*100,1))</f>
        <v>72.900000000000006</v>
      </c>
      <c r="K59" s="76">
        <f>IF('PS-A5'!K23=0,"    -",ROUND('PS-A5'!K52/'PS-A5'!K23*100,1))</f>
        <v>71.2</v>
      </c>
      <c r="L59" s="74">
        <f>IF('PS-A5'!L23=0,"    -",ROUND('PS-A5'!L52/'PS-A5'!L23*100,1))</f>
        <v>72.3</v>
      </c>
      <c r="M59" s="75">
        <f>IF('PS-A5'!M23=0,"    -",ROUND('PS-A5'!M52/'PS-A5'!M23*100,1))</f>
        <v>75.7</v>
      </c>
      <c r="N59" s="75">
        <f>IF('PS-A5'!N23=0,"    -",ROUND('PS-A5'!N52/'PS-A5'!N23*100,1))</f>
        <v>75.099999999999994</v>
      </c>
      <c r="O59" s="75">
        <f>IF('PS-A5'!O23=0,"    -",ROUND('PS-A5'!O52/'PS-A5'!O23*100,1))</f>
        <v>74.5</v>
      </c>
      <c r="P59" s="75">
        <f>IF('PS-A5'!P23=0,"    -",ROUND('PS-A5'!P52/'PS-A5'!P23*100,1))</f>
        <v>74.5</v>
      </c>
      <c r="Q59" s="76">
        <f>IF('PS-A5'!Q23=0,"    -",ROUND('PS-A5'!Q52/'PS-A5'!Q23*100,1))</f>
        <v>74.5</v>
      </c>
    </row>
    <row r="60" spans="2:17" ht="17.25" customHeight="1">
      <c r="B60" s="672" t="s">
        <v>312</v>
      </c>
      <c r="C60" s="673"/>
      <c r="D60" s="57">
        <f>IF('PS-A5'!D24=0,"    -",ROUND('PS-A5'!D53/'PS-A5'!D24*100,1))</f>
        <v>96.8</v>
      </c>
      <c r="E60" s="58">
        <f>IF('PS-A5'!E24=0,"    -",ROUND('PS-A5'!E53/'PS-A5'!E24*100,1))</f>
        <v>99.6</v>
      </c>
      <c r="F60" s="58">
        <f>IF('PS-A5'!F24=0,"    -",ROUND('PS-A5'!F53/'PS-A5'!F24*100,1))</f>
        <v>56.1</v>
      </c>
      <c r="G60" s="58">
        <f>IF('PS-A5'!G24=0,"    -",ROUND('PS-A5'!G53/'PS-A5'!G24*100,1))</f>
        <v>58.5</v>
      </c>
      <c r="H60" s="58">
        <f>IF('PS-A5'!H24=0,"    -",ROUND('PS-A5'!H53/'PS-A5'!H24*100,1))</f>
        <v>73.2</v>
      </c>
      <c r="I60" s="58">
        <f>IF('PS-A5'!I24=0,"    -",ROUND('PS-A5'!I53/'PS-A5'!I24*100,1))</f>
        <v>76.7</v>
      </c>
      <c r="J60" s="58">
        <f>IF('PS-A5'!J24=0,"    -",ROUND('PS-A5'!J53/'PS-A5'!J24*100,1))</f>
        <v>80.3</v>
      </c>
      <c r="K60" s="59">
        <f>IF('PS-A5'!K24=0,"    -",ROUND('PS-A5'!K53/'PS-A5'!K24*100,1))</f>
        <v>50.9</v>
      </c>
      <c r="L60" s="57">
        <f>IF('PS-A5'!L24=0,"    -",ROUND('PS-A5'!L53/'PS-A5'!L24*100,1))</f>
        <v>50.8</v>
      </c>
      <c r="M60" s="58">
        <f>IF('PS-A5'!M24=0,"    -",ROUND('PS-A5'!M53/'PS-A5'!M24*100,1))</f>
        <v>51.3</v>
      </c>
      <c r="N60" s="58">
        <f>IF('PS-A5'!N24=0,"    -",ROUND('PS-A5'!N53/'PS-A5'!N24*100,1))</f>
        <v>51.3</v>
      </c>
      <c r="O60" s="58">
        <f>IF('PS-A5'!O24=0,"    -",ROUND('PS-A5'!O53/'PS-A5'!O24*100,1))</f>
        <v>52.2</v>
      </c>
      <c r="P60" s="58">
        <f>IF('PS-A5'!P24=0,"    -",ROUND('PS-A5'!P53/'PS-A5'!P24*100,1))</f>
        <v>52.2</v>
      </c>
      <c r="Q60" s="59">
        <f>IF('PS-A5'!Q24=0,"    -",ROUND('PS-A5'!Q53/'PS-A5'!Q24*100,1))</f>
        <v>54.2</v>
      </c>
    </row>
    <row r="61" spans="2:17" ht="16.5" customHeight="1">
      <c r="B61" s="16"/>
      <c r="C61" s="615" t="s">
        <v>313</v>
      </c>
      <c r="D61" s="74" t="str">
        <f>IF('PS-A5'!D25=0,"    -",ROUND('PS-A5'!D54/'PS-A5'!D25*100,1))</f>
        <v xml:space="preserve">    -</v>
      </c>
      <c r="E61" s="75">
        <f>IF('PS-A5'!E25=0,"    -",ROUND('PS-A5'!E54/'PS-A5'!E25*100,1))</f>
        <v>116.3</v>
      </c>
      <c r="F61" s="75">
        <f>IF('PS-A5'!F25=0,"    -",ROUND('PS-A5'!F54/'PS-A5'!F25*100,1))</f>
        <v>92.8</v>
      </c>
      <c r="G61" s="75">
        <f>IF('PS-A5'!G25=0,"    -",ROUND('PS-A5'!G54/'PS-A5'!G25*100,1))</f>
        <v>53.1</v>
      </c>
      <c r="H61" s="75">
        <f>IF('PS-A5'!H25=0,"    -",ROUND('PS-A5'!H54/'PS-A5'!H25*100,1))</f>
        <v>74.599999999999994</v>
      </c>
      <c r="I61" s="75">
        <f>IF('PS-A5'!I25=0,"    -",ROUND('PS-A5'!I54/'PS-A5'!I25*100,1))</f>
        <v>86.6</v>
      </c>
      <c r="J61" s="75">
        <f>IF('PS-A5'!J25=0,"    -",ROUND('PS-A5'!J54/'PS-A5'!J25*100,1))</f>
        <v>88.5</v>
      </c>
      <c r="K61" s="76">
        <f>IF('PS-A5'!K25=0,"    -",ROUND('PS-A5'!K54/'PS-A5'!K25*100,1))</f>
        <v>90.4</v>
      </c>
      <c r="L61" s="74">
        <f>IF('PS-A5'!L25=0,"    -",ROUND('PS-A5'!L54/'PS-A5'!L25*100,1))</f>
        <v>91.3</v>
      </c>
      <c r="M61" s="75">
        <f>IF('PS-A5'!M25=0,"    -",ROUND('PS-A5'!M54/'PS-A5'!M25*100,1))</f>
        <v>92.2</v>
      </c>
      <c r="N61" s="75">
        <f>IF('PS-A5'!N25=0,"    -",ROUND('PS-A5'!N54/'PS-A5'!N25*100,1))</f>
        <v>92.5</v>
      </c>
      <c r="O61" s="75">
        <f>IF('PS-A5'!O25=0,"    -",ROUND('PS-A5'!O54/'PS-A5'!O25*100,1))</f>
        <v>92.5</v>
      </c>
      <c r="P61" s="75">
        <f>IF('PS-A5'!P25=0,"    -",ROUND('PS-A5'!P54/'PS-A5'!P25*100,1))</f>
        <v>92.5</v>
      </c>
      <c r="Q61" s="76">
        <f>IF('PS-A5'!Q25=0,"    -",ROUND('PS-A5'!Q54/'PS-A5'!Q25*100,1))</f>
        <v>92.5</v>
      </c>
    </row>
    <row r="62" spans="2:17" ht="17.25" customHeight="1">
      <c r="B62" s="674" t="s">
        <v>314</v>
      </c>
      <c r="C62" s="675"/>
      <c r="D62" s="57">
        <f>IF('PS-A5'!D26=0,"    -",ROUND('PS-A5'!D55/'PS-A5'!D26*100,1))</f>
        <v>80</v>
      </c>
      <c r="E62" s="58" t="str">
        <f>IF('PS-A5'!E26=0,"    -",ROUND('PS-A5'!E55/'PS-A5'!E26*100,1))</f>
        <v xml:space="preserve">    -</v>
      </c>
      <c r="F62" s="58" t="str">
        <f>IF('PS-A5'!F26=0,"    -",ROUND('PS-A5'!F55/'PS-A5'!F26*100,1))</f>
        <v xml:space="preserve">    -</v>
      </c>
      <c r="G62" s="58" t="str">
        <f>IF('PS-A5'!G26=0,"    -",ROUND('PS-A5'!G55/'PS-A5'!G26*100,1))</f>
        <v xml:space="preserve">    -</v>
      </c>
      <c r="H62" s="58" t="str">
        <f>IF('PS-A5'!H26=0,"    -",ROUND('PS-A5'!H55/'PS-A5'!H26*100,1))</f>
        <v xml:space="preserve">    -</v>
      </c>
      <c r="I62" s="58">
        <f>IF('PS-A5'!I26=0,"    -",ROUND('PS-A5'!I55/'PS-A5'!I26*100,1))</f>
        <v>73.599999999999994</v>
      </c>
      <c r="J62" s="58">
        <f>IF('PS-A5'!J26=0,"    -",ROUND('PS-A5'!J55/'PS-A5'!J26*100,1))</f>
        <v>74.7</v>
      </c>
      <c r="K62" s="59">
        <f>IF('PS-A5'!K26=0,"    -",ROUND('PS-A5'!K55/'PS-A5'!K26*100,1))</f>
        <v>75.900000000000006</v>
      </c>
      <c r="L62" s="57">
        <f>IF('PS-A5'!L26=0,"    -",ROUND('PS-A5'!L55/'PS-A5'!L26*100,1))</f>
        <v>82.1</v>
      </c>
      <c r="M62" s="58">
        <f>IF('PS-A5'!M26=0,"    -",ROUND('PS-A5'!M55/'PS-A5'!M26*100,1))</f>
        <v>82.4</v>
      </c>
      <c r="N62" s="58">
        <f>IF('PS-A5'!N26=0,"    -",ROUND('PS-A5'!N55/'PS-A5'!N26*100,1))</f>
        <v>82.3</v>
      </c>
      <c r="O62" s="58">
        <f>IF('PS-A5'!O26=0,"    -",ROUND('PS-A5'!O55/'PS-A5'!O26*100,1))</f>
        <v>82.3</v>
      </c>
      <c r="P62" s="58">
        <f>IF('PS-A5'!P26=0,"    -",ROUND('PS-A5'!P55/'PS-A5'!P26*100,1))</f>
        <v>85</v>
      </c>
      <c r="Q62" s="59">
        <f>IF('PS-A5'!Q26=0,"    -",ROUND('PS-A5'!Q55/'PS-A5'!Q26*100,1))</f>
        <v>85</v>
      </c>
    </row>
    <row r="63" spans="2:17" ht="17.25" customHeight="1">
      <c r="B63" s="674" t="s">
        <v>315</v>
      </c>
      <c r="C63" s="675"/>
      <c r="D63" s="74">
        <f>IF('PS-A5'!D27=0,"    -",ROUND('PS-A5'!D56/'PS-A5'!D27*100,1))</f>
        <v>61.7</v>
      </c>
      <c r="E63" s="75">
        <f>IF('PS-A5'!E27=0,"    -",ROUND('PS-A5'!E56/'PS-A5'!E27*100,1))</f>
        <v>69.599999999999994</v>
      </c>
      <c r="F63" s="75">
        <f>IF('PS-A5'!F27=0,"    -",ROUND('PS-A5'!F56/'PS-A5'!F27*100,1))</f>
        <v>75.8</v>
      </c>
      <c r="G63" s="75">
        <f>IF('PS-A5'!G27=0,"    -",ROUND('PS-A5'!G56/'PS-A5'!G27*100,1))</f>
        <v>82.1</v>
      </c>
      <c r="H63" s="75">
        <f>IF('PS-A5'!H27=0,"    -",ROUND('PS-A5'!H56/'PS-A5'!H27*100,1))</f>
        <v>92.3</v>
      </c>
      <c r="I63" s="75">
        <f>IF('PS-A5'!I27=0,"    -",ROUND('PS-A5'!I56/'PS-A5'!I27*100,1))</f>
        <v>90.3</v>
      </c>
      <c r="J63" s="75">
        <f>IF('PS-A5'!J27=0,"    -",ROUND('PS-A5'!J56/'PS-A5'!J27*100,1))</f>
        <v>88.9</v>
      </c>
      <c r="K63" s="76">
        <f>IF('PS-A5'!K27=0,"    -",ROUND('PS-A5'!K56/'PS-A5'!K27*100,1))</f>
        <v>100</v>
      </c>
      <c r="L63" s="77">
        <f>IF('PS-A5'!L27=0,"    -",ROUND('PS-A5'!L56/'PS-A5'!L27*100,1))</f>
        <v>100</v>
      </c>
      <c r="M63" s="75">
        <f>IF('PS-A5'!M27=0,"    -",ROUND('PS-A5'!M56/'PS-A5'!M27*100,1))</f>
        <v>100</v>
      </c>
      <c r="N63" s="75">
        <f>IF('PS-A5'!N27=0,"    -",ROUND('PS-A5'!N56/'PS-A5'!N27*100,1))</f>
        <v>100</v>
      </c>
      <c r="O63" s="75">
        <f>IF('PS-A5'!O27=0,"    -",ROUND('PS-A5'!O56/'PS-A5'!O27*100,1))</f>
        <v>100</v>
      </c>
      <c r="P63" s="75">
        <f>IF('PS-A5'!P27=0,"    -",ROUND('PS-A5'!P56/'PS-A5'!P27*100,1))</f>
        <v>100</v>
      </c>
      <c r="Q63" s="78">
        <f>IF('PS-A5'!Q27=0,"    -",ROUND('PS-A5'!Q56/'PS-A5'!Q27*100,1))</f>
        <v>100</v>
      </c>
    </row>
    <row r="64" spans="2:17" ht="16.5" customHeight="1">
      <c r="B64" s="672" t="s">
        <v>316</v>
      </c>
      <c r="C64" s="673"/>
      <c r="D64" s="57">
        <f>IF('PS-A5'!D28=0,"    -",ROUND('PS-A5'!D57/'PS-A5'!D28*100,1))</f>
        <v>90</v>
      </c>
      <c r="E64" s="58">
        <f>IF('PS-A5'!E28=0,"    -",ROUND('PS-A5'!E57/'PS-A5'!E28*100,1))</f>
        <v>90</v>
      </c>
      <c r="F64" s="58">
        <f>IF('PS-A5'!F28=0,"    -",ROUND('PS-A5'!F57/'PS-A5'!F28*100,1))</f>
        <v>90</v>
      </c>
      <c r="G64" s="58">
        <f>IF('PS-A5'!G28=0,"    -",ROUND('PS-A5'!G57/'PS-A5'!G28*100,1))</f>
        <v>90</v>
      </c>
      <c r="H64" s="58">
        <f>IF('PS-A5'!H28=0,"    -",ROUND('PS-A5'!H57/'PS-A5'!H28*100,1))</f>
        <v>90</v>
      </c>
      <c r="I64" s="58">
        <f>IF('PS-A5'!I28=0,"    -",ROUND('PS-A5'!I57/'PS-A5'!I28*100,1))</f>
        <v>99.4</v>
      </c>
      <c r="J64" s="58">
        <f>IF('PS-A5'!J28=0,"    -",ROUND('PS-A5'!J57/'PS-A5'!J28*100,1))</f>
        <v>99.4</v>
      </c>
      <c r="K64" s="59">
        <f>IF('PS-A5'!K28=0,"    -",ROUND('PS-A5'!K57/'PS-A5'!K28*100,1))</f>
        <v>99.4</v>
      </c>
      <c r="L64" s="60">
        <f>IF('PS-A5'!L28=0,"    -",ROUND('PS-A5'!L57/'PS-A5'!L28*100,1))</f>
        <v>99.4</v>
      </c>
      <c r="M64" s="58">
        <f>IF('PS-A5'!M28=0,"    -",ROUND('PS-A5'!M57/'PS-A5'!M28*100,1))</f>
        <v>99.4</v>
      </c>
      <c r="N64" s="58">
        <f>IF('PS-A5'!N28=0,"    -",ROUND('PS-A5'!N57/'PS-A5'!N28*100,1))</f>
        <v>99.4</v>
      </c>
      <c r="O64" s="58">
        <f>IF('PS-A5'!O28=0,"    -",ROUND('PS-A5'!O57/'PS-A5'!O28*100,1))</f>
        <v>99.4</v>
      </c>
      <c r="P64" s="58">
        <f>IF('PS-A5'!P28=0,"    -",ROUND('PS-A5'!P57/'PS-A5'!P28*100,1))</f>
        <v>99.4</v>
      </c>
      <c r="Q64" s="61">
        <f>IF('PS-A5'!Q28=0,"    -",ROUND('PS-A5'!Q57/'PS-A5'!Q28*100,1))</f>
        <v>99.4</v>
      </c>
    </row>
    <row r="65" spans="2:17" ht="16.5" customHeight="1">
      <c r="B65" s="670" t="s">
        <v>317</v>
      </c>
      <c r="C65" s="671"/>
      <c r="D65" s="57" t="str">
        <f>IF('PS-A5'!D29=0,"    -",ROUND('PS-A5'!D58/'PS-A5'!D29*100,1))</f>
        <v xml:space="preserve">    -</v>
      </c>
      <c r="E65" s="58" t="str">
        <f>IF('PS-A5'!E29=0,"    -",ROUND('PS-A5'!E58/'PS-A5'!E29*100,1))</f>
        <v xml:space="preserve">    -</v>
      </c>
      <c r="F65" s="58" t="str">
        <f>IF('PS-A5'!F29=0,"    -",ROUND('PS-A5'!F58/'PS-A5'!F29*100,1))</f>
        <v xml:space="preserve">    -</v>
      </c>
      <c r="G65" s="58" t="str">
        <f>IF('PS-A5'!G29=0,"    -",ROUND('PS-A5'!G58/'PS-A5'!G29*100,1))</f>
        <v xml:space="preserve">    -</v>
      </c>
      <c r="H65" s="58" t="str">
        <f>IF('PS-A5'!H29=0,"    -",ROUND('PS-A5'!H58/'PS-A5'!H29*100,1))</f>
        <v xml:space="preserve">    -</v>
      </c>
      <c r="I65" s="58" t="str">
        <f>IF('PS-A5'!I29=0,"    -",ROUND('PS-A5'!I58/'PS-A5'!I29*100,1))</f>
        <v xml:space="preserve">    -</v>
      </c>
      <c r="J65" s="58" t="str">
        <f>IF('PS-A5'!J29=0,"    -",ROUND('PS-A5'!J58/'PS-A5'!J29*100,1))</f>
        <v xml:space="preserve">    -</v>
      </c>
      <c r="K65" s="59" t="str">
        <f>IF('PS-A5'!K29=0,"    -",ROUND('PS-A5'!K58/'PS-A5'!K29*100,1))</f>
        <v xml:space="preserve">    -</v>
      </c>
      <c r="L65" s="60" t="str">
        <f>IF('PS-A5'!L29=0,"    -",ROUND('PS-A5'!L58/'PS-A5'!L29*100,1))</f>
        <v xml:space="preserve">    -</v>
      </c>
      <c r="M65" s="58" t="str">
        <f>IF('PS-A5'!M29=0,"    -",ROUND('PS-A5'!M58/'PS-A5'!M29*100,1))</f>
        <v xml:space="preserve">    -</v>
      </c>
      <c r="N65" s="58" t="str">
        <f>IF('PS-A5'!N29=0,"    -",ROUND('PS-A5'!N58/'PS-A5'!N29*100,1))</f>
        <v xml:space="preserve">    -</v>
      </c>
      <c r="O65" s="58" t="str">
        <f>IF('PS-A5'!O29=0,"    -",ROUND('PS-A5'!O58/'PS-A5'!O29*100,1))</f>
        <v xml:space="preserve">    -</v>
      </c>
      <c r="P65" s="58" t="str">
        <f>IF('PS-A5'!P29=0,"    -",ROUND('PS-A5'!P58/'PS-A5'!P29*100,1))</f>
        <v xml:space="preserve">    -</v>
      </c>
      <c r="Q65" s="61" t="str">
        <f>IF('PS-A5'!Q29=0,"    -",ROUND('PS-A5'!Q58/'PS-A5'!Q29*100,1))</f>
        <v xml:space="preserve">    -</v>
      </c>
    </row>
    <row r="66" spans="2:17" ht="17.25" customHeight="1">
      <c r="B66" s="674" t="s">
        <v>318</v>
      </c>
      <c r="C66" s="675"/>
      <c r="D66" s="74">
        <f>IF('PS-A5'!D30=0,"    -",ROUND('PS-A5'!D59/'PS-A5'!D30*100,1))</f>
        <v>90</v>
      </c>
      <c r="E66" s="75">
        <f>IF('PS-A5'!E30=0,"    -",ROUND('PS-A5'!E59/'PS-A5'!E30*100,1))</f>
        <v>90</v>
      </c>
      <c r="F66" s="75">
        <f>IF('PS-A5'!F30=0,"    -",ROUND('PS-A5'!F59/'PS-A5'!F30*100,1))</f>
        <v>90</v>
      </c>
      <c r="G66" s="75">
        <f>IF('PS-A5'!G30=0,"    -",ROUND('PS-A5'!G59/'PS-A5'!G30*100,1))</f>
        <v>90</v>
      </c>
      <c r="H66" s="75">
        <f>IF('PS-A5'!H30=0,"    -",ROUND('PS-A5'!H59/'PS-A5'!H30*100,1))</f>
        <v>90</v>
      </c>
      <c r="I66" s="75">
        <f>IF('PS-A5'!I30=0,"    -",ROUND('PS-A5'!I59/'PS-A5'!I30*100,1))</f>
        <v>99.4</v>
      </c>
      <c r="J66" s="75">
        <f>IF('PS-A5'!J30=0,"    -",ROUND('PS-A5'!J59/'PS-A5'!J30*100,1))</f>
        <v>99.4</v>
      </c>
      <c r="K66" s="76">
        <f>IF('PS-A5'!K30=0,"    -",ROUND('PS-A5'!K59/'PS-A5'!K30*100,1))</f>
        <v>99.4</v>
      </c>
      <c r="L66" s="77">
        <f>IF('PS-A5'!L30=0,"    -",ROUND('PS-A5'!L59/'PS-A5'!L30*100,1))</f>
        <v>99.4</v>
      </c>
      <c r="M66" s="75">
        <f>IF('PS-A5'!M30=0,"    -",ROUND('PS-A5'!M59/'PS-A5'!M30*100,1))</f>
        <v>99.4</v>
      </c>
      <c r="N66" s="75">
        <f>IF('PS-A5'!N30=0,"    -",ROUND('PS-A5'!N59/'PS-A5'!N30*100,1))</f>
        <v>99.4</v>
      </c>
      <c r="O66" s="75">
        <f>IF('PS-A5'!O30=0,"    -",ROUND('PS-A5'!O59/'PS-A5'!O30*100,1))</f>
        <v>99.4</v>
      </c>
      <c r="P66" s="75">
        <f>IF('PS-A5'!P30=0,"    -",ROUND('PS-A5'!P59/'PS-A5'!P30*100,1))</f>
        <v>99.4</v>
      </c>
      <c r="Q66" s="78">
        <f>IF('PS-A5'!Q30=0,"    -",ROUND('PS-A5'!Q59/'PS-A5'!Q30*100,1))</f>
        <v>99.4</v>
      </c>
    </row>
    <row r="67" spans="2:17" ht="16.5" customHeight="1">
      <c r="B67" s="672" t="s">
        <v>319</v>
      </c>
      <c r="C67" s="673"/>
      <c r="D67" s="57">
        <f>IF('PS-A5'!D31=0,"    -",ROUND('PS-A5'!D60/'PS-A5'!D31*100,1))</f>
        <v>90.3</v>
      </c>
      <c r="E67" s="58">
        <f>IF('PS-A5'!E31=0,"    -",ROUND('PS-A5'!E60/'PS-A5'!E31*100,1))</f>
        <v>90.3</v>
      </c>
      <c r="F67" s="58">
        <f>IF('PS-A5'!F31=0,"    -",ROUND('PS-A5'!F60/'PS-A5'!F31*100,1))</f>
        <v>90.6</v>
      </c>
      <c r="G67" s="58">
        <f>IF('PS-A5'!G31=0,"    -",ROUND('PS-A5'!G60/'PS-A5'!G31*100,1))</f>
        <v>90.3</v>
      </c>
      <c r="H67" s="58">
        <f>IF('PS-A5'!H31=0,"    -",ROUND('PS-A5'!H60/'PS-A5'!H31*100,1))</f>
        <v>92</v>
      </c>
      <c r="I67" s="58">
        <f>IF('PS-A5'!I31=0,"    -",ROUND('PS-A5'!I60/'PS-A5'!I31*100,1))</f>
        <v>90.5</v>
      </c>
      <c r="J67" s="58">
        <f>IF('PS-A5'!J31=0,"    -",ROUND('PS-A5'!J60/'PS-A5'!J31*100,1))</f>
        <v>90.5</v>
      </c>
      <c r="K67" s="59">
        <f>IF('PS-A5'!K31=0,"    -",ROUND('PS-A5'!K60/'PS-A5'!K31*100,1))</f>
        <v>90.5</v>
      </c>
      <c r="L67" s="60">
        <f>IF('PS-A5'!L31=0,"    -",ROUND('PS-A5'!L60/'PS-A5'!L31*100,1))</f>
        <v>90.5</v>
      </c>
      <c r="M67" s="58">
        <f>IF('PS-A5'!M31=0,"    -",ROUND('PS-A5'!M60/'PS-A5'!M31*100,1))</f>
        <v>90.5</v>
      </c>
      <c r="N67" s="58">
        <f>IF('PS-A5'!N31=0,"    -",ROUND('PS-A5'!N60/'PS-A5'!N31*100,1))</f>
        <v>90.5</v>
      </c>
      <c r="O67" s="58">
        <f>IF('PS-A5'!O31=0,"    -",ROUND('PS-A5'!O60/'PS-A5'!O31*100,1))</f>
        <v>90.5</v>
      </c>
      <c r="P67" s="58">
        <f>IF('PS-A5'!P31=0,"    -",ROUND('PS-A5'!P60/'PS-A5'!P31*100,1))</f>
        <v>90.5</v>
      </c>
      <c r="Q67" s="61">
        <f>IF('PS-A5'!Q31=0,"    -",ROUND('PS-A5'!Q60/'PS-A5'!Q31*100,1))</f>
        <v>90.5</v>
      </c>
    </row>
    <row r="68" spans="2:17" ht="16.5" customHeight="1">
      <c r="B68" s="668" t="s">
        <v>320</v>
      </c>
      <c r="C68" s="669"/>
      <c r="D68" s="57">
        <f>IF('PS-A5'!D32=0,"    -",ROUND('PS-A5'!D61/'PS-A5'!D32*100,1))</f>
        <v>73.3</v>
      </c>
      <c r="E68" s="58">
        <f>IF('PS-A5'!E32=0,"    -",ROUND('PS-A5'!E61/'PS-A5'!E32*100,1))</f>
        <v>77.8</v>
      </c>
      <c r="F68" s="58">
        <f>IF('PS-A5'!F32=0,"    -",ROUND('PS-A5'!F61/'PS-A5'!F32*100,1))</f>
        <v>85</v>
      </c>
      <c r="G68" s="58">
        <f>IF('PS-A5'!G32=0,"    -",ROUND('PS-A5'!G61/'PS-A5'!G32*100,1))</f>
        <v>85</v>
      </c>
      <c r="H68" s="58">
        <f>IF('PS-A5'!H32=0,"    -",ROUND('PS-A5'!H61/'PS-A5'!H32*100,1))</f>
        <v>85</v>
      </c>
      <c r="I68" s="58">
        <f>IF('PS-A5'!I32=0,"    -",ROUND('PS-A5'!I61/'PS-A5'!I32*100,1))</f>
        <v>85</v>
      </c>
      <c r="J68" s="58">
        <f>IF('PS-A5'!J32=0,"    -",ROUND('PS-A5'!J61/'PS-A5'!J32*100,1))</f>
        <v>81.599999999999994</v>
      </c>
      <c r="K68" s="59">
        <f>IF('PS-A5'!K32=0,"    -",ROUND('PS-A5'!K61/'PS-A5'!K32*100,1))</f>
        <v>85.1</v>
      </c>
      <c r="L68" s="60">
        <f>IF('PS-A5'!L32=0,"    -",ROUND('PS-A5'!L61/'PS-A5'!L32*100,1))</f>
        <v>85.1</v>
      </c>
      <c r="M68" s="58">
        <f>IF('PS-A5'!M32=0,"    -",ROUND('PS-A5'!M61/'PS-A5'!M32*100,1))</f>
        <v>85.1</v>
      </c>
      <c r="N68" s="58">
        <f>IF('PS-A5'!N32=0,"    -",ROUND('PS-A5'!N61/'PS-A5'!N32*100,1))</f>
        <v>85.1</v>
      </c>
      <c r="O68" s="58">
        <f>IF('PS-A5'!O32=0,"    -",ROUND('PS-A5'!O61/'PS-A5'!O32*100,1))</f>
        <v>85.1</v>
      </c>
      <c r="P68" s="58">
        <f>IF('PS-A5'!P32=0,"    -",ROUND('PS-A5'!P61/'PS-A5'!P32*100,1))</f>
        <v>85.1</v>
      </c>
      <c r="Q68" s="61">
        <f>IF('PS-A5'!Q32=0,"    -",ROUND('PS-A5'!Q61/'PS-A5'!Q32*100,1))</f>
        <v>85.1</v>
      </c>
    </row>
    <row r="69" spans="2:17" ht="16.5" customHeight="1">
      <c r="B69" s="670" t="s">
        <v>321</v>
      </c>
      <c r="C69" s="671"/>
      <c r="D69" s="57">
        <f>IF('PS-A5'!D33=0,"    -",ROUND('PS-A5'!D62/'PS-A5'!D33*100,1))</f>
        <v>85.1</v>
      </c>
      <c r="E69" s="58">
        <f>IF('PS-A5'!E33=0,"    -",ROUND('PS-A5'!E62/'PS-A5'!E33*100,1))</f>
        <v>85.1</v>
      </c>
      <c r="F69" s="58">
        <f>IF('PS-A5'!F33=0,"    -",ROUND('PS-A5'!F62/'PS-A5'!F33*100,1))</f>
        <v>85.1</v>
      </c>
      <c r="G69" s="58">
        <f>IF('PS-A5'!G33=0,"    -",ROUND('PS-A5'!G62/'PS-A5'!G33*100,1))</f>
        <v>85.1</v>
      </c>
      <c r="H69" s="58">
        <f>IF('PS-A5'!H33=0,"    -",ROUND('PS-A5'!H62/'PS-A5'!H33*100,1))</f>
        <v>85.1</v>
      </c>
      <c r="I69" s="58">
        <f>IF('PS-A5'!I33=0,"    -",ROUND('PS-A5'!I62/'PS-A5'!I33*100,1))</f>
        <v>85.1</v>
      </c>
      <c r="J69" s="58">
        <f>IF('PS-A5'!J33=0,"    -",ROUND('PS-A5'!J62/'PS-A5'!J33*100,1))</f>
        <v>84.3</v>
      </c>
      <c r="K69" s="59">
        <f>IF('PS-A5'!K33=0,"    -",ROUND('PS-A5'!K62/'PS-A5'!K33*100,1))</f>
        <v>84.8</v>
      </c>
      <c r="L69" s="60">
        <f>IF('PS-A5'!L33=0,"    -",ROUND('PS-A5'!L62/'PS-A5'!L33*100,1))</f>
        <v>84.8</v>
      </c>
      <c r="M69" s="58">
        <f>IF('PS-A5'!M33=0,"    -",ROUND('PS-A5'!M62/'PS-A5'!M33*100,1))</f>
        <v>84.8</v>
      </c>
      <c r="N69" s="58">
        <f>IF('PS-A5'!N33=0,"    -",ROUND('PS-A5'!N62/'PS-A5'!N33*100,1))</f>
        <v>84.8</v>
      </c>
      <c r="O69" s="58">
        <f>IF('PS-A5'!O33=0,"    -",ROUND('PS-A5'!O62/'PS-A5'!O33*100,1))</f>
        <v>84.8</v>
      </c>
      <c r="P69" s="58">
        <f>IF('PS-A5'!P33=0,"    -",ROUND('PS-A5'!P62/'PS-A5'!P33*100,1))</f>
        <v>84.8</v>
      </c>
      <c r="Q69" s="61">
        <f>IF('PS-A5'!Q33=0,"    -",ROUND('PS-A5'!Q62/'PS-A5'!Q33*100,1))</f>
        <v>84.8</v>
      </c>
    </row>
    <row r="70" spans="2:17" ht="17.25" customHeight="1" thickBot="1">
      <c r="B70" s="678" t="s">
        <v>322</v>
      </c>
      <c r="C70" s="679"/>
      <c r="D70" s="111">
        <f>IF('PS-A5'!D34=0,"    -",ROUND('PS-A5'!D63/'PS-A5'!D34*100,1))</f>
        <v>80.5</v>
      </c>
      <c r="E70" s="112">
        <f>IF('PS-A5'!E34=0,"    -",ROUND('PS-A5'!E63/'PS-A5'!E34*100,1))</f>
        <v>82.8</v>
      </c>
      <c r="F70" s="112">
        <f>IF('PS-A5'!F34=0,"    -",ROUND('PS-A5'!F63/'PS-A5'!F34*100,1))</f>
        <v>86.6</v>
      </c>
      <c r="G70" s="112">
        <f>IF('PS-A5'!G34=0,"    -",ROUND('PS-A5'!G63/'PS-A5'!G34*100,1))</f>
        <v>86.5</v>
      </c>
      <c r="H70" s="112">
        <f>IF('PS-A5'!H34=0,"    -",ROUND('PS-A5'!H63/'PS-A5'!H34*100,1))</f>
        <v>87</v>
      </c>
      <c r="I70" s="112">
        <f>IF('PS-A5'!I34=0,"    -",ROUND('PS-A5'!I63/'PS-A5'!I34*100,1))</f>
        <v>86.6</v>
      </c>
      <c r="J70" s="112">
        <f>IF('PS-A5'!J34=0,"    -",ROUND('PS-A5'!J63/'PS-A5'!J34*100,1))</f>
        <v>84.6</v>
      </c>
      <c r="K70" s="113">
        <f>IF('PS-A5'!K34=0,"    -",ROUND('PS-A5'!K63/'PS-A5'!K34*100,1))</f>
        <v>86.5</v>
      </c>
      <c r="L70" s="114">
        <f>IF('PS-A5'!L34=0,"    -",ROUND('PS-A5'!L63/'PS-A5'!L34*100,1))</f>
        <v>86.5</v>
      </c>
      <c r="M70" s="112">
        <f>IF('PS-A5'!M34=0,"    -",ROUND('PS-A5'!M63/'PS-A5'!M34*100,1))</f>
        <v>86.5</v>
      </c>
      <c r="N70" s="112">
        <f>IF('PS-A5'!N34=0,"    -",ROUND('PS-A5'!N63/'PS-A5'!N34*100,1))</f>
        <v>86.5</v>
      </c>
      <c r="O70" s="112">
        <f>IF('PS-A5'!O34=0,"    -",ROUND('PS-A5'!O63/'PS-A5'!O34*100,1))</f>
        <v>86.5</v>
      </c>
      <c r="P70" s="112">
        <f>IF('PS-A5'!P34=0,"    -",ROUND('PS-A5'!P63/'PS-A5'!P34*100,1))</f>
        <v>86.5</v>
      </c>
      <c r="Q70" s="115">
        <f>IF('PS-A5'!Q34=0,"    -",ROUND('PS-A5'!Q63/'PS-A5'!Q34*100,1))</f>
        <v>86.5</v>
      </c>
    </row>
    <row r="71" spans="2:17" ht="18" customHeight="1" thickTop="1" thickBot="1">
      <c r="B71" s="21"/>
      <c r="C71" s="619" t="s">
        <v>337</v>
      </c>
      <c r="D71" s="122">
        <f>IF('PS-A5'!D35=0,"    -",ROUND('PS-A5'!D64/'PS-A5'!D35*100,1))</f>
        <v>81.2</v>
      </c>
      <c r="E71" s="123">
        <f>IF('PS-A5'!E35=0,"    -",ROUND('PS-A5'!E64/'PS-A5'!E35*100,1))</f>
        <v>81</v>
      </c>
      <c r="F71" s="123">
        <f>IF('PS-A5'!F35=0,"    -",ROUND('PS-A5'!F64/'PS-A5'!F35*100,1))</f>
        <v>79.3</v>
      </c>
      <c r="G71" s="123">
        <f>IF('PS-A5'!G35=0,"    -",ROUND('PS-A5'!G64/'PS-A5'!G35*100,1))</f>
        <v>81.599999999999994</v>
      </c>
      <c r="H71" s="123">
        <f>IF('PS-A5'!H35=0,"    -",ROUND('PS-A5'!H64/'PS-A5'!H35*100,1))</f>
        <v>80.599999999999994</v>
      </c>
      <c r="I71" s="123">
        <f>IF('PS-A5'!I35=0,"    -",ROUND('PS-A5'!I64/'PS-A5'!I35*100,1))</f>
        <v>79.2</v>
      </c>
      <c r="J71" s="123">
        <f>IF('PS-A5'!J35=0,"    -",ROUND('PS-A5'!J64/'PS-A5'!J35*100,1))</f>
        <v>78.5</v>
      </c>
      <c r="K71" s="124">
        <f>IF('PS-A5'!K35=0,"    -",ROUND('PS-A5'!K64/'PS-A5'!K35*100,1))</f>
        <v>77.8</v>
      </c>
      <c r="L71" s="125">
        <f>IF('PS-A5'!L35=0,"    -",ROUND('PS-A5'!L64/'PS-A5'!L35*100,1))</f>
        <v>77.5</v>
      </c>
      <c r="M71" s="123">
        <f>IF('PS-A5'!M35=0,"    -",ROUND('PS-A5'!M64/'PS-A5'!M35*100,1))</f>
        <v>77.900000000000006</v>
      </c>
      <c r="N71" s="123">
        <f>IF('PS-A5'!N35=0,"    -",ROUND('PS-A5'!N64/'PS-A5'!N35*100,1))</f>
        <v>76.599999999999994</v>
      </c>
      <c r="O71" s="123">
        <f>IF('PS-A5'!O35=0,"    -",ROUND('PS-A5'!O64/'PS-A5'!O35*100,1))</f>
        <v>77.2</v>
      </c>
      <c r="P71" s="123">
        <f>IF('PS-A5'!P35=0,"    -",ROUND('PS-A5'!P64/'PS-A5'!P35*100,1))</f>
        <v>77.7</v>
      </c>
      <c r="Q71" s="126">
        <f>IF('PS-A5'!Q35=0,"    -",ROUND('PS-A5'!Q64/'PS-A5'!Q35*100,1))</f>
        <v>78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203" priority="5">
      <formula>CELL("protect",C75)=0</formula>
    </cfRule>
    <cfRule type="expression" dxfId="202" priority="6">
      <formula>CELL("protect",C75)=0</formula>
    </cfRule>
  </conditionalFormatting>
  <conditionalFormatting sqref="C73">
    <cfRule type="expression" dxfId="201" priority="3">
      <formula>CELL("protect",C73)=0</formula>
    </cfRule>
    <cfRule type="expression" dxfId="200" priority="4">
      <formula>CELL("protect",C73)=0</formula>
    </cfRule>
  </conditionalFormatting>
  <conditionalFormatting sqref="C75">
    <cfRule type="expression" dxfId="199" priority="1">
      <formula>CELL("protect",C75)=0</formula>
    </cfRule>
    <cfRule type="expression" dxfId="198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&amp;C167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5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'SM-A6'!D36-'SM-A6'!D65</f>
        <v>503</v>
      </c>
      <c r="E7" s="240">
        <f>'SM-A6'!E36-'SM-A6'!E65</f>
        <v>455</v>
      </c>
      <c r="F7" s="240">
        <f>'SM-A6'!F36-'SM-A6'!F65</f>
        <v>458</v>
      </c>
      <c r="G7" s="240">
        <f>'SM-A6'!G36-'SM-A6'!G65</f>
        <v>318</v>
      </c>
      <c r="H7" s="240">
        <f>'SM-A6'!H36-'SM-A6'!H65</f>
        <v>628</v>
      </c>
      <c r="I7" s="240">
        <f>'SM-A6'!I36-'SM-A6'!I65</f>
        <v>373</v>
      </c>
      <c r="J7" s="240">
        <f>'SM-A6'!J36-'SM-A6'!J65</f>
        <v>487</v>
      </c>
      <c r="K7" s="241">
        <f>'SM-A6'!K36-'SM-A6'!K65</f>
        <v>468</v>
      </c>
      <c r="L7" s="242">
        <f>'SM-A6'!L36-'SM-A6'!L65</f>
        <v>400</v>
      </c>
      <c r="M7" s="240">
        <f>'SM-A6'!M36-'SM-A6'!M65</f>
        <v>400</v>
      </c>
      <c r="N7" s="240">
        <f>'SM-A6'!N36-'SM-A6'!N65</f>
        <v>450</v>
      </c>
      <c r="O7" s="240">
        <f>'SM-A6'!O36-'SM-A6'!O65</f>
        <v>400</v>
      </c>
      <c r="P7" s="240">
        <f>'SM-A6'!P36-'SM-A6'!P65</f>
        <v>420</v>
      </c>
      <c r="Q7" s="243">
        <f>'SM-A6'!Q36-'SM-A6'!Q65</f>
        <v>420</v>
      </c>
    </row>
    <row r="8" spans="2:19" ht="16.5" customHeight="1">
      <c r="B8" s="605" t="s">
        <v>434</v>
      </c>
      <c r="C8" s="606"/>
      <c r="D8" s="239">
        <f>'SM-A6'!D37-'SM-A6'!D66</f>
        <v>-73</v>
      </c>
      <c r="E8" s="240">
        <f>'SM-A6'!E37-'SM-A6'!E66</f>
        <v>-98</v>
      </c>
      <c r="F8" s="240">
        <f>'SM-A6'!F37-'SM-A6'!F66</f>
        <v>-32</v>
      </c>
      <c r="G8" s="240">
        <f>'SM-A6'!G37-'SM-A6'!G66</f>
        <v>120</v>
      </c>
      <c r="H8" s="240">
        <f>'SM-A6'!H37-'SM-A6'!H66</f>
        <v>180</v>
      </c>
      <c r="I8" s="240">
        <f>'SM-A6'!I37-'SM-A6'!I66</f>
        <v>156</v>
      </c>
      <c r="J8" s="240">
        <f>'SM-A6'!J37-'SM-A6'!J66</f>
        <v>233</v>
      </c>
      <c r="K8" s="241">
        <f>'SM-A6'!K37-'SM-A6'!K66</f>
        <v>-90</v>
      </c>
      <c r="L8" s="242">
        <f>'SM-A6'!L37-'SM-A6'!L66</f>
        <v>50</v>
      </c>
      <c r="M8" s="240">
        <f>'SM-A6'!M37-'SM-A6'!M66</f>
        <v>50</v>
      </c>
      <c r="N8" s="240">
        <f>'SM-A6'!N37-'SM-A6'!N66</f>
        <v>50</v>
      </c>
      <c r="O8" s="240">
        <f>'SM-A6'!O37-'SM-A6'!O66</f>
        <v>50</v>
      </c>
      <c r="P8" s="240">
        <f>'SM-A6'!P37-'SM-A6'!P66</f>
        <v>50</v>
      </c>
      <c r="Q8" s="243">
        <f>'SM-A6'!Q37-'SM-A6'!Q66</f>
        <v>50</v>
      </c>
    </row>
    <row r="9" spans="2:19" ht="16.5" customHeight="1">
      <c r="B9" s="605" t="s">
        <v>435</v>
      </c>
      <c r="C9" s="606"/>
      <c r="D9" s="239">
        <f>'SM-A6'!D38-'SM-A6'!D67</f>
        <v>627</v>
      </c>
      <c r="E9" s="240">
        <f>'SM-A6'!E38-'SM-A6'!E67</f>
        <v>577</v>
      </c>
      <c r="F9" s="240">
        <f>'SM-A6'!F38-'SM-A6'!F67</f>
        <v>702</v>
      </c>
      <c r="G9" s="240">
        <f>'SM-A6'!G38-'SM-A6'!G67</f>
        <v>705.4</v>
      </c>
      <c r="H9" s="240">
        <f>'SM-A6'!H38-'SM-A6'!H67</f>
        <v>547.82299999999998</v>
      </c>
      <c r="I9" s="240">
        <f>'SM-A6'!I38-'SM-A6'!I67</f>
        <v>710.096</v>
      </c>
      <c r="J9" s="240">
        <f>'SM-A6'!J38-'SM-A6'!J67</f>
        <v>488</v>
      </c>
      <c r="K9" s="241">
        <f>'SM-A6'!K38-'SM-A6'!K67</f>
        <v>676</v>
      </c>
      <c r="L9" s="242">
        <f>'SM-A6'!L38-'SM-A6'!L67</f>
        <v>627</v>
      </c>
      <c r="M9" s="240">
        <f>'SM-A6'!M38-'SM-A6'!M67</f>
        <v>575</v>
      </c>
      <c r="N9" s="240">
        <f>'SM-A6'!N38-'SM-A6'!N67</f>
        <v>627</v>
      </c>
      <c r="O9" s="240">
        <f>'SM-A6'!O38-'SM-A6'!O67</f>
        <v>593</v>
      </c>
      <c r="P9" s="240">
        <f>'SM-A6'!P38-'SM-A6'!P67</f>
        <v>627</v>
      </c>
      <c r="Q9" s="243">
        <f>'SM-A6'!Q38-'SM-A6'!Q67</f>
        <v>627</v>
      </c>
    </row>
    <row r="10" spans="2:19" ht="16.5" customHeight="1">
      <c r="B10" s="605" t="s">
        <v>436</v>
      </c>
      <c r="C10" s="606"/>
      <c r="D10" s="239">
        <f>'SM-A6'!D39-'SM-A6'!D68</f>
        <v>-3174</v>
      </c>
      <c r="E10" s="240">
        <f>'SM-A6'!E39-'SM-A6'!E68</f>
        <v>-3408</v>
      </c>
      <c r="F10" s="240">
        <f>'SM-A6'!F39-'SM-A6'!F68</f>
        <v>-3381</v>
      </c>
      <c r="G10" s="240">
        <f>'SM-A6'!G39-'SM-A6'!G68</f>
        <v>-3587</v>
      </c>
      <c r="H10" s="240">
        <f>'SM-A6'!H39-'SM-A6'!H68</f>
        <v>-3772</v>
      </c>
      <c r="I10" s="240">
        <f>'SM-A6'!I39-'SM-A6'!I68</f>
        <v>-3647</v>
      </c>
      <c r="J10" s="240">
        <f>'SM-A6'!J39-'SM-A6'!J68</f>
        <v>-3493</v>
      </c>
      <c r="K10" s="241">
        <f>'SM-A6'!K39-'SM-A6'!K68</f>
        <v>-3187</v>
      </c>
      <c r="L10" s="242">
        <f>'SM-A6'!L39-'SM-A6'!L68</f>
        <v>-2657</v>
      </c>
      <c r="M10" s="240">
        <f>'SM-A6'!M39-'SM-A6'!M68</f>
        <v>-2453</v>
      </c>
      <c r="N10" s="240">
        <f>'SM-A6'!N39-'SM-A6'!N68</f>
        <v>-2106</v>
      </c>
      <c r="O10" s="240">
        <f>'SM-A6'!O39-'SM-A6'!O68</f>
        <v>-1785</v>
      </c>
      <c r="P10" s="240">
        <f>'SM-A6'!P39-'SM-A6'!P68</f>
        <v>-1439</v>
      </c>
      <c r="Q10" s="243">
        <f>'SM-A6'!Q39-'SM-A6'!Q68</f>
        <v>-1245</v>
      </c>
    </row>
    <row r="11" spans="2:19" ht="16.5" customHeight="1">
      <c r="B11" s="605" t="s">
        <v>437</v>
      </c>
      <c r="C11" s="606"/>
      <c r="D11" s="239">
        <f>'SM-A6'!D40-'SM-A6'!D69</f>
        <v>-94</v>
      </c>
      <c r="E11" s="240">
        <f>'SM-A6'!E40-'SM-A6'!E69</f>
        <v>-45</v>
      </c>
      <c r="F11" s="240">
        <f>'SM-A6'!F40-'SM-A6'!F69</f>
        <v>-45</v>
      </c>
      <c r="G11" s="240">
        <f>'SM-A6'!G40-'SM-A6'!G69</f>
        <v>-37.384000000000015</v>
      </c>
      <c r="H11" s="240">
        <f>'SM-A6'!H40-'SM-A6'!H69</f>
        <v>-26.70599999999996</v>
      </c>
      <c r="I11" s="240">
        <f>'SM-A6'!I40-'SM-A6'!I69</f>
        <v>-28.365000000000009</v>
      </c>
      <c r="J11" s="240">
        <f>'SM-A6'!J40-'SM-A6'!J69</f>
        <v>-75.586999999999989</v>
      </c>
      <c r="K11" s="241">
        <f>'SM-A6'!K40-'SM-A6'!K69</f>
        <v>-55.161000000000058</v>
      </c>
      <c r="L11" s="242">
        <f>'SM-A6'!L40-'SM-A6'!L69</f>
        <v>-51.161000000000058</v>
      </c>
      <c r="M11" s="240">
        <f>'SM-A6'!M40-'SM-A6'!M69</f>
        <v>-51.161000000000058</v>
      </c>
      <c r="N11" s="240">
        <f>'SM-A6'!N40-'SM-A6'!N69</f>
        <v>-51.161000000000058</v>
      </c>
      <c r="O11" s="240">
        <f>'SM-A6'!O40-'SM-A6'!O69</f>
        <v>-51.161000000000058</v>
      </c>
      <c r="P11" s="240">
        <f>'SM-A6'!P40-'SM-A6'!P69</f>
        <v>-51.161000000000058</v>
      </c>
      <c r="Q11" s="243">
        <f>'SM-A6'!Q40-'SM-A6'!Q69</f>
        <v>-51.161000000000058</v>
      </c>
    </row>
    <row r="12" spans="2:19" ht="16.5" customHeight="1">
      <c r="B12" s="605" t="s">
        <v>438</v>
      </c>
      <c r="C12" s="606"/>
      <c r="D12" s="239">
        <f>'SM-A6'!D41-'SM-A6'!D70</f>
        <v>45.933500000000009</v>
      </c>
      <c r="E12" s="240">
        <f>'SM-A6'!E41-'SM-A6'!E70</f>
        <v>93</v>
      </c>
      <c r="F12" s="240">
        <f>'SM-A6'!F41-'SM-A6'!F70</f>
        <v>80</v>
      </c>
      <c r="G12" s="240">
        <f>'SM-A6'!G41-'SM-A6'!G70</f>
        <v>74</v>
      </c>
      <c r="H12" s="240">
        <f>'SM-A6'!H41-'SM-A6'!H70</f>
        <v>100</v>
      </c>
      <c r="I12" s="240">
        <f>'SM-A6'!I41-'SM-A6'!I70</f>
        <v>100</v>
      </c>
      <c r="J12" s="240">
        <f>'SM-A6'!J41-'SM-A6'!J70</f>
        <v>15</v>
      </c>
      <c r="K12" s="241">
        <f>'SM-A6'!K41-'SM-A6'!K70</f>
        <v>180</v>
      </c>
      <c r="L12" s="242">
        <f>'SM-A6'!L41-'SM-A6'!L70</f>
        <v>-10</v>
      </c>
      <c r="M12" s="240">
        <f>'SM-A6'!M41-'SM-A6'!M70</f>
        <v>-25</v>
      </c>
      <c r="N12" s="240">
        <f>'SM-A6'!N41-'SM-A6'!N70</f>
        <v>-20</v>
      </c>
      <c r="O12" s="240">
        <f>'SM-A6'!O41-'SM-A6'!O70</f>
        <v>-40</v>
      </c>
      <c r="P12" s="240">
        <f>'SM-A6'!P41-'SM-A6'!P70</f>
        <v>-60</v>
      </c>
      <c r="Q12" s="243">
        <f>'SM-A6'!Q41-'SM-A6'!Q70</f>
        <v>-75</v>
      </c>
    </row>
    <row r="13" spans="2:19" ht="16.5" customHeight="1">
      <c r="B13" s="605" t="s">
        <v>439</v>
      </c>
      <c r="C13" s="606"/>
      <c r="D13" s="239">
        <f>'SM-A6'!D42-'SM-A6'!D71</f>
        <v>-472</v>
      </c>
      <c r="E13" s="240">
        <f>'SM-A6'!E42-'SM-A6'!E71</f>
        <v>-525</v>
      </c>
      <c r="F13" s="240">
        <f>'SM-A6'!F42-'SM-A6'!F71</f>
        <v>-585</v>
      </c>
      <c r="G13" s="240">
        <f>'SM-A6'!G42-'SM-A6'!G71</f>
        <v>-551</v>
      </c>
      <c r="H13" s="240">
        <f>'SM-A6'!H42-'SM-A6'!H71</f>
        <v>-990</v>
      </c>
      <c r="I13" s="240">
        <f>'SM-A6'!I42-'SM-A6'!I71</f>
        <v>-1644</v>
      </c>
      <c r="J13" s="240">
        <f>'SM-A6'!J42-'SM-A6'!J71</f>
        <v>-610</v>
      </c>
      <c r="K13" s="241">
        <f>'SM-A6'!K42-'SM-A6'!K71</f>
        <v>-800</v>
      </c>
      <c r="L13" s="242">
        <f>'SM-A6'!L42-'SM-A6'!L71</f>
        <v>-900</v>
      </c>
      <c r="M13" s="240">
        <f>'SM-A6'!M42-'SM-A6'!M71</f>
        <v>-900</v>
      </c>
      <c r="N13" s="240">
        <f>'SM-A6'!N42-'SM-A6'!N71</f>
        <v>-900</v>
      </c>
      <c r="O13" s="240">
        <f>'SM-A6'!O42-'SM-A6'!O71</f>
        <v>-1000</v>
      </c>
      <c r="P13" s="240">
        <f>'SM-A6'!P42-'SM-A6'!P71</f>
        <v>-1000</v>
      </c>
      <c r="Q13" s="243">
        <f>'SM-A6'!Q42-'SM-A6'!Q71</f>
        <v>-1000</v>
      </c>
    </row>
    <row r="14" spans="2:19" ht="18" hidden="1" customHeight="1">
      <c r="B14" s="16"/>
      <c r="C14" s="90" t="s">
        <v>306</v>
      </c>
      <c r="D14" s="239">
        <f>'SM-A6'!D43-'SM-A6'!D72</f>
        <v>0</v>
      </c>
      <c r="E14" s="240">
        <f>'SM-A6'!E43-'SM-A6'!E72</f>
        <v>0</v>
      </c>
      <c r="F14" s="240">
        <f>'SM-A6'!F43-'SM-A6'!F72</f>
        <v>0</v>
      </c>
      <c r="G14" s="240">
        <f>'SM-A6'!G43-'SM-A6'!G72</f>
        <v>0</v>
      </c>
      <c r="H14" s="240">
        <f>'SM-A6'!H43-'SM-A6'!H72</f>
        <v>0</v>
      </c>
      <c r="I14" s="240">
        <f>'SM-A6'!I43-'SM-A6'!I72</f>
        <v>0</v>
      </c>
      <c r="J14" s="240">
        <f>'SM-A6'!J43-'SM-A6'!J72</f>
        <v>0</v>
      </c>
      <c r="K14" s="241">
        <f>'SM-A6'!K43-'SM-A6'!K72</f>
        <v>0</v>
      </c>
      <c r="L14" s="242">
        <f>'SM-A6'!L43-'SM-A6'!L72</f>
        <v>0</v>
      </c>
      <c r="M14" s="240">
        <f>'SM-A6'!M43-'SM-A6'!M72</f>
        <v>0</v>
      </c>
      <c r="N14" s="240">
        <f>'SM-A6'!N43-'SM-A6'!N72</f>
        <v>0</v>
      </c>
      <c r="O14" s="240">
        <f>'SM-A6'!O43-'SM-A6'!O72</f>
        <v>0</v>
      </c>
      <c r="P14" s="240">
        <f>'SM-A6'!P43-'SM-A6'!P72</f>
        <v>0</v>
      </c>
      <c r="Q14" s="243">
        <f>'SM-A6'!Q43-'SM-A6'!Q72</f>
        <v>0</v>
      </c>
    </row>
    <row r="15" spans="2:19" ht="16.5" customHeight="1">
      <c r="B15" s="605" t="s">
        <v>440</v>
      </c>
      <c r="C15" s="606"/>
      <c r="D15" s="239">
        <f>'SM-A6'!D44-'SM-A6'!D73</f>
        <v>-12</v>
      </c>
      <c r="E15" s="240">
        <f>'SM-A6'!E44-'SM-A6'!E73</f>
        <v>-13</v>
      </c>
      <c r="F15" s="240">
        <f>'SM-A6'!F44-'SM-A6'!F73</f>
        <v>-14</v>
      </c>
      <c r="G15" s="240">
        <f>'SM-A6'!G44-'SM-A6'!G73</f>
        <v>-15</v>
      </c>
      <c r="H15" s="240">
        <f>'SM-A6'!H44-'SM-A6'!H73</f>
        <v>-15</v>
      </c>
      <c r="I15" s="240">
        <f>'SM-A6'!I44-'SM-A6'!I73</f>
        <v>-15</v>
      </c>
      <c r="J15" s="240">
        <f>'SM-A6'!J44-'SM-A6'!J73</f>
        <v>-15</v>
      </c>
      <c r="K15" s="241">
        <f>'SM-A6'!K44-'SM-A6'!K73</f>
        <v>-16</v>
      </c>
      <c r="L15" s="242">
        <f>'SM-A6'!L44-'SM-A6'!L73</f>
        <v>-17</v>
      </c>
      <c r="M15" s="240">
        <f>'SM-A6'!M44-'SM-A6'!M73</f>
        <v>-18</v>
      </c>
      <c r="N15" s="240">
        <f>'SM-A6'!N44-'SM-A6'!N73</f>
        <v>-19</v>
      </c>
      <c r="O15" s="240">
        <f>'SM-A6'!O44-'SM-A6'!O73</f>
        <v>-20</v>
      </c>
      <c r="P15" s="240">
        <f>'SM-A6'!P44-'SM-A6'!P73</f>
        <v>-21</v>
      </c>
      <c r="Q15" s="243">
        <f>'SM-A6'!Q44-'SM-A6'!Q73</f>
        <v>-22</v>
      </c>
    </row>
    <row r="16" spans="2:19" ht="16.5" customHeight="1">
      <c r="B16" s="605" t="s">
        <v>441</v>
      </c>
      <c r="C16" s="606"/>
      <c r="D16" s="239">
        <f>'SM-A6'!D45-'SM-A6'!D74</f>
        <v>-112.36363636363637</v>
      </c>
      <c r="E16" s="240">
        <f>'SM-A6'!E45-'SM-A6'!E74</f>
        <v>-113</v>
      </c>
      <c r="F16" s="240">
        <f>'SM-A6'!F45-'SM-A6'!F74</f>
        <v>-113</v>
      </c>
      <c r="G16" s="240">
        <f>'SM-A6'!G45-'SM-A6'!G74</f>
        <v>-66.539000000000016</v>
      </c>
      <c r="H16" s="240">
        <f>'SM-A6'!H45-'SM-A6'!H74</f>
        <v>-79.582000000000022</v>
      </c>
      <c r="I16" s="240">
        <f>'SM-A6'!I45-'SM-A6'!I74</f>
        <v>-83.340000000000032</v>
      </c>
      <c r="J16" s="240">
        <f>'SM-A6'!J45-'SM-A6'!J74</f>
        <v>-124.84199999999998</v>
      </c>
      <c r="K16" s="241">
        <f>'SM-A6'!K45-'SM-A6'!K74</f>
        <v>-141.41499999999999</v>
      </c>
      <c r="L16" s="242">
        <f>'SM-A6'!L45-'SM-A6'!L74</f>
        <v>-141.41499999999999</v>
      </c>
      <c r="M16" s="240">
        <f>'SM-A6'!M45-'SM-A6'!M74</f>
        <v>-141.41499999999999</v>
      </c>
      <c r="N16" s="240">
        <f>'SM-A6'!N45-'SM-A6'!N74</f>
        <v>-141.41499999999999</v>
      </c>
      <c r="O16" s="240">
        <f>'SM-A6'!O45-'SM-A6'!O74</f>
        <v>-141.41499999999999</v>
      </c>
      <c r="P16" s="240">
        <f>'SM-A6'!P45-'SM-A6'!P74</f>
        <v>-141.41499999999999</v>
      </c>
      <c r="Q16" s="243">
        <f>'SM-A6'!Q45-'SM-A6'!Q74</f>
        <v>-141.41499999999999</v>
      </c>
    </row>
    <row r="17" spans="2:17" ht="16.5" customHeight="1">
      <c r="B17" s="605" t="s">
        <v>442</v>
      </c>
      <c r="C17" s="606"/>
      <c r="D17" s="239">
        <f>'SM-A6'!D46-'SM-A6'!D75</f>
        <v>-18</v>
      </c>
      <c r="E17" s="240">
        <f>'SM-A6'!E46-'SM-A6'!E75</f>
        <v>-19</v>
      </c>
      <c r="F17" s="240">
        <f>'SM-A6'!F46-'SM-A6'!F75</f>
        <v>-71</v>
      </c>
      <c r="G17" s="240">
        <f>'SM-A6'!G46-'SM-A6'!G75</f>
        <v>-72</v>
      </c>
      <c r="H17" s="240">
        <f>'SM-A6'!H46-'SM-A6'!H75</f>
        <v>-75</v>
      </c>
      <c r="I17" s="240">
        <f>'SM-A6'!I46-'SM-A6'!I75</f>
        <v>-79</v>
      </c>
      <c r="J17" s="240">
        <f>'SM-A6'!J46-'SM-A6'!J75</f>
        <v>-72</v>
      </c>
      <c r="K17" s="241">
        <f>'SM-A6'!K46-'SM-A6'!K75</f>
        <v>-147</v>
      </c>
      <c r="L17" s="242">
        <f>'SM-A6'!L46-'SM-A6'!L75</f>
        <v>-155</v>
      </c>
      <c r="M17" s="240">
        <f>'SM-A6'!M46-'SM-A6'!M75</f>
        <v>-164</v>
      </c>
      <c r="N17" s="240">
        <f>'SM-A6'!N46-'SM-A6'!N75</f>
        <v>-174</v>
      </c>
      <c r="O17" s="240">
        <f>'SM-A6'!O46-'SM-A6'!O75</f>
        <v>-184</v>
      </c>
      <c r="P17" s="240">
        <f>'SM-A6'!P46-'SM-A6'!P75</f>
        <v>-195</v>
      </c>
      <c r="Q17" s="243">
        <f>'SM-A6'!Q46-'SM-A6'!Q75</f>
        <v>-206</v>
      </c>
    </row>
    <row r="18" spans="2:17" ht="16.5" customHeight="1">
      <c r="B18" s="607" t="s">
        <v>443</v>
      </c>
      <c r="C18" s="608"/>
      <c r="D18" s="239">
        <f>'SM-A6'!D47-'SM-A6'!D76</f>
        <v>1398.4499999999998</v>
      </c>
      <c r="E18" s="240">
        <f>'SM-A6'!E47-'SM-A6'!E76</f>
        <v>1275.4000000000001</v>
      </c>
      <c r="F18" s="240">
        <f>'SM-A6'!F47-'SM-A6'!F76</f>
        <v>1003.2</v>
      </c>
      <c r="G18" s="240">
        <f>'SM-A6'!G47-'SM-A6'!G76</f>
        <v>1165.3</v>
      </c>
      <c r="H18" s="240">
        <f>'SM-A6'!H47-'SM-A6'!H76</f>
        <v>1060.8</v>
      </c>
      <c r="I18" s="240">
        <f>'SM-A6'!I47-'SM-A6'!I76</f>
        <v>1000.0340000000001</v>
      </c>
      <c r="J18" s="240">
        <f>'SM-A6'!J47-'SM-A6'!J76</f>
        <v>542.31299999999987</v>
      </c>
      <c r="K18" s="241">
        <f>'SM-A6'!K47-'SM-A6'!K76</f>
        <v>617</v>
      </c>
      <c r="L18" s="242">
        <f>'SM-A6'!L47-'SM-A6'!L76</f>
        <v>548.79999999999995</v>
      </c>
      <c r="M18" s="240">
        <f>'SM-A6'!M47-'SM-A6'!M76</f>
        <v>386</v>
      </c>
      <c r="N18" s="240">
        <f>'SM-A6'!N47-'SM-A6'!N76</f>
        <v>410</v>
      </c>
      <c r="O18" s="240">
        <f>'SM-A6'!O47-'SM-A6'!O76</f>
        <v>439</v>
      </c>
      <c r="P18" s="240">
        <f>'SM-A6'!P47-'SM-A6'!P76</f>
        <v>358</v>
      </c>
      <c r="Q18" s="243">
        <f>'SM-A6'!Q47-'SM-A6'!Q76</f>
        <v>447</v>
      </c>
    </row>
    <row r="19" spans="2:17" ht="17.25" customHeight="1">
      <c r="B19" s="674" t="s">
        <v>307</v>
      </c>
      <c r="C19" s="675"/>
      <c r="D19" s="244">
        <f t="shared" ref="D19:K19" si="0">SUM(D7:D18)</f>
        <v>-1380.9801363636366</v>
      </c>
      <c r="E19" s="245">
        <f t="shared" si="0"/>
        <v>-1820.6</v>
      </c>
      <c r="F19" s="245">
        <f t="shared" si="0"/>
        <v>-1997.8</v>
      </c>
      <c r="G19" s="245">
        <f t="shared" si="0"/>
        <v>-1946.2230000000002</v>
      </c>
      <c r="H19" s="245">
        <f t="shared" si="0"/>
        <v>-2441.665</v>
      </c>
      <c r="I19" s="245">
        <f t="shared" si="0"/>
        <v>-3157.5750000000003</v>
      </c>
      <c r="J19" s="245">
        <f t="shared" si="0"/>
        <v>-2625.116</v>
      </c>
      <c r="K19" s="246">
        <f t="shared" si="0"/>
        <v>-2495.576</v>
      </c>
      <c r="L19" s="247">
        <f t="shared" ref="L19:Q19" si="1">SUM(L7:L18)</f>
        <v>-2305.7759999999998</v>
      </c>
      <c r="M19" s="245">
        <f t="shared" si="1"/>
        <v>-2341.576</v>
      </c>
      <c r="N19" s="245">
        <f t="shared" si="1"/>
        <v>-1874.576</v>
      </c>
      <c r="O19" s="245">
        <f t="shared" si="1"/>
        <v>-1739.576</v>
      </c>
      <c r="P19" s="245">
        <f t="shared" si="1"/>
        <v>-1452.576</v>
      </c>
      <c r="Q19" s="248">
        <f t="shared" si="1"/>
        <v>-1196.576</v>
      </c>
    </row>
    <row r="20" spans="2:17" ht="17.25" customHeight="1">
      <c r="B20" s="672" t="s">
        <v>308</v>
      </c>
      <c r="C20" s="673"/>
      <c r="D20" s="244">
        <f>'SM-A6'!D49-'SM-A6'!D78</f>
        <v>-29</v>
      </c>
      <c r="E20" s="245">
        <f>'SM-A6'!E49-'SM-A6'!E78</f>
        <v>-27</v>
      </c>
      <c r="F20" s="245">
        <f>'SM-A6'!F49-'SM-A6'!F78</f>
        <v>-20</v>
      </c>
      <c r="G20" s="245">
        <f>'SM-A6'!G49-'SM-A6'!G78</f>
        <v>-20</v>
      </c>
      <c r="H20" s="245">
        <f>'SM-A6'!H49-'SM-A6'!H78</f>
        <v>-20</v>
      </c>
      <c r="I20" s="245">
        <f>'SM-A6'!I49-'SM-A6'!I78</f>
        <v>-20</v>
      </c>
      <c r="J20" s="245">
        <f>'SM-A6'!J49-'SM-A6'!J78</f>
        <v>-14.444000000000001</v>
      </c>
      <c r="K20" s="246">
        <f>'SM-A6'!K49-'SM-A6'!K78</f>
        <v>-20</v>
      </c>
      <c r="L20" s="247">
        <f>'SM-A6'!L49-'SM-A6'!L78</f>
        <v>-20</v>
      </c>
      <c r="M20" s="245">
        <f>'SM-A6'!M49-'SM-A6'!M78</f>
        <v>-20</v>
      </c>
      <c r="N20" s="245">
        <f>'SM-A6'!N49-'SM-A6'!N78</f>
        <v>-20</v>
      </c>
      <c r="O20" s="245">
        <f>'SM-A6'!O49-'SM-A6'!O78</f>
        <v>-20</v>
      </c>
      <c r="P20" s="245">
        <f>'SM-A6'!P49-'SM-A6'!P78</f>
        <v>-20</v>
      </c>
      <c r="Q20" s="248">
        <f>'SM-A6'!Q49-'SM-A6'!Q78</f>
        <v>-20</v>
      </c>
    </row>
    <row r="21" spans="2:17" ht="16.5" customHeight="1">
      <c r="B21" s="105"/>
      <c r="C21" s="97" t="s">
        <v>309</v>
      </c>
      <c r="D21" s="244">
        <f>'SM-A6'!D50-'SM-A6'!D79</f>
        <v>-27</v>
      </c>
      <c r="E21" s="245">
        <f>'SM-A6'!E50-'SM-A6'!E79</f>
        <v>-27</v>
      </c>
      <c r="F21" s="245">
        <f>'SM-A6'!F50-'SM-A6'!F79</f>
        <v>-20</v>
      </c>
      <c r="G21" s="245">
        <f>'SM-A6'!G50-'SM-A6'!G79</f>
        <v>-20</v>
      </c>
      <c r="H21" s="245">
        <f>'SM-A6'!H50-'SM-A6'!H79</f>
        <v>-20</v>
      </c>
      <c r="I21" s="245">
        <f>'SM-A6'!I50-'SM-A6'!I79</f>
        <v>-20</v>
      </c>
      <c r="J21" s="245">
        <f>'SM-A6'!J50-'SM-A6'!J79</f>
        <v>-14.444000000000001</v>
      </c>
      <c r="K21" s="246">
        <f>'SM-A6'!K50-'SM-A6'!K79</f>
        <v>-20</v>
      </c>
      <c r="L21" s="247">
        <f>'SM-A6'!L50-'SM-A6'!L79</f>
        <v>-20</v>
      </c>
      <c r="M21" s="245">
        <f>'SM-A6'!M50-'SM-A6'!M79</f>
        <v>-20</v>
      </c>
      <c r="N21" s="245">
        <f>'SM-A6'!N50-'SM-A6'!N79</f>
        <v>-20</v>
      </c>
      <c r="O21" s="245">
        <f>'SM-A6'!O50-'SM-A6'!O79</f>
        <v>-20</v>
      </c>
      <c r="P21" s="245">
        <f>'SM-A6'!P50-'SM-A6'!P79</f>
        <v>-20</v>
      </c>
      <c r="Q21" s="248">
        <f>'SM-A6'!Q50-'SM-A6'!Q79</f>
        <v>-20</v>
      </c>
    </row>
    <row r="22" spans="2:17" ht="17.25" customHeight="1">
      <c r="B22" s="672" t="s">
        <v>310</v>
      </c>
      <c r="C22" s="673"/>
      <c r="D22" s="239">
        <f>'SM-A6'!D51-'SM-A6'!D80</f>
        <v>-543</v>
      </c>
      <c r="E22" s="240">
        <f>'SM-A6'!E51-'SM-A6'!E80</f>
        <v>-472</v>
      </c>
      <c r="F22" s="240">
        <f>'SM-A6'!F51-'SM-A6'!F80</f>
        <v>-487</v>
      </c>
      <c r="G22" s="240">
        <f>'SM-A6'!G51-'SM-A6'!G80</f>
        <v>-462</v>
      </c>
      <c r="H22" s="240">
        <f>'SM-A6'!H51-'SM-A6'!H80</f>
        <v>-442</v>
      </c>
      <c r="I22" s="240">
        <f>'SM-A6'!I51-'SM-A6'!I80</f>
        <v>-537</v>
      </c>
      <c r="J22" s="240">
        <f>'SM-A6'!J51-'SM-A6'!J80</f>
        <v>-262</v>
      </c>
      <c r="K22" s="241">
        <f>'SM-A6'!K51-'SM-A6'!K80</f>
        <v>-174</v>
      </c>
      <c r="L22" s="242">
        <f>'SM-A6'!L51-'SM-A6'!L80</f>
        <v>-379</v>
      </c>
      <c r="M22" s="240">
        <f>'SM-A6'!M51-'SM-A6'!M80</f>
        <v>-446</v>
      </c>
      <c r="N22" s="240">
        <f>'SM-A6'!N51-'SM-A6'!N80</f>
        <v>-505</v>
      </c>
      <c r="O22" s="240">
        <f>'SM-A6'!O51-'SM-A6'!O80</f>
        <v>-515</v>
      </c>
      <c r="P22" s="240">
        <f>'SM-A6'!P51-'SM-A6'!P80</f>
        <v>-534</v>
      </c>
      <c r="Q22" s="243">
        <f>'SM-A6'!Q51-'SM-A6'!Q80</f>
        <v>-559</v>
      </c>
    </row>
    <row r="23" spans="2:17" ht="16.5" customHeight="1">
      <c r="B23" s="105"/>
      <c r="C23" s="615" t="s">
        <v>311</v>
      </c>
      <c r="D23" s="244">
        <f>'SM-A6'!D52-'SM-A6'!D81</f>
        <v>-202</v>
      </c>
      <c r="E23" s="245">
        <f>'SM-A6'!E52-'SM-A6'!E81</f>
        <v>-231</v>
      </c>
      <c r="F23" s="245">
        <f>'SM-A6'!F52-'SM-A6'!F81</f>
        <v>-220</v>
      </c>
      <c r="G23" s="245">
        <f>'SM-A6'!G52-'SM-A6'!G81</f>
        <v>-245</v>
      </c>
      <c r="H23" s="245">
        <f>'SM-A6'!H52-'SM-A6'!H81</f>
        <v>-226</v>
      </c>
      <c r="I23" s="245">
        <f>'SM-A6'!I52-'SM-A6'!I81</f>
        <v>-260</v>
      </c>
      <c r="J23" s="245">
        <f>'SM-A6'!J52-'SM-A6'!J81</f>
        <v>36</v>
      </c>
      <c r="K23" s="246">
        <f>'SM-A6'!K52-'SM-A6'!K81</f>
        <v>98</v>
      </c>
      <c r="L23" s="247">
        <f>'SM-A6'!L52-'SM-A6'!L81</f>
        <v>-114</v>
      </c>
      <c r="M23" s="245">
        <f>'SM-A6'!M52-'SM-A6'!M81</f>
        <v>-179</v>
      </c>
      <c r="N23" s="245">
        <f>'SM-A6'!N52-'SM-A6'!N81</f>
        <v>-230</v>
      </c>
      <c r="O23" s="245">
        <f>'SM-A6'!O52-'SM-A6'!O81</f>
        <v>-239</v>
      </c>
      <c r="P23" s="245">
        <f>'SM-A6'!P52-'SM-A6'!P81</f>
        <v>-249</v>
      </c>
      <c r="Q23" s="248">
        <f>'SM-A6'!Q52-'SM-A6'!Q81</f>
        <v>-250</v>
      </c>
    </row>
    <row r="24" spans="2:17" ht="17.25" customHeight="1">
      <c r="B24" s="672" t="s">
        <v>312</v>
      </c>
      <c r="C24" s="673"/>
      <c r="D24" s="239">
        <f>'SM-A6'!D53-'SM-A6'!D82</f>
        <v>1870</v>
      </c>
      <c r="E24" s="240">
        <f>'SM-A6'!E53-'SM-A6'!E82</f>
        <v>1761</v>
      </c>
      <c r="F24" s="240">
        <f>'SM-A6'!F53-'SM-A6'!F82</f>
        <v>1793.25262626263</v>
      </c>
      <c r="G24" s="240">
        <f>'SM-A6'!G53-'SM-A6'!G82</f>
        <v>1770.8036117845099</v>
      </c>
      <c r="H24" s="240">
        <f>'SM-A6'!H53-'SM-A6'!H82</f>
        <v>1800.4077654377099</v>
      </c>
      <c r="I24" s="240">
        <f>'SM-A6'!I53-'SM-A6'!I82</f>
        <v>1760.4685577499999</v>
      </c>
      <c r="J24" s="240">
        <f>'SM-A6'!J53-'SM-A6'!J82</f>
        <v>1737.4419856374998</v>
      </c>
      <c r="K24" s="241">
        <f>'SM-A6'!K53-'SM-A6'!K82</f>
        <v>1708.8140849193749</v>
      </c>
      <c r="L24" s="242">
        <f>'SM-A6'!L53-'SM-A6'!L82</f>
        <v>1691.5047891653435</v>
      </c>
      <c r="M24" s="240">
        <f>'SM-A6'!M53-'SM-A6'!M82</f>
        <v>1692</v>
      </c>
      <c r="N24" s="240">
        <f>'SM-A6'!N53-'SM-A6'!N82</f>
        <v>1720</v>
      </c>
      <c r="O24" s="240">
        <f>'SM-A6'!O53-'SM-A6'!O82</f>
        <v>1781.4300286236107</v>
      </c>
      <c r="P24" s="240">
        <f>'SM-A6'!P53-'SM-A6'!P82</f>
        <v>1812</v>
      </c>
      <c r="Q24" s="243">
        <f>'SM-A6'!Q53-'SM-A6'!Q82</f>
        <v>1865</v>
      </c>
    </row>
    <row r="25" spans="2:17" ht="16.5" customHeight="1">
      <c r="B25" s="16"/>
      <c r="C25" s="615" t="s">
        <v>313</v>
      </c>
      <c r="D25" s="244">
        <f>'SM-A6'!D54-'SM-A6'!D83</f>
        <v>1381</v>
      </c>
      <c r="E25" s="245">
        <f>'SM-A6'!E54-'SM-A6'!E83</f>
        <v>1202</v>
      </c>
      <c r="F25" s="245">
        <f>'SM-A6'!F54-'SM-A6'!F83</f>
        <v>1182.0287878787901</v>
      </c>
      <c r="G25" s="245">
        <f>'SM-A6'!G54-'SM-A6'!G83</f>
        <v>1165</v>
      </c>
      <c r="H25" s="245">
        <f>'SM-A6'!H54-'SM-A6'!H83</f>
        <v>1127.5822643097601</v>
      </c>
      <c r="I25" s="245">
        <f>'SM-A6'!I54-'SM-A6'!I83</f>
        <v>1221.2573769230769</v>
      </c>
      <c r="J25" s="245">
        <f>'SM-A6'!J54-'SM-A6'!J83</f>
        <v>1154.6502747692307</v>
      </c>
      <c r="K25" s="246">
        <f>'SM-A6'!K54-'SM-A6'!K83</f>
        <v>1176.1505018789744</v>
      </c>
      <c r="L25" s="247">
        <f>'SM-A6'!L54-'SM-A6'!L83</f>
        <v>1159.9861317728819</v>
      </c>
      <c r="M25" s="245">
        <f>'SM-A6'!M54-'SM-A6'!M83</f>
        <v>1142.051282051282</v>
      </c>
      <c r="N25" s="245">
        <f>'SM-A6'!N54-'SM-A6'!N83</f>
        <v>1147.4358974358975</v>
      </c>
      <c r="O25" s="245">
        <f>'SM-A6'!O54-'SM-A6'!O83</f>
        <v>1145.1282051282051</v>
      </c>
      <c r="P25" s="245">
        <f>'SM-A6'!P54-'SM-A6'!P83</f>
        <v>1152</v>
      </c>
      <c r="Q25" s="248">
        <f>'SM-A6'!Q54-'SM-A6'!Q83</f>
        <v>1173</v>
      </c>
    </row>
    <row r="26" spans="2:17" ht="17.25" customHeight="1">
      <c r="B26" s="674" t="s">
        <v>314</v>
      </c>
      <c r="C26" s="675"/>
      <c r="D26" s="244">
        <f>'SM-A6'!D55-'SM-A6'!D84</f>
        <v>-38</v>
      </c>
      <c r="E26" s="245">
        <f>'SM-A6'!E55-'SM-A6'!E84</f>
        <v>-35</v>
      </c>
      <c r="F26" s="245">
        <f>'SM-A6'!F55-'SM-A6'!F84</f>
        <v>-40.25</v>
      </c>
      <c r="G26" s="245">
        <f>'SM-A6'!G55-'SM-A6'!G84</f>
        <v>-40.25</v>
      </c>
      <c r="H26" s="245">
        <f>'SM-A6'!H55-'SM-A6'!H84</f>
        <v>-46.287499999999994</v>
      </c>
      <c r="I26" s="245">
        <f>'SM-A6'!I55-'SM-A6'!I84</f>
        <v>-160</v>
      </c>
      <c r="J26" s="245">
        <f>'SM-A6'!J55-'SM-A6'!J84</f>
        <v>-180</v>
      </c>
      <c r="K26" s="246">
        <f>'SM-A6'!K55-'SM-A6'!K84</f>
        <v>-185</v>
      </c>
      <c r="L26" s="247">
        <f>'SM-A6'!L55-'SM-A6'!L84</f>
        <v>-190</v>
      </c>
      <c r="M26" s="245">
        <f>'SM-A6'!M55-'SM-A6'!M84</f>
        <v>-195</v>
      </c>
      <c r="N26" s="245">
        <f>'SM-A6'!N55-'SM-A6'!N84</f>
        <v>-197</v>
      </c>
      <c r="O26" s="245">
        <f>'SM-A6'!O55-'SM-A6'!O84</f>
        <v>-202</v>
      </c>
      <c r="P26" s="245">
        <f>'SM-A6'!P55-'SM-A6'!P84</f>
        <v>-204</v>
      </c>
      <c r="Q26" s="248">
        <f>'SM-A6'!Q55-'SM-A6'!Q84</f>
        <v>-206</v>
      </c>
    </row>
    <row r="27" spans="2:17" ht="17.25" customHeight="1">
      <c r="B27" s="674" t="s">
        <v>315</v>
      </c>
      <c r="C27" s="675"/>
      <c r="D27" s="244">
        <f>'SM-A6'!D56-'SM-A6'!D85</f>
        <v>153</v>
      </c>
      <c r="E27" s="245">
        <f>'SM-A6'!E56-'SM-A6'!E85</f>
        <v>98</v>
      </c>
      <c r="F27" s="245">
        <f>'SM-A6'!F56-'SM-A6'!F85</f>
        <v>112.59999999999997</v>
      </c>
      <c r="G27" s="245">
        <f>'SM-A6'!G56-'SM-A6'!G85</f>
        <v>118.60000000000002</v>
      </c>
      <c r="H27" s="245">
        <f>'SM-A6'!H56-'SM-A6'!H85</f>
        <v>84</v>
      </c>
      <c r="I27" s="245">
        <f>'SM-A6'!I56-'SM-A6'!I85</f>
        <v>109</v>
      </c>
      <c r="J27" s="245">
        <f>'SM-A6'!J56-'SM-A6'!J85</f>
        <v>240</v>
      </c>
      <c r="K27" s="246">
        <f>'SM-A6'!K56-'SM-A6'!K85</f>
        <v>202</v>
      </c>
      <c r="L27" s="247">
        <f>'SM-A6'!L56-'SM-A6'!L85</f>
        <v>205.23200000000003</v>
      </c>
      <c r="M27" s="245">
        <f>'SM-A6'!M56-'SM-A6'!M85</f>
        <v>207.90001600000005</v>
      </c>
      <c r="N27" s="245">
        <f>'SM-A6'!N56-'SM-A6'!N85</f>
        <v>211.01851624</v>
      </c>
      <c r="O27" s="245">
        <f>'SM-A6'!O56-'SM-A6'!O85</f>
        <v>214.18379398359991</v>
      </c>
      <c r="P27" s="245">
        <f>'SM-A6'!P56-'SM-A6'!P85</f>
        <v>217.39655089335395</v>
      </c>
      <c r="Q27" s="248">
        <f>'SM-A6'!Q56-'SM-A6'!Q85</f>
        <v>220.65749915675428</v>
      </c>
    </row>
    <row r="28" spans="2:17" ht="16.5" customHeight="1">
      <c r="B28" s="672" t="s">
        <v>316</v>
      </c>
      <c r="C28" s="673"/>
      <c r="D28" s="239">
        <f>'SM-A6'!D57-'SM-A6'!D86</f>
        <v>1754</v>
      </c>
      <c r="E28" s="240">
        <f>'SM-A6'!E57-'SM-A6'!E86</f>
        <v>1726</v>
      </c>
      <c r="F28" s="240">
        <f>'SM-A6'!F57-'SM-A6'!F86</f>
        <v>1698</v>
      </c>
      <c r="G28" s="240">
        <f>'SM-A6'!G57-'SM-A6'!G86</f>
        <v>1670</v>
      </c>
      <c r="H28" s="240">
        <f>'SM-A6'!H57-'SM-A6'!H86</f>
        <v>1641</v>
      </c>
      <c r="I28" s="240">
        <f>'SM-A6'!I57-'SM-A6'!I86</f>
        <v>1572</v>
      </c>
      <c r="J28" s="240">
        <f>'SM-A6'!J57-'SM-A6'!J86</f>
        <v>1526</v>
      </c>
      <c r="K28" s="241">
        <f>'SM-A6'!K57-'SM-A6'!K86</f>
        <v>1461</v>
      </c>
      <c r="L28" s="242">
        <f>'SM-A6'!L57-'SM-A6'!L86</f>
        <v>1374</v>
      </c>
      <c r="M28" s="240">
        <f>'SM-A6'!M57-'SM-A6'!M86</f>
        <v>1295</v>
      </c>
      <c r="N28" s="240">
        <f>'SM-A6'!N57-'SM-A6'!N86</f>
        <v>1237</v>
      </c>
      <c r="O28" s="240">
        <f>'SM-A6'!O57-'SM-A6'!O86</f>
        <v>1132</v>
      </c>
      <c r="P28" s="240">
        <f>'SM-A6'!P57-'SM-A6'!P86</f>
        <v>1082</v>
      </c>
      <c r="Q28" s="243">
        <f>'SM-A6'!Q57-'SM-A6'!Q86</f>
        <v>1035</v>
      </c>
    </row>
    <row r="29" spans="2:17" ht="16.5" customHeight="1">
      <c r="B29" s="670" t="s">
        <v>317</v>
      </c>
      <c r="C29" s="671"/>
      <c r="D29" s="239">
        <f>'SM-A6'!D58-'SM-A6'!D87</f>
        <v>334</v>
      </c>
      <c r="E29" s="240">
        <f>'SM-A6'!E58-'SM-A6'!E87</f>
        <v>376</v>
      </c>
      <c r="F29" s="240">
        <f>'SM-A6'!F58-'SM-A6'!F87</f>
        <v>387</v>
      </c>
      <c r="G29" s="240">
        <f>'SM-A6'!G58-'SM-A6'!G87</f>
        <v>523</v>
      </c>
      <c r="H29" s="240">
        <f>'SM-A6'!H58-'SM-A6'!H87</f>
        <v>516</v>
      </c>
      <c r="I29" s="240">
        <f>'SM-A6'!I58-'SM-A6'!I87</f>
        <v>513</v>
      </c>
      <c r="J29" s="240">
        <f>'SM-A6'!J58-'SM-A6'!J87</f>
        <v>509</v>
      </c>
      <c r="K29" s="241">
        <f>'SM-A6'!K58-'SM-A6'!K87</f>
        <v>504</v>
      </c>
      <c r="L29" s="242">
        <f>'SM-A6'!L58-'SM-A6'!L87</f>
        <v>498</v>
      </c>
      <c r="M29" s="240">
        <f>'SM-A6'!M58-'SM-A6'!M87</f>
        <v>492</v>
      </c>
      <c r="N29" s="240">
        <f>'SM-A6'!N58-'SM-A6'!N87</f>
        <v>487</v>
      </c>
      <c r="O29" s="240">
        <f>'SM-A6'!O58-'SM-A6'!O87</f>
        <v>482</v>
      </c>
      <c r="P29" s="240">
        <f>'SM-A6'!P58-'SM-A6'!P87</f>
        <v>477</v>
      </c>
      <c r="Q29" s="243">
        <f>'SM-A6'!Q58-'SM-A6'!Q87</f>
        <v>472</v>
      </c>
    </row>
    <row r="30" spans="2:17" ht="17.25" customHeight="1">
      <c r="B30" s="674" t="s">
        <v>318</v>
      </c>
      <c r="C30" s="675"/>
      <c r="D30" s="244">
        <f t="shared" ref="D30:K30" si="2">SUM(D28:D29)</f>
        <v>2088</v>
      </c>
      <c r="E30" s="245">
        <f t="shared" si="2"/>
        <v>2102</v>
      </c>
      <c r="F30" s="245">
        <f t="shared" si="2"/>
        <v>2085</v>
      </c>
      <c r="G30" s="245">
        <f t="shared" si="2"/>
        <v>2193</v>
      </c>
      <c r="H30" s="245">
        <f t="shared" si="2"/>
        <v>2157</v>
      </c>
      <c r="I30" s="245">
        <f t="shared" si="2"/>
        <v>2085</v>
      </c>
      <c r="J30" s="245">
        <f t="shared" si="2"/>
        <v>2035</v>
      </c>
      <c r="K30" s="246">
        <f t="shared" si="2"/>
        <v>1965</v>
      </c>
      <c r="L30" s="247">
        <f t="shared" ref="L30:Q30" si="3">SUM(L28:L29)</f>
        <v>1872</v>
      </c>
      <c r="M30" s="245">
        <f t="shared" si="3"/>
        <v>1787</v>
      </c>
      <c r="N30" s="245">
        <f t="shared" si="3"/>
        <v>1724</v>
      </c>
      <c r="O30" s="245">
        <f t="shared" si="3"/>
        <v>1614</v>
      </c>
      <c r="P30" s="245">
        <f t="shared" si="3"/>
        <v>1559</v>
      </c>
      <c r="Q30" s="248">
        <f t="shared" si="3"/>
        <v>1507</v>
      </c>
    </row>
    <row r="31" spans="2:17" ht="16.5" customHeight="1">
      <c r="B31" s="672" t="s">
        <v>319</v>
      </c>
      <c r="C31" s="673"/>
      <c r="D31" s="239">
        <f>'SM-A6'!D60-'SM-A6'!D89</f>
        <v>-474</v>
      </c>
      <c r="E31" s="240">
        <f>'SM-A6'!E60-'SM-A6'!E89</f>
        <v>-470</v>
      </c>
      <c r="F31" s="240">
        <f>'SM-A6'!F60-'SM-A6'!F89</f>
        <v>-571</v>
      </c>
      <c r="G31" s="240">
        <f>'SM-A6'!G60-'SM-A6'!G89</f>
        <v>-533</v>
      </c>
      <c r="H31" s="240">
        <f>'SM-A6'!H60-'SM-A6'!H89</f>
        <v>-548</v>
      </c>
      <c r="I31" s="240">
        <f>'SM-A6'!I60-'SM-A6'!I89</f>
        <v>-565</v>
      </c>
      <c r="J31" s="240">
        <f>'SM-A6'!J60-'SM-A6'!J89</f>
        <v>-580</v>
      </c>
      <c r="K31" s="241">
        <f>'SM-A6'!K60-'SM-A6'!K89</f>
        <v>-732</v>
      </c>
      <c r="L31" s="242">
        <f>'SM-A6'!L60-'SM-A6'!L89</f>
        <v>-748</v>
      </c>
      <c r="M31" s="240">
        <f>'SM-A6'!M60-'SM-A6'!M89</f>
        <v>-767</v>
      </c>
      <c r="N31" s="240">
        <f>'SM-A6'!N60-'SM-A6'!N89</f>
        <v>-788</v>
      </c>
      <c r="O31" s="240">
        <f>'SM-A6'!O60-'SM-A6'!O89</f>
        <v>-811</v>
      </c>
      <c r="P31" s="240">
        <f>'SM-A6'!P60-'SM-A6'!P89</f>
        <v>-835</v>
      </c>
      <c r="Q31" s="243">
        <f>'SM-A6'!Q60-'SM-A6'!Q89</f>
        <v>-860</v>
      </c>
    </row>
    <row r="32" spans="2:17" ht="16.5" customHeight="1">
      <c r="B32" s="668" t="s">
        <v>320</v>
      </c>
      <c r="C32" s="669"/>
      <c r="D32" s="239">
        <f>'SM-A6'!D61-'SM-A6'!D90</f>
        <v>-200</v>
      </c>
      <c r="E32" s="240">
        <f>'SM-A6'!E61-'SM-A6'!E90</f>
        <v>-171</v>
      </c>
      <c r="F32" s="240">
        <f>'SM-A6'!F61-'SM-A6'!F90</f>
        <v>-167</v>
      </c>
      <c r="G32" s="240">
        <f>'SM-A6'!G61-'SM-A6'!G90</f>
        <v>-157</v>
      </c>
      <c r="H32" s="240">
        <f>'SM-A6'!H61-'SM-A6'!H90</f>
        <v>-163</v>
      </c>
      <c r="I32" s="240">
        <f>'SM-A6'!I61-'SM-A6'!I90</f>
        <v>-164</v>
      </c>
      <c r="J32" s="240">
        <f>'SM-A6'!J61-'SM-A6'!J90</f>
        <v>-144.40000000000003</v>
      </c>
      <c r="K32" s="241">
        <f>'SM-A6'!K61-'SM-A6'!K90</f>
        <v>-147</v>
      </c>
      <c r="L32" s="242">
        <f>'SM-A6'!L61-'SM-A6'!L90</f>
        <v>-156</v>
      </c>
      <c r="M32" s="240">
        <f>'SM-A6'!M61-'SM-A6'!M90</f>
        <v>-69</v>
      </c>
      <c r="N32" s="240">
        <f>'SM-A6'!N61-'SM-A6'!N90</f>
        <v>-49</v>
      </c>
      <c r="O32" s="240">
        <f>'SM-A6'!O61-'SM-A6'!O90</f>
        <v>-63</v>
      </c>
      <c r="P32" s="240">
        <f>'SM-A6'!P61-'SM-A6'!P90</f>
        <v>-78</v>
      </c>
      <c r="Q32" s="243">
        <f>'SM-A6'!Q61-'SM-A6'!Q90</f>
        <v>-93</v>
      </c>
    </row>
    <row r="33" spans="2:17" ht="16.5" customHeight="1">
      <c r="B33" s="670" t="s">
        <v>321</v>
      </c>
      <c r="C33" s="671"/>
      <c r="D33" s="239">
        <f>'SM-A6'!D62-'SM-A6'!D91</f>
        <v>-145</v>
      </c>
      <c r="E33" s="240">
        <f>'SM-A6'!E62-'SM-A6'!E91</f>
        <v>-136</v>
      </c>
      <c r="F33" s="240">
        <f>'SM-A6'!F62-'SM-A6'!F91</f>
        <v>-142</v>
      </c>
      <c r="G33" s="240">
        <f>'SM-A6'!G62-'SM-A6'!G91</f>
        <v>-136</v>
      </c>
      <c r="H33" s="240">
        <f>'SM-A6'!H62-'SM-A6'!H91</f>
        <v>-140</v>
      </c>
      <c r="I33" s="240">
        <f>'SM-A6'!I62-'SM-A6'!I91</f>
        <v>-133</v>
      </c>
      <c r="J33" s="240">
        <f>'SM-A6'!J62-'SM-A6'!J91</f>
        <v>-161</v>
      </c>
      <c r="K33" s="241">
        <f>'SM-A6'!K62-'SM-A6'!K91</f>
        <v>-168</v>
      </c>
      <c r="L33" s="242">
        <f>'SM-A6'!L62-'SM-A6'!L91</f>
        <v>-172</v>
      </c>
      <c r="M33" s="240">
        <f>'SM-A6'!M62-'SM-A6'!M91</f>
        <v>-179</v>
      </c>
      <c r="N33" s="240">
        <f>'SM-A6'!N62-'SM-A6'!N91</f>
        <v>-187</v>
      </c>
      <c r="O33" s="240">
        <f>'SM-A6'!O62-'SM-A6'!O91</f>
        <v>-196</v>
      </c>
      <c r="P33" s="240">
        <f>'SM-A6'!P62-'SM-A6'!P91</f>
        <v>-205</v>
      </c>
      <c r="Q33" s="243">
        <f>'SM-A6'!Q62-'SM-A6'!Q91</f>
        <v>-215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-819</v>
      </c>
      <c r="E34" s="250">
        <f t="shared" si="4"/>
        <v>-777</v>
      </c>
      <c r="F34" s="250">
        <f t="shared" si="4"/>
        <v>-880</v>
      </c>
      <c r="G34" s="250">
        <f t="shared" si="4"/>
        <v>-826</v>
      </c>
      <c r="H34" s="250">
        <f t="shared" si="4"/>
        <v>-851</v>
      </c>
      <c r="I34" s="250">
        <f t="shared" si="4"/>
        <v>-862</v>
      </c>
      <c r="J34" s="250">
        <f t="shared" si="4"/>
        <v>-885.40000000000009</v>
      </c>
      <c r="K34" s="251">
        <f t="shared" si="4"/>
        <v>-1047</v>
      </c>
      <c r="L34" s="252">
        <f t="shared" ref="L34:Q34" si="5">SUM(L31:L33)</f>
        <v>-1076</v>
      </c>
      <c r="M34" s="250">
        <f t="shared" si="5"/>
        <v>-1015</v>
      </c>
      <c r="N34" s="250">
        <f t="shared" si="5"/>
        <v>-1024</v>
      </c>
      <c r="O34" s="250">
        <f t="shared" si="5"/>
        <v>-1070</v>
      </c>
      <c r="P34" s="250">
        <f t="shared" si="5"/>
        <v>-1118</v>
      </c>
      <c r="Q34" s="253">
        <f t="shared" si="5"/>
        <v>-1168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1301.0198636363634</v>
      </c>
      <c r="E35" s="171">
        <f t="shared" ref="E35:Q35" si="6">SUM(E19+E20+E22+E24+E26+E27+E30+E34)</f>
        <v>829.40000000000009</v>
      </c>
      <c r="F35" s="171">
        <f t="shared" si="6"/>
        <v>565.8026262626297</v>
      </c>
      <c r="G35" s="171">
        <f t="shared" si="6"/>
        <v>787.93061178450989</v>
      </c>
      <c r="H35" s="171">
        <f t="shared" si="6"/>
        <v>240.45526543771007</v>
      </c>
      <c r="I35" s="171">
        <f t="shared" si="6"/>
        <v>-782.10644225000033</v>
      </c>
      <c r="J35" s="171">
        <f t="shared" si="6"/>
        <v>45.481985637499747</v>
      </c>
      <c r="K35" s="173">
        <f t="shared" si="6"/>
        <v>-45.761915080625158</v>
      </c>
      <c r="L35" s="172">
        <f t="shared" si="6"/>
        <v>-202.03921083465639</v>
      </c>
      <c r="M35" s="171">
        <f t="shared" si="6"/>
        <v>-330.67598399999997</v>
      </c>
      <c r="N35" s="171">
        <f t="shared" si="6"/>
        <v>34.442516240000032</v>
      </c>
      <c r="O35" s="171">
        <f t="shared" si="6"/>
        <v>63.037822607210728</v>
      </c>
      <c r="P35" s="171">
        <f t="shared" si="6"/>
        <v>259.82055089335381</v>
      </c>
      <c r="Q35" s="174">
        <f t="shared" si="6"/>
        <v>443.08149915675426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5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IF('SM-A6'!D7=0,"    -",ROUND('SM-A6'!D36/'SM-A6'!D7*100,1))</f>
        <v>83.1</v>
      </c>
      <c r="E43" s="58">
        <f>IF('SM-A6'!E7=0,"    -",ROUND('SM-A6'!E36/'SM-A6'!E7*100,1))</f>
        <v>80.8</v>
      </c>
      <c r="F43" s="58">
        <f>IF('SM-A6'!F7=0,"    -",ROUND('SM-A6'!F36/'SM-A6'!F7*100,1))</f>
        <v>83.4</v>
      </c>
      <c r="G43" s="58">
        <f>IF('SM-A6'!G7=0,"    -",ROUND('SM-A6'!G36/'SM-A6'!G7*100,1))</f>
        <v>82.4</v>
      </c>
      <c r="H43" s="58">
        <f>IF('SM-A6'!H7=0,"    -",ROUND('SM-A6'!H36/'SM-A6'!H7*100,1))</f>
        <v>91.4</v>
      </c>
      <c r="I43" s="58">
        <f>IF('SM-A6'!I7=0,"    -",ROUND('SM-A6'!I36/'SM-A6'!I7*100,1))</f>
        <v>84.9</v>
      </c>
      <c r="J43" s="58">
        <f>IF('SM-A6'!J7=0,"    -",ROUND('SM-A6'!J36/'SM-A6'!J7*100,1))</f>
        <v>92</v>
      </c>
      <c r="K43" s="59">
        <f>IF('SM-A6'!K7=0,"    -",ROUND('SM-A6'!K36/'SM-A6'!K7*100,1))</f>
        <v>91</v>
      </c>
      <c r="L43" s="60">
        <f>IF('SM-A6'!L7=0,"    -",ROUND('SM-A6'!L36/'SM-A6'!L7*100,1))</f>
        <v>90.7</v>
      </c>
      <c r="M43" s="58">
        <f>IF('SM-A6'!M7=0,"    -",ROUND('SM-A6'!M36/'SM-A6'!M7*100,1))</f>
        <v>90.7</v>
      </c>
      <c r="N43" s="58">
        <f>IF('SM-A6'!N7=0,"    -",ROUND('SM-A6'!N36/'SM-A6'!N7*100,1))</f>
        <v>92.3</v>
      </c>
      <c r="O43" s="58">
        <f>IF('SM-A6'!O7=0,"    -",ROUND('SM-A6'!O36/'SM-A6'!O7*100,1))</f>
        <v>92.3</v>
      </c>
      <c r="P43" s="58">
        <f>IF('SM-A6'!P7=0,"    -",ROUND('SM-A6'!P36/'SM-A6'!P7*100,1))</f>
        <v>92.9</v>
      </c>
      <c r="Q43" s="61">
        <f>IF('SM-A6'!Q7=0,"    -",ROUND('SM-A6'!Q36/'SM-A6'!Q7*100,1))</f>
        <v>92.9</v>
      </c>
    </row>
    <row r="44" spans="2:17" ht="16.5" customHeight="1">
      <c r="B44" s="605" t="s">
        <v>434</v>
      </c>
      <c r="C44" s="606"/>
      <c r="D44" s="57">
        <f>IF('SM-A6'!D8=0,"    -",ROUND('SM-A6'!D37/'SM-A6'!D8*100,1))</f>
        <v>95.6</v>
      </c>
      <c r="E44" s="58">
        <f>IF('SM-A6'!E8=0,"    -",ROUND('SM-A6'!E37/'SM-A6'!E8*100,1))</f>
        <v>84.2</v>
      </c>
      <c r="F44" s="58">
        <f>IF('SM-A6'!F8=0,"    -",ROUND('SM-A6'!F37/'SM-A6'!F8*100,1))</f>
        <v>89.1</v>
      </c>
      <c r="G44" s="58">
        <f>IF('SM-A6'!G8=0,"    -",ROUND('SM-A6'!G37/'SM-A6'!G8*100,1))</f>
        <v>100.7</v>
      </c>
      <c r="H44" s="58">
        <f>IF('SM-A6'!H8=0,"    -",ROUND('SM-A6'!H37/'SM-A6'!H8*100,1))</f>
        <v>97.2</v>
      </c>
      <c r="I44" s="58">
        <f>IF('SM-A6'!I8=0,"    -",ROUND('SM-A6'!I37/'SM-A6'!I8*100,1))</f>
        <v>99.5</v>
      </c>
      <c r="J44" s="58">
        <f>IF('SM-A6'!J8=0,"    -",ROUND('SM-A6'!J37/'SM-A6'!J8*100,1))</f>
        <v>104.4</v>
      </c>
      <c r="K44" s="59">
        <f>IF('SM-A6'!K8=0,"    -",ROUND('SM-A6'!K37/'SM-A6'!K8*100,1))</f>
        <v>89.8</v>
      </c>
      <c r="L44" s="60">
        <f>IF('SM-A6'!L8=0,"    -",ROUND('SM-A6'!L37/'SM-A6'!L8*100,1))</f>
        <v>98.5</v>
      </c>
      <c r="M44" s="58">
        <f>IF('SM-A6'!M8=0,"    -",ROUND('SM-A6'!M37/'SM-A6'!M8*100,1))</f>
        <v>98.5</v>
      </c>
      <c r="N44" s="58">
        <f>IF('SM-A6'!N8=0,"    -",ROUND('SM-A6'!N37/'SM-A6'!N8*100,1))</f>
        <v>98.5</v>
      </c>
      <c r="O44" s="58">
        <f>IF('SM-A6'!O8=0,"    -",ROUND('SM-A6'!O37/'SM-A6'!O8*100,1))</f>
        <v>98.5</v>
      </c>
      <c r="P44" s="58">
        <f>IF('SM-A6'!P8=0,"    -",ROUND('SM-A6'!P37/'SM-A6'!P8*100,1))</f>
        <v>98.5</v>
      </c>
      <c r="Q44" s="61">
        <f>IF('SM-A6'!Q8=0,"    -",ROUND('SM-A6'!Q37/'SM-A6'!Q8*100,1))</f>
        <v>98.5</v>
      </c>
    </row>
    <row r="45" spans="2:17" ht="16.5" customHeight="1">
      <c r="B45" s="605" t="s">
        <v>435</v>
      </c>
      <c r="C45" s="606"/>
      <c r="D45" s="57">
        <f>IF('SM-A6'!D9=0,"    -",ROUND('SM-A6'!D38/'SM-A6'!D9*100,1))</f>
        <v>95.1</v>
      </c>
      <c r="E45" s="58">
        <f>IF('SM-A6'!E9=0,"    -",ROUND('SM-A6'!E38/'SM-A6'!E9*100,1))</f>
        <v>89.1</v>
      </c>
      <c r="F45" s="58">
        <f>IF('SM-A6'!F9=0,"    -",ROUND('SM-A6'!F38/'SM-A6'!F9*100,1))</f>
        <v>100</v>
      </c>
      <c r="G45" s="58">
        <f>IF('SM-A6'!G9=0,"    -",ROUND('SM-A6'!G38/'SM-A6'!G9*100,1))</f>
        <v>100</v>
      </c>
      <c r="H45" s="58">
        <f>IF('SM-A6'!H9=0,"    -",ROUND('SM-A6'!H38/'SM-A6'!H9*100,1))</f>
        <v>86.5</v>
      </c>
      <c r="I45" s="58">
        <f>IF('SM-A6'!I9=0,"    -",ROUND('SM-A6'!I38/'SM-A6'!I9*100,1))</f>
        <v>100</v>
      </c>
      <c r="J45" s="58">
        <f>IF('SM-A6'!J9=0,"    -",ROUND('SM-A6'!J38/'SM-A6'!J9*100,1))</f>
        <v>80.099999999999994</v>
      </c>
      <c r="K45" s="59">
        <f>IF('SM-A6'!K9=0,"    -",ROUND('SM-A6'!K38/'SM-A6'!K9*100,1))</f>
        <v>100</v>
      </c>
      <c r="L45" s="60">
        <f>IF('SM-A6'!L9=0,"    -",ROUND('SM-A6'!L38/'SM-A6'!L9*100,1))</f>
        <v>95.1</v>
      </c>
      <c r="M45" s="58">
        <f>IF('SM-A6'!M9=0,"    -",ROUND('SM-A6'!M38/'SM-A6'!M9*100,1))</f>
        <v>89.5</v>
      </c>
      <c r="N45" s="58">
        <f>IF('SM-A6'!N9=0,"    -",ROUND('SM-A6'!N38/'SM-A6'!N9*100,1))</f>
        <v>95.1</v>
      </c>
      <c r="O45" s="58">
        <f>IF('SM-A6'!O9=0,"    -",ROUND('SM-A6'!O38/'SM-A6'!O9*100,1))</f>
        <v>91.4</v>
      </c>
      <c r="P45" s="58">
        <f>IF('SM-A6'!P9=0,"    -",ROUND('SM-A6'!P38/'SM-A6'!P9*100,1))</f>
        <v>95.1</v>
      </c>
      <c r="Q45" s="61">
        <f>IF('SM-A6'!Q9=0,"    -",ROUND('SM-A6'!Q38/'SM-A6'!Q9*100,1))</f>
        <v>95.1</v>
      </c>
    </row>
    <row r="46" spans="2:17" ht="16.5" customHeight="1">
      <c r="B46" s="605" t="s">
        <v>436</v>
      </c>
      <c r="C46" s="606"/>
      <c r="D46" s="57">
        <f>IF('SM-A6'!D10=0,"    -",ROUND('SM-A6'!D39/'SM-A6'!D10*100,1))</f>
        <v>86.6</v>
      </c>
      <c r="E46" s="58">
        <f>IF('SM-A6'!E10=0,"    -",ROUND('SM-A6'!E39/'SM-A6'!E10*100,1))</f>
        <v>80.099999999999994</v>
      </c>
      <c r="F46" s="58">
        <f>IF('SM-A6'!F10=0,"    -",ROUND('SM-A6'!F39/'SM-A6'!F10*100,1))</f>
        <v>78.099999999999994</v>
      </c>
      <c r="G46" s="58">
        <f>IF('SM-A6'!G10=0,"    -",ROUND('SM-A6'!G39/'SM-A6'!G10*100,1))</f>
        <v>78.5</v>
      </c>
      <c r="H46" s="58">
        <f>IF('SM-A6'!H10=0,"    -",ROUND('SM-A6'!H39/'SM-A6'!H10*100,1))</f>
        <v>75.5</v>
      </c>
      <c r="I46" s="58">
        <f>IF('SM-A6'!I10=0,"    -",ROUND('SM-A6'!I39/'SM-A6'!I10*100,1))</f>
        <v>78.8</v>
      </c>
      <c r="J46" s="58">
        <f>IF('SM-A6'!J10=0,"    -",ROUND('SM-A6'!J39/'SM-A6'!J10*100,1))</f>
        <v>77.8</v>
      </c>
      <c r="K46" s="59">
        <f>IF('SM-A6'!K10=0,"    -",ROUND('SM-A6'!K39/'SM-A6'!K10*100,1))</f>
        <v>80.5</v>
      </c>
      <c r="L46" s="60">
        <f>IF('SM-A6'!L10=0,"    -",ROUND('SM-A6'!L39/'SM-A6'!L10*100,1))</f>
        <v>82.8</v>
      </c>
      <c r="M46" s="58">
        <f>IF('SM-A6'!M10=0,"    -",ROUND('SM-A6'!M39/'SM-A6'!M10*100,1))</f>
        <v>87.1</v>
      </c>
      <c r="N46" s="58">
        <f>IF('SM-A6'!N10=0,"    -",ROUND('SM-A6'!N39/'SM-A6'!N10*100,1))</f>
        <v>85.1</v>
      </c>
      <c r="O46" s="58">
        <f>IF('SM-A6'!O10=0,"    -",ROUND('SM-A6'!O39/'SM-A6'!O10*100,1))</f>
        <v>64.8</v>
      </c>
      <c r="P46" s="58">
        <f>IF('SM-A6'!P10=0,"    -",ROUND('SM-A6'!P39/'SM-A6'!P10*100,1))</f>
        <v>64.900000000000006</v>
      </c>
      <c r="Q46" s="61">
        <f>IF('SM-A6'!Q10=0,"    -",ROUND('SM-A6'!Q39/'SM-A6'!Q10*100,1))</f>
        <v>66.8</v>
      </c>
    </row>
    <row r="47" spans="2:17" ht="16.5" customHeight="1">
      <c r="B47" s="605" t="s">
        <v>437</v>
      </c>
      <c r="C47" s="606"/>
      <c r="D47" s="57">
        <f>IF('SM-A6'!D11=0,"    -",ROUND('SM-A6'!D40/'SM-A6'!D11*100,1))</f>
        <v>93.5</v>
      </c>
      <c r="E47" s="58">
        <f>IF('SM-A6'!E11=0,"    -",ROUND('SM-A6'!E40/'SM-A6'!E11*100,1))</f>
        <v>88.3</v>
      </c>
      <c r="F47" s="58">
        <f>IF('SM-A6'!F11=0,"    -",ROUND('SM-A6'!F40/'SM-A6'!F11*100,1))</f>
        <v>88.3</v>
      </c>
      <c r="G47" s="58">
        <f>IF('SM-A6'!G11=0,"    -",ROUND('SM-A6'!G40/'SM-A6'!G11*100,1))</f>
        <v>89</v>
      </c>
      <c r="H47" s="58">
        <f>IF('SM-A6'!H11=0,"    -",ROUND('SM-A6'!H40/'SM-A6'!H11*100,1))</f>
        <v>81.599999999999994</v>
      </c>
      <c r="I47" s="58">
        <f>IF('SM-A6'!I11=0,"    -",ROUND('SM-A6'!I40/'SM-A6'!I11*100,1))</f>
        <v>81.3</v>
      </c>
      <c r="J47" s="58">
        <f>IF('SM-A6'!J11=0,"    -",ROUND('SM-A6'!J40/'SM-A6'!J11*100,1))</f>
        <v>76.5</v>
      </c>
      <c r="K47" s="59">
        <f>IF('SM-A6'!K11=0,"    -",ROUND('SM-A6'!K40/'SM-A6'!K11*100,1))</f>
        <v>83.2</v>
      </c>
      <c r="L47" s="60">
        <f>IF('SM-A6'!L11=0,"    -",ROUND('SM-A6'!L40/'SM-A6'!L11*100,1))</f>
        <v>83.2</v>
      </c>
      <c r="M47" s="58">
        <f>IF('SM-A6'!M11=0,"    -",ROUND('SM-A6'!M40/'SM-A6'!M11*100,1))</f>
        <v>83.2</v>
      </c>
      <c r="N47" s="58">
        <f>IF('SM-A6'!N11=0,"    -",ROUND('SM-A6'!N40/'SM-A6'!N11*100,1))</f>
        <v>83.2</v>
      </c>
      <c r="O47" s="58">
        <f>IF('SM-A6'!O11=0,"    -",ROUND('SM-A6'!O40/'SM-A6'!O11*100,1))</f>
        <v>83.2</v>
      </c>
      <c r="P47" s="58">
        <f>IF('SM-A6'!P11=0,"    -",ROUND('SM-A6'!P40/'SM-A6'!P11*100,1))</f>
        <v>83.2</v>
      </c>
      <c r="Q47" s="61">
        <f>IF('SM-A6'!Q11=0,"    -",ROUND('SM-A6'!Q40/'SM-A6'!Q11*100,1))</f>
        <v>83.2</v>
      </c>
    </row>
    <row r="48" spans="2:17" ht="16.5" customHeight="1">
      <c r="B48" s="605" t="s">
        <v>438</v>
      </c>
      <c r="C48" s="606"/>
      <c r="D48" s="57">
        <f>IF('SM-A6'!D12=0,"    -",ROUND('SM-A6'!D41/'SM-A6'!D12*100,1))</f>
        <v>82.4</v>
      </c>
      <c r="E48" s="58">
        <f>IF('SM-A6'!E12=0,"    -",ROUND('SM-A6'!E41/'SM-A6'!E12*100,1))</f>
        <v>82.4</v>
      </c>
      <c r="F48" s="58">
        <f>IF('SM-A6'!F12=0,"    -",ROUND('SM-A6'!F41/'SM-A6'!F12*100,1))</f>
        <v>82.4</v>
      </c>
      <c r="G48" s="58">
        <f>IF('SM-A6'!G12=0,"    -",ROUND('SM-A6'!G41/'SM-A6'!G12*100,1))</f>
        <v>82.4</v>
      </c>
      <c r="H48" s="58">
        <f>IF('SM-A6'!H12=0,"    -",ROUND('SM-A6'!H41/'SM-A6'!H12*100,1))</f>
        <v>82.4</v>
      </c>
      <c r="I48" s="58">
        <f>IF('SM-A6'!I12=0,"    -",ROUND('SM-A6'!I41/'SM-A6'!I12*100,1))</f>
        <v>82.4</v>
      </c>
      <c r="J48" s="58">
        <f>IF('SM-A6'!J12=0,"    -",ROUND('SM-A6'!J41/'SM-A6'!J12*100,1))</f>
        <v>82.4</v>
      </c>
      <c r="K48" s="59">
        <f>IF('SM-A6'!K12=0,"    -",ROUND('SM-A6'!K41/'SM-A6'!K12*100,1))</f>
        <v>100</v>
      </c>
      <c r="L48" s="60">
        <f>IF('SM-A6'!L12=0,"    -",ROUND('SM-A6'!L41/'SM-A6'!L12*100,1))</f>
        <v>82.4</v>
      </c>
      <c r="M48" s="58">
        <f>IF('SM-A6'!M12=0,"    -",ROUND('SM-A6'!M41/'SM-A6'!M12*100,1))</f>
        <v>82.4</v>
      </c>
      <c r="N48" s="58">
        <f>IF('SM-A6'!N12=0,"    -",ROUND('SM-A6'!N41/'SM-A6'!N12*100,1))</f>
        <v>88.2</v>
      </c>
      <c r="O48" s="58">
        <f>IF('SM-A6'!O12=0,"    -",ROUND('SM-A6'!O41/'SM-A6'!O12*100,1))</f>
        <v>88.2</v>
      </c>
      <c r="P48" s="58">
        <f>IF('SM-A6'!P12=0,"    -",ROUND('SM-A6'!P41/'SM-A6'!P12*100,1))</f>
        <v>88.2</v>
      </c>
      <c r="Q48" s="61">
        <f>IF('SM-A6'!Q12=0,"    -",ROUND('SM-A6'!Q41/'SM-A6'!Q12*100,1))</f>
        <v>88.2</v>
      </c>
    </row>
    <row r="49" spans="2:17" ht="16.5" customHeight="1">
      <c r="B49" s="605" t="s">
        <v>439</v>
      </c>
      <c r="C49" s="606"/>
      <c r="D49" s="57" t="str">
        <f>IF('SM-A6'!D13=0,"    -",ROUND('SM-A6'!D42/'SM-A6'!D13*100,1))</f>
        <v xml:space="preserve">    -</v>
      </c>
      <c r="E49" s="58" t="str">
        <f>IF('SM-A6'!E13=0,"    -",ROUND('SM-A6'!E42/'SM-A6'!E13*100,1))</f>
        <v xml:space="preserve">    -</v>
      </c>
      <c r="F49" s="58" t="str">
        <f>IF('SM-A6'!F13=0,"    -",ROUND('SM-A6'!F42/'SM-A6'!F13*100,1))</f>
        <v xml:space="preserve">    -</v>
      </c>
      <c r="G49" s="58" t="str">
        <f>IF('SM-A6'!G13=0,"    -",ROUND('SM-A6'!G42/'SM-A6'!G13*100,1))</f>
        <v xml:space="preserve">    -</v>
      </c>
      <c r="H49" s="58" t="str">
        <f>IF('SM-A6'!H13=0,"    -",ROUND('SM-A6'!H42/'SM-A6'!H13*100,1))</f>
        <v xml:space="preserve">    -</v>
      </c>
      <c r="I49" s="58" t="str">
        <f>IF('SM-A6'!I13=0,"    -",ROUND('SM-A6'!I42/'SM-A6'!I13*100,1))</f>
        <v xml:space="preserve">    -</v>
      </c>
      <c r="J49" s="58" t="str">
        <f>IF('SM-A6'!J13=0,"    -",ROUND('SM-A6'!J42/'SM-A6'!J13*100,1))</f>
        <v xml:space="preserve">    -</v>
      </c>
      <c r="K49" s="59" t="str">
        <f>IF('SM-A6'!K13=0,"    -",ROUND('SM-A6'!K42/'SM-A6'!K13*100,1))</f>
        <v xml:space="preserve">    -</v>
      </c>
      <c r="L49" s="60" t="str">
        <f>IF('SM-A6'!L13=0,"    -",ROUND('SM-A6'!L42/'SM-A6'!L13*100,1))</f>
        <v xml:space="preserve">    -</v>
      </c>
      <c r="M49" s="58" t="str">
        <f>IF('SM-A6'!M13=0,"    -",ROUND('SM-A6'!M42/'SM-A6'!M13*100,1))</f>
        <v xml:space="preserve">    -</v>
      </c>
      <c r="N49" s="58" t="str">
        <f>IF('SM-A6'!N13=0,"    -",ROUND('SM-A6'!N42/'SM-A6'!N13*100,1))</f>
        <v xml:space="preserve">    -</v>
      </c>
      <c r="O49" s="58" t="str">
        <f>IF('SM-A6'!O13=0,"    -",ROUND('SM-A6'!O42/'SM-A6'!O13*100,1))</f>
        <v xml:space="preserve">    -</v>
      </c>
      <c r="P49" s="58" t="str">
        <f>IF('SM-A6'!P13=0,"    -",ROUND('SM-A6'!P42/'SM-A6'!P13*100,1))</f>
        <v xml:space="preserve">    -</v>
      </c>
      <c r="Q49" s="61" t="str">
        <f>IF('SM-A6'!Q13=0,"    -",ROUND('SM-A6'!Q42/'SM-A6'!Q13*100,1))</f>
        <v xml:space="preserve">    -</v>
      </c>
    </row>
    <row r="50" spans="2:17" ht="18" hidden="1" customHeight="1">
      <c r="B50" s="16"/>
      <c r="C50" s="90" t="s">
        <v>306</v>
      </c>
      <c r="D50" s="57" t="str">
        <f>IF('SM-A6'!D14=0,"    -",ROUND('SM-A6'!D43/'SM-A6'!D14*100,1))</f>
        <v xml:space="preserve">    -</v>
      </c>
      <c r="E50" s="58" t="str">
        <f>IF('SM-A6'!E14=0,"    -",ROUND('SM-A6'!E43/'SM-A6'!E14*100,1))</f>
        <v xml:space="preserve">    -</v>
      </c>
      <c r="F50" s="58" t="str">
        <f>IF('SM-A6'!F14=0,"    -",ROUND('SM-A6'!F43/'SM-A6'!F14*100,1))</f>
        <v xml:space="preserve">    -</v>
      </c>
      <c r="G50" s="58" t="str">
        <f>IF('SM-A6'!G14=0,"    -",ROUND('SM-A6'!G43/'SM-A6'!G14*100,1))</f>
        <v xml:space="preserve">    -</v>
      </c>
      <c r="H50" s="58" t="str">
        <f>IF('SM-A6'!H14=0,"    -",ROUND('SM-A6'!H43/'SM-A6'!H14*100,1))</f>
        <v xml:space="preserve">    -</v>
      </c>
      <c r="I50" s="58" t="str">
        <f>IF('SM-A6'!I14=0,"    -",ROUND('SM-A6'!I43/'SM-A6'!I14*100,1))</f>
        <v xml:space="preserve">    -</v>
      </c>
      <c r="J50" s="58" t="str">
        <f>IF('SM-A6'!J14=0,"    -",ROUND('SM-A6'!J43/'SM-A6'!J14*100,1))</f>
        <v xml:space="preserve">    -</v>
      </c>
      <c r="K50" s="59" t="str">
        <f>IF('SM-A6'!K14=0,"    -",ROUND('SM-A6'!K43/'SM-A6'!K14*100,1))</f>
        <v xml:space="preserve">    -</v>
      </c>
      <c r="L50" s="60" t="str">
        <f>IF('SM-A6'!L14=0,"    -",ROUND('SM-A6'!L43/'SM-A6'!L14*100,1))</f>
        <v xml:space="preserve">    -</v>
      </c>
      <c r="M50" s="58" t="str">
        <f>IF('SM-A6'!M14=0,"    -",ROUND('SM-A6'!M43/'SM-A6'!M14*100,1))</f>
        <v xml:space="preserve">    -</v>
      </c>
      <c r="N50" s="58" t="str">
        <f>IF('SM-A6'!N14=0,"    -",ROUND('SM-A6'!N43/'SM-A6'!N14*100,1))</f>
        <v xml:space="preserve">    -</v>
      </c>
      <c r="O50" s="58" t="str">
        <f>IF('SM-A6'!O14=0,"    -",ROUND('SM-A6'!O43/'SM-A6'!O14*100,1))</f>
        <v xml:space="preserve">    -</v>
      </c>
      <c r="P50" s="58" t="str">
        <f>IF('SM-A6'!P14=0,"    -",ROUND('SM-A6'!P43/'SM-A6'!P14*100,1))</f>
        <v xml:space="preserve">    -</v>
      </c>
      <c r="Q50" s="61" t="str">
        <f>IF('SM-A6'!Q14=0,"    -",ROUND('SM-A6'!Q43/'SM-A6'!Q14*100,1))</f>
        <v xml:space="preserve">    -</v>
      </c>
    </row>
    <row r="51" spans="2:17" ht="16.5" customHeight="1">
      <c r="B51" s="605" t="s">
        <v>440</v>
      </c>
      <c r="C51" s="606"/>
      <c r="D51" s="57" t="str">
        <f>IF('SM-A6'!D15=0,"    -",ROUND('SM-A6'!D44/'SM-A6'!D15*100,1))</f>
        <v xml:space="preserve">    -</v>
      </c>
      <c r="E51" s="58" t="str">
        <f>IF('SM-A6'!E15=0,"    -",ROUND('SM-A6'!E44/'SM-A6'!E15*100,1))</f>
        <v xml:space="preserve">    -</v>
      </c>
      <c r="F51" s="58" t="str">
        <f>IF('SM-A6'!F15=0,"    -",ROUND('SM-A6'!F44/'SM-A6'!F15*100,1))</f>
        <v xml:space="preserve">    -</v>
      </c>
      <c r="G51" s="58" t="str">
        <f>IF('SM-A6'!G15=0,"    -",ROUND('SM-A6'!G44/'SM-A6'!G15*100,1))</f>
        <v xml:space="preserve">    -</v>
      </c>
      <c r="H51" s="58" t="str">
        <f>IF('SM-A6'!H15=0,"    -",ROUND('SM-A6'!H44/'SM-A6'!H15*100,1))</f>
        <v xml:space="preserve">    -</v>
      </c>
      <c r="I51" s="58" t="str">
        <f>IF('SM-A6'!I15=0,"    -",ROUND('SM-A6'!I44/'SM-A6'!I15*100,1))</f>
        <v xml:space="preserve">    -</v>
      </c>
      <c r="J51" s="58" t="str">
        <f>IF('SM-A6'!J15=0,"    -",ROUND('SM-A6'!J44/'SM-A6'!J15*100,1))</f>
        <v xml:space="preserve">    -</v>
      </c>
      <c r="K51" s="59" t="str">
        <f>IF('SM-A6'!K15=0,"    -",ROUND('SM-A6'!K44/'SM-A6'!K15*100,1))</f>
        <v xml:space="preserve">    -</v>
      </c>
      <c r="L51" s="60" t="str">
        <f>IF('SM-A6'!L15=0,"    -",ROUND('SM-A6'!L44/'SM-A6'!L15*100,1))</f>
        <v xml:space="preserve">    -</v>
      </c>
      <c r="M51" s="58" t="str">
        <f>IF('SM-A6'!M15=0,"    -",ROUND('SM-A6'!M44/'SM-A6'!M15*100,1))</f>
        <v xml:space="preserve">    -</v>
      </c>
      <c r="N51" s="58" t="str">
        <f>IF('SM-A6'!N15=0,"    -",ROUND('SM-A6'!N44/'SM-A6'!N15*100,1))</f>
        <v xml:space="preserve">    -</v>
      </c>
      <c r="O51" s="58" t="str">
        <f>IF('SM-A6'!O15=0,"    -",ROUND('SM-A6'!O44/'SM-A6'!O15*100,1))</f>
        <v xml:space="preserve">    -</v>
      </c>
      <c r="P51" s="58" t="str">
        <f>IF('SM-A6'!P15=0,"    -",ROUND('SM-A6'!P44/'SM-A6'!P15*100,1))</f>
        <v xml:space="preserve">    -</v>
      </c>
      <c r="Q51" s="61" t="str">
        <f>IF('SM-A6'!Q15=0,"    -",ROUND('SM-A6'!Q44/'SM-A6'!Q15*100,1))</f>
        <v xml:space="preserve">    -</v>
      </c>
    </row>
    <row r="52" spans="2:17" ht="16.5" customHeight="1">
      <c r="B52" s="605" t="s">
        <v>441</v>
      </c>
      <c r="C52" s="606"/>
      <c r="D52" s="57">
        <f>IF('SM-A6'!D16=0,"    -",ROUND('SM-A6'!D45/'SM-A6'!D16*100,1))</f>
        <v>100</v>
      </c>
      <c r="E52" s="58">
        <f>IF('SM-A6'!E16=0,"    -",ROUND('SM-A6'!E45/'SM-A6'!E16*100,1))</f>
        <v>100</v>
      </c>
      <c r="F52" s="58">
        <f>IF('SM-A6'!F16=0,"    -",ROUND('SM-A6'!F45/'SM-A6'!F16*100,1))</f>
        <v>100</v>
      </c>
      <c r="G52" s="58">
        <f>IF('SM-A6'!G16=0,"    -",ROUND('SM-A6'!G45/'SM-A6'!G16*100,1))</f>
        <v>97.3</v>
      </c>
      <c r="H52" s="58">
        <f>IF('SM-A6'!H16=0,"    -",ROUND('SM-A6'!H45/'SM-A6'!H16*100,1))</f>
        <v>96.6</v>
      </c>
      <c r="I52" s="58">
        <f>IF('SM-A6'!I16=0,"    -",ROUND('SM-A6'!I45/'SM-A6'!I16*100,1))</f>
        <v>97</v>
      </c>
      <c r="J52" s="58">
        <f>IF('SM-A6'!J16=0,"    -",ROUND('SM-A6'!J45/'SM-A6'!J16*100,1))</f>
        <v>89.6</v>
      </c>
      <c r="K52" s="59">
        <f>IF('SM-A6'!K16=0,"    -",ROUND('SM-A6'!K45/'SM-A6'!K16*100,1))</f>
        <v>93.2</v>
      </c>
      <c r="L52" s="60">
        <f>IF('SM-A6'!L16=0,"    -",ROUND('SM-A6'!L45/'SM-A6'!L16*100,1))</f>
        <v>93.2</v>
      </c>
      <c r="M52" s="58">
        <f>IF('SM-A6'!M16=0,"    -",ROUND('SM-A6'!M45/'SM-A6'!M16*100,1))</f>
        <v>93.2</v>
      </c>
      <c r="N52" s="58">
        <f>IF('SM-A6'!N16=0,"    -",ROUND('SM-A6'!N45/'SM-A6'!N16*100,1))</f>
        <v>93.2</v>
      </c>
      <c r="O52" s="58">
        <f>IF('SM-A6'!O16=0,"    -",ROUND('SM-A6'!O45/'SM-A6'!O16*100,1))</f>
        <v>93.2</v>
      </c>
      <c r="P52" s="58">
        <f>IF('SM-A6'!P16=0,"    -",ROUND('SM-A6'!P45/'SM-A6'!P16*100,1))</f>
        <v>93.2</v>
      </c>
      <c r="Q52" s="61">
        <f>IF('SM-A6'!Q16=0,"    -",ROUND('SM-A6'!Q45/'SM-A6'!Q16*100,1))</f>
        <v>93.2</v>
      </c>
    </row>
    <row r="53" spans="2:17" ht="16.5" customHeight="1">
      <c r="B53" s="605" t="s">
        <v>442</v>
      </c>
      <c r="C53" s="606"/>
      <c r="D53" s="57" t="str">
        <f>IF('SM-A6'!D17=0,"    -",ROUND('SM-A6'!D46/'SM-A6'!D17*100,1))</f>
        <v xml:space="preserve">    -</v>
      </c>
      <c r="E53" s="58" t="str">
        <f>IF('SM-A6'!E17=0,"    -",ROUND('SM-A6'!E46/'SM-A6'!E17*100,1))</f>
        <v xml:space="preserve">    -</v>
      </c>
      <c r="F53" s="58" t="str">
        <f>IF('SM-A6'!F17=0,"    -",ROUND('SM-A6'!F46/'SM-A6'!F17*100,1))</f>
        <v xml:space="preserve">    -</v>
      </c>
      <c r="G53" s="58" t="str">
        <f>IF('SM-A6'!G17=0,"    -",ROUND('SM-A6'!G46/'SM-A6'!G17*100,1))</f>
        <v xml:space="preserve">    -</v>
      </c>
      <c r="H53" s="58" t="str">
        <f>IF('SM-A6'!H17=0,"    -",ROUND('SM-A6'!H46/'SM-A6'!H17*100,1))</f>
        <v xml:space="preserve">    -</v>
      </c>
      <c r="I53" s="58" t="str">
        <f>IF('SM-A6'!I17=0,"    -",ROUND('SM-A6'!I46/'SM-A6'!I17*100,1))</f>
        <v xml:space="preserve">    -</v>
      </c>
      <c r="J53" s="58" t="str">
        <f>IF('SM-A6'!J17=0,"    -",ROUND('SM-A6'!J46/'SM-A6'!J17*100,1))</f>
        <v xml:space="preserve">    -</v>
      </c>
      <c r="K53" s="59" t="str">
        <f>IF('SM-A6'!K17=0,"    -",ROUND('SM-A6'!K46/'SM-A6'!K17*100,1))</f>
        <v xml:space="preserve">    -</v>
      </c>
      <c r="L53" s="60" t="str">
        <f>IF('SM-A6'!L17=0,"    -",ROUND('SM-A6'!L46/'SM-A6'!L17*100,1))</f>
        <v xml:space="preserve">    -</v>
      </c>
      <c r="M53" s="58" t="str">
        <f>IF('SM-A6'!M17=0,"    -",ROUND('SM-A6'!M46/'SM-A6'!M17*100,1))</f>
        <v xml:space="preserve">    -</v>
      </c>
      <c r="N53" s="58" t="str">
        <f>IF('SM-A6'!N17=0,"    -",ROUND('SM-A6'!N46/'SM-A6'!N17*100,1))</f>
        <v xml:space="preserve">    -</v>
      </c>
      <c r="O53" s="58" t="str">
        <f>IF('SM-A6'!O17=0,"    -",ROUND('SM-A6'!O46/'SM-A6'!O17*100,1))</f>
        <v xml:space="preserve">    -</v>
      </c>
      <c r="P53" s="58" t="str">
        <f>IF('SM-A6'!P17=0,"    -",ROUND('SM-A6'!P46/'SM-A6'!P17*100,1))</f>
        <v xml:space="preserve">    -</v>
      </c>
      <c r="Q53" s="61" t="str">
        <f>IF('SM-A6'!Q17=0,"    -",ROUND('SM-A6'!Q46/'SM-A6'!Q17*100,1))</f>
        <v xml:space="preserve">    -</v>
      </c>
    </row>
    <row r="54" spans="2:17" ht="16.5" customHeight="1">
      <c r="B54" s="607" t="s">
        <v>443</v>
      </c>
      <c r="C54" s="608"/>
      <c r="D54" s="57">
        <f>IF('SM-A6'!D18=0,"    -",ROUND('SM-A6'!D47/'SM-A6'!D18*100,1))</f>
        <v>89.6</v>
      </c>
      <c r="E54" s="58">
        <f>IF('SM-A6'!E18=0,"    -",ROUND('SM-A6'!E47/'SM-A6'!E18*100,1))</f>
        <v>94.2</v>
      </c>
      <c r="F54" s="58">
        <f>IF('SM-A6'!F18=0,"    -",ROUND('SM-A6'!F47/'SM-A6'!F18*100,1))</f>
        <v>89.7</v>
      </c>
      <c r="G54" s="58">
        <f>IF('SM-A6'!G18=0,"    -",ROUND('SM-A6'!G47/'SM-A6'!G18*100,1))</f>
        <v>97.2</v>
      </c>
      <c r="H54" s="58">
        <f>IF('SM-A6'!H18=0,"    -",ROUND('SM-A6'!H47/'SM-A6'!H18*100,1))</f>
        <v>92.2</v>
      </c>
      <c r="I54" s="58">
        <f>IF('SM-A6'!I18=0,"    -",ROUND('SM-A6'!I47/'SM-A6'!I18*100,1))</f>
        <v>107.1</v>
      </c>
      <c r="J54" s="58">
        <f>IF('SM-A6'!J18=0,"    -",ROUND('SM-A6'!J47/'SM-A6'!J18*100,1))</f>
        <v>99.9</v>
      </c>
      <c r="K54" s="59">
        <f>IF('SM-A6'!K18=0,"    -",ROUND('SM-A6'!K47/'SM-A6'!K18*100,1))</f>
        <v>107</v>
      </c>
      <c r="L54" s="60">
        <f>IF('SM-A6'!L18=0,"    -",ROUND('SM-A6'!L47/'SM-A6'!L18*100,1))</f>
        <v>103</v>
      </c>
      <c r="M54" s="58">
        <f>IF('SM-A6'!M18=0,"    -",ROUND('SM-A6'!M47/'SM-A6'!M18*100,1))</f>
        <v>95.9</v>
      </c>
      <c r="N54" s="58">
        <f>IF('SM-A6'!N18=0,"    -",ROUND('SM-A6'!N47/'SM-A6'!N18*100,1))</f>
        <v>97</v>
      </c>
      <c r="O54" s="58">
        <f>IF('SM-A6'!O18=0,"    -",ROUND('SM-A6'!O47/'SM-A6'!O18*100,1))</f>
        <v>98.3</v>
      </c>
      <c r="P54" s="58">
        <f>IF('SM-A6'!P18=0,"    -",ROUND('SM-A6'!P47/'SM-A6'!P18*100,1))</f>
        <v>93.9</v>
      </c>
      <c r="Q54" s="61">
        <f>IF('SM-A6'!Q18=0,"    -",ROUND('SM-A6'!Q47/'SM-A6'!Q18*100,1))</f>
        <v>98.3</v>
      </c>
    </row>
    <row r="55" spans="2:17" ht="17.25" customHeight="1">
      <c r="B55" s="674" t="s">
        <v>307</v>
      </c>
      <c r="C55" s="675"/>
      <c r="D55" s="74">
        <f>IF('SM-A6'!D19=0,"    -",ROUND('SM-A6'!D48/'SM-A6'!D19*100,1))</f>
        <v>88.5</v>
      </c>
      <c r="E55" s="75">
        <f>IF('SM-A6'!E19=0,"    -",ROUND('SM-A6'!E48/'SM-A6'!E19*100,1))</f>
        <v>84.5</v>
      </c>
      <c r="F55" s="75">
        <f>IF('SM-A6'!F19=0,"    -",ROUND('SM-A6'!F48/'SM-A6'!F19*100,1))</f>
        <v>84.6</v>
      </c>
      <c r="G55" s="75">
        <f>IF('SM-A6'!G19=0,"    -",ROUND('SM-A6'!G48/'SM-A6'!G19*100,1))</f>
        <v>87</v>
      </c>
      <c r="H55" s="75">
        <f>IF('SM-A6'!H19=0,"    -",ROUND('SM-A6'!H48/'SM-A6'!H19*100,1))</f>
        <v>85.1</v>
      </c>
      <c r="I55" s="75">
        <f>IF('SM-A6'!I19=0,"    -",ROUND('SM-A6'!I48/'SM-A6'!I19*100,1))</f>
        <v>87.9</v>
      </c>
      <c r="J55" s="75">
        <f>IF('SM-A6'!J19=0,"    -",ROUND('SM-A6'!J48/'SM-A6'!J19*100,1))</f>
        <v>86.6</v>
      </c>
      <c r="K55" s="76">
        <f>IF('SM-A6'!K19=0,"    -",ROUND('SM-A6'!K48/'SM-A6'!K19*100,1))</f>
        <v>88.1</v>
      </c>
      <c r="L55" s="77">
        <f>IF('SM-A6'!L19=0,"    -",ROUND('SM-A6'!L48/'SM-A6'!L19*100,1))</f>
        <v>88.9</v>
      </c>
      <c r="M55" s="75">
        <f>IF('SM-A6'!M19=0,"    -",ROUND('SM-A6'!M48/'SM-A6'!M19*100,1))</f>
        <v>89.9</v>
      </c>
      <c r="N55" s="75">
        <f>IF('SM-A6'!N19=0,"    -",ROUND('SM-A6'!N48/'SM-A6'!N19*100,1))</f>
        <v>89.5</v>
      </c>
      <c r="O55" s="75">
        <f>IF('SM-A6'!O19=0,"    -",ROUND('SM-A6'!O48/'SM-A6'!O19*100,1))</f>
        <v>76.3</v>
      </c>
      <c r="P55" s="75">
        <f>IF('SM-A6'!P19=0,"    -",ROUND('SM-A6'!P48/'SM-A6'!P19*100,1))</f>
        <v>75.8</v>
      </c>
      <c r="Q55" s="78">
        <f>IF('SM-A6'!Q19=0,"    -",ROUND('SM-A6'!Q48/'SM-A6'!Q19*100,1))</f>
        <v>77.2</v>
      </c>
    </row>
    <row r="56" spans="2:17" ht="17.25" customHeight="1">
      <c r="B56" s="672" t="s">
        <v>308</v>
      </c>
      <c r="C56" s="673"/>
      <c r="D56" s="135">
        <f>IF('SM-A6'!D20=0,"    -",ROUND('SM-A6'!D49/'SM-A6'!D20*100,1))</f>
        <v>0</v>
      </c>
      <c r="E56" s="136">
        <f>IF('SM-A6'!E20=0,"    -",ROUND('SM-A6'!E49/'SM-A6'!E20*100,1))</f>
        <v>0</v>
      </c>
      <c r="F56" s="136" t="str">
        <f>IF('SM-A6'!F20=0,"    -",ROUND('SM-A6'!F49/'SM-A6'!F20*100,1))</f>
        <v xml:space="preserve">    -</v>
      </c>
      <c r="G56" s="136" t="str">
        <f>IF('SM-A6'!G20=0,"    -",ROUND('SM-A6'!G49/'SM-A6'!G20*100,1))</f>
        <v xml:space="preserve">    -</v>
      </c>
      <c r="H56" s="136" t="str">
        <f>IF('SM-A6'!H20=0,"    -",ROUND('SM-A6'!H49/'SM-A6'!H20*100,1))</f>
        <v xml:space="preserve">    -</v>
      </c>
      <c r="I56" s="136" t="str">
        <f>IF('SM-A6'!I20=0,"    -",ROUND('SM-A6'!I49/'SM-A6'!I20*100,1))</f>
        <v xml:space="preserve">    -</v>
      </c>
      <c r="J56" s="136" t="str">
        <f>IF('SM-A6'!J20=0,"    -",ROUND('SM-A6'!J49/'SM-A6'!J20*100,1))</f>
        <v xml:space="preserve">    -</v>
      </c>
      <c r="K56" s="137" t="str">
        <f>IF('SM-A6'!K20=0,"    -",ROUND('SM-A6'!K49/'SM-A6'!K20*100,1))</f>
        <v xml:space="preserve">    -</v>
      </c>
      <c r="L56" s="135" t="str">
        <f>IF('SM-A6'!L20=0,"    -",ROUND('SM-A6'!L49/'SM-A6'!L20*100,1))</f>
        <v xml:space="preserve">    -</v>
      </c>
      <c r="M56" s="136" t="str">
        <f>IF('SM-A6'!M20=0,"    -",ROUND('SM-A6'!M49/'SM-A6'!M20*100,1))</f>
        <v xml:space="preserve">    -</v>
      </c>
      <c r="N56" s="136" t="str">
        <f>IF('SM-A6'!N20=0,"    -",ROUND('SM-A6'!N49/'SM-A6'!N20*100,1))</f>
        <v xml:space="preserve">    -</v>
      </c>
      <c r="O56" s="136" t="str">
        <f>IF('SM-A6'!O20=0,"    -",ROUND('SM-A6'!O49/'SM-A6'!O20*100,1))</f>
        <v xml:space="preserve">    -</v>
      </c>
      <c r="P56" s="136" t="str">
        <f>IF('SM-A6'!P20=0,"    -",ROUND('SM-A6'!P49/'SM-A6'!P20*100,1))</f>
        <v xml:space="preserve">    -</v>
      </c>
      <c r="Q56" s="137" t="str">
        <f>IF('SM-A6'!Q20=0,"    -",ROUND('SM-A6'!Q49/'SM-A6'!Q20*100,1))</f>
        <v xml:space="preserve">    -</v>
      </c>
    </row>
    <row r="57" spans="2:17" ht="16.5" customHeight="1">
      <c r="B57" s="105"/>
      <c r="C57" s="97" t="s">
        <v>309</v>
      </c>
      <c r="D57" s="135">
        <f>IF('SM-A6'!D21=0,"    -",ROUND('SM-A6'!D50/'SM-A6'!D21*100,1))</f>
        <v>0</v>
      </c>
      <c r="E57" s="136">
        <f>IF('SM-A6'!E21=0,"    -",ROUND('SM-A6'!E50/'SM-A6'!E21*100,1))</f>
        <v>0</v>
      </c>
      <c r="F57" s="136" t="str">
        <f>IF('SM-A6'!F21=0,"    -",ROUND('SM-A6'!F50/'SM-A6'!F21*100,1))</f>
        <v xml:space="preserve">    -</v>
      </c>
      <c r="G57" s="136" t="str">
        <f>IF('SM-A6'!G21=0,"    -",ROUND('SM-A6'!G50/'SM-A6'!G21*100,1))</f>
        <v xml:space="preserve">    -</v>
      </c>
      <c r="H57" s="136" t="str">
        <f>IF('SM-A6'!H21=0,"    -",ROUND('SM-A6'!H50/'SM-A6'!H21*100,1))</f>
        <v xml:space="preserve">    -</v>
      </c>
      <c r="I57" s="136" t="str">
        <f>IF('SM-A6'!I21=0,"    -",ROUND('SM-A6'!I50/'SM-A6'!I21*100,1))</f>
        <v xml:space="preserve">    -</v>
      </c>
      <c r="J57" s="136" t="str">
        <f>IF('SM-A6'!J21=0,"    -",ROUND('SM-A6'!J50/'SM-A6'!J21*100,1))</f>
        <v xml:space="preserve">    -</v>
      </c>
      <c r="K57" s="137" t="str">
        <f>IF('SM-A6'!K21=0,"    -",ROUND('SM-A6'!K50/'SM-A6'!K21*100,1))</f>
        <v xml:space="preserve">    -</v>
      </c>
      <c r="L57" s="135" t="str">
        <f>IF('SM-A6'!L21=0,"    -",ROUND('SM-A6'!L50/'SM-A6'!L21*100,1))</f>
        <v xml:space="preserve">    -</v>
      </c>
      <c r="M57" s="136" t="str">
        <f>IF('SM-A6'!M21=0,"    -",ROUND('SM-A6'!M50/'SM-A6'!M21*100,1))</f>
        <v xml:space="preserve">    -</v>
      </c>
      <c r="N57" s="136" t="str">
        <f>IF('SM-A6'!N21=0,"    -",ROUND('SM-A6'!N50/'SM-A6'!N21*100,1))</f>
        <v xml:space="preserve">    -</v>
      </c>
      <c r="O57" s="136" t="str">
        <f>IF('SM-A6'!O21=0,"    -",ROUND('SM-A6'!O50/'SM-A6'!O21*100,1))</f>
        <v xml:space="preserve">    -</v>
      </c>
      <c r="P57" s="136" t="str">
        <f>IF('SM-A6'!P21=0,"    -",ROUND('SM-A6'!P50/'SM-A6'!P21*100,1))</f>
        <v xml:space="preserve">    -</v>
      </c>
      <c r="Q57" s="137" t="str">
        <f>IF('SM-A6'!Q21=0,"    -",ROUND('SM-A6'!Q50/'SM-A6'!Q21*100,1))</f>
        <v xml:space="preserve">    -</v>
      </c>
    </row>
    <row r="58" spans="2:17" ht="17.25" customHeight="1">
      <c r="B58" s="672" t="s">
        <v>310</v>
      </c>
      <c r="C58" s="673"/>
      <c r="D58" s="57">
        <f>IF('SM-A6'!D22=0,"    -",ROUND('SM-A6'!D51/'SM-A6'!D22*100,1))</f>
        <v>89.7</v>
      </c>
      <c r="E58" s="58">
        <f>IF('SM-A6'!E22=0,"    -",ROUND('SM-A6'!E51/'SM-A6'!E22*100,1))</f>
        <v>86.4</v>
      </c>
      <c r="F58" s="58">
        <f>IF('SM-A6'!F22=0,"    -",ROUND('SM-A6'!F51/'SM-A6'!F22*100,1))</f>
        <v>87.1</v>
      </c>
      <c r="G58" s="58">
        <f>IF('SM-A6'!G22=0,"    -",ROUND('SM-A6'!G51/'SM-A6'!G22*100,1))</f>
        <v>85.8</v>
      </c>
      <c r="H58" s="58">
        <f>IF('SM-A6'!H22=0,"    -",ROUND('SM-A6'!H51/'SM-A6'!H22*100,1))</f>
        <v>81.400000000000006</v>
      </c>
      <c r="I58" s="58">
        <f>IF('SM-A6'!I22=0,"    -",ROUND('SM-A6'!I51/'SM-A6'!I22*100,1))</f>
        <v>80.2</v>
      </c>
      <c r="J58" s="58">
        <f>IF('SM-A6'!J22=0,"    -",ROUND('SM-A6'!J51/'SM-A6'!J22*100,1))</f>
        <v>84.2</v>
      </c>
      <c r="K58" s="59">
        <f>IF('SM-A6'!K22=0,"    -",ROUND('SM-A6'!K51/'SM-A6'!K22*100,1))</f>
        <v>85.3</v>
      </c>
      <c r="L58" s="57">
        <f>IF('SM-A6'!L22=0,"    -",ROUND('SM-A6'!L51/'SM-A6'!L22*100,1))</f>
        <v>81.900000000000006</v>
      </c>
      <c r="M58" s="58">
        <f>IF('SM-A6'!M22=0,"    -",ROUND('SM-A6'!M51/'SM-A6'!M22*100,1))</f>
        <v>80.2</v>
      </c>
      <c r="N58" s="58">
        <f>IF('SM-A6'!N22=0,"    -",ROUND('SM-A6'!N51/'SM-A6'!N22*100,1))</f>
        <v>79.3</v>
      </c>
      <c r="O58" s="58">
        <f>IF('SM-A6'!O22=0,"    -",ROUND('SM-A6'!O51/'SM-A6'!O22*100,1))</f>
        <v>79</v>
      </c>
      <c r="P58" s="58">
        <f>IF('SM-A6'!P22=0,"    -",ROUND('SM-A6'!P51/'SM-A6'!P22*100,1))</f>
        <v>78.599999999999994</v>
      </c>
      <c r="Q58" s="59">
        <f>IF('SM-A6'!Q22=0,"    -",ROUND('SM-A6'!Q51/'SM-A6'!Q22*100,1))</f>
        <v>78</v>
      </c>
    </row>
    <row r="59" spans="2:17" ht="16.5" customHeight="1">
      <c r="B59" s="105"/>
      <c r="C59" s="615" t="s">
        <v>311</v>
      </c>
      <c r="D59" s="74">
        <f>IF('SM-A6'!D23=0,"    -",ROUND('SM-A6'!D52/'SM-A6'!D23*100,1))</f>
        <v>89.7</v>
      </c>
      <c r="E59" s="75">
        <f>IF('SM-A6'!E23=0,"    -",ROUND('SM-A6'!E52/'SM-A6'!E23*100,1))</f>
        <v>86.5</v>
      </c>
      <c r="F59" s="75">
        <f>IF('SM-A6'!F23=0,"    -",ROUND('SM-A6'!F52/'SM-A6'!F23*100,1))</f>
        <v>88</v>
      </c>
      <c r="G59" s="75">
        <f>IF('SM-A6'!G23=0,"    -",ROUND('SM-A6'!G52/'SM-A6'!G23*100,1))</f>
        <v>85.9</v>
      </c>
      <c r="H59" s="75">
        <f>IF('SM-A6'!H23=0,"    -",ROUND('SM-A6'!H52/'SM-A6'!H23*100,1))</f>
        <v>81.099999999999994</v>
      </c>
      <c r="I59" s="75">
        <f>IF('SM-A6'!I23=0,"    -",ROUND('SM-A6'!I52/'SM-A6'!I23*100,1))</f>
        <v>80.599999999999994</v>
      </c>
      <c r="J59" s="75">
        <f>IF('SM-A6'!J23=0,"    -",ROUND('SM-A6'!J52/'SM-A6'!J23*100,1))</f>
        <v>85.3</v>
      </c>
      <c r="K59" s="76">
        <f>IF('SM-A6'!K23=0,"    -",ROUND('SM-A6'!K52/'SM-A6'!K23*100,1))</f>
        <v>85.7</v>
      </c>
      <c r="L59" s="74">
        <f>IF('SM-A6'!L23=0,"    -",ROUND('SM-A6'!L52/'SM-A6'!L23*100,1))</f>
        <v>82</v>
      </c>
      <c r="M59" s="75">
        <f>IF('SM-A6'!M23=0,"    -",ROUND('SM-A6'!M52/'SM-A6'!M23*100,1))</f>
        <v>80.2</v>
      </c>
      <c r="N59" s="75">
        <f>IF('SM-A6'!N23=0,"    -",ROUND('SM-A6'!N52/'SM-A6'!N23*100,1))</f>
        <v>79.2</v>
      </c>
      <c r="O59" s="75">
        <f>IF('SM-A6'!O23=0,"    -",ROUND('SM-A6'!O52/'SM-A6'!O23*100,1))</f>
        <v>78.900000000000006</v>
      </c>
      <c r="P59" s="75">
        <f>IF('SM-A6'!P23=0,"    -",ROUND('SM-A6'!P52/'SM-A6'!P23*100,1))</f>
        <v>78.5</v>
      </c>
      <c r="Q59" s="76">
        <f>IF('SM-A6'!Q23=0,"    -",ROUND('SM-A6'!Q52/'SM-A6'!Q23*100,1))</f>
        <v>77.8</v>
      </c>
    </row>
    <row r="60" spans="2:17" ht="17.25" customHeight="1">
      <c r="B60" s="672" t="s">
        <v>312</v>
      </c>
      <c r="C60" s="673"/>
      <c r="D60" s="57">
        <f>IF('SM-A6'!D24=0,"    -",ROUND('SM-A6'!D53/'SM-A6'!D24*100,1))</f>
        <v>72.7</v>
      </c>
      <c r="E60" s="58">
        <f>IF('SM-A6'!E24=0,"    -",ROUND('SM-A6'!E53/'SM-A6'!E24*100,1))</f>
        <v>73.8</v>
      </c>
      <c r="F60" s="58">
        <f>IF('SM-A6'!F24=0,"    -",ROUND('SM-A6'!F53/'SM-A6'!F24*100,1))</f>
        <v>76.3</v>
      </c>
      <c r="G60" s="58">
        <f>IF('SM-A6'!G24=0,"    -",ROUND('SM-A6'!G53/'SM-A6'!G24*100,1))</f>
        <v>77.2</v>
      </c>
      <c r="H60" s="58">
        <f>IF('SM-A6'!H24=0,"    -",ROUND('SM-A6'!H53/'SM-A6'!H24*100,1))</f>
        <v>79.099999999999994</v>
      </c>
      <c r="I60" s="58">
        <f>IF('SM-A6'!I24=0,"    -",ROUND('SM-A6'!I53/'SM-A6'!I24*100,1))</f>
        <v>78.8</v>
      </c>
      <c r="J60" s="58">
        <f>IF('SM-A6'!J24=0,"    -",ROUND('SM-A6'!J53/'SM-A6'!J24*100,1))</f>
        <v>79.099999999999994</v>
      </c>
      <c r="K60" s="59">
        <f>IF('SM-A6'!K24=0,"    -",ROUND('SM-A6'!K53/'SM-A6'!K24*100,1))</f>
        <v>79.3</v>
      </c>
      <c r="L60" s="57">
        <f>IF('SM-A6'!L24=0,"    -",ROUND('SM-A6'!L53/'SM-A6'!L24*100,1))</f>
        <v>79.8</v>
      </c>
      <c r="M60" s="58">
        <f>IF('SM-A6'!M24=0,"    -",ROUND('SM-A6'!M53/'SM-A6'!M24*100,1))</f>
        <v>81.099999999999994</v>
      </c>
      <c r="N60" s="58">
        <f>IF('SM-A6'!N24=0,"    -",ROUND('SM-A6'!N53/'SM-A6'!N24*100,1))</f>
        <v>82.2</v>
      </c>
      <c r="O60" s="58">
        <f>IF('SM-A6'!O24=0,"    -",ROUND('SM-A6'!O53/'SM-A6'!O24*100,1))</f>
        <v>84</v>
      </c>
      <c r="P60" s="58">
        <f>IF('SM-A6'!P24=0,"    -",ROUND('SM-A6'!P53/'SM-A6'!P24*100,1))</f>
        <v>86.1</v>
      </c>
      <c r="Q60" s="59">
        <f>IF('SM-A6'!Q24=0,"    -",ROUND('SM-A6'!Q53/'SM-A6'!Q24*100,1))</f>
        <v>88.8</v>
      </c>
    </row>
    <row r="61" spans="2:17" ht="16.5" customHeight="1">
      <c r="B61" s="16"/>
      <c r="C61" s="615" t="s">
        <v>313</v>
      </c>
      <c r="D61" s="74" t="str">
        <f>IF('SM-A6'!D25=0,"    -",ROUND('SM-A6'!D54/'SM-A6'!D25*100,1))</f>
        <v xml:space="preserve">    -</v>
      </c>
      <c r="E61" s="75">
        <f>IF('SM-A6'!E25=0,"    -",ROUND('SM-A6'!E54/'SM-A6'!E25*100,1))</f>
        <v>73.599999999999994</v>
      </c>
      <c r="F61" s="75">
        <f>IF('SM-A6'!F25=0,"    -",ROUND('SM-A6'!F54/'SM-A6'!F25*100,1))</f>
        <v>73.900000000000006</v>
      </c>
      <c r="G61" s="75">
        <f>IF('SM-A6'!G25=0,"    -",ROUND('SM-A6'!G54/'SM-A6'!G25*100,1))</f>
        <v>73.5</v>
      </c>
      <c r="H61" s="75">
        <f>IF('SM-A6'!H25=0,"    -",ROUND('SM-A6'!H54/'SM-A6'!H25*100,1))</f>
        <v>72.7</v>
      </c>
      <c r="I61" s="75">
        <f>IF('SM-A6'!I25=0,"    -",ROUND('SM-A6'!I54/'SM-A6'!I25*100,1))</f>
        <v>78.7</v>
      </c>
      <c r="J61" s="75">
        <f>IF('SM-A6'!J25=0,"    -",ROUND('SM-A6'!J54/'SM-A6'!J25*100,1))</f>
        <v>76.2</v>
      </c>
      <c r="K61" s="76">
        <f>IF('SM-A6'!K25=0,"    -",ROUND('SM-A6'!K54/'SM-A6'!K25*100,1))</f>
        <v>78.5</v>
      </c>
      <c r="L61" s="74">
        <f>IF('SM-A6'!L25=0,"    -",ROUND('SM-A6'!L54/'SM-A6'!L25*100,1))</f>
        <v>79</v>
      </c>
      <c r="M61" s="75">
        <f>IF('SM-A6'!M25=0,"    -",ROUND('SM-A6'!M54/'SM-A6'!M25*100,1))</f>
        <v>79</v>
      </c>
      <c r="N61" s="75">
        <f>IF('SM-A6'!N25=0,"    -",ROUND('SM-A6'!N54/'SM-A6'!N25*100,1))</f>
        <v>79.8</v>
      </c>
      <c r="O61" s="75">
        <f>IF('SM-A6'!O25=0,"    -",ROUND('SM-A6'!O54/'SM-A6'!O25*100,1))</f>
        <v>80.2</v>
      </c>
      <c r="P61" s="75">
        <f>IF('SM-A6'!P25=0,"    -",ROUND('SM-A6'!P54/'SM-A6'!P25*100,1))</f>
        <v>80.599999999999994</v>
      </c>
      <c r="Q61" s="76">
        <f>IF('SM-A6'!Q25=0,"    -",ROUND('SM-A6'!Q54/'SM-A6'!Q25*100,1))</f>
        <v>81.900000000000006</v>
      </c>
    </row>
    <row r="62" spans="2:17" ht="17.25" customHeight="1">
      <c r="B62" s="674" t="s">
        <v>314</v>
      </c>
      <c r="C62" s="675"/>
      <c r="D62" s="57" t="str">
        <f>IF('SM-A6'!D26=0,"    -",ROUND('SM-A6'!D55/'SM-A6'!D26*100,1))</f>
        <v xml:space="preserve">    -</v>
      </c>
      <c r="E62" s="58" t="str">
        <f>IF('SM-A6'!E26=0,"    -",ROUND('SM-A6'!E55/'SM-A6'!E26*100,1))</f>
        <v xml:space="preserve">    -</v>
      </c>
      <c r="F62" s="58" t="str">
        <f>IF('SM-A6'!F26=0,"    -",ROUND('SM-A6'!F55/'SM-A6'!F26*100,1))</f>
        <v xml:space="preserve">    -</v>
      </c>
      <c r="G62" s="58" t="str">
        <f>IF('SM-A6'!G26=0,"    -",ROUND('SM-A6'!G55/'SM-A6'!G26*100,1))</f>
        <v xml:space="preserve">    -</v>
      </c>
      <c r="H62" s="58" t="str">
        <f>IF('SM-A6'!H26=0,"    -",ROUND('SM-A6'!H55/'SM-A6'!H26*100,1))</f>
        <v xml:space="preserve">    -</v>
      </c>
      <c r="I62" s="58" t="str">
        <f>IF('SM-A6'!I26=0,"    -",ROUND('SM-A6'!I55/'SM-A6'!I26*100,1))</f>
        <v xml:space="preserve">    -</v>
      </c>
      <c r="J62" s="58" t="str">
        <f>IF('SM-A6'!J26=0,"    -",ROUND('SM-A6'!J55/'SM-A6'!J26*100,1))</f>
        <v xml:space="preserve">    -</v>
      </c>
      <c r="K62" s="59" t="str">
        <f>IF('SM-A6'!K26=0,"    -",ROUND('SM-A6'!K55/'SM-A6'!K26*100,1))</f>
        <v xml:space="preserve">    -</v>
      </c>
      <c r="L62" s="57" t="str">
        <f>IF('SM-A6'!L26=0,"    -",ROUND('SM-A6'!L55/'SM-A6'!L26*100,1))</f>
        <v xml:space="preserve">    -</v>
      </c>
      <c r="M62" s="58" t="str">
        <f>IF('SM-A6'!M26=0,"    -",ROUND('SM-A6'!M55/'SM-A6'!M26*100,1))</f>
        <v xml:space="preserve">    -</v>
      </c>
      <c r="N62" s="58" t="str">
        <f>IF('SM-A6'!N26=0,"    -",ROUND('SM-A6'!N55/'SM-A6'!N26*100,1))</f>
        <v xml:space="preserve">    -</v>
      </c>
      <c r="O62" s="58" t="str">
        <f>IF('SM-A6'!O26=0,"    -",ROUND('SM-A6'!O55/'SM-A6'!O26*100,1))</f>
        <v xml:space="preserve">    -</v>
      </c>
      <c r="P62" s="58" t="str">
        <f>IF('SM-A6'!P26=0,"    -",ROUND('SM-A6'!P55/'SM-A6'!P26*100,1))</f>
        <v xml:space="preserve">    -</v>
      </c>
      <c r="Q62" s="59" t="str">
        <f>IF('SM-A6'!Q26=0,"    -",ROUND('SM-A6'!Q55/'SM-A6'!Q26*100,1))</f>
        <v xml:space="preserve">    -</v>
      </c>
    </row>
    <row r="63" spans="2:17" ht="17.25" customHeight="1">
      <c r="B63" s="674" t="s">
        <v>315</v>
      </c>
      <c r="C63" s="675"/>
      <c r="D63" s="74">
        <f>IF('SM-A6'!D27=0,"    -",ROUND('SM-A6'!D56/'SM-A6'!D27*100,1))</f>
        <v>61.1</v>
      </c>
      <c r="E63" s="75">
        <f>IF('SM-A6'!E27=0,"    -",ROUND('SM-A6'!E56/'SM-A6'!E27*100,1))</f>
        <v>64</v>
      </c>
      <c r="F63" s="75">
        <f>IF('SM-A6'!F27=0,"    -",ROUND('SM-A6'!F56/'SM-A6'!F27*100,1))</f>
        <v>70.2</v>
      </c>
      <c r="G63" s="75">
        <f>IF('SM-A6'!G27=0,"    -",ROUND('SM-A6'!G56/'SM-A6'!G27*100,1))</f>
        <v>83.5</v>
      </c>
      <c r="H63" s="75">
        <f>IF('SM-A6'!H27=0,"    -",ROUND('SM-A6'!H56/'SM-A6'!H27*100,1))</f>
        <v>88.6</v>
      </c>
      <c r="I63" s="75">
        <f>IF('SM-A6'!I27=0,"    -",ROUND('SM-A6'!I56/'SM-A6'!I27*100,1))</f>
        <v>91.9</v>
      </c>
      <c r="J63" s="75">
        <f>IF('SM-A6'!J27=0,"    -",ROUND('SM-A6'!J56/'SM-A6'!J27*100,1))</f>
        <v>89.3</v>
      </c>
      <c r="K63" s="76">
        <f>IF('SM-A6'!K27=0,"    -",ROUND('SM-A6'!K56/'SM-A6'!K27*100,1))</f>
        <v>90.3</v>
      </c>
      <c r="L63" s="77">
        <f>IF('SM-A6'!L27=0,"    -",ROUND('SM-A6'!L56/'SM-A6'!L27*100,1))</f>
        <v>91.8</v>
      </c>
      <c r="M63" s="75">
        <f>IF('SM-A6'!M27=0,"    -",ROUND('SM-A6'!M56/'SM-A6'!M27*100,1))</f>
        <v>93</v>
      </c>
      <c r="N63" s="75">
        <f>IF('SM-A6'!N27=0,"    -",ROUND('SM-A6'!N56/'SM-A6'!N27*100,1))</f>
        <v>94.4</v>
      </c>
      <c r="O63" s="75">
        <f>IF('SM-A6'!O27=0,"    -",ROUND('SM-A6'!O56/'SM-A6'!O27*100,1))</f>
        <v>95.8</v>
      </c>
      <c r="P63" s="75">
        <f>IF('SM-A6'!P27=0,"    -",ROUND('SM-A6'!P56/'SM-A6'!P27*100,1))</f>
        <v>97.2</v>
      </c>
      <c r="Q63" s="78">
        <f>IF('SM-A6'!Q27=0,"    -",ROUND('SM-A6'!Q56/'SM-A6'!Q27*100,1))</f>
        <v>98.7</v>
      </c>
    </row>
    <row r="64" spans="2:17" ht="16.5" customHeight="1">
      <c r="B64" s="672" t="s">
        <v>316</v>
      </c>
      <c r="C64" s="673"/>
      <c r="D64" s="57">
        <f>IF('SM-A6'!D28=0,"    -",ROUND('SM-A6'!D57/'SM-A6'!D28*100,1))</f>
        <v>90</v>
      </c>
      <c r="E64" s="58">
        <f>IF('SM-A6'!E28=0,"    -",ROUND('SM-A6'!E57/'SM-A6'!E28*100,1))</f>
        <v>90</v>
      </c>
      <c r="F64" s="58">
        <f>IF('SM-A6'!F28=0,"    -",ROUND('SM-A6'!F57/'SM-A6'!F28*100,1))</f>
        <v>90</v>
      </c>
      <c r="G64" s="58">
        <f>IF('SM-A6'!G28=0,"    -",ROUND('SM-A6'!G57/'SM-A6'!G28*100,1))</f>
        <v>90</v>
      </c>
      <c r="H64" s="58">
        <f>IF('SM-A6'!H28=0,"    -",ROUND('SM-A6'!H57/'SM-A6'!H28*100,1))</f>
        <v>90</v>
      </c>
      <c r="I64" s="58">
        <f>IF('SM-A6'!I28=0,"    -",ROUND('SM-A6'!I57/'SM-A6'!I28*100,1))</f>
        <v>90</v>
      </c>
      <c r="J64" s="58">
        <f>IF('SM-A6'!J28=0,"    -",ROUND('SM-A6'!J57/'SM-A6'!J28*100,1))</f>
        <v>90</v>
      </c>
      <c r="K64" s="59">
        <f>IF('SM-A6'!K28=0,"    -",ROUND('SM-A6'!K57/'SM-A6'!K28*100,1))</f>
        <v>90</v>
      </c>
      <c r="L64" s="60">
        <f>IF('SM-A6'!L28=0,"    -",ROUND('SM-A6'!L57/'SM-A6'!L28*100,1))</f>
        <v>90</v>
      </c>
      <c r="M64" s="58">
        <f>IF('SM-A6'!M28=0,"    -",ROUND('SM-A6'!M57/'SM-A6'!M28*100,1))</f>
        <v>90</v>
      </c>
      <c r="N64" s="58">
        <f>IF('SM-A6'!N28=0,"    -",ROUND('SM-A6'!N57/'SM-A6'!N28*100,1))</f>
        <v>90</v>
      </c>
      <c r="O64" s="58">
        <f>IF('SM-A6'!O28=0,"    -",ROUND('SM-A6'!O57/'SM-A6'!O28*100,1))</f>
        <v>90</v>
      </c>
      <c r="P64" s="58">
        <f>IF('SM-A6'!P28=0,"    -",ROUND('SM-A6'!P57/'SM-A6'!P28*100,1))</f>
        <v>90</v>
      </c>
      <c r="Q64" s="61">
        <f>IF('SM-A6'!Q28=0,"    -",ROUND('SM-A6'!Q57/'SM-A6'!Q28*100,1))</f>
        <v>90</v>
      </c>
    </row>
    <row r="65" spans="2:17" ht="16.5" customHeight="1">
      <c r="B65" s="670" t="s">
        <v>317</v>
      </c>
      <c r="C65" s="671"/>
      <c r="D65" s="57">
        <f>IF('SM-A6'!D29=0,"    -",ROUND('SM-A6'!D58/'SM-A6'!D29*100,1))</f>
        <v>67.5</v>
      </c>
      <c r="E65" s="58">
        <f>IF('SM-A6'!E29=0,"    -",ROUND('SM-A6'!E58/'SM-A6'!E29*100,1))</f>
        <v>72.599999999999994</v>
      </c>
      <c r="F65" s="58">
        <f>IF('SM-A6'!F29=0,"    -",ROUND('SM-A6'!F58/'SM-A6'!F29*100,1))</f>
        <v>74.2</v>
      </c>
      <c r="G65" s="58">
        <f>IF('SM-A6'!G29=0,"    -",ROUND('SM-A6'!G58/'SM-A6'!G29*100,1))</f>
        <v>90</v>
      </c>
      <c r="H65" s="58">
        <f>IF('SM-A6'!H29=0,"    -",ROUND('SM-A6'!H58/'SM-A6'!H29*100,1))</f>
        <v>90</v>
      </c>
      <c r="I65" s="58">
        <f>IF('SM-A6'!I29=0,"    -",ROUND('SM-A6'!I58/'SM-A6'!I29*100,1))</f>
        <v>90</v>
      </c>
      <c r="J65" s="58">
        <f>IF('SM-A6'!J29=0,"    -",ROUND('SM-A6'!J58/'SM-A6'!J29*100,1))</f>
        <v>90</v>
      </c>
      <c r="K65" s="59">
        <f>IF('SM-A6'!K29=0,"    -",ROUND('SM-A6'!K58/'SM-A6'!K29*100,1))</f>
        <v>90</v>
      </c>
      <c r="L65" s="60">
        <f>IF('SM-A6'!L29=0,"    -",ROUND('SM-A6'!L58/'SM-A6'!L29*100,1))</f>
        <v>90</v>
      </c>
      <c r="M65" s="58">
        <f>IF('SM-A6'!M29=0,"    -",ROUND('SM-A6'!M58/'SM-A6'!M29*100,1))</f>
        <v>90</v>
      </c>
      <c r="N65" s="58">
        <f>IF('SM-A6'!N29=0,"    -",ROUND('SM-A6'!N58/'SM-A6'!N29*100,1))</f>
        <v>90</v>
      </c>
      <c r="O65" s="58">
        <f>IF('SM-A6'!O29=0,"    -",ROUND('SM-A6'!O58/'SM-A6'!O29*100,1))</f>
        <v>90</v>
      </c>
      <c r="P65" s="58">
        <f>IF('SM-A6'!P29=0,"    -",ROUND('SM-A6'!P58/'SM-A6'!P29*100,1))</f>
        <v>90</v>
      </c>
      <c r="Q65" s="61">
        <f>IF('SM-A6'!Q29=0,"    -",ROUND('SM-A6'!Q58/'SM-A6'!Q29*100,1))</f>
        <v>90</v>
      </c>
    </row>
    <row r="66" spans="2:17" ht="17.25" customHeight="1">
      <c r="B66" s="674" t="s">
        <v>318</v>
      </c>
      <c r="C66" s="675"/>
      <c r="D66" s="74">
        <f>IF('SM-A6'!D30=0,"    -",ROUND('SM-A6'!D59/'SM-A6'!D30*100,1))</f>
        <v>86.6</v>
      </c>
      <c r="E66" s="75">
        <f>IF('SM-A6'!E30=0,"    -",ROUND('SM-A6'!E59/'SM-A6'!E30*100,1))</f>
        <v>87.4</v>
      </c>
      <c r="F66" s="75">
        <f>IF('SM-A6'!F30=0,"    -",ROUND('SM-A6'!F59/'SM-A6'!F30*100,1))</f>
        <v>87.6</v>
      </c>
      <c r="G66" s="75">
        <f>IF('SM-A6'!G30=0,"    -",ROUND('SM-A6'!G59/'SM-A6'!G30*100,1))</f>
        <v>90</v>
      </c>
      <c r="H66" s="75">
        <f>IF('SM-A6'!H30=0,"    -",ROUND('SM-A6'!H59/'SM-A6'!H30*100,1))</f>
        <v>90</v>
      </c>
      <c r="I66" s="75">
        <f>IF('SM-A6'!I30=0,"    -",ROUND('SM-A6'!I59/'SM-A6'!I30*100,1))</f>
        <v>90</v>
      </c>
      <c r="J66" s="75">
        <f>IF('SM-A6'!J30=0,"    -",ROUND('SM-A6'!J59/'SM-A6'!J30*100,1))</f>
        <v>90</v>
      </c>
      <c r="K66" s="76">
        <f>IF('SM-A6'!K30=0,"    -",ROUND('SM-A6'!K59/'SM-A6'!K30*100,1))</f>
        <v>90</v>
      </c>
      <c r="L66" s="77">
        <f>IF('SM-A6'!L30=0,"    -",ROUND('SM-A6'!L59/'SM-A6'!L30*100,1))</f>
        <v>90</v>
      </c>
      <c r="M66" s="75">
        <f>IF('SM-A6'!M30=0,"    -",ROUND('SM-A6'!M59/'SM-A6'!M30*100,1))</f>
        <v>90</v>
      </c>
      <c r="N66" s="75">
        <f>IF('SM-A6'!N30=0,"    -",ROUND('SM-A6'!N59/'SM-A6'!N30*100,1))</f>
        <v>90</v>
      </c>
      <c r="O66" s="75">
        <f>IF('SM-A6'!O30=0,"    -",ROUND('SM-A6'!O59/'SM-A6'!O30*100,1))</f>
        <v>90</v>
      </c>
      <c r="P66" s="75">
        <f>IF('SM-A6'!P30=0,"    -",ROUND('SM-A6'!P59/'SM-A6'!P30*100,1))</f>
        <v>90</v>
      </c>
      <c r="Q66" s="78">
        <f>IF('SM-A6'!Q30=0,"    -",ROUND('SM-A6'!Q59/'SM-A6'!Q30*100,1))</f>
        <v>90</v>
      </c>
    </row>
    <row r="67" spans="2:17" ht="16.5" customHeight="1">
      <c r="B67" s="672" t="s">
        <v>319</v>
      </c>
      <c r="C67" s="673"/>
      <c r="D67" s="57">
        <f>IF('SM-A6'!D31=0,"    -",ROUND('SM-A6'!D60/'SM-A6'!D31*100,1))</f>
        <v>76.7</v>
      </c>
      <c r="E67" s="58">
        <f>IF('SM-A6'!E31=0,"    -",ROUND('SM-A6'!E60/'SM-A6'!E31*100,1))</f>
        <v>83.3</v>
      </c>
      <c r="F67" s="58">
        <f>IF('SM-A6'!F31=0,"    -",ROUND('SM-A6'!F60/'SM-A6'!F31*100,1))</f>
        <v>20</v>
      </c>
      <c r="G67" s="58">
        <f>IF('SM-A6'!G31=0,"    -",ROUND('SM-A6'!G60/'SM-A6'!G31*100,1))</f>
        <v>90</v>
      </c>
      <c r="H67" s="58">
        <f>IF('SM-A6'!H31=0,"    -",ROUND('SM-A6'!H60/'SM-A6'!H31*100,1))</f>
        <v>90</v>
      </c>
      <c r="I67" s="58">
        <f>IF('SM-A6'!I31=0,"    -",ROUND('SM-A6'!I60/'SM-A6'!I31*100,1))</f>
        <v>90</v>
      </c>
      <c r="J67" s="58">
        <f>IF('SM-A6'!J31=0,"    -",ROUND('SM-A6'!J60/'SM-A6'!J31*100,1))</f>
        <v>90</v>
      </c>
      <c r="K67" s="59" t="str">
        <f>IF('SM-A6'!K31=0,"    -",ROUND('SM-A6'!K60/'SM-A6'!K31*100,1))</f>
        <v xml:space="preserve">    -</v>
      </c>
      <c r="L67" s="60" t="str">
        <f>IF('SM-A6'!L31=0,"    -",ROUND('SM-A6'!L60/'SM-A6'!L31*100,1))</f>
        <v xml:space="preserve">    -</v>
      </c>
      <c r="M67" s="58" t="str">
        <f>IF('SM-A6'!M31=0,"    -",ROUND('SM-A6'!M60/'SM-A6'!M31*100,1))</f>
        <v xml:space="preserve">    -</v>
      </c>
      <c r="N67" s="58" t="str">
        <f>IF('SM-A6'!N31=0,"    -",ROUND('SM-A6'!N60/'SM-A6'!N31*100,1))</f>
        <v xml:space="preserve">    -</v>
      </c>
      <c r="O67" s="58" t="str">
        <f>IF('SM-A6'!O31=0,"    -",ROUND('SM-A6'!O60/'SM-A6'!O31*100,1))</f>
        <v xml:space="preserve">    -</v>
      </c>
      <c r="P67" s="58" t="str">
        <f>IF('SM-A6'!P31=0,"    -",ROUND('SM-A6'!P60/'SM-A6'!P31*100,1))</f>
        <v xml:space="preserve">    -</v>
      </c>
      <c r="Q67" s="61" t="str">
        <f>IF('SM-A6'!Q31=0,"    -",ROUND('SM-A6'!Q60/'SM-A6'!Q31*100,1))</f>
        <v xml:space="preserve">    -</v>
      </c>
    </row>
    <row r="68" spans="2:17" ht="16.5" customHeight="1">
      <c r="B68" s="668" t="s">
        <v>320</v>
      </c>
      <c r="C68" s="669"/>
      <c r="D68" s="57">
        <f>IF('SM-A6'!D32=0,"    -",ROUND('SM-A6'!D61/'SM-A6'!D32*100,1))</f>
        <v>80.099999999999994</v>
      </c>
      <c r="E68" s="58">
        <f>IF('SM-A6'!E32=0,"    -",ROUND('SM-A6'!E61/'SM-A6'!E32*100,1))</f>
        <v>87.2</v>
      </c>
      <c r="F68" s="58">
        <f>IF('SM-A6'!F32=0,"    -",ROUND('SM-A6'!F61/'SM-A6'!F32*100,1))</f>
        <v>89.2</v>
      </c>
      <c r="G68" s="58">
        <f>IF('SM-A6'!G32=0,"    -",ROUND('SM-A6'!G61/'SM-A6'!G32*100,1))</f>
        <v>92.5</v>
      </c>
      <c r="H68" s="58">
        <f>IF('SM-A6'!H32=0,"    -",ROUND('SM-A6'!H61/'SM-A6'!H32*100,1))</f>
        <v>92.5</v>
      </c>
      <c r="I68" s="58">
        <f>IF('SM-A6'!I32=0,"    -",ROUND('SM-A6'!I61/'SM-A6'!I32*100,1))</f>
        <v>85.1</v>
      </c>
      <c r="J68" s="58">
        <f>IF('SM-A6'!J32=0,"    -",ROUND('SM-A6'!J61/'SM-A6'!J32*100,1))</f>
        <v>85</v>
      </c>
      <c r="K68" s="59">
        <f>IF('SM-A6'!K32=0,"    -",ROUND('SM-A6'!K61/'SM-A6'!K32*100,1))</f>
        <v>85.1</v>
      </c>
      <c r="L68" s="60">
        <f>IF('SM-A6'!L32=0,"    -",ROUND('SM-A6'!L61/'SM-A6'!L32*100,1))</f>
        <v>85.1</v>
      </c>
      <c r="M68" s="58">
        <f>IF('SM-A6'!M32=0,"    -",ROUND('SM-A6'!M61/'SM-A6'!M32*100,1))</f>
        <v>85.1</v>
      </c>
      <c r="N68" s="58">
        <f>IF('SM-A6'!N32=0,"    -",ROUND('SM-A6'!N61/'SM-A6'!N32*100,1))</f>
        <v>85.1</v>
      </c>
      <c r="O68" s="58">
        <f>IF('SM-A6'!O32=0,"    -",ROUND('SM-A6'!O61/'SM-A6'!O32*100,1))</f>
        <v>85.1</v>
      </c>
      <c r="P68" s="58">
        <f>IF('SM-A6'!P32=0,"    -",ROUND('SM-A6'!P61/'SM-A6'!P32*100,1))</f>
        <v>85.1</v>
      </c>
      <c r="Q68" s="61">
        <f>IF('SM-A6'!Q32=0,"    -",ROUND('SM-A6'!Q61/'SM-A6'!Q32*100,1))</f>
        <v>85.1</v>
      </c>
    </row>
    <row r="69" spans="2:17" ht="16.5" customHeight="1">
      <c r="B69" s="670" t="s">
        <v>321</v>
      </c>
      <c r="C69" s="671"/>
      <c r="D69" s="57">
        <f>IF('SM-A6'!D33=0,"    -",ROUND('SM-A6'!D62/'SM-A6'!D33*100,1))</f>
        <v>71.3</v>
      </c>
      <c r="E69" s="58">
        <f>IF('SM-A6'!E33=0,"    -",ROUND('SM-A6'!E62/'SM-A6'!E33*100,1))</f>
        <v>73.8</v>
      </c>
      <c r="F69" s="58">
        <f>IF('SM-A6'!F33=0,"    -",ROUND('SM-A6'!F62/'SM-A6'!F33*100,1))</f>
        <v>76.3</v>
      </c>
      <c r="G69" s="58">
        <f>IF('SM-A6'!G33=0,"    -",ROUND('SM-A6'!G62/'SM-A6'!G33*100,1))</f>
        <v>85</v>
      </c>
      <c r="H69" s="58">
        <f>IF('SM-A6'!H33=0,"    -",ROUND('SM-A6'!H62/'SM-A6'!H33*100,1))</f>
        <v>85</v>
      </c>
      <c r="I69" s="58">
        <f>IF('SM-A6'!I33=0,"    -",ROUND('SM-A6'!I62/'SM-A6'!I33*100,1))</f>
        <v>85</v>
      </c>
      <c r="J69" s="58">
        <f>IF('SM-A6'!J33=0,"    -",ROUND('SM-A6'!J62/'SM-A6'!J33*100,1))</f>
        <v>85</v>
      </c>
      <c r="K69" s="59">
        <f>IF('SM-A6'!K33=0,"    -",ROUND('SM-A6'!K62/'SM-A6'!K33*100,1))</f>
        <v>85</v>
      </c>
      <c r="L69" s="60">
        <f>IF('SM-A6'!L33=0,"    -",ROUND('SM-A6'!L62/'SM-A6'!L33*100,1))</f>
        <v>85</v>
      </c>
      <c r="M69" s="58">
        <f>IF('SM-A6'!M33=0,"    -",ROUND('SM-A6'!M62/'SM-A6'!M33*100,1))</f>
        <v>85</v>
      </c>
      <c r="N69" s="58">
        <f>IF('SM-A6'!N33=0,"    -",ROUND('SM-A6'!N62/'SM-A6'!N33*100,1))</f>
        <v>85</v>
      </c>
      <c r="O69" s="58">
        <f>IF('SM-A6'!O33=0,"    -",ROUND('SM-A6'!O62/'SM-A6'!O33*100,1))</f>
        <v>85</v>
      </c>
      <c r="P69" s="58">
        <f>IF('SM-A6'!P33=0,"    -",ROUND('SM-A6'!P62/'SM-A6'!P33*100,1))</f>
        <v>85</v>
      </c>
      <c r="Q69" s="61">
        <f>IF('SM-A6'!Q33=0,"    -",ROUND('SM-A6'!Q62/'SM-A6'!Q33*100,1))</f>
        <v>85</v>
      </c>
    </row>
    <row r="70" spans="2:17" ht="17.25" customHeight="1" thickBot="1">
      <c r="B70" s="678" t="s">
        <v>322</v>
      </c>
      <c r="C70" s="679"/>
      <c r="D70" s="111">
        <f>IF('SM-A6'!D34=0,"    -",ROUND('SM-A6'!D63/'SM-A6'!D34*100,1))</f>
        <v>77.7</v>
      </c>
      <c r="E70" s="112">
        <f>IF('SM-A6'!E34=0,"    -",ROUND('SM-A6'!E63/'SM-A6'!E34*100,1))</f>
        <v>83.8</v>
      </c>
      <c r="F70" s="112">
        <f>IF('SM-A6'!F34=0,"    -",ROUND('SM-A6'!F63/'SM-A6'!F34*100,1))</f>
        <v>73.7</v>
      </c>
      <c r="G70" s="112">
        <f>IF('SM-A6'!G34=0,"    -",ROUND('SM-A6'!G63/'SM-A6'!G34*100,1))</f>
        <v>90.5</v>
      </c>
      <c r="H70" s="112">
        <f>IF('SM-A6'!H34=0,"    -",ROUND('SM-A6'!H63/'SM-A6'!H34*100,1))</f>
        <v>90.5</v>
      </c>
      <c r="I70" s="112">
        <f>IF('SM-A6'!I34=0,"    -",ROUND('SM-A6'!I63/'SM-A6'!I34*100,1))</f>
        <v>85.9</v>
      </c>
      <c r="J70" s="112">
        <f>IF('SM-A6'!J34=0,"    -",ROUND('SM-A6'!J63/'SM-A6'!J34*100,1))</f>
        <v>85.9</v>
      </c>
      <c r="K70" s="113">
        <f>IF('SM-A6'!K34=0,"    -",ROUND('SM-A6'!K63/'SM-A6'!K34*100,1))</f>
        <v>85.1</v>
      </c>
      <c r="L70" s="114">
        <f>IF('SM-A6'!L34=0,"    -",ROUND('SM-A6'!L63/'SM-A6'!L34*100,1))</f>
        <v>85.1</v>
      </c>
      <c r="M70" s="112">
        <f>IF('SM-A6'!M34=0,"    -",ROUND('SM-A6'!M63/'SM-A6'!M34*100,1))</f>
        <v>85</v>
      </c>
      <c r="N70" s="112">
        <f>IF('SM-A6'!N34=0,"    -",ROUND('SM-A6'!N63/'SM-A6'!N34*100,1))</f>
        <v>85</v>
      </c>
      <c r="O70" s="112">
        <f>IF('SM-A6'!O34=0,"    -",ROUND('SM-A6'!O63/'SM-A6'!O34*100,1))</f>
        <v>85</v>
      </c>
      <c r="P70" s="112">
        <f>IF('SM-A6'!P34=0,"    -",ROUND('SM-A6'!P63/'SM-A6'!P34*100,1))</f>
        <v>85</v>
      </c>
      <c r="Q70" s="115">
        <f>IF('SM-A6'!Q34=0,"    -",ROUND('SM-A6'!Q63/'SM-A6'!Q34*100,1))</f>
        <v>85</v>
      </c>
    </row>
    <row r="71" spans="2:17" ht="18" customHeight="1" thickTop="1" thickBot="1">
      <c r="B71" s="21"/>
      <c r="C71" s="619" t="s">
        <v>337</v>
      </c>
      <c r="D71" s="122">
        <f>IF('SM-A6'!D35=0,"    -",ROUND('SM-A6'!D64/'SM-A6'!D35*100,1))</f>
        <v>85.7</v>
      </c>
      <c r="E71" s="123">
        <f>IF('SM-A6'!E35=0,"    -",ROUND('SM-A6'!E64/'SM-A6'!E35*100,1))</f>
        <v>83.6</v>
      </c>
      <c r="F71" s="123">
        <f>IF('SM-A6'!F35=0,"    -",ROUND('SM-A6'!F64/'SM-A6'!F35*100,1))</f>
        <v>84.2</v>
      </c>
      <c r="G71" s="123">
        <f>IF('SM-A6'!G35=0,"    -",ROUND('SM-A6'!G64/'SM-A6'!G35*100,1))</f>
        <v>86.4</v>
      </c>
      <c r="H71" s="123">
        <f>IF('SM-A6'!H35=0,"    -",ROUND('SM-A6'!H64/'SM-A6'!H35*100,1))</f>
        <v>85</v>
      </c>
      <c r="I71" s="123">
        <f>IF('SM-A6'!I35=0,"    -",ROUND('SM-A6'!I64/'SM-A6'!I35*100,1))</f>
        <v>86.2</v>
      </c>
      <c r="J71" s="123">
        <f>IF('SM-A6'!J35=0,"    -",ROUND('SM-A6'!J64/'SM-A6'!J35*100,1))</f>
        <v>86.2</v>
      </c>
      <c r="K71" s="124">
        <f>IF('SM-A6'!K35=0,"    -",ROUND('SM-A6'!K64/'SM-A6'!K35*100,1))</f>
        <v>87.2</v>
      </c>
      <c r="L71" s="125">
        <f>IF('SM-A6'!L35=0,"    -",ROUND('SM-A6'!L64/'SM-A6'!L35*100,1))</f>
        <v>87.1</v>
      </c>
      <c r="M71" s="123">
        <f>IF('SM-A6'!M35=0,"    -",ROUND('SM-A6'!M64/'SM-A6'!M35*100,1))</f>
        <v>87.6</v>
      </c>
      <c r="N71" s="123">
        <f>IF('SM-A6'!N35=0,"    -",ROUND('SM-A6'!N64/'SM-A6'!N35*100,1))</f>
        <v>87.4</v>
      </c>
      <c r="O71" s="123">
        <f>IF('SM-A6'!O35=0,"    -",ROUND('SM-A6'!O64/'SM-A6'!O35*100,1))</f>
        <v>79.8</v>
      </c>
      <c r="P71" s="123">
        <f>IF('SM-A6'!P35=0,"    -",ROUND('SM-A6'!P64/'SM-A6'!P35*100,1))</f>
        <v>79.599999999999994</v>
      </c>
      <c r="Q71" s="126">
        <f>IF('SM-A6'!Q35=0,"    -",ROUND('SM-A6'!Q64/'SM-A6'!Q35*100,1))</f>
        <v>80.5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197" priority="5">
      <formula>CELL("protect",C75)=0</formula>
    </cfRule>
    <cfRule type="expression" dxfId="196" priority="6">
      <formula>CELL("protect",C75)=0</formula>
    </cfRule>
  </conditionalFormatting>
  <conditionalFormatting sqref="C73">
    <cfRule type="expression" dxfId="195" priority="3">
      <formula>CELL("protect",C73)=0</formula>
    </cfRule>
    <cfRule type="expression" dxfId="194" priority="4">
      <formula>CELL("protect",C73)=0</formula>
    </cfRule>
  </conditionalFormatting>
  <conditionalFormatting sqref="C75">
    <cfRule type="expression" dxfId="193" priority="1">
      <formula>CELL("protect",C75)=0</formula>
    </cfRule>
    <cfRule type="expression" dxfId="192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&amp;C168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8" sqref="R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6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'PVC-A7'!D36-'PVC-A7'!D65</f>
        <v>554</v>
      </c>
      <c r="E7" s="240">
        <f>'PVC-A7'!E36-'PVC-A7'!E65</f>
        <v>563</v>
      </c>
      <c r="F7" s="240">
        <f>'PVC-A7'!F36-'PVC-A7'!F65</f>
        <v>666</v>
      </c>
      <c r="G7" s="240">
        <f>'PVC-A7'!G36-'PVC-A7'!G65</f>
        <v>585</v>
      </c>
      <c r="H7" s="240">
        <f>'PVC-A7'!H36-'PVC-A7'!H65</f>
        <v>476</v>
      </c>
      <c r="I7" s="240">
        <f>'PVC-A7'!I36-'PVC-A7'!I65</f>
        <v>490</v>
      </c>
      <c r="J7" s="240">
        <f>'PVC-A7'!J36-'PVC-A7'!J65</f>
        <v>429</v>
      </c>
      <c r="K7" s="241">
        <f>'PVC-A7'!K36-'PVC-A7'!K65</f>
        <v>408</v>
      </c>
      <c r="L7" s="242">
        <f>'PVC-A7'!L36-'PVC-A7'!L65</f>
        <v>380</v>
      </c>
      <c r="M7" s="240">
        <f>'PVC-A7'!M36-'PVC-A7'!M65</f>
        <v>380</v>
      </c>
      <c r="N7" s="240">
        <f>'PVC-A7'!N36-'PVC-A7'!N65</f>
        <v>380</v>
      </c>
      <c r="O7" s="240">
        <f>'PVC-A7'!O36-'PVC-A7'!O65</f>
        <v>420</v>
      </c>
      <c r="P7" s="240">
        <f>'PVC-A7'!P36-'PVC-A7'!P65</f>
        <v>420</v>
      </c>
      <c r="Q7" s="243">
        <f>'PVC-A7'!Q36-'PVC-A7'!Q65</f>
        <v>400</v>
      </c>
    </row>
    <row r="8" spans="2:19" ht="16.5" customHeight="1">
      <c r="B8" s="605" t="s">
        <v>434</v>
      </c>
      <c r="C8" s="606"/>
      <c r="D8" s="239">
        <f>'PVC-A7'!D37-'PVC-A7'!D66</f>
        <v>803</v>
      </c>
      <c r="E8" s="240">
        <f>'PVC-A7'!E37-'PVC-A7'!E66</f>
        <v>830</v>
      </c>
      <c r="F8" s="240">
        <f>'PVC-A7'!F37-'PVC-A7'!F66</f>
        <v>978</v>
      </c>
      <c r="G8" s="240">
        <f>'PVC-A7'!G37-'PVC-A7'!G66</f>
        <v>1046</v>
      </c>
      <c r="H8" s="240">
        <f>'PVC-A7'!H37-'PVC-A7'!H66</f>
        <v>948</v>
      </c>
      <c r="I8" s="240">
        <f>'PVC-A7'!I37-'PVC-A7'!I66</f>
        <v>1088</v>
      </c>
      <c r="J8" s="240">
        <f>'PVC-A7'!J37-'PVC-A7'!J66</f>
        <v>1123</v>
      </c>
      <c r="K8" s="241">
        <f>'PVC-A7'!K37-'PVC-A7'!K66</f>
        <v>1208</v>
      </c>
      <c r="L8" s="242">
        <f>'PVC-A7'!L37-'PVC-A7'!L66</f>
        <v>1130</v>
      </c>
      <c r="M8" s="240">
        <f>'PVC-A7'!M37-'PVC-A7'!M66</f>
        <v>1125</v>
      </c>
      <c r="N8" s="240">
        <f>'PVC-A7'!N37-'PVC-A7'!N66</f>
        <v>1125</v>
      </c>
      <c r="O8" s="240">
        <f>'PVC-A7'!O37-'PVC-A7'!O66</f>
        <v>1175</v>
      </c>
      <c r="P8" s="240">
        <f>'PVC-A7'!P37-'PVC-A7'!P66</f>
        <v>1170</v>
      </c>
      <c r="Q8" s="243">
        <f>'PVC-A7'!Q37-'PVC-A7'!Q66</f>
        <v>1170</v>
      </c>
    </row>
    <row r="9" spans="2:19" ht="16.5" customHeight="1">
      <c r="B9" s="605" t="s">
        <v>435</v>
      </c>
      <c r="C9" s="606"/>
      <c r="D9" s="239">
        <f>'PVC-A7'!D38-'PVC-A7'!D67</f>
        <v>-42</v>
      </c>
      <c r="E9" s="240">
        <f>'PVC-A7'!E38-'PVC-A7'!E67</f>
        <v>-37.057000000000002</v>
      </c>
      <c r="F9" s="240">
        <f>'PVC-A7'!F38-'PVC-A7'!F67</f>
        <v>-39.349000000000004</v>
      </c>
      <c r="G9" s="240">
        <f>'PVC-A7'!G38-'PVC-A7'!G67</f>
        <v>-36.509</v>
      </c>
      <c r="H9" s="240">
        <f>'PVC-A7'!H38-'PVC-A7'!H67</f>
        <v>-37.567760999999997</v>
      </c>
      <c r="I9" s="240">
        <f>'PVC-A7'!I38-'PVC-A7'!I67</f>
        <v>-33.888999999999996</v>
      </c>
      <c r="J9" s="240">
        <f>'PVC-A7'!J38-'PVC-A7'!J67</f>
        <v>-35</v>
      </c>
      <c r="K9" s="241">
        <f>'PVC-A7'!K38-'PVC-A7'!K67</f>
        <v>-43</v>
      </c>
      <c r="L9" s="242">
        <f>'PVC-A7'!L38-'PVC-A7'!L67</f>
        <v>-44</v>
      </c>
      <c r="M9" s="240">
        <f>'PVC-A7'!M38-'PVC-A7'!M67</f>
        <v>-46</v>
      </c>
      <c r="N9" s="240">
        <f>'PVC-A7'!N38-'PVC-A7'!N67</f>
        <v>-47</v>
      </c>
      <c r="O9" s="240">
        <f>'PVC-A7'!O38-'PVC-A7'!O67</f>
        <v>-48</v>
      </c>
      <c r="P9" s="240">
        <f>'PVC-A7'!P38-'PVC-A7'!P67</f>
        <v>-49</v>
      </c>
      <c r="Q9" s="243">
        <f>'PVC-A7'!Q38-'PVC-A7'!Q67</f>
        <v>-50</v>
      </c>
    </row>
    <row r="10" spans="2:19" ht="16.5" customHeight="1">
      <c r="B10" s="605" t="s">
        <v>436</v>
      </c>
      <c r="C10" s="606"/>
      <c r="D10" s="239">
        <f>'PVC-A7'!D39-'PVC-A7'!D68</f>
        <v>-1192</v>
      </c>
      <c r="E10" s="240">
        <f>'PVC-A7'!E39-'PVC-A7'!E68</f>
        <v>-814</v>
      </c>
      <c r="F10" s="240">
        <f>'PVC-A7'!F39-'PVC-A7'!F68</f>
        <v>-684</v>
      </c>
      <c r="G10" s="240">
        <f>'PVC-A7'!G39-'PVC-A7'!G68</f>
        <v>-358</v>
      </c>
      <c r="H10" s="240">
        <f>'PVC-A7'!H39-'PVC-A7'!H68</f>
        <v>392</v>
      </c>
      <c r="I10" s="240">
        <f>'PVC-A7'!I39-'PVC-A7'!I68</f>
        <v>-77</v>
      </c>
      <c r="J10" s="240">
        <f>'PVC-A7'!J39-'PVC-A7'!J68</f>
        <v>280</v>
      </c>
      <c r="K10" s="241">
        <f>'PVC-A7'!K39-'PVC-A7'!K68</f>
        <v>63</v>
      </c>
      <c r="L10" s="242">
        <f>'PVC-A7'!L39-'PVC-A7'!L68</f>
        <v>233</v>
      </c>
      <c r="M10" s="240">
        <f>'PVC-A7'!M39-'PVC-A7'!M68</f>
        <v>570</v>
      </c>
      <c r="N10" s="240">
        <f>'PVC-A7'!N39-'PVC-A7'!N68</f>
        <v>959</v>
      </c>
      <c r="O10" s="240">
        <f>'PVC-A7'!O39-'PVC-A7'!O68</f>
        <v>1033</v>
      </c>
      <c r="P10" s="240">
        <f>'PVC-A7'!P39-'PVC-A7'!P68</f>
        <v>1169</v>
      </c>
      <c r="Q10" s="243">
        <f>'PVC-A7'!Q39-'PVC-A7'!Q68</f>
        <v>1341</v>
      </c>
    </row>
    <row r="11" spans="2:19" ht="16.5" customHeight="1">
      <c r="B11" s="605" t="s">
        <v>437</v>
      </c>
      <c r="C11" s="606"/>
      <c r="D11" s="239">
        <f>'PVC-A7'!D40-'PVC-A7'!D69</f>
        <v>389</v>
      </c>
      <c r="E11" s="240">
        <f>'PVC-A7'!E40-'PVC-A7'!E69</f>
        <v>286</v>
      </c>
      <c r="F11" s="240">
        <f>'PVC-A7'!F40-'PVC-A7'!F69</f>
        <v>252</v>
      </c>
      <c r="G11" s="240">
        <f>'PVC-A7'!G40-'PVC-A7'!G69</f>
        <v>314.916</v>
      </c>
      <c r="H11" s="240">
        <f>'PVC-A7'!H40-'PVC-A7'!H69</f>
        <v>206.47200000000004</v>
      </c>
      <c r="I11" s="240">
        <f>'PVC-A7'!I40-'PVC-A7'!I69</f>
        <v>226.154</v>
      </c>
      <c r="J11" s="240">
        <f>'PVC-A7'!J40-'PVC-A7'!J69</f>
        <v>156</v>
      </c>
      <c r="K11" s="241">
        <f>'PVC-A7'!K40-'PVC-A7'!K69</f>
        <v>351.113</v>
      </c>
      <c r="L11" s="242">
        <f>'PVC-A7'!L40-'PVC-A7'!L69</f>
        <v>366.13359900000006</v>
      </c>
      <c r="M11" s="240">
        <f>'PVC-A7'!M40-'PVC-A7'!M69</f>
        <v>357.5669774607</v>
      </c>
      <c r="N11" s="240">
        <f>'PVC-A7'!N40-'PVC-A7'!N69</f>
        <v>349.2195881948499</v>
      </c>
      <c r="O11" s="240">
        <f>'PVC-A7'!O40-'PVC-A7'!O69</f>
        <v>341.04073588530855</v>
      </c>
      <c r="P11" s="240">
        <f>'PVC-A7'!P40-'PVC-A7'!P69</f>
        <v>332.83394876330141</v>
      </c>
      <c r="Q11" s="243">
        <f>'PVC-A7'!Q40-'PVC-A7'!Q69</f>
        <v>324.34039305128817</v>
      </c>
    </row>
    <row r="12" spans="2:19" ht="16.5" customHeight="1">
      <c r="B12" s="605" t="s">
        <v>438</v>
      </c>
      <c r="C12" s="606"/>
      <c r="D12" s="239">
        <f>'PVC-A7'!D41-'PVC-A7'!D70</f>
        <v>160.90409999999997</v>
      </c>
      <c r="E12" s="240">
        <f>'PVC-A7'!E41-'PVC-A7'!E70</f>
        <v>78</v>
      </c>
      <c r="F12" s="240">
        <f>'PVC-A7'!F41-'PVC-A7'!F70</f>
        <v>-2</v>
      </c>
      <c r="G12" s="240">
        <f>'PVC-A7'!G41-'PVC-A7'!G70</f>
        <v>-2</v>
      </c>
      <c r="H12" s="240">
        <f>'PVC-A7'!H41-'PVC-A7'!H70</f>
        <v>-28</v>
      </c>
      <c r="I12" s="240">
        <f>'PVC-A7'!I41-'PVC-A7'!I70</f>
        <v>27</v>
      </c>
      <c r="J12" s="240">
        <f>'PVC-A7'!J41-'PVC-A7'!J70</f>
        <v>239.5</v>
      </c>
      <c r="K12" s="241">
        <f>'PVC-A7'!K41-'PVC-A7'!K70</f>
        <v>171.5</v>
      </c>
      <c r="L12" s="242">
        <f>'PVC-A7'!L41-'PVC-A7'!L70</f>
        <v>178.5</v>
      </c>
      <c r="M12" s="240">
        <f>'PVC-A7'!M41-'PVC-A7'!M70</f>
        <v>144.5</v>
      </c>
      <c r="N12" s="240">
        <f>'PVC-A7'!N41-'PVC-A7'!N70</f>
        <v>111.5</v>
      </c>
      <c r="O12" s="240">
        <f>'PVC-A7'!O41-'PVC-A7'!O70</f>
        <v>71.5</v>
      </c>
      <c r="P12" s="240">
        <f>'PVC-A7'!P41-'PVC-A7'!P70</f>
        <v>37</v>
      </c>
      <c r="Q12" s="243">
        <f>'PVC-A7'!Q41-'PVC-A7'!Q70</f>
        <v>-3</v>
      </c>
    </row>
    <row r="13" spans="2:19" ht="16.5" customHeight="1">
      <c r="B13" s="605" t="s">
        <v>439</v>
      </c>
      <c r="C13" s="606"/>
      <c r="D13" s="239">
        <f>'PVC-A7'!D42-'PVC-A7'!D71</f>
        <v>-659</v>
      </c>
      <c r="E13" s="240">
        <f>'PVC-A7'!E42-'PVC-A7'!E71</f>
        <v>-722</v>
      </c>
      <c r="F13" s="240">
        <f>'PVC-A7'!F42-'PVC-A7'!F71</f>
        <v>-989</v>
      </c>
      <c r="G13" s="240">
        <f>'PVC-A7'!G42-'PVC-A7'!G71</f>
        <v>-1095</v>
      </c>
      <c r="H13" s="240">
        <f>'PVC-A7'!H42-'PVC-A7'!H71</f>
        <v>-1150</v>
      </c>
      <c r="I13" s="240">
        <f>'PVC-A7'!I42-'PVC-A7'!I71</f>
        <v>-1100</v>
      </c>
      <c r="J13" s="240">
        <f>'PVC-A7'!J42-'PVC-A7'!J71</f>
        <v>-1536</v>
      </c>
      <c r="K13" s="241">
        <f>'PVC-A7'!K42-'PVC-A7'!K71</f>
        <v>-1500</v>
      </c>
      <c r="L13" s="242">
        <f>'PVC-A7'!L42-'PVC-A7'!L71</f>
        <v>-1600</v>
      </c>
      <c r="M13" s="240">
        <f>'PVC-A7'!M42-'PVC-A7'!M71</f>
        <v>-1800</v>
      </c>
      <c r="N13" s="240">
        <f>'PVC-A7'!N42-'PVC-A7'!N71</f>
        <v>-2000</v>
      </c>
      <c r="O13" s="240">
        <f>'PVC-A7'!O42-'PVC-A7'!O71</f>
        <v>-2200</v>
      </c>
      <c r="P13" s="240">
        <f>'PVC-A7'!P42-'PVC-A7'!P71</f>
        <v>-2400</v>
      </c>
      <c r="Q13" s="243">
        <f>'PVC-A7'!Q42-'PVC-A7'!Q71</f>
        <v>-2400</v>
      </c>
    </row>
    <row r="14" spans="2:19" ht="18" hidden="1" customHeight="1">
      <c r="B14" s="16"/>
      <c r="C14" s="90" t="s">
        <v>306</v>
      </c>
      <c r="D14" s="239">
        <f>'PVC-A7'!D43-'PVC-A7'!D72</f>
        <v>0</v>
      </c>
      <c r="E14" s="240">
        <f>'PVC-A7'!E43-'PVC-A7'!E72</f>
        <v>0</v>
      </c>
      <c r="F14" s="240">
        <f>'PVC-A7'!F43-'PVC-A7'!F72</f>
        <v>0</v>
      </c>
      <c r="G14" s="240">
        <f>'PVC-A7'!G43-'PVC-A7'!G72</f>
        <v>0</v>
      </c>
      <c r="H14" s="240">
        <f>'PVC-A7'!H43-'PVC-A7'!H72</f>
        <v>0</v>
      </c>
      <c r="I14" s="240">
        <f>'PVC-A7'!I43-'PVC-A7'!I72</f>
        <v>0</v>
      </c>
      <c r="J14" s="240">
        <f>'PVC-A7'!J43-'PVC-A7'!J72</f>
        <v>0</v>
      </c>
      <c r="K14" s="241">
        <f>'PVC-A7'!K43-'PVC-A7'!K72</f>
        <v>0</v>
      </c>
      <c r="L14" s="242">
        <f>'PVC-A7'!L43-'PVC-A7'!L72</f>
        <v>0</v>
      </c>
      <c r="M14" s="240">
        <f>'PVC-A7'!M43-'PVC-A7'!M72</f>
        <v>0</v>
      </c>
      <c r="N14" s="240">
        <f>'PVC-A7'!N43-'PVC-A7'!N72</f>
        <v>0</v>
      </c>
      <c r="O14" s="240">
        <f>'PVC-A7'!O43-'PVC-A7'!O72</f>
        <v>0</v>
      </c>
      <c r="P14" s="240">
        <f>'PVC-A7'!P43-'PVC-A7'!P72</f>
        <v>0</v>
      </c>
      <c r="Q14" s="243">
        <f>'PVC-A7'!Q43-'PVC-A7'!Q72</f>
        <v>0</v>
      </c>
    </row>
    <row r="15" spans="2:19" ht="16.5" customHeight="1">
      <c r="B15" s="605" t="s">
        <v>440</v>
      </c>
      <c r="C15" s="606"/>
      <c r="D15" s="239">
        <f>'PVC-A7'!D44-'PVC-A7'!D73</f>
        <v>-18</v>
      </c>
      <c r="E15" s="240">
        <f>'PVC-A7'!E44-'PVC-A7'!E73</f>
        <v>-23</v>
      </c>
      <c r="F15" s="240">
        <f>'PVC-A7'!F44-'PVC-A7'!F73</f>
        <v>-32.480000000000004</v>
      </c>
      <c r="G15" s="240">
        <f>'PVC-A7'!G44-'PVC-A7'!G73</f>
        <v>-30</v>
      </c>
      <c r="H15" s="240">
        <f>'PVC-A7'!H44-'PVC-A7'!H73</f>
        <v>-48</v>
      </c>
      <c r="I15" s="240">
        <f>'PVC-A7'!I44-'PVC-A7'!I73</f>
        <v>-13.420000000000002</v>
      </c>
      <c r="J15" s="240">
        <f>'PVC-A7'!J44-'PVC-A7'!J73</f>
        <v>-24</v>
      </c>
      <c r="K15" s="241">
        <f>'PVC-A7'!K44-'PVC-A7'!K73</f>
        <v>-37</v>
      </c>
      <c r="L15" s="242">
        <f>'PVC-A7'!L44-'PVC-A7'!L73</f>
        <v>-50</v>
      </c>
      <c r="M15" s="240">
        <f>'PVC-A7'!M44-'PVC-A7'!M73</f>
        <v>-10</v>
      </c>
      <c r="N15" s="240">
        <f>'PVC-A7'!N44-'PVC-A7'!N73</f>
        <v>-16</v>
      </c>
      <c r="O15" s="240">
        <f>'PVC-A7'!O44-'PVC-A7'!O73</f>
        <v>-23</v>
      </c>
      <c r="P15" s="240">
        <f>'PVC-A7'!P44-'PVC-A7'!P73</f>
        <v>-32</v>
      </c>
      <c r="Q15" s="243">
        <f>'PVC-A7'!Q44-'PVC-A7'!Q73</f>
        <v>-42</v>
      </c>
    </row>
    <row r="16" spans="2:19" ht="16.5" customHeight="1">
      <c r="B16" s="605" t="s">
        <v>441</v>
      </c>
      <c r="C16" s="606"/>
      <c r="D16" s="239">
        <f>'PVC-A7'!D45-'PVC-A7'!D74</f>
        <v>90</v>
      </c>
      <c r="E16" s="240">
        <f>'PVC-A7'!E45-'PVC-A7'!E74</f>
        <v>93</v>
      </c>
      <c r="F16" s="240">
        <f>'PVC-A7'!F45-'PVC-A7'!F74</f>
        <v>-39</v>
      </c>
      <c r="G16" s="240">
        <f>'PVC-A7'!G45-'PVC-A7'!G74</f>
        <v>-126.46599999999998</v>
      </c>
      <c r="H16" s="240">
        <f>'PVC-A7'!H45-'PVC-A7'!H74</f>
        <v>-170.64599999999999</v>
      </c>
      <c r="I16" s="240">
        <f>'PVC-A7'!I45-'PVC-A7'!I74</f>
        <v>-164.82100000000003</v>
      </c>
      <c r="J16" s="240">
        <f>'PVC-A7'!J45-'PVC-A7'!J74</f>
        <v>-199</v>
      </c>
      <c r="K16" s="241">
        <f>'PVC-A7'!K45-'PVC-A7'!K74</f>
        <v>-179.316</v>
      </c>
      <c r="L16" s="242">
        <f>'PVC-A7'!L45-'PVC-A7'!L74</f>
        <v>-191.25399999999999</v>
      </c>
      <c r="M16" s="240">
        <f>'PVC-A7'!M45-'PVC-A7'!M74</f>
        <v>-203.48714800000002</v>
      </c>
      <c r="N16" s="240">
        <f>'PVC-A7'!N45-'PVC-A7'!N74</f>
        <v>-216.83936310400006</v>
      </c>
      <c r="O16" s="240">
        <f>'PVC-A7'!O45-'PVC-A7'!O74</f>
        <v>-230.94909387823364</v>
      </c>
      <c r="P16" s="240">
        <f>'PVC-A7'!P45-'PVC-A7'!P74</f>
        <v>-245.74173562194014</v>
      </c>
      <c r="Q16" s="243">
        <f>'PVC-A7'!Q45-'PVC-A7'!Q74</f>
        <v>-261.250341226042</v>
      </c>
    </row>
    <row r="17" spans="2:17" ht="16.5" customHeight="1">
      <c r="B17" s="605" t="s">
        <v>442</v>
      </c>
      <c r="C17" s="606"/>
      <c r="D17" s="239">
        <f>'PVC-A7'!D46-'PVC-A7'!D75</f>
        <v>40</v>
      </c>
      <c r="E17" s="240">
        <f>'PVC-A7'!E46-'PVC-A7'!E75</f>
        <v>23</v>
      </c>
      <c r="F17" s="240">
        <f>'PVC-A7'!F46-'PVC-A7'!F75</f>
        <v>5</v>
      </c>
      <c r="G17" s="240">
        <f>'PVC-A7'!G46-'PVC-A7'!G75</f>
        <v>-15</v>
      </c>
      <c r="H17" s="240">
        <f>'PVC-A7'!H46-'PVC-A7'!H75</f>
        <v>-35</v>
      </c>
      <c r="I17" s="240">
        <f>'PVC-A7'!I46-'PVC-A7'!I75</f>
        <v>-57</v>
      </c>
      <c r="J17" s="240">
        <f>'PVC-A7'!J46-'PVC-A7'!J75</f>
        <v>-19</v>
      </c>
      <c r="K17" s="241">
        <f>'PVC-A7'!K46-'PVC-A7'!K75</f>
        <v>-198</v>
      </c>
      <c r="L17" s="242">
        <f>'PVC-A7'!L46-'PVC-A7'!L75</f>
        <v>-228</v>
      </c>
      <c r="M17" s="240">
        <f>'PVC-A7'!M46-'PVC-A7'!M75</f>
        <v>-262</v>
      </c>
      <c r="N17" s="240">
        <f>'PVC-A7'!N46-'PVC-A7'!N75</f>
        <v>-298</v>
      </c>
      <c r="O17" s="240">
        <f>'PVC-A7'!O46-'PVC-A7'!O75</f>
        <v>-337</v>
      </c>
      <c r="P17" s="240">
        <f>'PVC-A7'!P46-'PVC-A7'!P75</f>
        <v>-378</v>
      </c>
      <c r="Q17" s="243">
        <f>'PVC-A7'!Q46-'PVC-A7'!Q75</f>
        <v>-421</v>
      </c>
    </row>
    <row r="18" spans="2:17" ht="16.5" customHeight="1">
      <c r="B18" s="607" t="s">
        <v>443</v>
      </c>
      <c r="C18" s="608"/>
      <c r="D18" s="239">
        <f>'PVC-A7'!D47-'PVC-A7'!D76</f>
        <v>712.40000000000009</v>
      </c>
      <c r="E18" s="240">
        <f>'PVC-A7'!E47-'PVC-A7'!E76</f>
        <v>458.40000000000009</v>
      </c>
      <c r="F18" s="240">
        <f>'PVC-A7'!F47-'PVC-A7'!F76</f>
        <v>284.70000000000005</v>
      </c>
      <c r="G18" s="240">
        <f>'PVC-A7'!G47-'PVC-A7'!G76</f>
        <v>408.39999999999986</v>
      </c>
      <c r="H18" s="240">
        <f>'PVC-A7'!H47-'PVC-A7'!H76</f>
        <v>414.29999999999995</v>
      </c>
      <c r="I18" s="240">
        <f>'PVC-A7'!I47-'PVC-A7'!I76</f>
        <v>564.79999999999995</v>
      </c>
      <c r="J18" s="240">
        <f>'PVC-A7'!J47-'PVC-A7'!J76</f>
        <v>635.70000000000005</v>
      </c>
      <c r="K18" s="241">
        <f>'PVC-A7'!K47-'PVC-A7'!K76</f>
        <v>656.80000000000018</v>
      </c>
      <c r="L18" s="242">
        <f>'PVC-A7'!L47-'PVC-A7'!L76</f>
        <v>632.5</v>
      </c>
      <c r="M18" s="240">
        <f>'PVC-A7'!M47-'PVC-A7'!M76</f>
        <v>600</v>
      </c>
      <c r="N18" s="240">
        <f>'PVC-A7'!N47-'PVC-A7'!N76</f>
        <v>590</v>
      </c>
      <c r="O18" s="240">
        <f>'PVC-A7'!O47-'PVC-A7'!O76</f>
        <v>590</v>
      </c>
      <c r="P18" s="240">
        <f>'PVC-A7'!P47-'PVC-A7'!P76</f>
        <v>590</v>
      </c>
      <c r="Q18" s="243">
        <f>'PVC-A7'!Q47-'PVC-A7'!Q76</f>
        <v>590</v>
      </c>
    </row>
    <row r="19" spans="2:17" ht="17.25" customHeight="1">
      <c r="B19" s="674" t="s">
        <v>307</v>
      </c>
      <c r="C19" s="675"/>
      <c r="D19" s="244">
        <f t="shared" ref="D19:K19" si="0">SUM(D7:D18)</f>
        <v>838.30410000000006</v>
      </c>
      <c r="E19" s="245">
        <f t="shared" si="0"/>
        <v>735.34300000000007</v>
      </c>
      <c r="F19" s="245">
        <f t="shared" si="0"/>
        <v>399.87100000000009</v>
      </c>
      <c r="G19" s="245">
        <f t="shared" si="0"/>
        <v>691.34099999999978</v>
      </c>
      <c r="H19" s="245">
        <f t="shared" si="0"/>
        <v>967.55823899999996</v>
      </c>
      <c r="I19" s="245">
        <f t="shared" si="0"/>
        <v>949.82400000000007</v>
      </c>
      <c r="J19" s="245">
        <f t="shared" si="0"/>
        <v>1050.2</v>
      </c>
      <c r="K19" s="246">
        <f t="shared" si="0"/>
        <v>901.09700000000043</v>
      </c>
      <c r="L19" s="247">
        <f t="shared" ref="L19:Q19" si="1">SUM(L7:L18)</f>
        <v>806.87959900000021</v>
      </c>
      <c r="M19" s="245">
        <f t="shared" si="1"/>
        <v>855.5798294606999</v>
      </c>
      <c r="N19" s="245">
        <f t="shared" si="1"/>
        <v>936.88022509084999</v>
      </c>
      <c r="O19" s="245">
        <f t="shared" si="1"/>
        <v>791.59164200707494</v>
      </c>
      <c r="P19" s="245">
        <f t="shared" si="1"/>
        <v>614.09221314136141</v>
      </c>
      <c r="Q19" s="248">
        <f t="shared" si="1"/>
        <v>648.09005182524618</v>
      </c>
    </row>
    <row r="20" spans="2:17" ht="17.25" customHeight="1">
      <c r="B20" s="672" t="s">
        <v>308</v>
      </c>
      <c r="C20" s="673"/>
      <c r="D20" s="244">
        <f>'PVC-A7'!D49-'PVC-A7'!D78</f>
        <v>-185</v>
      </c>
      <c r="E20" s="245">
        <f>'PVC-A7'!E49-'PVC-A7'!E78</f>
        <v>-154</v>
      </c>
      <c r="F20" s="245">
        <f>'PVC-A7'!F49-'PVC-A7'!F78</f>
        <v>-35</v>
      </c>
      <c r="G20" s="245">
        <f>'PVC-A7'!G49-'PVC-A7'!G78</f>
        <v>-35</v>
      </c>
      <c r="H20" s="245">
        <f>'PVC-A7'!H49-'PVC-A7'!H78</f>
        <v>-45</v>
      </c>
      <c r="I20" s="245">
        <f>'PVC-A7'!I49-'PVC-A7'!I78</f>
        <v>-75</v>
      </c>
      <c r="J20" s="245">
        <f>'PVC-A7'!J49-'PVC-A7'!J78</f>
        <v>-188</v>
      </c>
      <c r="K20" s="246">
        <f>'PVC-A7'!K49-'PVC-A7'!K78</f>
        <v>-218</v>
      </c>
      <c r="L20" s="247">
        <f>'PVC-A7'!L49-'PVC-A7'!L78</f>
        <v>-230</v>
      </c>
      <c r="M20" s="245">
        <f>'PVC-A7'!M49-'PVC-A7'!M78</f>
        <v>-230</v>
      </c>
      <c r="N20" s="245">
        <f>'PVC-A7'!N49-'PVC-A7'!N78</f>
        <v>-232</v>
      </c>
      <c r="O20" s="245">
        <f>'PVC-A7'!O49-'PVC-A7'!O78</f>
        <v>-234</v>
      </c>
      <c r="P20" s="245">
        <f>'PVC-A7'!P49-'PVC-A7'!P78</f>
        <v>-236</v>
      </c>
      <c r="Q20" s="248">
        <f>'PVC-A7'!Q49-'PVC-A7'!Q78</f>
        <v>-238</v>
      </c>
    </row>
    <row r="21" spans="2:17" ht="16.5" customHeight="1">
      <c r="B21" s="105"/>
      <c r="C21" s="97" t="s">
        <v>309</v>
      </c>
      <c r="D21" s="244">
        <f>'PVC-A7'!D50-'PVC-A7'!D79</f>
        <v>-150</v>
      </c>
      <c r="E21" s="245">
        <f>'PVC-A7'!E50-'PVC-A7'!E79</f>
        <v>-154</v>
      </c>
      <c r="F21" s="245">
        <f>'PVC-A7'!F50-'PVC-A7'!F79</f>
        <v>-35</v>
      </c>
      <c r="G21" s="245">
        <f>'PVC-A7'!G50-'PVC-A7'!G79</f>
        <v>-35</v>
      </c>
      <c r="H21" s="245">
        <f>'PVC-A7'!H50-'PVC-A7'!H79</f>
        <v>-45</v>
      </c>
      <c r="I21" s="245">
        <f>'PVC-A7'!I50-'PVC-A7'!I79</f>
        <v>-75</v>
      </c>
      <c r="J21" s="245">
        <f>'PVC-A7'!J50-'PVC-A7'!J79</f>
        <v>-188</v>
      </c>
      <c r="K21" s="246">
        <f>'PVC-A7'!K50-'PVC-A7'!K79</f>
        <v>-218</v>
      </c>
      <c r="L21" s="247">
        <f>'PVC-A7'!L50-'PVC-A7'!L79</f>
        <v>-230</v>
      </c>
      <c r="M21" s="245">
        <f>'PVC-A7'!M50-'PVC-A7'!M79</f>
        <v>-230</v>
      </c>
      <c r="N21" s="245">
        <f>'PVC-A7'!N50-'PVC-A7'!N79</f>
        <v>-232</v>
      </c>
      <c r="O21" s="245">
        <f>'PVC-A7'!O50-'PVC-A7'!O79</f>
        <v>-234</v>
      </c>
      <c r="P21" s="245">
        <f>'PVC-A7'!P50-'PVC-A7'!P79</f>
        <v>-236</v>
      </c>
      <c r="Q21" s="248">
        <f>'PVC-A7'!Q50-'PVC-A7'!Q79</f>
        <v>-238</v>
      </c>
    </row>
    <row r="22" spans="2:17" ht="17.25" customHeight="1">
      <c r="B22" s="672" t="s">
        <v>310</v>
      </c>
      <c r="C22" s="673"/>
      <c r="D22" s="239">
        <f>'PVC-A7'!D51-'PVC-A7'!D80</f>
        <v>-52</v>
      </c>
      <c r="E22" s="240">
        <f>'PVC-A7'!E51-'PVC-A7'!E80</f>
        <v>801</v>
      </c>
      <c r="F22" s="240">
        <f>'PVC-A7'!F51-'PVC-A7'!F80</f>
        <v>959</v>
      </c>
      <c r="G22" s="240">
        <f>'PVC-A7'!G51-'PVC-A7'!G80</f>
        <v>878</v>
      </c>
      <c r="H22" s="240">
        <f>'PVC-A7'!H51-'PVC-A7'!H80</f>
        <v>898.93363200000022</v>
      </c>
      <c r="I22" s="240">
        <f>'PVC-A7'!I51-'PVC-A7'!I80</f>
        <v>853.92000000000007</v>
      </c>
      <c r="J22" s="240">
        <f>'PVC-A7'!J51-'PVC-A7'!J80</f>
        <v>692.06581100000039</v>
      </c>
      <c r="K22" s="241">
        <f>'PVC-A7'!K51-'PVC-A7'!K80</f>
        <v>824</v>
      </c>
      <c r="L22" s="242">
        <f>'PVC-A7'!L51-'PVC-A7'!L80</f>
        <v>899.36331000000064</v>
      </c>
      <c r="M22" s="240">
        <f>'PVC-A7'!M51-'PVC-A7'!M80</f>
        <v>862.00298600000042</v>
      </c>
      <c r="N22" s="240">
        <f>'PVC-A7'!N51-'PVC-A7'!N80</f>
        <v>847.83395199999995</v>
      </c>
      <c r="O22" s="240">
        <f>'PVC-A7'!O51-'PVC-A7'!O80</f>
        <v>760.49134400000003</v>
      </c>
      <c r="P22" s="240">
        <f>'PVC-A7'!P51-'PVC-A7'!P80</f>
        <v>717.47267699999975</v>
      </c>
      <c r="Q22" s="243">
        <f>'PVC-A7'!Q51-'PVC-A7'!Q80</f>
        <v>625.04430599999978</v>
      </c>
    </row>
    <row r="23" spans="2:17" ht="16.5" customHeight="1">
      <c r="B23" s="105"/>
      <c r="C23" s="615" t="s">
        <v>311</v>
      </c>
      <c r="D23" s="244">
        <f>'PVC-A7'!D52-'PVC-A7'!D81</f>
        <v>49</v>
      </c>
      <c r="E23" s="245">
        <f>'PVC-A7'!E52-'PVC-A7'!E81</f>
        <v>1091</v>
      </c>
      <c r="F23" s="245">
        <f>'PVC-A7'!F52-'PVC-A7'!F81</f>
        <v>1004</v>
      </c>
      <c r="G23" s="245">
        <f>'PVC-A7'!G52-'PVC-A7'!G81</f>
        <v>940</v>
      </c>
      <c r="H23" s="245">
        <f>'PVC-A7'!H52-'PVC-A7'!H81</f>
        <v>933</v>
      </c>
      <c r="I23" s="245">
        <f>'PVC-A7'!I52-'PVC-A7'!I81</f>
        <v>812</v>
      </c>
      <c r="J23" s="245">
        <f>'PVC-A7'!J52-'PVC-A7'!J81</f>
        <v>786</v>
      </c>
      <c r="K23" s="246">
        <f>'PVC-A7'!K52-'PVC-A7'!K81</f>
        <v>870</v>
      </c>
      <c r="L23" s="247">
        <f>'PVC-A7'!L52-'PVC-A7'!L81</f>
        <v>923.63147000000026</v>
      </c>
      <c r="M23" s="245">
        <f>'PVC-A7'!M52-'PVC-A7'!M81</f>
        <v>920.87843200000043</v>
      </c>
      <c r="N23" s="245">
        <f>'PVC-A7'!N52-'PVC-A7'!N81</f>
        <v>926.83959400000003</v>
      </c>
      <c r="O23" s="245">
        <f>'PVC-A7'!O52-'PVC-A7'!O81</f>
        <v>857.24412699999993</v>
      </c>
      <c r="P23" s="245">
        <f>'PVC-A7'!P52-'PVC-A7'!P81</f>
        <v>821.80054999999993</v>
      </c>
      <c r="Q23" s="248">
        <f>'PVC-A7'!Q52-'PVC-A7'!Q81</f>
        <v>767.24042800000007</v>
      </c>
    </row>
    <row r="24" spans="2:17" ht="17.25" customHeight="1">
      <c r="B24" s="672" t="s">
        <v>312</v>
      </c>
      <c r="C24" s="673"/>
      <c r="D24" s="239">
        <f>'PVC-A7'!D53-'PVC-A7'!D82</f>
        <v>-666</v>
      </c>
      <c r="E24" s="240">
        <f>'PVC-A7'!E53-'PVC-A7'!E82</f>
        <v>-546</v>
      </c>
      <c r="F24" s="240">
        <f>'PVC-A7'!F53-'PVC-A7'!F82</f>
        <v>-553</v>
      </c>
      <c r="G24" s="240">
        <f>'PVC-A7'!G53-'PVC-A7'!G82</f>
        <v>-524</v>
      </c>
      <c r="H24" s="240">
        <f>'PVC-A7'!H53-'PVC-A7'!H82</f>
        <v>-612</v>
      </c>
      <c r="I24" s="240">
        <f>'PVC-A7'!I53-'PVC-A7'!I82</f>
        <v>-383</v>
      </c>
      <c r="J24" s="240">
        <f>'PVC-A7'!J53-'PVC-A7'!J82</f>
        <v>-441</v>
      </c>
      <c r="K24" s="241">
        <f>'PVC-A7'!K53-'PVC-A7'!K82</f>
        <v>-474</v>
      </c>
      <c r="L24" s="242">
        <f>'PVC-A7'!L53-'PVC-A7'!L82</f>
        <v>-510</v>
      </c>
      <c r="M24" s="240">
        <f>'PVC-A7'!M53-'PVC-A7'!M82</f>
        <v>-551</v>
      </c>
      <c r="N24" s="240">
        <f>'PVC-A7'!N53-'PVC-A7'!N82</f>
        <v>-619</v>
      </c>
      <c r="O24" s="240">
        <f>'PVC-A7'!O53-'PVC-A7'!O82</f>
        <v>-612</v>
      </c>
      <c r="P24" s="240">
        <f>'PVC-A7'!P53-'PVC-A7'!P82</f>
        <v>-673</v>
      </c>
      <c r="Q24" s="243">
        <f>'PVC-A7'!Q53-'PVC-A7'!Q82</f>
        <v>-733</v>
      </c>
    </row>
    <row r="25" spans="2:17" ht="16.5" customHeight="1">
      <c r="B25" s="16"/>
      <c r="C25" s="615" t="s">
        <v>313</v>
      </c>
      <c r="D25" s="244">
        <f>'PVC-A7'!D54-'PVC-A7'!D83</f>
        <v>-400</v>
      </c>
      <c r="E25" s="245">
        <f>'PVC-A7'!E54-'PVC-A7'!E83</f>
        <v>0</v>
      </c>
      <c r="F25" s="245">
        <f>'PVC-A7'!F54-'PVC-A7'!F83</f>
        <v>0</v>
      </c>
      <c r="G25" s="245">
        <f>'PVC-A7'!G54-'PVC-A7'!G83</f>
        <v>0</v>
      </c>
      <c r="H25" s="245">
        <f>'PVC-A7'!H54-'PVC-A7'!H83</f>
        <v>-40</v>
      </c>
      <c r="I25" s="245">
        <f>'PVC-A7'!I54-'PVC-A7'!I83</f>
        <v>-100</v>
      </c>
      <c r="J25" s="245">
        <f>'PVC-A7'!J54-'PVC-A7'!J83</f>
        <v>-75</v>
      </c>
      <c r="K25" s="246">
        <f>'PVC-A7'!K54-'PVC-A7'!K83</f>
        <v>-80</v>
      </c>
      <c r="L25" s="247">
        <f>'PVC-A7'!L54-'PVC-A7'!L83</f>
        <v>-90</v>
      </c>
      <c r="M25" s="245">
        <f>'PVC-A7'!M54-'PVC-A7'!M83</f>
        <v>-105</v>
      </c>
      <c r="N25" s="245">
        <f>'PVC-A7'!N54-'PVC-A7'!N83</f>
        <v>-125</v>
      </c>
      <c r="O25" s="245">
        <f>'PVC-A7'!O54-'PVC-A7'!O83</f>
        <v>-145</v>
      </c>
      <c r="P25" s="245">
        <f>'PVC-A7'!P54-'PVC-A7'!P83</f>
        <v>-166</v>
      </c>
      <c r="Q25" s="248">
        <f>'PVC-A7'!Q54-'PVC-A7'!Q83</f>
        <v>-188</v>
      </c>
    </row>
    <row r="26" spans="2:17" ht="17.25" customHeight="1">
      <c r="B26" s="674" t="s">
        <v>314</v>
      </c>
      <c r="C26" s="675"/>
      <c r="D26" s="244">
        <f>'PVC-A7'!D55-'PVC-A7'!D84</f>
        <v>-617</v>
      </c>
      <c r="E26" s="245">
        <f>'PVC-A7'!E55-'PVC-A7'!E84</f>
        <v>-613</v>
      </c>
      <c r="F26" s="245">
        <f>'PVC-A7'!F55-'PVC-A7'!F84</f>
        <v>-655</v>
      </c>
      <c r="G26" s="245">
        <f>'PVC-A7'!G55-'PVC-A7'!G84</f>
        <v>-761</v>
      </c>
      <c r="H26" s="245">
        <f>'PVC-A7'!H55-'PVC-A7'!H84</f>
        <v>-813.09945599999992</v>
      </c>
      <c r="I26" s="245">
        <f>'PVC-A7'!I55-'PVC-A7'!I84</f>
        <v>-818</v>
      </c>
      <c r="J26" s="245">
        <f>'PVC-A7'!J55-'PVC-A7'!J84</f>
        <v>-819</v>
      </c>
      <c r="K26" s="246">
        <f>'PVC-A7'!K55-'PVC-A7'!K84</f>
        <v>-777</v>
      </c>
      <c r="L26" s="247">
        <f>'PVC-A7'!L55-'PVC-A7'!L84</f>
        <v>-852</v>
      </c>
      <c r="M26" s="245">
        <f>'PVC-A7'!M55-'PVC-A7'!M84</f>
        <v>-889</v>
      </c>
      <c r="N26" s="245">
        <f>'PVC-A7'!N55-'PVC-A7'!N84</f>
        <v>-937</v>
      </c>
      <c r="O26" s="245">
        <f>'PVC-A7'!O55-'PVC-A7'!O84</f>
        <v>-992</v>
      </c>
      <c r="P26" s="245">
        <f>'PVC-A7'!P55-'PVC-A7'!P84</f>
        <v>-1052</v>
      </c>
      <c r="Q26" s="248">
        <f>'PVC-A7'!Q55-'PVC-A7'!Q84</f>
        <v>-1115</v>
      </c>
    </row>
    <row r="27" spans="2:17" ht="17.25" customHeight="1">
      <c r="B27" s="674" t="s">
        <v>315</v>
      </c>
      <c r="C27" s="675"/>
      <c r="D27" s="244">
        <f>'PVC-A7'!D56-'PVC-A7'!D85</f>
        <v>-607</v>
      </c>
      <c r="E27" s="245">
        <f>'PVC-A7'!E56-'PVC-A7'!E85</f>
        <v>-697</v>
      </c>
      <c r="F27" s="245">
        <f>'PVC-A7'!F56-'PVC-A7'!F85</f>
        <v>-616.39999999999986</v>
      </c>
      <c r="G27" s="245">
        <f>'PVC-A7'!G56-'PVC-A7'!G85</f>
        <v>-687.59999999999991</v>
      </c>
      <c r="H27" s="245">
        <f>'PVC-A7'!H56-'PVC-A7'!H85</f>
        <v>-657</v>
      </c>
      <c r="I27" s="245">
        <f>'PVC-A7'!I56-'PVC-A7'!I85</f>
        <v>-348</v>
      </c>
      <c r="J27" s="245">
        <f>'PVC-A7'!J56-'PVC-A7'!J85</f>
        <v>-360</v>
      </c>
      <c r="K27" s="246">
        <f>'PVC-A7'!K56-'PVC-A7'!K85</f>
        <v>-113</v>
      </c>
      <c r="L27" s="247">
        <f>'PVC-A7'!L56-'PVC-A7'!L85</f>
        <v>-114.80799999999999</v>
      </c>
      <c r="M27" s="245">
        <f>'PVC-A7'!M56-'PVC-A7'!M85</f>
        <v>-116.30050400000005</v>
      </c>
      <c r="N27" s="245">
        <f>'PVC-A7'!N56-'PVC-A7'!N85</f>
        <v>-118.04501156000003</v>
      </c>
      <c r="O27" s="245">
        <f>'PVC-A7'!O56-'PVC-A7'!O85</f>
        <v>-119.81568673340018</v>
      </c>
      <c r="P27" s="245">
        <f>'PVC-A7'!P56-'PVC-A7'!P85</f>
        <v>-121.61292203440121</v>
      </c>
      <c r="Q27" s="248">
        <f>'PVC-A7'!Q56-'PVC-A7'!Q85</f>
        <v>-106.86887779075346</v>
      </c>
    </row>
    <row r="28" spans="2:17" ht="16.5" customHeight="1">
      <c r="B28" s="672" t="s">
        <v>316</v>
      </c>
      <c r="C28" s="673"/>
      <c r="D28" s="239">
        <f>'PVC-A7'!D57-'PVC-A7'!D86</f>
        <v>1709</v>
      </c>
      <c r="E28" s="240">
        <f>'PVC-A7'!E57-'PVC-A7'!E86</f>
        <v>2313.8999999999996</v>
      </c>
      <c r="F28" s="240">
        <f>'PVC-A7'!F57-'PVC-A7'!F86</f>
        <v>2267.8999999999996</v>
      </c>
      <c r="G28" s="240">
        <f>'PVC-A7'!G57-'PVC-A7'!G86</f>
        <v>2221.8999999999996</v>
      </c>
      <c r="H28" s="240">
        <f>'PVC-A7'!H57-'PVC-A7'!H86</f>
        <v>2174.8999999999996</v>
      </c>
      <c r="I28" s="240">
        <f>'PVC-A7'!I57-'PVC-A7'!I86</f>
        <v>2377</v>
      </c>
      <c r="J28" s="240">
        <f>'PVC-A7'!J57-'PVC-A7'!J86</f>
        <v>2369</v>
      </c>
      <c r="K28" s="241">
        <f>'PVC-A7'!K57-'PVC-A7'!K86</f>
        <v>3116</v>
      </c>
      <c r="L28" s="242">
        <f>'PVC-A7'!L57-'PVC-A7'!L86</f>
        <v>2973</v>
      </c>
      <c r="M28" s="240">
        <f>'PVC-A7'!M57-'PVC-A7'!M86</f>
        <v>2844</v>
      </c>
      <c r="N28" s="240">
        <f>'PVC-A7'!N57-'PVC-A7'!N86</f>
        <v>3010</v>
      </c>
      <c r="O28" s="240">
        <f>'PVC-A7'!O57-'PVC-A7'!O86</f>
        <v>2918</v>
      </c>
      <c r="P28" s="240">
        <f>'PVC-A7'!P57-'PVC-A7'!P86</f>
        <v>2838</v>
      </c>
      <c r="Q28" s="243">
        <f>'PVC-A7'!Q57-'PVC-A7'!Q86</f>
        <v>2762</v>
      </c>
    </row>
    <row r="29" spans="2:17" ht="16.5" customHeight="1">
      <c r="B29" s="670" t="s">
        <v>317</v>
      </c>
      <c r="C29" s="671"/>
      <c r="D29" s="239">
        <f>'PVC-A7'!D58-'PVC-A7'!D87</f>
        <v>-287</v>
      </c>
      <c r="E29" s="240">
        <f>'PVC-A7'!E58-'PVC-A7'!E87</f>
        <v>-255</v>
      </c>
      <c r="F29" s="240">
        <f>'PVC-A7'!F58-'PVC-A7'!F87</f>
        <v>-233</v>
      </c>
      <c r="G29" s="240">
        <f>'PVC-A7'!G58-'PVC-A7'!G87</f>
        <v>-264</v>
      </c>
      <c r="H29" s="240">
        <f>'PVC-A7'!H58-'PVC-A7'!H87</f>
        <v>-270</v>
      </c>
      <c r="I29" s="240">
        <f>'PVC-A7'!I58-'PVC-A7'!I87</f>
        <v>-266</v>
      </c>
      <c r="J29" s="240">
        <f>'PVC-A7'!J58-'PVC-A7'!J87</f>
        <v>-264</v>
      </c>
      <c r="K29" s="241">
        <f>'PVC-A7'!K58-'PVC-A7'!K87</f>
        <v>-279</v>
      </c>
      <c r="L29" s="242">
        <f>'PVC-A7'!L58-'PVC-A7'!L87</f>
        <v>-290</v>
      </c>
      <c r="M29" s="240">
        <f>'PVC-A7'!M58-'PVC-A7'!M87</f>
        <v>-301</v>
      </c>
      <c r="N29" s="240">
        <f>'PVC-A7'!N58-'PVC-A7'!N87</f>
        <v>-311</v>
      </c>
      <c r="O29" s="240">
        <f>'PVC-A7'!O58-'PVC-A7'!O87</f>
        <v>-321</v>
      </c>
      <c r="P29" s="240">
        <f>'PVC-A7'!P58-'PVC-A7'!P87</f>
        <v>-330</v>
      </c>
      <c r="Q29" s="243">
        <f>'PVC-A7'!Q58-'PVC-A7'!Q87</f>
        <v>-339</v>
      </c>
    </row>
    <row r="30" spans="2:17" ht="17.25" customHeight="1">
      <c r="B30" s="674" t="s">
        <v>318</v>
      </c>
      <c r="C30" s="675"/>
      <c r="D30" s="244">
        <f t="shared" ref="D30:K30" si="2">SUM(D28:D29)</f>
        <v>1422</v>
      </c>
      <c r="E30" s="245">
        <f t="shared" si="2"/>
        <v>2058.8999999999996</v>
      </c>
      <c r="F30" s="245">
        <f t="shared" si="2"/>
        <v>2034.8999999999996</v>
      </c>
      <c r="G30" s="245">
        <f t="shared" si="2"/>
        <v>1957.8999999999996</v>
      </c>
      <c r="H30" s="245">
        <f t="shared" si="2"/>
        <v>1904.8999999999996</v>
      </c>
      <c r="I30" s="245">
        <f t="shared" si="2"/>
        <v>2111</v>
      </c>
      <c r="J30" s="245">
        <f t="shared" si="2"/>
        <v>2105</v>
      </c>
      <c r="K30" s="246">
        <f t="shared" si="2"/>
        <v>2837</v>
      </c>
      <c r="L30" s="247">
        <f t="shared" ref="L30:Q30" si="3">SUM(L28:L29)</f>
        <v>2683</v>
      </c>
      <c r="M30" s="245">
        <f t="shared" si="3"/>
        <v>2543</v>
      </c>
      <c r="N30" s="245">
        <f t="shared" si="3"/>
        <v>2699</v>
      </c>
      <c r="O30" s="245">
        <f t="shared" si="3"/>
        <v>2597</v>
      </c>
      <c r="P30" s="245">
        <f t="shared" si="3"/>
        <v>2508</v>
      </c>
      <c r="Q30" s="248">
        <f t="shared" si="3"/>
        <v>2423</v>
      </c>
    </row>
    <row r="31" spans="2:17" ht="16.5" customHeight="1">
      <c r="B31" s="672" t="s">
        <v>319</v>
      </c>
      <c r="C31" s="673"/>
      <c r="D31" s="239">
        <f>'PVC-A7'!D60-'PVC-A7'!D89</f>
        <v>-186.04999999999995</v>
      </c>
      <c r="E31" s="240">
        <f>'PVC-A7'!E60-'PVC-A7'!E89</f>
        <v>-200.04999999999995</v>
      </c>
      <c r="F31" s="240">
        <f>'PVC-A7'!F60-'PVC-A7'!F89</f>
        <v>-214.04999999999995</v>
      </c>
      <c r="G31" s="240">
        <f>'PVC-A7'!G60-'PVC-A7'!G89</f>
        <v>-229.04999999999995</v>
      </c>
      <c r="H31" s="240">
        <f>'PVC-A7'!H60-'PVC-A7'!H89</f>
        <v>-244.04999999999995</v>
      </c>
      <c r="I31" s="240">
        <f>'PVC-A7'!I60-'PVC-A7'!I89</f>
        <v>15</v>
      </c>
      <c r="J31" s="240">
        <f>'PVC-A7'!J60-'PVC-A7'!J89</f>
        <v>0.70000000000004547</v>
      </c>
      <c r="K31" s="241">
        <f>'PVC-A7'!K60-'PVC-A7'!K89</f>
        <v>-13.299999999999955</v>
      </c>
      <c r="L31" s="242">
        <f>'PVC-A7'!L60-'PVC-A7'!L89</f>
        <v>-29.299999999999955</v>
      </c>
      <c r="M31" s="240">
        <f>'PVC-A7'!M60-'PVC-A7'!M89</f>
        <v>-48.299999999999955</v>
      </c>
      <c r="N31" s="240">
        <f>'PVC-A7'!N60-'PVC-A7'!N89</f>
        <v>-69.299999999999955</v>
      </c>
      <c r="O31" s="240">
        <f>'PVC-A7'!O60-'PVC-A7'!O89</f>
        <v>-91.299999999999955</v>
      </c>
      <c r="P31" s="240">
        <f>'PVC-A7'!P60-'PVC-A7'!P89</f>
        <v>-115</v>
      </c>
      <c r="Q31" s="243">
        <f>'PVC-A7'!Q60-'PVC-A7'!Q89</f>
        <v>-139</v>
      </c>
    </row>
    <row r="32" spans="2:17" ht="16.5" customHeight="1">
      <c r="B32" s="668" t="s">
        <v>320</v>
      </c>
      <c r="C32" s="669"/>
      <c r="D32" s="239">
        <f>'PVC-A7'!D61-'PVC-A7'!D90</f>
        <v>-241</v>
      </c>
      <c r="E32" s="240">
        <f>'PVC-A7'!E61-'PVC-A7'!E90</f>
        <v>-282</v>
      </c>
      <c r="F32" s="240">
        <f>'PVC-A7'!F61-'PVC-A7'!F90</f>
        <v>-262</v>
      </c>
      <c r="G32" s="240">
        <f>'PVC-A7'!G61-'PVC-A7'!G90</f>
        <v>-330</v>
      </c>
      <c r="H32" s="240">
        <f>'PVC-A7'!H61-'PVC-A7'!H90</f>
        <v>-323</v>
      </c>
      <c r="I32" s="240">
        <f>'PVC-A7'!I61-'PVC-A7'!I90</f>
        <v>-323</v>
      </c>
      <c r="J32" s="240">
        <f>'PVC-A7'!J61-'PVC-A7'!J90</f>
        <v>-273</v>
      </c>
      <c r="K32" s="241">
        <f>'PVC-A7'!K61-'PVC-A7'!K90</f>
        <v>-284</v>
      </c>
      <c r="L32" s="242">
        <f>'PVC-A7'!L61-'PVC-A7'!L90</f>
        <v>-298</v>
      </c>
      <c r="M32" s="240">
        <f>'PVC-A7'!M61-'PVC-A7'!M90</f>
        <v>-322</v>
      </c>
      <c r="N32" s="240">
        <f>'PVC-A7'!N61-'PVC-A7'!N90</f>
        <v>-346</v>
      </c>
      <c r="O32" s="240">
        <f>'PVC-A7'!O61-'PVC-A7'!O90</f>
        <v>-370</v>
      </c>
      <c r="P32" s="240">
        <f>'PVC-A7'!P61-'PVC-A7'!P90</f>
        <v>-394</v>
      </c>
      <c r="Q32" s="243">
        <f>'PVC-A7'!Q61-'PVC-A7'!Q90</f>
        <v>-419</v>
      </c>
    </row>
    <row r="33" spans="2:17" ht="16.5" customHeight="1">
      <c r="B33" s="670" t="s">
        <v>321</v>
      </c>
      <c r="C33" s="671"/>
      <c r="D33" s="239">
        <f>'PVC-A7'!D62-'PVC-A7'!D91</f>
        <v>-341</v>
      </c>
      <c r="E33" s="240">
        <f>'PVC-A7'!E62-'PVC-A7'!E91</f>
        <v>-207</v>
      </c>
      <c r="F33" s="240">
        <f>'PVC-A7'!F62-'PVC-A7'!F91</f>
        <v>-165</v>
      </c>
      <c r="G33" s="240">
        <f>'PVC-A7'!G62-'PVC-A7'!G91</f>
        <v>-141</v>
      </c>
      <c r="H33" s="240">
        <f>'PVC-A7'!H62-'PVC-A7'!H91</f>
        <v>-123</v>
      </c>
      <c r="I33" s="240">
        <f>'PVC-A7'!I62-'PVC-A7'!I91</f>
        <v>-252</v>
      </c>
      <c r="J33" s="240">
        <f>'PVC-A7'!J62-'PVC-A7'!J91</f>
        <v>-247</v>
      </c>
      <c r="K33" s="241">
        <f>'PVC-A7'!K62-'PVC-A7'!K91</f>
        <v>-257</v>
      </c>
      <c r="L33" s="242">
        <f>'PVC-A7'!L62-'PVC-A7'!L91</f>
        <v>-267</v>
      </c>
      <c r="M33" s="240">
        <f>'PVC-A7'!M62-'PVC-A7'!M91</f>
        <v>-286</v>
      </c>
      <c r="N33" s="240">
        <f>'PVC-A7'!N62-'PVC-A7'!N91</f>
        <v>-309</v>
      </c>
      <c r="O33" s="240">
        <f>'PVC-A7'!O62-'PVC-A7'!O91</f>
        <v>-333</v>
      </c>
      <c r="P33" s="240">
        <f>'PVC-A7'!P62-'PVC-A7'!P91</f>
        <v>-359</v>
      </c>
      <c r="Q33" s="243">
        <f>'PVC-A7'!Q62-'PVC-A7'!Q91</f>
        <v>-386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-768.05</v>
      </c>
      <c r="E34" s="250">
        <f t="shared" si="4"/>
        <v>-689.05</v>
      </c>
      <c r="F34" s="250">
        <f t="shared" si="4"/>
        <v>-641.04999999999995</v>
      </c>
      <c r="G34" s="250">
        <f t="shared" si="4"/>
        <v>-700.05</v>
      </c>
      <c r="H34" s="250">
        <f t="shared" si="4"/>
        <v>-690.05</v>
      </c>
      <c r="I34" s="250">
        <f t="shared" si="4"/>
        <v>-560</v>
      </c>
      <c r="J34" s="250">
        <f t="shared" si="4"/>
        <v>-519.29999999999995</v>
      </c>
      <c r="K34" s="251">
        <f t="shared" si="4"/>
        <v>-554.29999999999995</v>
      </c>
      <c r="L34" s="252">
        <f t="shared" ref="L34:Q34" si="5">SUM(L31:L33)</f>
        <v>-594.29999999999995</v>
      </c>
      <c r="M34" s="250">
        <f t="shared" si="5"/>
        <v>-656.3</v>
      </c>
      <c r="N34" s="250">
        <f t="shared" si="5"/>
        <v>-724.3</v>
      </c>
      <c r="O34" s="250">
        <f t="shared" si="5"/>
        <v>-794.3</v>
      </c>
      <c r="P34" s="250">
        <f t="shared" si="5"/>
        <v>-868</v>
      </c>
      <c r="Q34" s="253">
        <f t="shared" si="5"/>
        <v>-944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-634.74589999999989</v>
      </c>
      <c r="E35" s="171">
        <f t="shared" ref="E35:Q35" si="6">SUM(E19+E20+E22+E24+E26+E27+E30+E34)</f>
        <v>896.19299999999976</v>
      </c>
      <c r="F35" s="171">
        <f t="shared" si="6"/>
        <v>893.32099999999991</v>
      </c>
      <c r="G35" s="171">
        <f t="shared" si="6"/>
        <v>819.59099999999967</v>
      </c>
      <c r="H35" s="171">
        <f t="shared" si="6"/>
        <v>954.24241499999994</v>
      </c>
      <c r="I35" s="171">
        <f t="shared" si="6"/>
        <v>1730.7440000000001</v>
      </c>
      <c r="J35" s="171">
        <f t="shared" si="6"/>
        <v>1519.9658110000005</v>
      </c>
      <c r="K35" s="173">
        <f t="shared" si="6"/>
        <v>2425.7970000000005</v>
      </c>
      <c r="L35" s="172">
        <f t="shared" si="6"/>
        <v>2088.1349090000012</v>
      </c>
      <c r="M35" s="171">
        <f t="shared" si="6"/>
        <v>1817.9823114607</v>
      </c>
      <c r="N35" s="171">
        <f t="shared" si="6"/>
        <v>1853.3691655308501</v>
      </c>
      <c r="O35" s="171">
        <f t="shared" si="6"/>
        <v>1396.9672992736748</v>
      </c>
      <c r="P35" s="171">
        <f t="shared" si="6"/>
        <v>888.95196810695984</v>
      </c>
      <c r="Q35" s="174">
        <f t="shared" si="6"/>
        <v>559.26548003449238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6</v>
      </c>
    </row>
    <row r="39" spans="2:17" ht="15" customHeight="1" thickBot="1">
      <c r="Q39" s="12" t="s">
        <v>52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IF('PVC-A7'!D7=0,"    -",ROUND('PVC-A7'!D36/'PVC-A7'!D7*100,1))</f>
        <v>98.2</v>
      </c>
      <c r="E43" s="58">
        <f>IF('PVC-A7'!E7=0,"    -",ROUND('PVC-A7'!E36/'PVC-A7'!E7*100,1))</f>
        <v>100</v>
      </c>
      <c r="F43" s="58">
        <f>IF('PVC-A7'!F7=0,"    -",ROUND('PVC-A7'!F36/'PVC-A7'!F7*100,1))</f>
        <v>104.1</v>
      </c>
      <c r="G43" s="58">
        <f>IF('PVC-A7'!G7=0,"    -",ROUND('PVC-A7'!G36/'PVC-A7'!G7*100,1))</f>
        <v>98.6</v>
      </c>
      <c r="H43" s="58">
        <f>IF('PVC-A7'!H7=0,"    -",ROUND('PVC-A7'!H36/'PVC-A7'!H7*100,1))</f>
        <v>90.1</v>
      </c>
      <c r="I43" s="58">
        <f>IF('PVC-A7'!I7=0,"    -",ROUND('PVC-A7'!I36/'PVC-A7'!I7*100,1))</f>
        <v>93.9</v>
      </c>
      <c r="J43" s="58">
        <f>IF('PVC-A7'!J7=0,"    -",ROUND('PVC-A7'!J36/'PVC-A7'!J7*100,1))</f>
        <v>98.9</v>
      </c>
      <c r="K43" s="59">
        <f>IF('PVC-A7'!K7=0,"    -",ROUND('PVC-A7'!K36/'PVC-A7'!K7*100,1))</f>
        <v>102.2</v>
      </c>
      <c r="L43" s="60">
        <f>IF('PVC-A7'!L7=0,"    -",ROUND('PVC-A7'!L36/'PVC-A7'!L7*100,1))</f>
        <v>98.9</v>
      </c>
      <c r="M43" s="58">
        <f>IF('PVC-A7'!M7=0,"    -",ROUND('PVC-A7'!M36/'PVC-A7'!M7*100,1))</f>
        <v>98.9</v>
      </c>
      <c r="N43" s="58">
        <f>IF('PVC-A7'!N7=0,"    -",ROUND('PVC-A7'!N36/'PVC-A7'!N7*100,1))</f>
        <v>98.9</v>
      </c>
      <c r="O43" s="58">
        <f>IF('PVC-A7'!O7=0,"    -",ROUND('PVC-A7'!O36/'PVC-A7'!O7*100,1))</f>
        <v>102.1</v>
      </c>
      <c r="P43" s="58">
        <f>IF('PVC-A7'!P7=0,"    -",ROUND('PVC-A7'!P36/'PVC-A7'!P7*100,1))</f>
        <v>102.1</v>
      </c>
      <c r="Q43" s="61">
        <f>IF('PVC-A7'!Q7=0,"    -",ROUND('PVC-A7'!Q36/'PVC-A7'!Q7*100,1))</f>
        <v>102.1</v>
      </c>
    </row>
    <row r="44" spans="2:17" ht="16.5" customHeight="1">
      <c r="B44" s="605" t="s">
        <v>434</v>
      </c>
      <c r="C44" s="606"/>
      <c r="D44" s="57">
        <f>IF('PVC-A7'!D8=0,"    -",ROUND('PVC-A7'!D37/'PVC-A7'!D8*100,1))</f>
        <v>84.2</v>
      </c>
      <c r="E44" s="58">
        <f>IF('PVC-A7'!E8=0,"    -",ROUND('PVC-A7'!E37/'PVC-A7'!E8*100,1))</f>
        <v>83</v>
      </c>
      <c r="F44" s="58">
        <f>IF('PVC-A7'!F8=0,"    -",ROUND('PVC-A7'!F37/'PVC-A7'!F8*100,1))</f>
        <v>81.3</v>
      </c>
      <c r="G44" s="58">
        <f>IF('PVC-A7'!G8=0,"    -",ROUND('PVC-A7'!G37/'PVC-A7'!G8*100,1))</f>
        <v>86.7</v>
      </c>
      <c r="H44" s="58">
        <f>IF('PVC-A7'!H8=0,"    -",ROUND('PVC-A7'!H37/'PVC-A7'!H8*100,1))</f>
        <v>82.8</v>
      </c>
      <c r="I44" s="58">
        <f>IF('PVC-A7'!I8=0,"    -",ROUND('PVC-A7'!I37/'PVC-A7'!I8*100,1))</f>
        <v>87.9</v>
      </c>
      <c r="J44" s="58">
        <f>IF('PVC-A7'!J8=0,"    -",ROUND('PVC-A7'!J37/'PVC-A7'!J8*100,1))</f>
        <v>89.7</v>
      </c>
      <c r="K44" s="59">
        <f>IF('PVC-A7'!K8=0,"    -",ROUND('PVC-A7'!K37/'PVC-A7'!K8*100,1))</f>
        <v>92</v>
      </c>
      <c r="L44" s="60">
        <f>IF('PVC-A7'!L8=0,"    -",ROUND('PVC-A7'!L37/'PVC-A7'!L8*100,1))</f>
        <v>90.2</v>
      </c>
      <c r="M44" s="58">
        <f>IF('PVC-A7'!M8=0,"    -",ROUND('PVC-A7'!M37/'PVC-A7'!M8*100,1))</f>
        <v>90.2</v>
      </c>
      <c r="N44" s="58">
        <f>IF('PVC-A7'!N8=0,"    -",ROUND('PVC-A7'!N37/'PVC-A7'!N8*100,1))</f>
        <v>90.2</v>
      </c>
      <c r="O44" s="58">
        <f>IF('PVC-A7'!O8=0,"    -",ROUND('PVC-A7'!O37/'PVC-A7'!O8*100,1))</f>
        <v>92.9</v>
      </c>
      <c r="P44" s="58">
        <f>IF('PVC-A7'!P8=0,"    -",ROUND('PVC-A7'!P37/'PVC-A7'!P8*100,1))</f>
        <v>92.9</v>
      </c>
      <c r="Q44" s="61">
        <f>IF('PVC-A7'!Q8=0,"    -",ROUND('PVC-A7'!Q37/'PVC-A7'!Q8*100,1))</f>
        <v>92.9</v>
      </c>
    </row>
    <row r="45" spans="2:17" ht="16.5" customHeight="1">
      <c r="B45" s="605" t="s">
        <v>435</v>
      </c>
      <c r="C45" s="606"/>
      <c r="D45" s="57" t="str">
        <f>IF('PVC-A7'!D9=0,"    -",ROUND('PVC-A7'!D38/'PVC-A7'!D9*100,1))</f>
        <v xml:space="preserve">    -</v>
      </c>
      <c r="E45" s="58" t="str">
        <f>IF('PVC-A7'!E9=0,"    -",ROUND('PVC-A7'!E38/'PVC-A7'!E9*100,1))</f>
        <v xml:space="preserve">    -</v>
      </c>
      <c r="F45" s="58" t="str">
        <f>IF('PVC-A7'!F9=0,"    -",ROUND('PVC-A7'!F38/'PVC-A7'!F9*100,1))</f>
        <v xml:space="preserve">    -</v>
      </c>
      <c r="G45" s="58" t="str">
        <f>IF('PVC-A7'!G9=0,"    -",ROUND('PVC-A7'!G38/'PVC-A7'!G9*100,1))</f>
        <v xml:space="preserve">    -</v>
      </c>
      <c r="H45" s="58" t="str">
        <f>IF('PVC-A7'!H9=0,"    -",ROUND('PVC-A7'!H38/'PVC-A7'!H9*100,1))</f>
        <v xml:space="preserve">    -</v>
      </c>
      <c r="I45" s="58" t="str">
        <f>IF('PVC-A7'!I9=0,"    -",ROUND('PVC-A7'!I38/'PVC-A7'!I9*100,1))</f>
        <v xml:space="preserve">    -</v>
      </c>
      <c r="J45" s="58" t="str">
        <f>IF('PVC-A7'!J9=0,"    -",ROUND('PVC-A7'!J38/'PVC-A7'!J9*100,1))</f>
        <v xml:space="preserve">    -</v>
      </c>
      <c r="K45" s="59" t="str">
        <f>IF('PVC-A7'!K9=0,"    -",ROUND('PVC-A7'!K38/'PVC-A7'!K9*100,1))</f>
        <v xml:space="preserve">    -</v>
      </c>
      <c r="L45" s="60" t="str">
        <f>IF('PVC-A7'!L9=0,"    -",ROUND('PVC-A7'!L38/'PVC-A7'!L9*100,1))</f>
        <v xml:space="preserve">    -</v>
      </c>
      <c r="M45" s="58" t="str">
        <f>IF('PVC-A7'!M9=0,"    -",ROUND('PVC-A7'!M38/'PVC-A7'!M9*100,1))</f>
        <v xml:space="preserve">    -</v>
      </c>
      <c r="N45" s="58" t="str">
        <f>IF('PVC-A7'!N9=0,"    -",ROUND('PVC-A7'!N38/'PVC-A7'!N9*100,1))</f>
        <v xml:space="preserve">    -</v>
      </c>
      <c r="O45" s="58" t="str">
        <f>IF('PVC-A7'!O9=0,"    -",ROUND('PVC-A7'!O38/'PVC-A7'!O9*100,1))</f>
        <v xml:space="preserve">    -</v>
      </c>
      <c r="P45" s="58" t="str">
        <f>IF('PVC-A7'!P9=0,"    -",ROUND('PVC-A7'!P38/'PVC-A7'!P9*100,1))</f>
        <v xml:space="preserve">    -</v>
      </c>
      <c r="Q45" s="61" t="str">
        <f>IF('PVC-A7'!Q9=0,"    -",ROUND('PVC-A7'!Q38/'PVC-A7'!Q9*100,1))</f>
        <v xml:space="preserve">    -</v>
      </c>
    </row>
    <row r="46" spans="2:17" ht="16.5" customHeight="1">
      <c r="B46" s="605" t="s">
        <v>436</v>
      </c>
      <c r="C46" s="606"/>
      <c r="D46" s="57">
        <f>IF('PVC-A7'!D10=0,"    -",ROUND('PVC-A7'!D39/'PVC-A7'!D10*100,1))</f>
        <v>64.7</v>
      </c>
      <c r="E46" s="58">
        <f>IF('PVC-A7'!E10=0,"    -",ROUND('PVC-A7'!E39/'PVC-A7'!E10*100,1))</f>
        <v>65.400000000000006</v>
      </c>
      <c r="F46" s="58">
        <f>IF('PVC-A7'!F10=0,"    -",ROUND('PVC-A7'!F39/'PVC-A7'!F10*100,1))</f>
        <v>68</v>
      </c>
      <c r="G46" s="58">
        <f>IF('PVC-A7'!G10=0,"    -",ROUND('PVC-A7'!G39/'PVC-A7'!G10*100,1))</f>
        <v>60.8</v>
      </c>
      <c r="H46" s="58">
        <f>IF('PVC-A7'!H10=0,"    -",ROUND('PVC-A7'!H39/'PVC-A7'!H10*100,1))</f>
        <v>65.400000000000006</v>
      </c>
      <c r="I46" s="58">
        <f>IF('PVC-A7'!I10=0,"    -",ROUND('PVC-A7'!I39/'PVC-A7'!I10*100,1))</f>
        <v>67.900000000000006</v>
      </c>
      <c r="J46" s="58">
        <f>IF('PVC-A7'!J10=0,"    -",ROUND('PVC-A7'!J39/'PVC-A7'!J10*100,1))</f>
        <v>71.5</v>
      </c>
      <c r="K46" s="59">
        <f>IF('PVC-A7'!K10=0,"    -",ROUND('PVC-A7'!K39/'PVC-A7'!K10*100,1))</f>
        <v>78.5</v>
      </c>
      <c r="L46" s="60">
        <f>IF('PVC-A7'!L10=0,"    -",ROUND('PVC-A7'!L39/'PVC-A7'!L10*100,1))</f>
        <v>79.099999999999994</v>
      </c>
      <c r="M46" s="58">
        <f>IF('PVC-A7'!M10=0,"    -",ROUND('PVC-A7'!M39/'PVC-A7'!M10*100,1))</f>
        <v>83.1</v>
      </c>
      <c r="N46" s="58">
        <f>IF('PVC-A7'!N10=0,"    -",ROUND('PVC-A7'!N39/'PVC-A7'!N10*100,1))</f>
        <v>86.9</v>
      </c>
      <c r="O46" s="58">
        <f>IF('PVC-A7'!O10=0,"    -",ROUND('PVC-A7'!O39/'PVC-A7'!O10*100,1))</f>
        <v>87.6</v>
      </c>
      <c r="P46" s="58">
        <f>IF('PVC-A7'!P10=0,"    -",ROUND('PVC-A7'!P39/'PVC-A7'!P10*100,1))</f>
        <v>89.6</v>
      </c>
      <c r="Q46" s="61">
        <f>IF('PVC-A7'!Q10=0,"    -",ROUND('PVC-A7'!Q39/'PVC-A7'!Q10*100,1))</f>
        <v>91.4</v>
      </c>
    </row>
    <row r="47" spans="2:17" ht="16.5" customHeight="1">
      <c r="B47" s="605" t="s">
        <v>437</v>
      </c>
      <c r="C47" s="606"/>
      <c r="D47" s="57">
        <f>IF('PVC-A7'!D11=0,"    -",ROUND('PVC-A7'!D40/'PVC-A7'!D11*100,1))</f>
        <v>92.7</v>
      </c>
      <c r="E47" s="58">
        <f>IF('PVC-A7'!E11=0,"    -",ROUND('PVC-A7'!E40/'PVC-A7'!E11*100,1))</f>
        <v>89.4</v>
      </c>
      <c r="F47" s="58">
        <f>IF('PVC-A7'!F11=0,"    -",ROUND('PVC-A7'!F40/'PVC-A7'!F11*100,1))</f>
        <v>89.4</v>
      </c>
      <c r="G47" s="58">
        <f>IF('PVC-A7'!G11=0,"    -",ROUND('PVC-A7'!G40/'PVC-A7'!G11*100,1))</f>
        <v>89.4</v>
      </c>
      <c r="H47" s="58">
        <f>IF('PVC-A7'!H11=0,"    -",ROUND('PVC-A7'!H40/'PVC-A7'!H11*100,1))</f>
        <v>81.3</v>
      </c>
      <c r="I47" s="58">
        <f>IF('PVC-A7'!I11=0,"    -",ROUND('PVC-A7'!I40/'PVC-A7'!I11*100,1))</f>
        <v>88.8</v>
      </c>
      <c r="J47" s="58">
        <f>IF('PVC-A7'!J11=0,"    -",ROUND('PVC-A7'!J40/'PVC-A7'!J11*100,1))</f>
        <v>89.5</v>
      </c>
      <c r="K47" s="59">
        <f>IF('PVC-A7'!K11=0,"    -",ROUND('PVC-A7'!K40/'PVC-A7'!K11*100,1))</f>
        <v>92.8</v>
      </c>
      <c r="L47" s="60">
        <f>IF('PVC-A7'!L11=0,"    -",ROUND('PVC-A7'!L40/'PVC-A7'!L11*100,1))</f>
        <v>95.7</v>
      </c>
      <c r="M47" s="58">
        <f>IF('PVC-A7'!M11=0,"    -",ROUND('PVC-A7'!M40/'PVC-A7'!M11*100,1))</f>
        <v>95.7</v>
      </c>
      <c r="N47" s="58">
        <f>IF('PVC-A7'!N11=0,"    -",ROUND('PVC-A7'!N40/'PVC-A7'!N11*100,1))</f>
        <v>95.7</v>
      </c>
      <c r="O47" s="58">
        <f>IF('PVC-A7'!O11=0,"    -",ROUND('PVC-A7'!O40/'PVC-A7'!O11*100,1))</f>
        <v>95.7</v>
      </c>
      <c r="P47" s="58">
        <f>IF('PVC-A7'!P11=0,"    -",ROUND('PVC-A7'!P40/'PVC-A7'!P11*100,1))</f>
        <v>95.7</v>
      </c>
      <c r="Q47" s="61">
        <f>IF('PVC-A7'!Q11=0,"    -",ROUND('PVC-A7'!Q40/'PVC-A7'!Q11*100,1))</f>
        <v>95.7</v>
      </c>
    </row>
    <row r="48" spans="2:17" ht="16.5" customHeight="1">
      <c r="B48" s="605" t="s">
        <v>438</v>
      </c>
      <c r="C48" s="606"/>
      <c r="D48" s="57">
        <f>IF('PVC-A7'!D12=0,"    -",ROUND('PVC-A7'!D41/'PVC-A7'!D12*100,1))</f>
        <v>86</v>
      </c>
      <c r="E48" s="58">
        <f>IF('PVC-A7'!E12=0,"    -",ROUND('PVC-A7'!E41/'PVC-A7'!E12*100,1))</f>
        <v>76.099999999999994</v>
      </c>
      <c r="F48" s="58">
        <f>IF('PVC-A7'!F12=0,"    -",ROUND('PVC-A7'!F41/'PVC-A7'!F12*100,1))</f>
        <v>84.9</v>
      </c>
      <c r="G48" s="58">
        <f>IF('PVC-A7'!G12=0,"    -",ROUND('PVC-A7'!G41/'PVC-A7'!G12*100,1))</f>
        <v>84.9</v>
      </c>
      <c r="H48" s="58">
        <f>IF('PVC-A7'!H12=0,"    -",ROUND('PVC-A7'!H41/'PVC-A7'!H12*100,1))</f>
        <v>84.9</v>
      </c>
      <c r="I48" s="58">
        <f>IF('PVC-A7'!I12=0,"    -",ROUND('PVC-A7'!I41/'PVC-A7'!I12*100,1))</f>
        <v>69.8</v>
      </c>
      <c r="J48" s="58">
        <f>IF('PVC-A7'!J12=0,"    -",ROUND('PVC-A7'!J41/'PVC-A7'!J12*100,1))</f>
        <v>85</v>
      </c>
      <c r="K48" s="59">
        <f>IF('PVC-A7'!K12=0,"    -",ROUND('PVC-A7'!K41/'PVC-A7'!K12*100,1))</f>
        <v>85</v>
      </c>
      <c r="L48" s="60">
        <f>IF('PVC-A7'!L12=0,"    -",ROUND('PVC-A7'!L41/'PVC-A7'!L12*100,1))</f>
        <v>85</v>
      </c>
      <c r="M48" s="58">
        <f>IF('PVC-A7'!M12=0,"    -",ROUND('PVC-A7'!M41/'PVC-A7'!M12*100,1))</f>
        <v>85</v>
      </c>
      <c r="N48" s="58">
        <f>IF('PVC-A7'!N12=0,"    -",ROUND('PVC-A7'!N41/'PVC-A7'!N12*100,1))</f>
        <v>85</v>
      </c>
      <c r="O48" s="58">
        <f>IF('PVC-A7'!O12=0,"    -",ROUND('PVC-A7'!O41/'PVC-A7'!O12*100,1))</f>
        <v>85</v>
      </c>
      <c r="P48" s="58">
        <f>IF('PVC-A7'!P12=0,"    -",ROUND('PVC-A7'!P41/'PVC-A7'!P12*100,1))</f>
        <v>85.1</v>
      </c>
      <c r="Q48" s="61">
        <f>IF('PVC-A7'!Q12=0,"    -",ROUND('PVC-A7'!Q41/'PVC-A7'!Q12*100,1))</f>
        <v>85.1</v>
      </c>
    </row>
    <row r="49" spans="2:17" ht="16.5" customHeight="1">
      <c r="B49" s="605" t="s">
        <v>439</v>
      </c>
      <c r="C49" s="606"/>
      <c r="D49" s="57">
        <f>IF('PVC-A7'!D13=0,"    -",ROUND('PVC-A7'!D42/'PVC-A7'!D13*100,1))</f>
        <v>90.7</v>
      </c>
      <c r="E49" s="58">
        <f>IF('PVC-A7'!E13=0,"    -",ROUND('PVC-A7'!E42/'PVC-A7'!E13*100,1))</f>
        <v>93.3</v>
      </c>
      <c r="F49" s="58">
        <f>IF('PVC-A7'!F13=0,"    -",ROUND('PVC-A7'!F42/'PVC-A7'!F13*100,1))</f>
        <v>84.7</v>
      </c>
      <c r="G49" s="58">
        <f>IF('PVC-A7'!G13=0,"    -",ROUND('PVC-A7'!G42/'PVC-A7'!G13*100,1))</f>
        <v>94.4</v>
      </c>
      <c r="H49" s="58">
        <f>IF('PVC-A7'!H13=0,"    -",ROUND('PVC-A7'!H42/'PVC-A7'!H13*100,1))</f>
        <v>95.9</v>
      </c>
      <c r="I49" s="58">
        <f>IF('PVC-A7'!I13=0,"    -",ROUND('PVC-A7'!I42/'PVC-A7'!I13*100,1))</f>
        <v>95.9</v>
      </c>
      <c r="J49" s="58">
        <f>IF('PVC-A7'!J13=0,"    -",ROUND('PVC-A7'!J42/'PVC-A7'!J13*100,1))</f>
        <v>95.9</v>
      </c>
      <c r="K49" s="59">
        <f>IF('PVC-A7'!K13=0,"    -",ROUND('PVC-A7'!K42/'PVC-A7'!K13*100,1))</f>
        <v>95.9</v>
      </c>
      <c r="L49" s="60">
        <f>IF('PVC-A7'!L13=0,"    -",ROUND('PVC-A7'!L42/'PVC-A7'!L13*100,1))</f>
        <v>95.9</v>
      </c>
      <c r="M49" s="58">
        <f>IF('PVC-A7'!M13=0,"    -",ROUND('PVC-A7'!M42/'PVC-A7'!M13*100,1))</f>
        <v>95.9</v>
      </c>
      <c r="N49" s="58">
        <f>IF('PVC-A7'!N13=0,"    -",ROUND('PVC-A7'!N42/'PVC-A7'!N13*100,1))</f>
        <v>95.9</v>
      </c>
      <c r="O49" s="58">
        <f>IF('PVC-A7'!O13=0,"    -",ROUND('PVC-A7'!O42/'PVC-A7'!O13*100,1))</f>
        <v>95.9</v>
      </c>
      <c r="P49" s="58">
        <f>IF('PVC-A7'!P13=0,"    -",ROUND('PVC-A7'!P42/'PVC-A7'!P13*100,1))</f>
        <v>95.9</v>
      </c>
      <c r="Q49" s="61">
        <f>IF('PVC-A7'!Q13=0,"    -",ROUND('PVC-A7'!Q42/'PVC-A7'!Q13*100,1))</f>
        <v>95.9</v>
      </c>
    </row>
    <row r="50" spans="2:17" ht="18" hidden="1" customHeight="1">
      <c r="B50" s="16"/>
      <c r="C50" s="90" t="s">
        <v>306</v>
      </c>
      <c r="D50" s="57" t="str">
        <f>IF('PVC-A7'!D14=0,"    -",ROUND('PVC-A7'!D43/'PVC-A7'!D14*100,1))</f>
        <v xml:space="preserve">    -</v>
      </c>
      <c r="E50" s="58" t="str">
        <f>IF('PVC-A7'!E14=0,"    -",ROUND('PVC-A7'!E43/'PVC-A7'!E14*100,1))</f>
        <v xml:space="preserve">    -</v>
      </c>
      <c r="F50" s="58" t="str">
        <f>IF('PVC-A7'!F14=0,"    -",ROUND('PVC-A7'!F43/'PVC-A7'!F14*100,1))</f>
        <v xml:space="preserve">    -</v>
      </c>
      <c r="G50" s="58" t="str">
        <f>IF('PVC-A7'!G14=0,"    -",ROUND('PVC-A7'!G43/'PVC-A7'!G14*100,1))</f>
        <v xml:space="preserve">    -</v>
      </c>
      <c r="H50" s="58" t="str">
        <f>IF('PVC-A7'!H14=0,"    -",ROUND('PVC-A7'!H43/'PVC-A7'!H14*100,1))</f>
        <v xml:space="preserve">    -</v>
      </c>
      <c r="I50" s="58" t="str">
        <f>IF('PVC-A7'!I14=0,"    -",ROUND('PVC-A7'!I43/'PVC-A7'!I14*100,1))</f>
        <v xml:space="preserve">    -</v>
      </c>
      <c r="J50" s="58" t="str">
        <f>IF('PVC-A7'!J14=0,"    -",ROUND('PVC-A7'!J43/'PVC-A7'!J14*100,1))</f>
        <v xml:space="preserve">    -</v>
      </c>
      <c r="K50" s="59" t="str">
        <f>IF('PVC-A7'!K14=0,"    -",ROUND('PVC-A7'!K43/'PVC-A7'!K14*100,1))</f>
        <v xml:space="preserve">    -</v>
      </c>
      <c r="L50" s="60" t="str">
        <f>IF('PVC-A7'!L14=0,"    -",ROUND('PVC-A7'!L43/'PVC-A7'!L14*100,1))</f>
        <v xml:space="preserve">    -</v>
      </c>
      <c r="M50" s="58" t="str">
        <f>IF('PVC-A7'!M14=0,"    -",ROUND('PVC-A7'!M43/'PVC-A7'!M14*100,1))</f>
        <v xml:space="preserve">    -</v>
      </c>
      <c r="N50" s="58" t="str">
        <f>IF('PVC-A7'!N14=0,"    -",ROUND('PVC-A7'!N43/'PVC-A7'!N14*100,1))</f>
        <v xml:space="preserve">    -</v>
      </c>
      <c r="O50" s="58" t="str">
        <f>IF('PVC-A7'!O14=0,"    -",ROUND('PVC-A7'!O43/'PVC-A7'!O14*100,1))</f>
        <v xml:space="preserve">    -</v>
      </c>
      <c r="P50" s="58" t="str">
        <f>IF('PVC-A7'!P14=0,"    -",ROUND('PVC-A7'!P43/'PVC-A7'!P14*100,1))</f>
        <v xml:space="preserve">    -</v>
      </c>
      <c r="Q50" s="61" t="str">
        <f>IF('PVC-A7'!Q14=0,"    -",ROUND('PVC-A7'!Q43/'PVC-A7'!Q14*100,1))</f>
        <v xml:space="preserve">    -</v>
      </c>
    </row>
    <row r="51" spans="2:17" ht="16.5" customHeight="1">
      <c r="B51" s="605" t="s">
        <v>440</v>
      </c>
      <c r="C51" s="606"/>
      <c r="D51" s="57">
        <f>IF('PVC-A7'!D15=0,"    -",ROUND('PVC-A7'!D44/'PVC-A7'!D15*100,1))</f>
        <v>76.7</v>
      </c>
      <c r="E51" s="58">
        <f>IF('PVC-A7'!E15=0,"    -",ROUND('PVC-A7'!E44/'PVC-A7'!E15*100,1))</f>
        <v>55</v>
      </c>
      <c r="F51" s="58">
        <f>IF('PVC-A7'!F15=0,"    -",ROUND('PVC-A7'!F44/'PVC-A7'!F15*100,1))</f>
        <v>62.5</v>
      </c>
      <c r="G51" s="58">
        <f>IF('PVC-A7'!G15=0,"    -",ROUND('PVC-A7'!G44/'PVC-A7'!G15*100,1))</f>
        <v>80</v>
      </c>
      <c r="H51" s="58">
        <f>IF('PVC-A7'!H15=0,"    -",ROUND('PVC-A7'!H44/'PVC-A7'!H15*100,1))</f>
        <v>49.2</v>
      </c>
      <c r="I51" s="58">
        <f>IF('PVC-A7'!I15=0,"    -",ROUND('PVC-A7'!I44/'PVC-A7'!I15*100,1))</f>
        <v>83.3</v>
      </c>
      <c r="J51" s="58">
        <f>IF('PVC-A7'!J15=0,"    -",ROUND('PVC-A7'!J44/'PVC-A7'!J15*100,1))</f>
        <v>83.3</v>
      </c>
      <c r="K51" s="59">
        <f>IF('PVC-A7'!K15=0,"    -",ROUND('PVC-A7'!K44/'PVC-A7'!K15*100,1))</f>
        <v>83.3</v>
      </c>
      <c r="L51" s="60">
        <f>IF('PVC-A7'!L15=0,"    -",ROUND('PVC-A7'!L44/'PVC-A7'!L15*100,1))</f>
        <v>83.3</v>
      </c>
      <c r="M51" s="58">
        <f>IF('PVC-A7'!M15=0,"    -",ROUND('PVC-A7'!M44/'PVC-A7'!M15*100,1))</f>
        <v>67.400000000000006</v>
      </c>
      <c r="N51" s="58">
        <f>IF('PVC-A7'!N15=0,"    -",ROUND('PVC-A7'!N44/'PVC-A7'!N15*100,1))</f>
        <v>72.2</v>
      </c>
      <c r="O51" s="58">
        <f>IF('PVC-A7'!O15=0,"    -",ROUND('PVC-A7'!O44/'PVC-A7'!O15*100,1))</f>
        <v>77</v>
      </c>
      <c r="P51" s="58">
        <f>IF('PVC-A7'!P15=0,"    -",ROUND('PVC-A7'!P44/'PVC-A7'!P15*100,1))</f>
        <v>81.7</v>
      </c>
      <c r="Q51" s="61">
        <f>IF('PVC-A7'!Q15=0,"    -",ROUND('PVC-A7'!Q44/'PVC-A7'!Q15*100,1))</f>
        <v>87</v>
      </c>
    </row>
    <row r="52" spans="2:17" ht="16.5" customHeight="1">
      <c r="B52" s="605" t="s">
        <v>441</v>
      </c>
      <c r="C52" s="606"/>
      <c r="D52" s="57">
        <f>IF('PVC-A7'!D16=0,"    -",ROUND('PVC-A7'!D45/'PVC-A7'!D16*100,1))</f>
        <v>89.3</v>
      </c>
      <c r="E52" s="58">
        <f>IF('PVC-A7'!E16=0,"    -",ROUND('PVC-A7'!E45/'PVC-A7'!E16*100,1))</f>
        <v>90.4</v>
      </c>
      <c r="F52" s="58">
        <f>IF('PVC-A7'!F16=0,"    -",ROUND('PVC-A7'!F45/'PVC-A7'!F16*100,1))</f>
        <v>53.2</v>
      </c>
      <c r="G52" s="58">
        <f>IF('PVC-A7'!G16=0,"    -",ROUND('PVC-A7'!G45/'PVC-A7'!G16*100,1))</f>
        <v>79.599999999999994</v>
      </c>
      <c r="H52" s="58">
        <f>IF('PVC-A7'!H16=0,"    -",ROUND('PVC-A7'!H45/'PVC-A7'!H16*100,1))</f>
        <v>45.7</v>
      </c>
      <c r="I52" s="58">
        <f>IF('PVC-A7'!I16=0,"    -",ROUND('PVC-A7'!I45/'PVC-A7'!I16*100,1))</f>
        <v>50.1</v>
      </c>
      <c r="J52" s="58">
        <f>IF('PVC-A7'!J16=0,"    -",ROUND('PVC-A7'!J45/'PVC-A7'!J16*100,1))</f>
        <v>39.200000000000003</v>
      </c>
      <c r="K52" s="59">
        <f>IF('PVC-A7'!K16=0,"    -",ROUND('PVC-A7'!K45/'PVC-A7'!K16*100,1))</f>
        <v>57.4</v>
      </c>
      <c r="L52" s="60">
        <f>IF('PVC-A7'!L16=0,"    -",ROUND('PVC-A7'!L45/'PVC-A7'!L16*100,1))</f>
        <v>57.4</v>
      </c>
      <c r="M52" s="58">
        <f>IF('PVC-A7'!M16=0,"    -",ROUND('PVC-A7'!M45/'PVC-A7'!M16*100,1))</f>
        <v>57.4</v>
      </c>
      <c r="N52" s="58">
        <f>IF('PVC-A7'!N16=0,"    -",ROUND('PVC-A7'!N45/'PVC-A7'!N16*100,1))</f>
        <v>57.4</v>
      </c>
      <c r="O52" s="58">
        <f>IF('PVC-A7'!O16=0,"    -",ROUND('PVC-A7'!O45/'PVC-A7'!O16*100,1))</f>
        <v>57.4</v>
      </c>
      <c r="P52" s="58">
        <f>IF('PVC-A7'!P16=0,"    -",ROUND('PVC-A7'!P45/'PVC-A7'!P16*100,1))</f>
        <v>57.4</v>
      </c>
      <c r="Q52" s="61">
        <f>IF('PVC-A7'!Q16=0,"    -",ROUND('PVC-A7'!Q45/'PVC-A7'!Q16*100,1))</f>
        <v>57.4</v>
      </c>
    </row>
    <row r="53" spans="2:17" ht="16.5" customHeight="1">
      <c r="B53" s="605" t="s">
        <v>442</v>
      </c>
      <c r="C53" s="606"/>
      <c r="D53" s="57">
        <f>IF('PVC-A7'!D17=0,"    -",ROUND('PVC-A7'!D46/'PVC-A7'!D17*100,1))</f>
        <v>100</v>
      </c>
      <c r="E53" s="58">
        <f>IF('PVC-A7'!E17=0,"    -",ROUND('PVC-A7'!E46/'PVC-A7'!E17*100,1))</f>
        <v>96.7</v>
      </c>
      <c r="F53" s="58">
        <f>IF('PVC-A7'!F17=0,"    -",ROUND('PVC-A7'!F46/'PVC-A7'!F17*100,1))</f>
        <v>96.7</v>
      </c>
      <c r="G53" s="58">
        <f>IF('PVC-A7'!G17=0,"    -",ROUND('PVC-A7'!G46/'PVC-A7'!G17*100,1))</f>
        <v>96.7</v>
      </c>
      <c r="H53" s="58">
        <f>IF('PVC-A7'!H17=0,"    -",ROUND('PVC-A7'!H46/'PVC-A7'!H17*100,1))</f>
        <v>96.7</v>
      </c>
      <c r="I53" s="58">
        <f>IF('PVC-A7'!I17=0,"    -",ROUND('PVC-A7'!I46/'PVC-A7'!I17*100,1))</f>
        <v>96.7</v>
      </c>
      <c r="J53" s="58">
        <f>IF('PVC-A7'!J17=0,"    -",ROUND('PVC-A7'!J46/'PVC-A7'!J17*100,1))</f>
        <v>100</v>
      </c>
      <c r="K53" s="59">
        <f>IF('PVC-A7'!K17=0,"    -",ROUND('PVC-A7'!K46/'PVC-A7'!K17*100,1))</f>
        <v>97.1</v>
      </c>
      <c r="L53" s="60">
        <f>IF('PVC-A7'!L17=0,"    -",ROUND('PVC-A7'!L46/'PVC-A7'!L17*100,1))</f>
        <v>100</v>
      </c>
      <c r="M53" s="58">
        <f>IF('PVC-A7'!M17=0,"    -",ROUND('PVC-A7'!M46/'PVC-A7'!M17*100,1))</f>
        <v>100</v>
      </c>
      <c r="N53" s="58">
        <f>IF('PVC-A7'!N17=0,"    -",ROUND('PVC-A7'!N46/'PVC-A7'!N17*100,1))</f>
        <v>100</v>
      </c>
      <c r="O53" s="58">
        <f>IF('PVC-A7'!O17=0,"    -",ROUND('PVC-A7'!O46/'PVC-A7'!O17*100,1))</f>
        <v>100</v>
      </c>
      <c r="P53" s="58">
        <f>IF('PVC-A7'!P17=0,"    -",ROUND('PVC-A7'!P46/'PVC-A7'!P17*100,1))</f>
        <v>100</v>
      </c>
      <c r="Q53" s="61">
        <f>IF('PVC-A7'!Q17=0,"    -",ROUND('PVC-A7'!Q46/'PVC-A7'!Q17*100,1))</f>
        <v>100</v>
      </c>
    </row>
    <row r="54" spans="2:17" ht="16.5" customHeight="1">
      <c r="B54" s="607" t="s">
        <v>443</v>
      </c>
      <c r="C54" s="608"/>
      <c r="D54" s="57">
        <f>IF('PVC-A7'!D18=0,"    -",ROUND('PVC-A7'!D47/'PVC-A7'!D18*100,1))</f>
        <v>82.7</v>
      </c>
      <c r="E54" s="58">
        <f>IF('PVC-A7'!E18=0,"    -",ROUND('PVC-A7'!E47/'PVC-A7'!E18*100,1))</f>
        <v>76.2</v>
      </c>
      <c r="F54" s="58">
        <f>IF('PVC-A7'!F18=0,"    -",ROUND('PVC-A7'!F47/'PVC-A7'!F18*100,1))</f>
        <v>66.400000000000006</v>
      </c>
      <c r="G54" s="58">
        <f>IF('PVC-A7'!G18=0,"    -",ROUND('PVC-A7'!G47/'PVC-A7'!G18*100,1))</f>
        <v>74.400000000000006</v>
      </c>
      <c r="H54" s="58">
        <f>IF('PVC-A7'!H18=0,"    -",ROUND('PVC-A7'!H47/'PVC-A7'!H18*100,1))</f>
        <v>73.5</v>
      </c>
      <c r="I54" s="58">
        <f>IF('PVC-A7'!I18=0,"    -",ROUND('PVC-A7'!I47/'PVC-A7'!I18*100,1))</f>
        <v>85.3</v>
      </c>
      <c r="J54" s="58">
        <f>IF('PVC-A7'!J18=0,"    -",ROUND('PVC-A7'!J47/'PVC-A7'!J18*100,1))</f>
        <v>85.6</v>
      </c>
      <c r="K54" s="59">
        <f>IF('PVC-A7'!K18=0,"    -",ROUND('PVC-A7'!K47/'PVC-A7'!K18*100,1))</f>
        <v>88.4</v>
      </c>
      <c r="L54" s="60">
        <f>IF('PVC-A7'!L18=0,"    -",ROUND('PVC-A7'!L47/'PVC-A7'!L18*100,1))</f>
        <v>87.6</v>
      </c>
      <c r="M54" s="58">
        <f>IF('PVC-A7'!M18=0,"    -",ROUND('PVC-A7'!M47/'PVC-A7'!M18*100,1))</f>
        <v>85.5</v>
      </c>
      <c r="N54" s="58">
        <f>IF('PVC-A7'!N18=0,"    -",ROUND('PVC-A7'!N47/'PVC-A7'!N18*100,1))</f>
        <v>87.1</v>
      </c>
      <c r="O54" s="58">
        <f>IF('PVC-A7'!O18=0,"    -",ROUND('PVC-A7'!O47/'PVC-A7'!O18*100,1))</f>
        <v>90.4</v>
      </c>
      <c r="P54" s="58">
        <f>IF('PVC-A7'!P18=0,"    -",ROUND('PVC-A7'!P47/'PVC-A7'!P18*100,1))</f>
        <v>90.4</v>
      </c>
      <c r="Q54" s="61">
        <f>IF('PVC-A7'!Q18=0,"    -",ROUND('PVC-A7'!Q47/'PVC-A7'!Q18*100,1))</f>
        <v>90.4</v>
      </c>
    </row>
    <row r="55" spans="2:17" ht="17.25" customHeight="1">
      <c r="B55" s="674" t="s">
        <v>307</v>
      </c>
      <c r="C55" s="675"/>
      <c r="D55" s="74">
        <f>IF('PVC-A7'!D19=0,"    -",ROUND('PVC-A7'!D48/'PVC-A7'!D19*100,1))</f>
        <v>72.900000000000006</v>
      </c>
      <c r="E55" s="75">
        <f>IF('PVC-A7'!E19=0,"    -",ROUND('PVC-A7'!E48/'PVC-A7'!E19*100,1))</f>
        <v>71.7</v>
      </c>
      <c r="F55" s="75">
        <f>IF('PVC-A7'!F19=0,"    -",ROUND('PVC-A7'!F48/'PVC-A7'!F19*100,1))</f>
        <v>72.2</v>
      </c>
      <c r="G55" s="75">
        <f>IF('PVC-A7'!G19=0,"    -",ROUND('PVC-A7'!G48/'PVC-A7'!G19*100,1))</f>
        <v>67.8</v>
      </c>
      <c r="H55" s="75">
        <f>IF('PVC-A7'!H19=0,"    -",ROUND('PVC-A7'!H48/'PVC-A7'!H19*100,1))</f>
        <v>70.2</v>
      </c>
      <c r="I55" s="75">
        <f>IF('PVC-A7'!I19=0,"    -",ROUND('PVC-A7'!I48/'PVC-A7'!I19*100,1))</f>
        <v>73.3</v>
      </c>
      <c r="J55" s="75">
        <f>IF('PVC-A7'!J19=0,"    -",ROUND('PVC-A7'!J48/'PVC-A7'!J19*100,1))</f>
        <v>76.8</v>
      </c>
      <c r="K55" s="76">
        <f>IF('PVC-A7'!K19=0,"    -",ROUND('PVC-A7'!K48/'PVC-A7'!K19*100,1))</f>
        <v>82.6</v>
      </c>
      <c r="L55" s="77">
        <f>IF('PVC-A7'!L19=0,"    -",ROUND('PVC-A7'!L48/'PVC-A7'!L19*100,1))</f>
        <v>82.7</v>
      </c>
      <c r="M55" s="75">
        <f>IF('PVC-A7'!M19=0,"    -",ROUND('PVC-A7'!M48/'PVC-A7'!M19*100,1))</f>
        <v>85.3</v>
      </c>
      <c r="N55" s="75">
        <f>IF('PVC-A7'!N19=0,"    -",ROUND('PVC-A7'!N48/'PVC-A7'!N19*100,1))</f>
        <v>88.1</v>
      </c>
      <c r="O55" s="75">
        <f>IF('PVC-A7'!O19=0,"    -",ROUND('PVC-A7'!O48/'PVC-A7'!O19*100,1))</f>
        <v>89.1</v>
      </c>
      <c r="P55" s="75">
        <f>IF('PVC-A7'!P19=0,"    -",ROUND('PVC-A7'!P48/'PVC-A7'!P19*100,1))</f>
        <v>90.6</v>
      </c>
      <c r="Q55" s="78">
        <f>IF('PVC-A7'!Q19=0,"    -",ROUND('PVC-A7'!Q48/'PVC-A7'!Q19*100,1))</f>
        <v>91.9</v>
      </c>
    </row>
    <row r="56" spans="2:17" ht="17.25" customHeight="1">
      <c r="B56" s="672" t="s">
        <v>308</v>
      </c>
      <c r="C56" s="673"/>
      <c r="D56" s="135">
        <f>IF('PVC-A7'!D20=0,"    -",ROUND('PVC-A7'!D49/'PVC-A7'!D20*100,1))</f>
        <v>83.3</v>
      </c>
      <c r="E56" s="136">
        <f>IF('PVC-A7'!E20=0,"    -",ROUND('PVC-A7'!E49/'PVC-A7'!E20*100,1))</f>
        <v>83.3</v>
      </c>
      <c r="F56" s="136">
        <f>IF('PVC-A7'!F20=0,"    -",ROUND('PVC-A7'!F49/'PVC-A7'!F20*100,1))</f>
        <v>93.3</v>
      </c>
      <c r="G56" s="136">
        <f>IF('PVC-A7'!G20=0,"    -",ROUND('PVC-A7'!G49/'PVC-A7'!G20*100,1))</f>
        <v>93.3</v>
      </c>
      <c r="H56" s="136">
        <f>IF('PVC-A7'!H20=0,"    -",ROUND('PVC-A7'!H49/'PVC-A7'!H20*100,1))</f>
        <v>93.3</v>
      </c>
      <c r="I56" s="136">
        <f>IF('PVC-A7'!I20=0,"    -",ROUND('PVC-A7'!I49/'PVC-A7'!I20*100,1))</f>
        <v>93.3</v>
      </c>
      <c r="J56" s="136">
        <f>IF('PVC-A7'!J20=0,"    -",ROUND('PVC-A7'!J49/'PVC-A7'!J20*100,1))</f>
        <v>100</v>
      </c>
      <c r="K56" s="137" t="str">
        <f>IF('PVC-A7'!K20=0,"    -",ROUND('PVC-A7'!K49/'PVC-A7'!K20*100,1))</f>
        <v xml:space="preserve">    -</v>
      </c>
      <c r="L56" s="135" t="str">
        <f>IF('PVC-A7'!L20=0,"    -",ROUND('PVC-A7'!L49/'PVC-A7'!L20*100,1))</f>
        <v xml:space="preserve">    -</v>
      </c>
      <c r="M56" s="136" t="str">
        <f>IF('PVC-A7'!M20=0,"    -",ROUND('PVC-A7'!M49/'PVC-A7'!M20*100,1))</f>
        <v xml:space="preserve">    -</v>
      </c>
      <c r="N56" s="136" t="str">
        <f>IF('PVC-A7'!N20=0,"    -",ROUND('PVC-A7'!N49/'PVC-A7'!N20*100,1))</f>
        <v xml:space="preserve">    -</v>
      </c>
      <c r="O56" s="136" t="str">
        <f>IF('PVC-A7'!O20=0,"    -",ROUND('PVC-A7'!O49/'PVC-A7'!O20*100,1))</f>
        <v xml:space="preserve">    -</v>
      </c>
      <c r="P56" s="136" t="str">
        <f>IF('PVC-A7'!P20=0,"    -",ROUND('PVC-A7'!P49/'PVC-A7'!P20*100,1))</f>
        <v xml:space="preserve">    -</v>
      </c>
      <c r="Q56" s="137" t="str">
        <f>IF('PVC-A7'!Q20=0,"    -",ROUND('PVC-A7'!Q49/'PVC-A7'!Q20*100,1))</f>
        <v xml:space="preserve">    -</v>
      </c>
    </row>
    <row r="57" spans="2:17" ht="16.5" customHeight="1">
      <c r="B57" s="105"/>
      <c r="C57" s="97" t="s">
        <v>309</v>
      </c>
      <c r="D57" s="135">
        <f>IF('PVC-A7'!D21=0,"    -",ROUND('PVC-A7'!D50/'PVC-A7'!D21*100,1))</f>
        <v>83.3</v>
      </c>
      <c r="E57" s="136">
        <f>IF('PVC-A7'!E21=0,"    -",ROUND('PVC-A7'!E50/'PVC-A7'!E21*100,1))</f>
        <v>83.3</v>
      </c>
      <c r="F57" s="136">
        <f>IF('PVC-A7'!F21=0,"    -",ROUND('PVC-A7'!F50/'PVC-A7'!F21*100,1))</f>
        <v>93.3</v>
      </c>
      <c r="G57" s="136">
        <f>IF('PVC-A7'!G21=0,"    -",ROUND('PVC-A7'!G50/'PVC-A7'!G21*100,1))</f>
        <v>93.3</v>
      </c>
      <c r="H57" s="136">
        <f>IF('PVC-A7'!H21=0,"    -",ROUND('PVC-A7'!H50/'PVC-A7'!H21*100,1))</f>
        <v>93.3</v>
      </c>
      <c r="I57" s="136">
        <f>IF('PVC-A7'!I21=0,"    -",ROUND('PVC-A7'!I50/'PVC-A7'!I21*100,1))</f>
        <v>93.3</v>
      </c>
      <c r="J57" s="136">
        <f>IF('PVC-A7'!J21=0,"    -",ROUND('PVC-A7'!J50/'PVC-A7'!J21*100,1))</f>
        <v>100</v>
      </c>
      <c r="K57" s="137" t="str">
        <f>IF('PVC-A7'!K21=0,"    -",ROUND('PVC-A7'!K50/'PVC-A7'!K21*100,1))</f>
        <v xml:space="preserve">    -</v>
      </c>
      <c r="L57" s="135" t="str">
        <f>IF('PVC-A7'!L21=0,"    -",ROUND('PVC-A7'!L50/'PVC-A7'!L21*100,1))</f>
        <v xml:space="preserve">    -</v>
      </c>
      <c r="M57" s="136" t="str">
        <f>IF('PVC-A7'!M21=0,"    -",ROUND('PVC-A7'!M50/'PVC-A7'!M21*100,1))</f>
        <v xml:space="preserve">    -</v>
      </c>
      <c r="N57" s="136" t="str">
        <f>IF('PVC-A7'!N21=0,"    -",ROUND('PVC-A7'!N50/'PVC-A7'!N21*100,1))</f>
        <v xml:space="preserve">    -</v>
      </c>
      <c r="O57" s="136" t="str">
        <f>IF('PVC-A7'!O21=0,"    -",ROUND('PVC-A7'!O50/'PVC-A7'!O21*100,1))</f>
        <v xml:space="preserve">    -</v>
      </c>
      <c r="P57" s="136" t="str">
        <f>IF('PVC-A7'!P21=0,"    -",ROUND('PVC-A7'!P50/'PVC-A7'!P21*100,1))</f>
        <v xml:space="preserve">    -</v>
      </c>
      <c r="Q57" s="137" t="str">
        <f>IF('PVC-A7'!Q21=0,"    -",ROUND('PVC-A7'!Q50/'PVC-A7'!Q21*100,1))</f>
        <v xml:space="preserve">    -</v>
      </c>
    </row>
    <row r="58" spans="2:17" ht="17.25" customHeight="1">
      <c r="B58" s="672" t="s">
        <v>310</v>
      </c>
      <c r="C58" s="673"/>
      <c r="D58" s="57">
        <f>IF('PVC-A7'!D22=0,"    -",ROUND('PVC-A7'!D51/'PVC-A7'!D22*100,1))</f>
        <v>78.7</v>
      </c>
      <c r="E58" s="58">
        <f>IF('PVC-A7'!E22=0,"    -",ROUND('PVC-A7'!E51/'PVC-A7'!E22*100,1))</f>
        <v>77.3</v>
      </c>
      <c r="F58" s="58">
        <f>IF('PVC-A7'!F22=0,"    -",ROUND('PVC-A7'!F51/'PVC-A7'!F22*100,1))</f>
        <v>74.400000000000006</v>
      </c>
      <c r="G58" s="58">
        <f>IF('PVC-A7'!G22=0,"    -",ROUND('PVC-A7'!G51/'PVC-A7'!G22*100,1))</f>
        <v>75.599999999999994</v>
      </c>
      <c r="H58" s="58">
        <f>IF('PVC-A7'!H22=0,"    -",ROUND('PVC-A7'!H51/'PVC-A7'!H22*100,1))</f>
        <v>82.2</v>
      </c>
      <c r="I58" s="58">
        <f>IF('PVC-A7'!I22=0,"    -",ROUND('PVC-A7'!I51/'PVC-A7'!I22*100,1))</f>
        <v>80.8</v>
      </c>
      <c r="J58" s="58">
        <f>IF('PVC-A7'!J22=0,"    -",ROUND('PVC-A7'!J51/'PVC-A7'!J22*100,1))</f>
        <v>79.5</v>
      </c>
      <c r="K58" s="59">
        <f>IF('PVC-A7'!K22=0,"    -",ROUND('PVC-A7'!K51/'PVC-A7'!K22*100,1))</f>
        <v>82.9</v>
      </c>
      <c r="L58" s="57">
        <f>IF('PVC-A7'!L22=0,"    -",ROUND('PVC-A7'!L51/'PVC-A7'!L22*100,1))</f>
        <v>85.3</v>
      </c>
      <c r="M58" s="58">
        <f>IF('PVC-A7'!M22=0,"    -",ROUND('PVC-A7'!M51/'PVC-A7'!M22*100,1))</f>
        <v>85.9</v>
      </c>
      <c r="N58" s="58">
        <f>IF('PVC-A7'!N22=0,"    -",ROUND('PVC-A7'!N51/'PVC-A7'!N22*100,1))</f>
        <v>86.8</v>
      </c>
      <c r="O58" s="58">
        <f>IF('PVC-A7'!O22=0,"    -",ROUND('PVC-A7'!O51/'PVC-A7'!O22*100,1))</f>
        <v>86.7</v>
      </c>
      <c r="P58" s="58">
        <f>IF('PVC-A7'!P22=0,"    -",ROUND('PVC-A7'!P51/'PVC-A7'!P22*100,1))</f>
        <v>87.2</v>
      </c>
      <c r="Q58" s="59">
        <f>IF('PVC-A7'!Q22=0,"    -",ROUND('PVC-A7'!Q51/'PVC-A7'!Q22*100,1))</f>
        <v>87</v>
      </c>
    </row>
    <row r="59" spans="2:17" ht="16.5" customHeight="1">
      <c r="B59" s="105"/>
      <c r="C59" s="615" t="s">
        <v>311</v>
      </c>
      <c r="D59" s="74">
        <f>IF('PVC-A7'!D23=0,"    -",ROUND('PVC-A7'!D52/'PVC-A7'!D23*100,1))</f>
        <v>85.2</v>
      </c>
      <c r="E59" s="75">
        <f>IF('PVC-A7'!E23=0,"    -",ROUND('PVC-A7'!E52/'PVC-A7'!E23*100,1))</f>
        <v>84.5</v>
      </c>
      <c r="F59" s="75">
        <f>IF('PVC-A7'!F23=0,"    -",ROUND('PVC-A7'!F52/'PVC-A7'!F23*100,1))</f>
        <v>77.900000000000006</v>
      </c>
      <c r="G59" s="75">
        <f>IF('PVC-A7'!G23=0,"    -",ROUND('PVC-A7'!G52/'PVC-A7'!G23*100,1))</f>
        <v>79.3</v>
      </c>
      <c r="H59" s="75">
        <f>IF('PVC-A7'!H23=0,"    -",ROUND('PVC-A7'!H52/'PVC-A7'!H23*100,1))</f>
        <v>88</v>
      </c>
      <c r="I59" s="75">
        <f>IF('PVC-A7'!I23=0,"    -",ROUND('PVC-A7'!I52/'PVC-A7'!I23*100,1))</f>
        <v>81.599999999999994</v>
      </c>
      <c r="J59" s="75">
        <f>IF('PVC-A7'!J23=0,"    -",ROUND('PVC-A7'!J52/'PVC-A7'!J23*100,1))</f>
        <v>81.900000000000006</v>
      </c>
      <c r="K59" s="76">
        <f>IF('PVC-A7'!K23=0,"    -",ROUND('PVC-A7'!K52/'PVC-A7'!K23*100,1))</f>
        <v>84.3</v>
      </c>
      <c r="L59" s="74">
        <f>IF('PVC-A7'!L23=0,"    -",ROUND('PVC-A7'!L52/'PVC-A7'!L23*100,1))</f>
        <v>86.2</v>
      </c>
      <c r="M59" s="75">
        <f>IF('PVC-A7'!M23=0,"    -",ROUND('PVC-A7'!M52/'PVC-A7'!M23*100,1))</f>
        <v>87</v>
      </c>
      <c r="N59" s="75">
        <f>IF('PVC-A7'!N23=0,"    -",ROUND('PVC-A7'!N52/'PVC-A7'!N23*100,1))</f>
        <v>87.9</v>
      </c>
      <c r="O59" s="75">
        <f>IF('PVC-A7'!O23=0,"    -",ROUND('PVC-A7'!O52/'PVC-A7'!O23*100,1))</f>
        <v>87.5</v>
      </c>
      <c r="P59" s="75">
        <f>IF('PVC-A7'!P23=0,"    -",ROUND('PVC-A7'!P52/'PVC-A7'!P23*100,1))</f>
        <v>87.8</v>
      </c>
      <c r="Q59" s="76">
        <f>IF('PVC-A7'!Q23=0,"    -",ROUND('PVC-A7'!Q52/'PVC-A7'!Q23*100,1))</f>
        <v>87.8</v>
      </c>
    </row>
    <row r="60" spans="2:17" ht="17.25" customHeight="1">
      <c r="B60" s="672" t="s">
        <v>312</v>
      </c>
      <c r="C60" s="673"/>
      <c r="D60" s="57">
        <f>IF('PVC-A7'!D24=0,"    -",ROUND('PVC-A7'!D53/'PVC-A7'!D24*100,1))</f>
        <v>70</v>
      </c>
      <c r="E60" s="58">
        <f>IF('PVC-A7'!E24=0,"    -",ROUND('PVC-A7'!E53/'PVC-A7'!E24*100,1))</f>
        <v>63</v>
      </c>
      <c r="F60" s="58">
        <f>IF('PVC-A7'!F24=0,"    -",ROUND('PVC-A7'!F53/'PVC-A7'!F24*100,1))</f>
        <v>64.8</v>
      </c>
      <c r="G60" s="58">
        <f>IF('PVC-A7'!G24=0,"    -",ROUND('PVC-A7'!G53/'PVC-A7'!G24*100,1))</f>
        <v>70.2</v>
      </c>
      <c r="H60" s="58">
        <f>IF('PVC-A7'!H24=0,"    -",ROUND('PVC-A7'!H53/'PVC-A7'!H24*100,1))</f>
        <v>71.2</v>
      </c>
      <c r="I60" s="58">
        <f>IF('PVC-A7'!I24=0,"    -",ROUND('PVC-A7'!I53/'PVC-A7'!I24*100,1))</f>
        <v>84.2</v>
      </c>
      <c r="J60" s="58">
        <f>IF('PVC-A7'!J24=0,"    -",ROUND('PVC-A7'!J53/'PVC-A7'!J24*100,1))</f>
        <v>83.2</v>
      </c>
      <c r="K60" s="59">
        <f>IF('PVC-A7'!K24=0,"    -",ROUND('PVC-A7'!K53/'PVC-A7'!K24*100,1))</f>
        <v>79.5</v>
      </c>
      <c r="L60" s="57">
        <f>IF('PVC-A7'!L24=0,"    -",ROUND('PVC-A7'!L53/'PVC-A7'!L24*100,1))</f>
        <v>81.400000000000006</v>
      </c>
      <c r="M60" s="58">
        <f>IF('PVC-A7'!M24=0,"    -",ROUND('PVC-A7'!M53/'PVC-A7'!M24*100,1))</f>
        <v>83.3</v>
      </c>
      <c r="N60" s="58">
        <f>IF('PVC-A7'!N24=0,"    -",ROUND('PVC-A7'!N53/'PVC-A7'!N24*100,1))</f>
        <v>84</v>
      </c>
      <c r="O60" s="58">
        <f>IF('PVC-A7'!O24=0,"    -",ROUND('PVC-A7'!O53/'PVC-A7'!O24*100,1))</f>
        <v>89.4</v>
      </c>
      <c r="P60" s="58">
        <f>IF('PVC-A7'!P24=0,"    -",ROUND('PVC-A7'!P53/'PVC-A7'!P24*100,1))</f>
        <v>90.7</v>
      </c>
      <c r="Q60" s="59">
        <f>IF('PVC-A7'!Q24=0,"    -",ROUND('PVC-A7'!Q53/'PVC-A7'!Q24*100,1))</f>
        <v>91.3</v>
      </c>
    </row>
    <row r="61" spans="2:17" ht="16.5" customHeight="1">
      <c r="B61" s="16"/>
      <c r="C61" s="615" t="s">
        <v>313</v>
      </c>
      <c r="D61" s="74" t="str">
        <f>IF('PVC-A7'!D25=0,"    -",ROUND('PVC-A7'!D54/'PVC-A7'!D25*100,1))</f>
        <v xml:space="preserve">    -</v>
      </c>
      <c r="E61" s="75">
        <f>IF('PVC-A7'!E25=0,"    -",ROUND('PVC-A7'!E54/'PVC-A7'!E25*100,1))</f>
        <v>100</v>
      </c>
      <c r="F61" s="75">
        <f>IF('PVC-A7'!F25=0,"    -",ROUND('PVC-A7'!F54/'PVC-A7'!F25*100,1))</f>
        <v>100</v>
      </c>
      <c r="G61" s="75">
        <f>IF('PVC-A7'!G25=0,"    -",ROUND('PVC-A7'!G54/'PVC-A7'!G25*100,1))</f>
        <v>100</v>
      </c>
      <c r="H61" s="75">
        <f>IF('PVC-A7'!H25=0,"    -",ROUND('PVC-A7'!H54/'PVC-A7'!H25*100,1))</f>
        <v>100</v>
      </c>
      <c r="I61" s="75">
        <f>IF('PVC-A7'!I25=0,"    -",ROUND('PVC-A7'!I54/'PVC-A7'!I25*100,1))</f>
        <v>94</v>
      </c>
      <c r="J61" s="75">
        <f>IF('PVC-A7'!J25=0,"    -",ROUND('PVC-A7'!J54/'PVC-A7'!J25*100,1))</f>
        <v>98.8</v>
      </c>
      <c r="K61" s="76">
        <f>IF('PVC-A7'!K25=0,"    -",ROUND('PVC-A7'!K54/'PVC-A7'!K25*100,1))</f>
        <v>98.8</v>
      </c>
      <c r="L61" s="74">
        <f>IF('PVC-A7'!L25=0,"    -",ROUND('PVC-A7'!L54/'PVC-A7'!L25*100,1))</f>
        <v>98.8</v>
      </c>
      <c r="M61" s="75">
        <f>IF('PVC-A7'!M25=0,"    -",ROUND('PVC-A7'!M54/'PVC-A7'!M25*100,1))</f>
        <v>98.8</v>
      </c>
      <c r="N61" s="75">
        <f>IF('PVC-A7'!N25=0,"    -",ROUND('PVC-A7'!N54/'PVC-A7'!N25*100,1))</f>
        <v>98.8</v>
      </c>
      <c r="O61" s="75">
        <f>IF('PVC-A7'!O25=0,"    -",ROUND('PVC-A7'!O54/'PVC-A7'!O25*100,1))</f>
        <v>98.8</v>
      </c>
      <c r="P61" s="75">
        <f>IF('PVC-A7'!P25=0,"    -",ROUND('PVC-A7'!P54/'PVC-A7'!P25*100,1))</f>
        <v>98.8</v>
      </c>
      <c r="Q61" s="76">
        <f>IF('PVC-A7'!Q25=0,"    -",ROUND('PVC-A7'!Q54/'PVC-A7'!Q25*100,1))</f>
        <v>98.8</v>
      </c>
    </row>
    <row r="62" spans="2:17" ht="17.25" customHeight="1">
      <c r="B62" s="674" t="s">
        <v>314</v>
      </c>
      <c r="C62" s="675"/>
      <c r="D62" s="57">
        <f>IF('PVC-A7'!D26=0,"    -",ROUND('PVC-A7'!D55/'PVC-A7'!D26*100,1))</f>
        <v>75.099999999999994</v>
      </c>
      <c r="E62" s="58">
        <f>IF('PVC-A7'!E26=0,"    -",ROUND('PVC-A7'!E55/'PVC-A7'!E26*100,1))</f>
        <v>72.900000000000006</v>
      </c>
      <c r="F62" s="58">
        <f>IF('PVC-A7'!F26=0,"    -",ROUND('PVC-A7'!F55/'PVC-A7'!F26*100,1))</f>
        <v>52.5</v>
      </c>
      <c r="G62" s="58">
        <f>IF('PVC-A7'!G26=0,"    -",ROUND('PVC-A7'!G55/'PVC-A7'!G26*100,1))</f>
        <v>52.5</v>
      </c>
      <c r="H62" s="58">
        <f>IF('PVC-A7'!H26=0,"    -",ROUND('PVC-A7'!H55/'PVC-A7'!H26*100,1))</f>
        <v>52.5</v>
      </c>
      <c r="I62" s="58">
        <f>IF('PVC-A7'!I26=0,"    -",ROUND('PVC-A7'!I55/'PVC-A7'!I26*100,1))</f>
        <v>66.099999999999994</v>
      </c>
      <c r="J62" s="58">
        <f>IF('PVC-A7'!J26=0,"    -",ROUND('PVC-A7'!J55/'PVC-A7'!J26*100,1))</f>
        <v>52.5</v>
      </c>
      <c r="K62" s="59">
        <f>IF('PVC-A7'!K26=0,"    -",ROUND('PVC-A7'!K55/'PVC-A7'!K26*100,1))</f>
        <v>59.2</v>
      </c>
      <c r="L62" s="57">
        <f>IF('PVC-A7'!L26=0,"    -",ROUND('PVC-A7'!L55/'PVC-A7'!L26*100,1))</f>
        <v>65.3</v>
      </c>
      <c r="M62" s="58">
        <f>IF('PVC-A7'!M26=0,"    -",ROUND('PVC-A7'!M55/'PVC-A7'!M26*100,1))</f>
        <v>71.400000000000006</v>
      </c>
      <c r="N62" s="58">
        <f>IF('PVC-A7'!N26=0,"    -",ROUND('PVC-A7'!N55/'PVC-A7'!N26*100,1))</f>
        <v>76.8</v>
      </c>
      <c r="O62" s="58">
        <f>IF('PVC-A7'!O26=0,"    -",ROUND('PVC-A7'!O55/'PVC-A7'!O26*100,1))</f>
        <v>82.3</v>
      </c>
      <c r="P62" s="58">
        <f>IF('PVC-A7'!P26=0,"    -",ROUND('PVC-A7'!P55/'PVC-A7'!P26*100,1))</f>
        <v>87.3</v>
      </c>
      <c r="Q62" s="59">
        <f>IF('PVC-A7'!Q26=0,"    -",ROUND('PVC-A7'!Q55/'PVC-A7'!Q26*100,1))</f>
        <v>93</v>
      </c>
    </row>
    <row r="63" spans="2:17" ht="17.25" customHeight="1">
      <c r="B63" s="674" t="s">
        <v>315</v>
      </c>
      <c r="C63" s="675"/>
      <c r="D63" s="74">
        <f>IF('PVC-A7'!D27=0,"    -",ROUND('PVC-A7'!D56/'PVC-A7'!D27*100,1))</f>
        <v>95.7</v>
      </c>
      <c r="E63" s="75">
        <f>IF('PVC-A7'!E27=0,"    -",ROUND('PVC-A7'!E56/'PVC-A7'!E27*100,1))</f>
        <v>70.7</v>
      </c>
      <c r="F63" s="75">
        <f>IF('PVC-A7'!F27=0,"    -",ROUND('PVC-A7'!F56/'PVC-A7'!F27*100,1))</f>
        <v>78.900000000000006</v>
      </c>
      <c r="G63" s="75">
        <f>IF('PVC-A7'!G27=0,"    -",ROUND('PVC-A7'!G56/'PVC-A7'!G27*100,1))</f>
        <v>68.400000000000006</v>
      </c>
      <c r="H63" s="75">
        <f>IF('PVC-A7'!H27=0,"    -",ROUND('PVC-A7'!H56/'PVC-A7'!H27*100,1))</f>
        <v>51</v>
      </c>
      <c r="I63" s="75">
        <f>IF('PVC-A7'!I27=0,"    -",ROUND('PVC-A7'!I56/'PVC-A7'!I27*100,1))</f>
        <v>62.3</v>
      </c>
      <c r="J63" s="75">
        <f>IF('PVC-A7'!J27=0,"    -",ROUND('PVC-A7'!J56/'PVC-A7'!J27*100,1))</f>
        <v>77.3</v>
      </c>
      <c r="K63" s="76">
        <f>IF('PVC-A7'!K27=0,"    -",ROUND('PVC-A7'!K56/'PVC-A7'!K27*100,1))</f>
        <v>73.099999999999994</v>
      </c>
      <c r="L63" s="77">
        <f>IF('PVC-A7'!L27=0,"    -",ROUND('PVC-A7'!L56/'PVC-A7'!L27*100,1))</f>
        <v>74.3</v>
      </c>
      <c r="M63" s="75">
        <f>IF('PVC-A7'!M27=0,"    -",ROUND('PVC-A7'!M56/'PVC-A7'!M27*100,1))</f>
        <v>69.900000000000006</v>
      </c>
      <c r="N63" s="75">
        <f>IF('PVC-A7'!N27=0,"    -",ROUND('PVC-A7'!N56/'PVC-A7'!N27*100,1))</f>
        <v>71</v>
      </c>
      <c r="O63" s="75">
        <f>IF('PVC-A7'!O27=0,"    -",ROUND('PVC-A7'!O56/'PVC-A7'!O27*100,1))</f>
        <v>72.099999999999994</v>
      </c>
      <c r="P63" s="75">
        <f>IF('PVC-A7'!P27=0,"    -",ROUND('PVC-A7'!P56/'PVC-A7'!P27*100,1))</f>
        <v>73.099999999999994</v>
      </c>
      <c r="Q63" s="78">
        <f>IF('PVC-A7'!Q27=0,"    -",ROUND('PVC-A7'!Q56/'PVC-A7'!Q27*100,1))</f>
        <v>74.2</v>
      </c>
    </row>
    <row r="64" spans="2:17" ht="16.5" customHeight="1">
      <c r="B64" s="672" t="s">
        <v>316</v>
      </c>
      <c r="C64" s="673"/>
      <c r="D64" s="57">
        <f>IF('PVC-A7'!D28=0,"    -",ROUND('PVC-A7'!D57/'PVC-A7'!D28*100,1))</f>
        <v>81.400000000000006</v>
      </c>
      <c r="E64" s="58">
        <f>IF('PVC-A7'!E28=0,"    -",ROUND('PVC-A7'!E57/'PVC-A7'!E28*100,1))</f>
        <v>90</v>
      </c>
      <c r="F64" s="58">
        <f>IF('PVC-A7'!F28=0,"    -",ROUND('PVC-A7'!F57/'PVC-A7'!F28*100,1))</f>
        <v>90</v>
      </c>
      <c r="G64" s="58">
        <f>IF('PVC-A7'!G28=0,"    -",ROUND('PVC-A7'!G57/'PVC-A7'!G28*100,1))</f>
        <v>90</v>
      </c>
      <c r="H64" s="58">
        <f>IF('PVC-A7'!H28=0,"    -",ROUND('PVC-A7'!H57/'PVC-A7'!H28*100,1))</f>
        <v>90</v>
      </c>
      <c r="I64" s="58">
        <f>IF('PVC-A7'!I28=0,"    -",ROUND('PVC-A7'!I57/'PVC-A7'!I28*100,1))</f>
        <v>90.4</v>
      </c>
      <c r="J64" s="58">
        <f>IF('PVC-A7'!J28=0,"    -",ROUND('PVC-A7'!J57/'PVC-A7'!J28*100,1))</f>
        <v>90</v>
      </c>
      <c r="K64" s="59">
        <f>IF('PVC-A7'!K28=0,"    -",ROUND('PVC-A7'!K57/'PVC-A7'!K28*100,1))</f>
        <v>90</v>
      </c>
      <c r="L64" s="60">
        <f>IF('PVC-A7'!L28=0,"    -",ROUND('PVC-A7'!L57/'PVC-A7'!L28*100,1))</f>
        <v>90</v>
      </c>
      <c r="M64" s="58">
        <f>IF('PVC-A7'!M28=0,"    -",ROUND('PVC-A7'!M57/'PVC-A7'!M28*100,1))</f>
        <v>90</v>
      </c>
      <c r="N64" s="58">
        <f>IF('PVC-A7'!N28=0,"    -",ROUND('PVC-A7'!N57/'PVC-A7'!N28*100,1))</f>
        <v>90</v>
      </c>
      <c r="O64" s="58">
        <f>IF('PVC-A7'!O28=0,"    -",ROUND('PVC-A7'!O57/'PVC-A7'!O28*100,1))</f>
        <v>90</v>
      </c>
      <c r="P64" s="58">
        <f>IF('PVC-A7'!P28=0,"    -",ROUND('PVC-A7'!P57/'PVC-A7'!P28*100,1))</f>
        <v>90</v>
      </c>
      <c r="Q64" s="61">
        <f>IF('PVC-A7'!Q28=0,"    -",ROUND('PVC-A7'!Q57/'PVC-A7'!Q28*100,1))</f>
        <v>90</v>
      </c>
    </row>
    <row r="65" spans="2:17" ht="16.5" customHeight="1">
      <c r="B65" s="670" t="s">
        <v>317</v>
      </c>
      <c r="C65" s="671"/>
      <c r="D65" s="57">
        <f>IF('PVC-A7'!D29=0,"    -",ROUND('PVC-A7'!D58/'PVC-A7'!D29*100,1))</f>
        <v>64.8</v>
      </c>
      <c r="E65" s="58">
        <f>IF('PVC-A7'!E29=0,"    -",ROUND('PVC-A7'!E58/'PVC-A7'!E29*100,1))</f>
        <v>79.900000000000006</v>
      </c>
      <c r="F65" s="58">
        <f>IF('PVC-A7'!F29=0,"    -",ROUND('PVC-A7'!F58/'PVC-A7'!F29*100,1))</f>
        <v>91.6</v>
      </c>
      <c r="G65" s="58">
        <f>IF('PVC-A7'!G29=0,"    -",ROUND('PVC-A7'!G58/'PVC-A7'!G29*100,1))</f>
        <v>83.9</v>
      </c>
      <c r="H65" s="58">
        <f>IF('PVC-A7'!H29=0,"    -",ROUND('PVC-A7'!H58/'PVC-A7'!H29*100,1))</f>
        <v>86.1</v>
      </c>
      <c r="I65" s="58">
        <f>IF('PVC-A7'!I29=0,"    -",ROUND('PVC-A7'!I58/'PVC-A7'!I29*100,1))</f>
        <v>89.4</v>
      </c>
      <c r="J65" s="58">
        <f>IF('PVC-A7'!J29=0,"    -",ROUND('PVC-A7'!J58/'PVC-A7'!J29*100,1))</f>
        <v>92.3</v>
      </c>
      <c r="K65" s="59">
        <f>IF('PVC-A7'!K29=0,"    -",ROUND('PVC-A7'!K58/'PVC-A7'!K29*100,1))</f>
        <v>92.3</v>
      </c>
      <c r="L65" s="60">
        <f>IF('PVC-A7'!L29=0,"    -",ROUND('PVC-A7'!L58/'PVC-A7'!L29*100,1))</f>
        <v>92.3</v>
      </c>
      <c r="M65" s="58">
        <f>IF('PVC-A7'!M29=0,"    -",ROUND('PVC-A7'!M58/'PVC-A7'!M29*100,1))</f>
        <v>92.3</v>
      </c>
      <c r="N65" s="58">
        <f>IF('PVC-A7'!N29=0,"    -",ROUND('PVC-A7'!N58/'PVC-A7'!N29*100,1))</f>
        <v>92.3</v>
      </c>
      <c r="O65" s="58">
        <f>IF('PVC-A7'!O29=0,"    -",ROUND('PVC-A7'!O58/'PVC-A7'!O29*100,1))</f>
        <v>92.3</v>
      </c>
      <c r="P65" s="58">
        <f>IF('PVC-A7'!P29=0,"    -",ROUND('PVC-A7'!P58/'PVC-A7'!P29*100,1))</f>
        <v>92.3</v>
      </c>
      <c r="Q65" s="61">
        <f>IF('PVC-A7'!Q29=0,"    -",ROUND('PVC-A7'!Q58/'PVC-A7'!Q29*100,1))</f>
        <v>92.3</v>
      </c>
    </row>
    <row r="66" spans="2:17" ht="17.25" customHeight="1">
      <c r="B66" s="674" t="s">
        <v>318</v>
      </c>
      <c r="C66" s="675"/>
      <c r="D66" s="74">
        <f>IF('PVC-A7'!D30=0,"    -",ROUND('PVC-A7'!D59/'PVC-A7'!D30*100,1))</f>
        <v>80.8</v>
      </c>
      <c r="E66" s="75">
        <f>IF('PVC-A7'!E30=0,"    -",ROUND('PVC-A7'!E59/'PVC-A7'!E30*100,1))</f>
        <v>89.6</v>
      </c>
      <c r="F66" s="75">
        <f>IF('PVC-A7'!F30=0,"    -",ROUND('PVC-A7'!F59/'PVC-A7'!F30*100,1))</f>
        <v>90.1</v>
      </c>
      <c r="G66" s="75">
        <f>IF('PVC-A7'!G30=0,"    -",ROUND('PVC-A7'!G59/'PVC-A7'!G30*100,1))</f>
        <v>89.8</v>
      </c>
      <c r="H66" s="75">
        <f>IF('PVC-A7'!H30=0,"    -",ROUND('PVC-A7'!H59/'PVC-A7'!H30*100,1))</f>
        <v>89.9</v>
      </c>
      <c r="I66" s="75">
        <f>IF('PVC-A7'!I30=0,"    -",ROUND('PVC-A7'!I59/'PVC-A7'!I30*100,1))</f>
        <v>90.4</v>
      </c>
      <c r="J66" s="75">
        <f>IF('PVC-A7'!J30=0,"    -",ROUND('PVC-A7'!J59/'PVC-A7'!J30*100,1))</f>
        <v>90.1</v>
      </c>
      <c r="K66" s="76">
        <f>IF('PVC-A7'!K30=0,"    -",ROUND('PVC-A7'!K59/'PVC-A7'!K30*100,1))</f>
        <v>90.1</v>
      </c>
      <c r="L66" s="77">
        <f>IF('PVC-A7'!L30=0,"    -",ROUND('PVC-A7'!L59/'PVC-A7'!L30*100,1))</f>
        <v>90.1</v>
      </c>
      <c r="M66" s="75">
        <f>IF('PVC-A7'!M30=0,"    -",ROUND('PVC-A7'!M59/'PVC-A7'!M30*100,1))</f>
        <v>90.1</v>
      </c>
      <c r="N66" s="75">
        <f>IF('PVC-A7'!N30=0,"    -",ROUND('PVC-A7'!N59/'PVC-A7'!N30*100,1))</f>
        <v>90.1</v>
      </c>
      <c r="O66" s="75">
        <f>IF('PVC-A7'!O30=0,"    -",ROUND('PVC-A7'!O59/'PVC-A7'!O30*100,1))</f>
        <v>90.1</v>
      </c>
      <c r="P66" s="75">
        <f>IF('PVC-A7'!P30=0,"    -",ROUND('PVC-A7'!P59/'PVC-A7'!P30*100,1))</f>
        <v>90.1</v>
      </c>
      <c r="Q66" s="78">
        <f>IF('PVC-A7'!Q30=0,"    -",ROUND('PVC-A7'!Q59/'PVC-A7'!Q30*100,1))</f>
        <v>90.1</v>
      </c>
    </row>
    <row r="67" spans="2:17" ht="16.5" customHeight="1">
      <c r="B67" s="672" t="s">
        <v>319</v>
      </c>
      <c r="C67" s="673"/>
      <c r="D67" s="57">
        <f>IF('PVC-A7'!D31=0,"    -",ROUND('PVC-A7'!D60/'PVC-A7'!D31*100,1))</f>
        <v>62.1</v>
      </c>
      <c r="E67" s="58">
        <f>IF('PVC-A7'!E31=0,"    -",ROUND('PVC-A7'!E60/'PVC-A7'!E31*100,1))</f>
        <v>62.1</v>
      </c>
      <c r="F67" s="58">
        <f>IF('PVC-A7'!F31=0,"    -",ROUND('PVC-A7'!F60/'PVC-A7'!F31*100,1))</f>
        <v>62.1</v>
      </c>
      <c r="G67" s="58">
        <f>IF('PVC-A7'!G31=0,"    -",ROUND('PVC-A7'!G60/'PVC-A7'!G31*100,1))</f>
        <v>62.1</v>
      </c>
      <c r="H67" s="58">
        <f>IF('PVC-A7'!H31=0,"    -",ROUND('PVC-A7'!H60/'PVC-A7'!H31*100,1))</f>
        <v>62.1</v>
      </c>
      <c r="I67" s="58">
        <f>IF('PVC-A7'!I31=0,"    -",ROUND('PVC-A7'!I60/'PVC-A7'!I31*100,1))</f>
        <v>86</v>
      </c>
      <c r="J67" s="58">
        <f>IF('PVC-A7'!J31=0,"    -",ROUND('PVC-A7'!J60/'PVC-A7'!J31*100,1))</f>
        <v>85.9</v>
      </c>
      <c r="K67" s="59">
        <f>IF('PVC-A7'!K31=0,"    -",ROUND('PVC-A7'!K60/'PVC-A7'!K31*100,1))</f>
        <v>85.9</v>
      </c>
      <c r="L67" s="60">
        <f>IF('PVC-A7'!L31=0,"    -",ROUND('PVC-A7'!L60/'PVC-A7'!L31*100,1))</f>
        <v>85.9</v>
      </c>
      <c r="M67" s="58">
        <f>IF('PVC-A7'!M31=0,"    -",ROUND('PVC-A7'!M60/'PVC-A7'!M31*100,1))</f>
        <v>85.9</v>
      </c>
      <c r="N67" s="58">
        <f>IF('PVC-A7'!N31=0,"    -",ROUND('PVC-A7'!N60/'PVC-A7'!N31*100,1))</f>
        <v>85.9</v>
      </c>
      <c r="O67" s="58">
        <f>IF('PVC-A7'!O31=0,"    -",ROUND('PVC-A7'!O60/'PVC-A7'!O31*100,1))</f>
        <v>85.9</v>
      </c>
      <c r="P67" s="58">
        <f>IF('PVC-A7'!P31=0,"    -",ROUND('PVC-A7'!P60/'PVC-A7'!P31*100,1))</f>
        <v>86</v>
      </c>
      <c r="Q67" s="61">
        <f>IF('PVC-A7'!Q31=0,"    -",ROUND('PVC-A7'!Q60/'PVC-A7'!Q31*100,1))</f>
        <v>86</v>
      </c>
    </row>
    <row r="68" spans="2:17" ht="16.5" customHeight="1">
      <c r="B68" s="668" t="s">
        <v>320</v>
      </c>
      <c r="C68" s="669"/>
      <c r="D68" s="57">
        <f>IF('PVC-A7'!D32=0,"    -",ROUND('PVC-A7'!D61/'PVC-A7'!D32*100,1))</f>
        <v>83.6</v>
      </c>
      <c r="E68" s="58">
        <f>IF('PVC-A7'!E32=0,"    -",ROUND('PVC-A7'!E61/'PVC-A7'!E32*100,1))</f>
        <v>81.8</v>
      </c>
      <c r="F68" s="58">
        <f>IF('PVC-A7'!F32=0,"    -",ROUND('PVC-A7'!F61/'PVC-A7'!F32*100,1))</f>
        <v>81.8</v>
      </c>
      <c r="G68" s="58">
        <f>IF('PVC-A7'!G32=0,"    -",ROUND('PVC-A7'!G61/'PVC-A7'!G32*100,1))</f>
        <v>84.2</v>
      </c>
      <c r="H68" s="58">
        <f>IF('PVC-A7'!H32=0,"    -",ROUND('PVC-A7'!H61/'PVC-A7'!H32*100,1))</f>
        <v>85.1</v>
      </c>
      <c r="I68" s="58">
        <f>IF('PVC-A7'!I32=0,"    -",ROUND('PVC-A7'!I61/'PVC-A7'!I32*100,1))</f>
        <v>69</v>
      </c>
      <c r="J68" s="58">
        <f>IF('PVC-A7'!J32=0,"    -",ROUND('PVC-A7'!J61/'PVC-A7'!J32*100,1))</f>
        <v>70.7</v>
      </c>
      <c r="K68" s="59">
        <f>IF('PVC-A7'!K32=0,"    -",ROUND('PVC-A7'!K61/'PVC-A7'!K32*100,1))</f>
        <v>70.7</v>
      </c>
      <c r="L68" s="60">
        <f>IF('PVC-A7'!L32=0,"    -",ROUND('PVC-A7'!L61/'PVC-A7'!L32*100,1))</f>
        <v>70.7</v>
      </c>
      <c r="M68" s="58">
        <f>IF('PVC-A7'!M32=0,"    -",ROUND('PVC-A7'!M61/'PVC-A7'!M32*100,1))</f>
        <v>70.7</v>
      </c>
      <c r="N68" s="58">
        <f>IF('PVC-A7'!N32=0,"    -",ROUND('PVC-A7'!N61/'PVC-A7'!N32*100,1))</f>
        <v>70.7</v>
      </c>
      <c r="O68" s="58">
        <f>IF('PVC-A7'!O32=0,"    -",ROUND('PVC-A7'!O61/'PVC-A7'!O32*100,1))</f>
        <v>70.7</v>
      </c>
      <c r="P68" s="58">
        <f>IF('PVC-A7'!P32=0,"    -",ROUND('PVC-A7'!P61/'PVC-A7'!P32*100,1))</f>
        <v>70.7</v>
      </c>
      <c r="Q68" s="61">
        <f>IF('PVC-A7'!Q32=0,"    -",ROUND('PVC-A7'!Q61/'PVC-A7'!Q32*100,1))</f>
        <v>70.7</v>
      </c>
    </row>
    <row r="69" spans="2:17" ht="16.5" customHeight="1">
      <c r="B69" s="670" t="s">
        <v>321</v>
      </c>
      <c r="C69" s="671"/>
      <c r="D69" s="57">
        <f>IF('PVC-A7'!D33=0,"    -",ROUND('PVC-A7'!D62/'PVC-A7'!D33*100,1))</f>
        <v>58.3</v>
      </c>
      <c r="E69" s="58">
        <f>IF('PVC-A7'!E33=0,"    -",ROUND('PVC-A7'!E62/'PVC-A7'!E33*100,1))</f>
        <v>74</v>
      </c>
      <c r="F69" s="58">
        <f>IF('PVC-A7'!F33=0,"    -",ROUND('PVC-A7'!F62/'PVC-A7'!F33*100,1))</f>
        <v>78.900000000000006</v>
      </c>
      <c r="G69" s="58">
        <f>IF('PVC-A7'!G33=0,"    -",ROUND('PVC-A7'!G62/'PVC-A7'!G33*100,1))</f>
        <v>81.7</v>
      </c>
      <c r="H69" s="58">
        <f>IF('PVC-A7'!H33=0,"    -",ROUND('PVC-A7'!H62/'PVC-A7'!H33*100,1))</f>
        <v>83.8</v>
      </c>
      <c r="I69" s="58">
        <f>IF('PVC-A7'!I33=0,"    -",ROUND('PVC-A7'!I62/'PVC-A7'!I33*100,1))</f>
        <v>68.7</v>
      </c>
      <c r="J69" s="58">
        <f>IF('PVC-A7'!J33=0,"    -",ROUND('PVC-A7'!J62/'PVC-A7'!J33*100,1))</f>
        <v>68.7</v>
      </c>
      <c r="K69" s="59">
        <f>IF('PVC-A7'!K33=0,"    -",ROUND('PVC-A7'!K62/'PVC-A7'!K33*100,1))</f>
        <v>68.7</v>
      </c>
      <c r="L69" s="60">
        <f>IF('PVC-A7'!L33=0,"    -",ROUND('PVC-A7'!L62/'PVC-A7'!L33*100,1))</f>
        <v>68.7</v>
      </c>
      <c r="M69" s="58">
        <f>IF('PVC-A7'!M33=0,"    -",ROUND('PVC-A7'!M62/'PVC-A7'!M33*100,1))</f>
        <v>68.7</v>
      </c>
      <c r="N69" s="58">
        <f>IF('PVC-A7'!N33=0,"    -",ROUND('PVC-A7'!N62/'PVC-A7'!N33*100,1))</f>
        <v>68.7</v>
      </c>
      <c r="O69" s="58">
        <f>IF('PVC-A7'!O33=0,"    -",ROUND('PVC-A7'!O62/'PVC-A7'!O33*100,1))</f>
        <v>68.7</v>
      </c>
      <c r="P69" s="58">
        <f>IF('PVC-A7'!P33=0,"    -",ROUND('PVC-A7'!P62/'PVC-A7'!P33*100,1))</f>
        <v>68.7</v>
      </c>
      <c r="Q69" s="61">
        <f>IF('PVC-A7'!Q33=0,"    -",ROUND('PVC-A7'!Q62/'PVC-A7'!Q33*100,1))</f>
        <v>68.7</v>
      </c>
    </row>
    <row r="70" spans="2:17" ht="17.25" customHeight="1" thickBot="1">
      <c r="B70" s="678" t="s">
        <v>322</v>
      </c>
      <c r="C70" s="679"/>
      <c r="D70" s="111">
        <f>IF('PVC-A7'!D34=0,"    -",ROUND('PVC-A7'!D63/'PVC-A7'!D34*100,1))</f>
        <v>67.900000000000006</v>
      </c>
      <c r="E70" s="112">
        <f>IF('PVC-A7'!E34=0,"    -",ROUND('PVC-A7'!E63/'PVC-A7'!E34*100,1))</f>
        <v>72.5</v>
      </c>
      <c r="F70" s="112">
        <f>IF('PVC-A7'!F34=0,"    -",ROUND('PVC-A7'!F63/'PVC-A7'!F34*100,1))</f>
        <v>74.3</v>
      </c>
      <c r="G70" s="112">
        <f>IF('PVC-A7'!G34=0,"    -",ROUND('PVC-A7'!G63/'PVC-A7'!G34*100,1))</f>
        <v>76.099999999999994</v>
      </c>
      <c r="H70" s="112">
        <f>IF('PVC-A7'!H34=0,"    -",ROUND('PVC-A7'!H63/'PVC-A7'!H34*100,1))</f>
        <v>77.099999999999994</v>
      </c>
      <c r="I70" s="112">
        <f>IF('PVC-A7'!I34=0,"    -",ROUND('PVC-A7'!I63/'PVC-A7'!I34*100,1))</f>
        <v>74.099999999999994</v>
      </c>
      <c r="J70" s="112">
        <f>IF('PVC-A7'!J34=0,"    -",ROUND('PVC-A7'!J63/'PVC-A7'!J34*100,1))</f>
        <v>74.7</v>
      </c>
      <c r="K70" s="113">
        <f>IF('PVC-A7'!K34=0,"    -",ROUND('PVC-A7'!K63/'PVC-A7'!K34*100,1))</f>
        <v>74.7</v>
      </c>
      <c r="L70" s="114">
        <f>IF('PVC-A7'!L34=0,"    -",ROUND('PVC-A7'!L63/'PVC-A7'!L34*100,1))</f>
        <v>74.7</v>
      </c>
      <c r="M70" s="112">
        <f>IF('PVC-A7'!M34=0,"    -",ROUND('PVC-A7'!M63/'PVC-A7'!M34*100,1))</f>
        <v>74.7</v>
      </c>
      <c r="N70" s="112">
        <f>IF('PVC-A7'!N34=0,"    -",ROUND('PVC-A7'!N63/'PVC-A7'!N34*100,1))</f>
        <v>74.7</v>
      </c>
      <c r="O70" s="112">
        <f>IF('PVC-A7'!O34=0,"    -",ROUND('PVC-A7'!O63/'PVC-A7'!O34*100,1))</f>
        <v>74.7</v>
      </c>
      <c r="P70" s="112">
        <f>IF('PVC-A7'!P34=0,"    -",ROUND('PVC-A7'!P63/'PVC-A7'!P34*100,1))</f>
        <v>74.7</v>
      </c>
      <c r="Q70" s="115">
        <f>IF('PVC-A7'!Q34=0,"    -",ROUND('PVC-A7'!Q63/'PVC-A7'!Q34*100,1))</f>
        <v>74.7</v>
      </c>
    </row>
    <row r="71" spans="2:17" ht="18" customHeight="1" thickTop="1" thickBot="1">
      <c r="B71" s="21"/>
      <c r="C71" s="619" t="s">
        <v>337</v>
      </c>
      <c r="D71" s="122">
        <f>IF('PVC-A7'!D35=0,"    -",ROUND('PVC-A7'!D64/'PVC-A7'!D35*100,1))</f>
        <v>75.2</v>
      </c>
      <c r="E71" s="123">
        <f>IF('PVC-A7'!E35=0,"    -",ROUND('PVC-A7'!E64/'PVC-A7'!E35*100,1))</f>
        <v>75.3</v>
      </c>
      <c r="F71" s="123">
        <f>IF('PVC-A7'!F35=0,"    -",ROUND('PVC-A7'!F64/'PVC-A7'!F35*100,1))</f>
        <v>75.099999999999994</v>
      </c>
      <c r="G71" s="123">
        <f>IF('PVC-A7'!G35=0,"    -",ROUND('PVC-A7'!G64/'PVC-A7'!G35*100,1))</f>
        <v>72.400000000000006</v>
      </c>
      <c r="H71" s="123">
        <f>IF('PVC-A7'!H35=0,"    -",ROUND('PVC-A7'!H64/'PVC-A7'!H35*100,1))</f>
        <v>74.3</v>
      </c>
      <c r="I71" s="123">
        <f>IF('PVC-A7'!I35=0,"    -",ROUND('PVC-A7'!I64/'PVC-A7'!I35*100,1))</f>
        <v>76.900000000000006</v>
      </c>
      <c r="J71" s="123">
        <f>IF('PVC-A7'!J35=0,"    -",ROUND('PVC-A7'!J64/'PVC-A7'!J35*100,1))</f>
        <v>78.900000000000006</v>
      </c>
      <c r="K71" s="124">
        <f>IF('PVC-A7'!K35=0,"    -",ROUND('PVC-A7'!K64/'PVC-A7'!K35*100,1))</f>
        <v>82.9</v>
      </c>
      <c r="L71" s="125">
        <f>IF('PVC-A7'!L35=0,"    -",ROUND('PVC-A7'!L64/'PVC-A7'!L35*100,1))</f>
        <v>83.4</v>
      </c>
      <c r="M71" s="123">
        <f>IF('PVC-A7'!M35=0,"    -",ROUND('PVC-A7'!M64/'PVC-A7'!M35*100,1))</f>
        <v>85</v>
      </c>
      <c r="N71" s="123">
        <f>IF('PVC-A7'!N35=0,"    -",ROUND('PVC-A7'!N64/'PVC-A7'!N35*100,1))</f>
        <v>86.9</v>
      </c>
      <c r="O71" s="123">
        <f>IF('PVC-A7'!O35=0,"    -",ROUND('PVC-A7'!O64/'PVC-A7'!O35*100,1))</f>
        <v>87.8</v>
      </c>
      <c r="P71" s="123">
        <f>IF('PVC-A7'!P35=0,"    -",ROUND('PVC-A7'!P64/'PVC-A7'!P35*100,1))</f>
        <v>88.9</v>
      </c>
      <c r="Q71" s="126">
        <f>IF('PVC-A7'!Q35=0,"    -",ROUND('PVC-A7'!Q64/'PVC-A7'!Q35*100,1))</f>
        <v>89.8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191" priority="5">
      <formula>CELL("protect",C75)=0</formula>
    </cfRule>
    <cfRule type="expression" dxfId="190" priority="6">
      <formula>CELL("protect",C75)=0</formula>
    </cfRule>
  </conditionalFormatting>
  <conditionalFormatting sqref="C73">
    <cfRule type="expression" dxfId="189" priority="3">
      <formula>CELL("protect",C73)=0</formula>
    </cfRule>
    <cfRule type="expression" dxfId="188" priority="4">
      <formula>CELL("protect",C73)=0</formula>
    </cfRule>
  </conditionalFormatting>
  <conditionalFormatting sqref="C75">
    <cfRule type="expression" dxfId="187" priority="1">
      <formula>CELL("protect",C75)=0</formula>
    </cfRule>
    <cfRule type="expression" dxfId="186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&amp;C169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8" sqref="R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7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'VCM-A8'!D36-'VCM-A8'!D65</f>
        <v>154</v>
      </c>
      <c r="E7" s="240">
        <f>'VCM-A8'!E36-'VCM-A8'!E65</f>
        <v>90</v>
      </c>
      <c r="F7" s="240">
        <f>'VCM-A8'!F36-'VCM-A8'!F65</f>
        <v>7</v>
      </c>
      <c r="G7" s="240">
        <f>'VCM-A8'!G36-'VCM-A8'!G65</f>
        <v>-14</v>
      </c>
      <c r="H7" s="240">
        <f>'VCM-A8'!H36-'VCM-A8'!H65</f>
        <v>101</v>
      </c>
      <c r="I7" s="240">
        <f>'VCM-A8'!I36-'VCM-A8'!I65</f>
        <v>106</v>
      </c>
      <c r="J7" s="240">
        <f>'VCM-A8'!J36-'VCM-A8'!J65</f>
        <v>103</v>
      </c>
      <c r="K7" s="241">
        <f>'VCM-A8'!K36-'VCM-A8'!K65</f>
        <v>16</v>
      </c>
      <c r="L7" s="242">
        <f>'VCM-A8'!L36-'VCM-A8'!L65</f>
        <v>0</v>
      </c>
      <c r="M7" s="240">
        <f>'VCM-A8'!M36-'VCM-A8'!M65</f>
        <v>0</v>
      </c>
      <c r="N7" s="240">
        <f>'VCM-A8'!N36-'VCM-A8'!N65</f>
        <v>0</v>
      </c>
      <c r="O7" s="240">
        <f>'VCM-A8'!O36-'VCM-A8'!O65</f>
        <v>50</v>
      </c>
      <c r="P7" s="240">
        <f>'VCM-A8'!P36-'VCM-A8'!P65</f>
        <v>50</v>
      </c>
      <c r="Q7" s="243">
        <f>'VCM-A8'!Q36-'VCM-A8'!Q65</f>
        <v>50</v>
      </c>
    </row>
    <row r="8" spans="2:19" ht="16.5" customHeight="1">
      <c r="B8" s="605" t="s">
        <v>434</v>
      </c>
      <c r="C8" s="606"/>
      <c r="D8" s="239">
        <f>'VCM-A8'!D37-'VCM-A8'!D66</f>
        <v>344</v>
      </c>
      <c r="E8" s="240">
        <f>'VCM-A8'!E37-'VCM-A8'!E66</f>
        <v>275</v>
      </c>
      <c r="F8" s="240">
        <f>'VCM-A8'!F37-'VCM-A8'!F66</f>
        <v>305</v>
      </c>
      <c r="G8" s="240">
        <f>'VCM-A8'!G37-'VCM-A8'!G66</f>
        <v>266</v>
      </c>
      <c r="H8" s="240">
        <f>'VCM-A8'!H37-'VCM-A8'!H66</f>
        <v>293</v>
      </c>
      <c r="I8" s="240">
        <f>'VCM-A8'!I37-'VCM-A8'!I66</f>
        <v>358</v>
      </c>
      <c r="J8" s="240">
        <f>'VCM-A8'!J37-'VCM-A8'!J66</f>
        <v>277</v>
      </c>
      <c r="K8" s="241">
        <f>'VCM-A8'!K37-'VCM-A8'!K66</f>
        <v>247</v>
      </c>
      <c r="L8" s="242">
        <f>'VCM-A8'!L37-'VCM-A8'!L66</f>
        <v>300</v>
      </c>
      <c r="M8" s="240">
        <f>'VCM-A8'!M37-'VCM-A8'!M66</f>
        <v>300</v>
      </c>
      <c r="N8" s="240">
        <f>'VCM-A8'!N37-'VCM-A8'!N66</f>
        <v>300</v>
      </c>
      <c r="O8" s="240">
        <f>'VCM-A8'!O37-'VCM-A8'!O66</f>
        <v>350</v>
      </c>
      <c r="P8" s="240">
        <f>'VCM-A8'!P37-'VCM-A8'!P66</f>
        <v>350</v>
      </c>
      <c r="Q8" s="243">
        <f>'VCM-A8'!Q37-'VCM-A8'!Q66</f>
        <v>350</v>
      </c>
    </row>
    <row r="9" spans="2:19" ht="16.5" customHeight="1">
      <c r="B9" s="605" t="s">
        <v>435</v>
      </c>
      <c r="C9" s="606"/>
      <c r="D9" s="239">
        <f>'VCM-A8'!D38-'VCM-A8'!D67</f>
        <v>0</v>
      </c>
      <c r="E9" s="240">
        <f>'VCM-A8'!E38-'VCM-A8'!E67</f>
        <v>0</v>
      </c>
      <c r="F9" s="240">
        <f>'VCM-A8'!F38-'VCM-A8'!F67</f>
        <v>0</v>
      </c>
      <c r="G9" s="240">
        <f>'VCM-A8'!G38-'VCM-A8'!G67</f>
        <v>0</v>
      </c>
      <c r="H9" s="240">
        <f>'VCM-A8'!H38-'VCM-A8'!H67</f>
        <v>0</v>
      </c>
      <c r="I9" s="240">
        <f>'VCM-A8'!I38-'VCM-A8'!I67</f>
        <v>0</v>
      </c>
      <c r="J9" s="240">
        <f>'VCM-A8'!J38-'VCM-A8'!J67</f>
        <v>0</v>
      </c>
      <c r="K9" s="241">
        <f>'VCM-A8'!K38-'VCM-A8'!K67</f>
        <v>0</v>
      </c>
      <c r="L9" s="242">
        <f>'VCM-A8'!L38-'VCM-A8'!L67</f>
        <v>0</v>
      </c>
      <c r="M9" s="240">
        <f>'VCM-A8'!M38-'VCM-A8'!M67</f>
        <v>0</v>
      </c>
      <c r="N9" s="240">
        <f>'VCM-A8'!N38-'VCM-A8'!N67</f>
        <v>0</v>
      </c>
      <c r="O9" s="240">
        <f>'VCM-A8'!O38-'VCM-A8'!O67</f>
        <v>0</v>
      </c>
      <c r="P9" s="240">
        <f>'VCM-A8'!P38-'VCM-A8'!P67</f>
        <v>0</v>
      </c>
      <c r="Q9" s="243">
        <f>'VCM-A8'!Q38-'VCM-A8'!Q67</f>
        <v>0</v>
      </c>
    </row>
    <row r="10" spans="2:19" ht="16.5" customHeight="1">
      <c r="B10" s="605" t="s">
        <v>436</v>
      </c>
      <c r="C10" s="606"/>
      <c r="D10" s="239">
        <f>'VCM-A8'!D39-'VCM-A8'!D68</f>
        <v>-661</v>
      </c>
      <c r="E10" s="240">
        <f>'VCM-A8'!E39-'VCM-A8'!E68</f>
        <v>-551</v>
      </c>
      <c r="F10" s="240">
        <f>'VCM-A8'!F39-'VCM-A8'!F68</f>
        <v>-562</v>
      </c>
      <c r="G10" s="240">
        <f>'VCM-A8'!G39-'VCM-A8'!G68</f>
        <v>-660</v>
      </c>
      <c r="H10" s="240">
        <f>'VCM-A8'!H39-'VCM-A8'!H68</f>
        <v>-392</v>
      </c>
      <c r="I10" s="240">
        <f>'VCM-A8'!I39-'VCM-A8'!I68</f>
        <v>-758</v>
      </c>
      <c r="J10" s="240">
        <f>'VCM-A8'!J39-'VCM-A8'!J68</f>
        <v>-806</v>
      </c>
      <c r="K10" s="241">
        <f>'VCM-A8'!K39-'VCM-A8'!K68</f>
        <v>-803</v>
      </c>
      <c r="L10" s="242">
        <f>'VCM-A8'!L39-'VCM-A8'!L68</f>
        <v>-766</v>
      </c>
      <c r="M10" s="240">
        <f>'VCM-A8'!M39-'VCM-A8'!M68</f>
        <v>-731</v>
      </c>
      <c r="N10" s="240">
        <f>'VCM-A8'!N39-'VCM-A8'!N68</f>
        <v>-673</v>
      </c>
      <c r="O10" s="240">
        <f>'VCM-A8'!O39-'VCM-A8'!O68</f>
        <v>-608</v>
      </c>
      <c r="P10" s="240">
        <f>'VCM-A8'!P39-'VCM-A8'!P68</f>
        <v>-581</v>
      </c>
      <c r="Q10" s="243">
        <f>'VCM-A8'!Q39-'VCM-A8'!Q68</f>
        <v>-594</v>
      </c>
    </row>
    <row r="11" spans="2:19" ht="16.5" customHeight="1">
      <c r="B11" s="605" t="s">
        <v>437</v>
      </c>
      <c r="C11" s="606"/>
      <c r="D11" s="239">
        <f>'VCM-A8'!D40-'VCM-A8'!D69</f>
        <v>-30</v>
      </c>
      <c r="E11" s="240">
        <f>'VCM-A8'!E40-'VCM-A8'!E69</f>
        <v>63</v>
      </c>
      <c r="F11" s="240">
        <f>'VCM-A8'!F40-'VCM-A8'!F69</f>
        <v>78</v>
      </c>
      <c r="G11" s="240">
        <f>'VCM-A8'!G40-'VCM-A8'!G69</f>
        <v>111.24599999999998</v>
      </c>
      <c r="H11" s="240">
        <f>'VCM-A8'!H40-'VCM-A8'!H69</f>
        <v>73.137000000000057</v>
      </c>
      <c r="I11" s="240">
        <f>'VCM-A8'!I40-'VCM-A8'!I69</f>
        <v>86.481999999999971</v>
      </c>
      <c r="J11" s="240">
        <f>'VCM-A8'!J40-'VCM-A8'!J69</f>
        <v>96</v>
      </c>
      <c r="K11" s="241">
        <f>'VCM-A8'!K40-'VCM-A8'!K69</f>
        <v>112.447</v>
      </c>
      <c r="L11" s="242">
        <f>'VCM-A8'!L40-'VCM-A8'!L69</f>
        <v>27.421867724867752</v>
      </c>
      <c r="M11" s="240">
        <f>'VCM-A8'!M40-'VCM-A8'!M69</f>
        <v>27.421867724867752</v>
      </c>
      <c r="N11" s="240">
        <f>'VCM-A8'!N40-'VCM-A8'!N69</f>
        <v>27.421867724867752</v>
      </c>
      <c r="O11" s="240">
        <f>'VCM-A8'!O40-'VCM-A8'!O69</f>
        <v>27.421867724867752</v>
      </c>
      <c r="P11" s="240">
        <f>'VCM-A8'!P40-'VCM-A8'!P69</f>
        <v>27.421867724867752</v>
      </c>
      <c r="Q11" s="243">
        <f>'VCM-A8'!Q40-'VCM-A8'!Q69</f>
        <v>27.421867724867752</v>
      </c>
    </row>
    <row r="12" spans="2:19" ht="16.5" customHeight="1">
      <c r="B12" s="605" t="s">
        <v>438</v>
      </c>
      <c r="C12" s="606"/>
      <c r="D12" s="239">
        <f>'VCM-A8'!D41-'VCM-A8'!D70</f>
        <v>-44.202181999999937</v>
      </c>
      <c r="E12" s="240">
        <f>'VCM-A8'!E41-'VCM-A8'!E70</f>
        <v>-79</v>
      </c>
      <c r="F12" s="240">
        <f>'VCM-A8'!F41-'VCM-A8'!F70</f>
        <v>-38</v>
      </c>
      <c r="G12" s="240">
        <f>'VCM-A8'!G41-'VCM-A8'!G70</f>
        <v>-38</v>
      </c>
      <c r="H12" s="240">
        <f>'VCM-A8'!H41-'VCM-A8'!H70</f>
        <v>-38</v>
      </c>
      <c r="I12" s="240">
        <f>'VCM-A8'!I41-'VCM-A8'!I70</f>
        <v>332</v>
      </c>
      <c r="J12" s="240">
        <f>'VCM-A8'!J41-'VCM-A8'!J70</f>
        <v>332</v>
      </c>
      <c r="K12" s="241">
        <f>'VCM-A8'!K41-'VCM-A8'!K70</f>
        <v>302</v>
      </c>
      <c r="L12" s="242">
        <f>'VCM-A8'!L41-'VCM-A8'!L70</f>
        <v>350</v>
      </c>
      <c r="M12" s="240">
        <f>'VCM-A8'!M41-'VCM-A8'!M70</f>
        <v>320</v>
      </c>
      <c r="N12" s="240">
        <f>'VCM-A8'!N41-'VCM-A8'!N70</f>
        <v>290</v>
      </c>
      <c r="O12" s="240">
        <f>'VCM-A8'!O41-'VCM-A8'!O70</f>
        <v>255</v>
      </c>
      <c r="P12" s="240">
        <f>'VCM-A8'!P41-'VCM-A8'!P70</f>
        <v>220</v>
      </c>
      <c r="Q12" s="243">
        <f>'VCM-A8'!Q41-'VCM-A8'!Q70</f>
        <v>185</v>
      </c>
    </row>
    <row r="13" spans="2:19" ht="16.5" customHeight="1">
      <c r="B13" s="605" t="s">
        <v>439</v>
      </c>
      <c r="C13" s="606"/>
      <c r="D13" s="239">
        <f>'VCM-A8'!D42-'VCM-A8'!D71</f>
        <v>-210</v>
      </c>
      <c r="E13" s="240">
        <f>'VCM-A8'!E42-'VCM-A8'!E71</f>
        <v>-367</v>
      </c>
      <c r="F13" s="240">
        <f>'VCM-A8'!F42-'VCM-A8'!F71</f>
        <v>-395</v>
      </c>
      <c r="G13" s="240">
        <f>'VCM-A8'!G42-'VCM-A8'!G71</f>
        <v>-510</v>
      </c>
      <c r="H13" s="240">
        <f>'VCM-A8'!H42-'VCM-A8'!H71</f>
        <v>-510</v>
      </c>
      <c r="I13" s="240">
        <f>'VCM-A8'!I42-'VCM-A8'!I71</f>
        <v>-510</v>
      </c>
      <c r="J13" s="240">
        <f>'VCM-A8'!J42-'VCM-A8'!J71</f>
        <v>-349</v>
      </c>
      <c r="K13" s="241">
        <f>'VCM-A8'!K42-'VCM-A8'!K71</f>
        <v>-380</v>
      </c>
      <c r="L13" s="242">
        <f>'VCM-A8'!L42-'VCM-A8'!L71</f>
        <v>-400</v>
      </c>
      <c r="M13" s="240">
        <f>'VCM-A8'!M42-'VCM-A8'!M71</f>
        <v>-350</v>
      </c>
      <c r="N13" s="240">
        <f>'VCM-A8'!N42-'VCM-A8'!N71</f>
        <v>-450</v>
      </c>
      <c r="O13" s="240">
        <f>'VCM-A8'!O42-'VCM-A8'!O71</f>
        <v>-500</v>
      </c>
      <c r="P13" s="240">
        <f>'VCM-A8'!P42-'VCM-A8'!P71</f>
        <v>-450</v>
      </c>
      <c r="Q13" s="243">
        <f>'VCM-A8'!Q42-'VCM-A8'!Q71</f>
        <v>-550</v>
      </c>
    </row>
    <row r="14" spans="2:19" ht="18" hidden="1" customHeight="1">
      <c r="B14" s="16"/>
      <c r="C14" s="90" t="s">
        <v>306</v>
      </c>
      <c r="D14" s="239">
        <f>'VCM-A8'!D43-'VCM-A8'!D72</f>
        <v>0</v>
      </c>
      <c r="E14" s="240">
        <f>'VCM-A8'!E43-'VCM-A8'!E72</f>
        <v>0</v>
      </c>
      <c r="F14" s="240">
        <f>'VCM-A8'!F43-'VCM-A8'!F72</f>
        <v>0</v>
      </c>
      <c r="G14" s="240">
        <f>'VCM-A8'!G43-'VCM-A8'!G72</f>
        <v>0</v>
      </c>
      <c r="H14" s="240">
        <f>'VCM-A8'!H43-'VCM-A8'!H72</f>
        <v>0</v>
      </c>
      <c r="I14" s="240">
        <f>'VCM-A8'!I43-'VCM-A8'!I72</f>
        <v>0</v>
      </c>
      <c r="J14" s="240">
        <f>'VCM-A8'!J43-'VCM-A8'!J72</f>
        <v>0</v>
      </c>
      <c r="K14" s="241">
        <f>'VCM-A8'!K43-'VCM-A8'!K72</f>
        <v>0</v>
      </c>
      <c r="L14" s="242">
        <f>'VCM-A8'!L43-'VCM-A8'!L72</f>
        <v>0</v>
      </c>
      <c r="M14" s="240">
        <f>'VCM-A8'!M43-'VCM-A8'!M72</f>
        <v>0</v>
      </c>
      <c r="N14" s="240">
        <f>'VCM-A8'!N43-'VCM-A8'!N72</f>
        <v>0</v>
      </c>
      <c r="O14" s="240">
        <f>'VCM-A8'!O43-'VCM-A8'!O72</f>
        <v>0</v>
      </c>
      <c r="P14" s="240">
        <f>'VCM-A8'!P43-'VCM-A8'!P72</f>
        <v>0</v>
      </c>
      <c r="Q14" s="243">
        <f>'VCM-A8'!Q43-'VCM-A8'!Q72</f>
        <v>0</v>
      </c>
    </row>
    <row r="15" spans="2:19" ht="16.5" customHeight="1">
      <c r="B15" s="605" t="s">
        <v>440</v>
      </c>
      <c r="C15" s="606"/>
      <c r="D15" s="239">
        <f>'VCM-A8'!D44-'VCM-A8'!D73</f>
        <v>-92</v>
      </c>
      <c r="E15" s="240">
        <f>'VCM-A8'!E44-'VCM-A8'!E73</f>
        <v>-66</v>
      </c>
      <c r="F15" s="240">
        <f>'VCM-A8'!F44-'VCM-A8'!F73</f>
        <v>-75</v>
      </c>
      <c r="G15" s="240">
        <f>'VCM-A8'!G44-'VCM-A8'!G73</f>
        <v>-96</v>
      </c>
      <c r="H15" s="240">
        <f>'VCM-A8'!H44-'VCM-A8'!H73</f>
        <v>-59</v>
      </c>
      <c r="I15" s="240">
        <f>'VCM-A8'!I44-'VCM-A8'!I73</f>
        <v>-100</v>
      </c>
      <c r="J15" s="240">
        <f>'VCM-A8'!J44-'VCM-A8'!J73</f>
        <v>-100</v>
      </c>
      <c r="K15" s="241">
        <f>'VCM-A8'!K44-'VCM-A8'!K73</f>
        <v>-100</v>
      </c>
      <c r="L15" s="242">
        <f>'VCM-A8'!L44-'VCM-A8'!L73</f>
        <v>-100</v>
      </c>
      <c r="M15" s="240">
        <f>'VCM-A8'!M44-'VCM-A8'!M73</f>
        <v>-155</v>
      </c>
      <c r="N15" s="240">
        <f>'VCM-A8'!N44-'VCM-A8'!N73</f>
        <v>-166</v>
      </c>
      <c r="O15" s="240">
        <f>'VCM-A8'!O44-'VCM-A8'!O73</f>
        <v>-177</v>
      </c>
      <c r="P15" s="240">
        <f>'VCM-A8'!P44-'VCM-A8'!P73</f>
        <v>-188</v>
      </c>
      <c r="Q15" s="243">
        <f>'VCM-A8'!Q44-'VCM-A8'!Q73</f>
        <v>-200</v>
      </c>
    </row>
    <row r="16" spans="2:19" ht="16.5" customHeight="1">
      <c r="B16" s="605" t="s">
        <v>441</v>
      </c>
      <c r="C16" s="606"/>
      <c r="D16" s="239">
        <f>'VCM-A8'!D45-'VCM-A8'!D74</f>
        <v>0</v>
      </c>
      <c r="E16" s="240">
        <f>'VCM-A8'!E45-'VCM-A8'!E74</f>
        <v>0</v>
      </c>
      <c r="F16" s="240">
        <f>'VCM-A8'!F45-'VCM-A8'!F74</f>
        <v>103.5</v>
      </c>
      <c r="G16" s="240">
        <f>'VCM-A8'!G45-'VCM-A8'!G74</f>
        <v>-57.875</v>
      </c>
      <c r="H16" s="240">
        <f>'VCM-A8'!H45-'VCM-A8'!H74</f>
        <v>-55.63</v>
      </c>
      <c r="I16" s="240">
        <f>'VCM-A8'!I45-'VCM-A8'!I74</f>
        <v>-64.680000000000007</v>
      </c>
      <c r="J16" s="240">
        <f>'VCM-A8'!J45-'VCM-A8'!J74</f>
        <v>-49.28</v>
      </c>
      <c r="K16" s="241">
        <f>'VCM-A8'!K45-'VCM-A8'!K74</f>
        <v>-75.430840000000003</v>
      </c>
      <c r="L16" s="242">
        <f>'VCM-A8'!L45-'VCM-A8'!L74</f>
        <v>-75.430840000000003</v>
      </c>
      <c r="M16" s="240">
        <f>'VCM-A8'!M45-'VCM-A8'!M74</f>
        <v>-75.430840000000003</v>
      </c>
      <c r="N16" s="240">
        <f>'VCM-A8'!N45-'VCM-A8'!N74</f>
        <v>-75.430840000000003</v>
      </c>
      <c r="O16" s="240">
        <f>'VCM-A8'!O45-'VCM-A8'!O74</f>
        <v>-75.430840000000003</v>
      </c>
      <c r="P16" s="240">
        <f>'VCM-A8'!P45-'VCM-A8'!P74</f>
        <v>-75.430840000000003</v>
      </c>
      <c r="Q16" s="243">
        <f>'VCM-A8'!Q45-'VCM-A8'!Q74</f>
        <v>-75.430840000000003</v>
      </c>
    </row>
    <row r="17" spans="2:17" ht="16.5" customHeight="1">
      <c r="B17" s="605" t="s">
        <v>442</v>
      </c>
      <c r="C17" s="606"/>
      <c r="D17" s="239">
        <f>'VCM-A8'!D46-'VCM-A8'!D75</f>
        <v>-250</v>
      </c>
      <c r="E17" s="240">
        <f>'VCM-A8'!E46-'VCM-A8'!E75</f>
        <v>-267</v>
      </c>
      <c r="F17" s="240">
        <f>'VCM-A8'!F46-'VCM-A8'!F75</f>
        <v>-267</v>
      </c>
      <c r="G17" s="240">
        <f>'VCM-A8'!G46-'VCM-A8'!G75</f>
        <v>-267</v>
      </c>
      <c r="H17" s="240">
        <f>'VCM-A8'!H46-'VCM-A8'!H75</f>
        <v>-267</v>
      </c>
      <c r="I17" s="240">
        <f>'VCM-A8'!I46-'VCM-A8'!I75</f>
        <v>-289</v>
      </c>
      <c r="J17" s="240">
        <f>'VCM-A8'!J46-'VCM-A8'!J75</f>
        <v>-289</v>
      </c>
      <c r="K17" s="241">
        <f>'VCM-A8'!K46-'VCM-A8'!K75</f>
        <v>-289</v>
      </c>
      <c r="L17" s="242">
        <f>'VCM-A8'!L46-'VCM-A8'!L75</f>
        <v>-289</v>
      </c>
      <c r="M17" s="240">
        <f>'VCM-A8'!M46-'VCM-A8'!M75</f>
        <v>-289</v>
      </c>
      <c r="N17" s="240">
        <f>'VCM-A8'!N46-'VCM-A8'!N75</f>
        <v>-289</v>
      </c>
      <c r="O17" s="240">
        <f>'VCM-A8'!O46-'VCM-A8'!O75</f>
        <v>-289</v>
      </c>
      <c r="P17" s="240">
        <f>'VCM-A8'!P46-'VCM-A8'!P75</f>
        <v>-289</v>
      </c>
      <c r="Q17" s="243">
        <f>'VCM-A8'!Q46-'VCM-A8'!Q75</f>
        <v>-289</v>
      </c>
    </row>
    <row r="18" spans="2:17" ht="16.5" customHeight="1">
      <c r="B18" s="607" t="s">
        <v>443</v>
      </c>
      <c r="C18" s="608"/>
      <c r="D18" s="239">
        <f>'VCM-A8'!D47-'VCM-A8'!D76</f>
        <v>1110.5999999999999</v>
      </c>
      <c r="E18" s="240">
        <f>'VCM-A8'!E47-'VCM-A8'!E76</f>
        <v>925.79999999999973</v>
      </c>
      <c r="F18" s="240">
        <f>'VCM-A8'!F47-'VCM-A8'!F76</f>
        <v>471</v>
      </c>
      <c r="G18" s="240">
        <f>'VCM-A8'!G47-'VCM-A8'!G76</f>
        <v>773.09999999999991</v>
      </c>
      <c r="H18" s="240">
        <f>'VCM-A8'!H47-'VCM-A8'!H76</f>
        <v>716</v>
      </c>
      <c r="I18" s="240">
        <f>'VCM-A8'!I47-'VCM-A8'!I76</f>
        <v>829.8</v>
      </c>
      <c r="J18" s="240">
        <f>'VCM-A8'!J47-'VCM-A8'!J76</f>
        <v>867.70000000000027</v>
      </c>
      <c r="K18" s="241">
        <f>'VCM-A8'!K47-'VCM-A8'!K76</f>
        <v>941.30000000000018</v>
      </c>
      <c r="L18" s="242">
        <f>'VCM-A8'!L47-'VCM-A8'!L76</f>
        <v>903.89999999999986</v>
      </c>
      <c r="M18" s="240">
        <f>'VCM-A8'!M47-'VCM-A8'!M76</f>
        <v>931</v>
      </c>
      <c r="N18" s="240">
        <f>'VCM-A8'!N47-'VCM-A8'!N76</f>
        <v>971</v>
      </c>
      <c r="O18" s="240">
        <f>'VCM-A8'!O47-'VCM-A8'!O76</f>
        <v>971</v>
      </c>
      <c r="P18" s="240">
        <f>'VCM-A8'!P47-'VCM-A8'!P76</f>
        <v>971</v>
      </c>
      <c r="Q18" s="243">
        <f>'VCM-A8'!Q47-'VCM-A8'!Q76</f>
        <v>971</v>
      </c>
    </row>
    <row r="19" spans="2:17" ht="17.25" customHeight="1">
      <c r="B19" s="674" t="s">
        <v>307</v>
      </c>
      <c r="C19" s="675"/>
      <c r="D19" s="244">
        <f t="shared" ref="D19:K19" si="0">SUM(D7:D18)</f>
        <v>321.39781799999992</v>
      </c>
      <c r="E19" s="245">
        <f t="shared" si="0"/>
        <v>23.799999999999727</v>
      </c>
      <c r="F19" s="245">
        <f t="shared" si="0"/>
        <v>-372.5</v>
      </c>
      <c r="G19" s="245">
        <f t="shared" si="0"/>
        <v>-492.529</v>
      </c>
      <c r="H19" s="245">
        <f t="shared" si="0"/>
        <v>-138.49299999999994</v>
      </c>
      <c r="I19" s="245">
        <f t="shared" si="0"/>
        <v>-9.3980000000001382</v>
      </c>
      <c r="J19" s="245">
        <f t="shared" si="0"/>
        <v>82.4200000000003</v>
      </c>
      <c r="K19" s="246">
        <f t="shared" si="0"/>
        <v>-28.683839999999805</v>
      </c>
      <c r="L19" s="247">
        <f t="shared" ref="L19:Q19" si="1">SUM(L7:L18)</f>
        <v>-49.108972275132373</v>
      </c>
      <c r="M19" s="245">
        <f t="shared" si="1"/>
        <v>-22.008972275132237</v>
      </c>
      <c r="N19" s="245">
        <f t="shared" si="1"/>
        <v>-65.008972275132237</v>
      </c>
      <c r="O19" s="245">
        <f t="shared" si="1"/>
        <v>3.991027724867763</v>
      </c>
      <c r="P19" s="245">
        <f t="shared" si="1"/>
        <v>34.991027724867763</v>
      </c>
      <c r="Q19" s="248">
        <f t="shared" si="1"/>
        <v>-125.00897227513224</v>
      </c>
    </row>
    <row r="20" spans="2:17" ht="17.25" customHeight="1">
      <c r="B20" s="672" t="s">
        <v>308</v>
      </c>
      <c r="C20" s="673"/>
      <c r="D20" s="244">
        <f>'VCM-A8'!D49-'VCM-A8'!D78</f>
        <v>-120</v>
      </c>
      <c r="E20" s="245">
        <f>'VCM-A8'!E49-'VCM-A8'!E78</f>
        <v>-135</v>
      </c>
      <c r="F20" s="245">
        <f>'VCM-A8'!F49-'VCM-A8'!F78</f>
        <v>-130</v>
      </c>
      <c r="G20" s="245">
        <f>'VCM-A8'!G49-'VCM-A8'!G78</f>
        <v>-140</v>
      </c>
      <c r="H20" s="245">
        <f>'VCM-A8'!H49-'VCM-A8'!H78</f>
        <v>-140</v>
      </c>
      <c r="I20" s="245">
        <f>'VCM-A8'!I49-'VCM-A8'!I78</f>
        <v>-140</v>
      </c>
      <c r="J20" s="245">
        <f>'VCM-A8'!J49-'VCM-A8'!J78</f>
        <v>0</v>
      </c>
      <c r="K20" s="246">
        <f>'VCM-A8'!K49-'VCM-A8'!K78</f>
        <v>0</v>
      </c>
      <c r="L20" s="247">
        <f>'VCM-A8'!L49-'VCM-A8'!L78</f>
        <v>0</v>
      </c>
      <c r="M20" s="245">
        <f>'VCM-A8'!M49-'VCM-A8'!M78</f>
        <v>0</v>
      </c>
      <c r="N20" s="245">
        <f>'VCM-A8'!N49-'VCM-A8'!N78</f>
        <v>0</v>
      </c>
      <c r="O20" s="245">
        <f>'VCM-A8'!O49-'VCM-A8'!O78</f>
        <v>0</v>
      </c>
      <c r="P20" s="245">
        <f>'VCM-A8'!P49-'VCM-A8'!P78</f>
        <v>0</v>
      </c>
      <c r="Q20" s="248">
        <f>'VCM-A8'!Q49-'VCM-A8'!Q78</f>
        <v>0</v>
      </c>
    </row>
    <row r="21" spans="2:17" ht="16.5" customHeight="1">
      <c r="B21" s="105"/>
      <c r="C21" s="97" t="s">
        <v>309</v>
      </c>
      <c r="D21" s="244">
        <f>'VCM-A8'!D50-'VCM-A8'!D79</f>
        <v>-120</v>
      </c>
      <c r="E21" s="245">
        <f>'VCM-A8'!E50-'VCM-A8'!E79</f>
        <v>-135</v>
      </c>
      <c r="F21" s="245">
        <f>'VCM-A8'!F50-'VCM-A8'!F79</f>
        <v>-130</v>
      </c>
      <c r="G21" s="245">
        <f>'VCM-A8'!G50-'VCM-A8'!G79</f>
        <v>-140</v>
      </c>
      <c r="H21" s="245">
        <f>'VCM-A8'!H50-'VCM-A8'!H79</f>
        <v>-140</v>
      </c>
      <c r="I21" s="245">
        <f>'VCM-A8'!I50-'VCM-A8'!I79</f>
        <v>-140</v>
      </c>
      <c r="J21" s="245">
        <f>'VCM-A8'!J50-'VCM-A8'!J79</f>
        <v>0</v>
      </c>
      <c r="K21" s="246">
        <f>'VCM-A8'!K50-'VCM-A8'!K79</f>
        <v>0</v>
      </c>
      <c r="L21" s="247">
        <f>'VCM-A8'!L50-'VCM-A8'!L79</f>
        <v>0</v>
      </c>
      <c r="M21" s="245">
        <f>'VCM-A8'!M50-'VCM-A8'!M79</f>
        <v>0</v>
      </c>
      <c r="N21" s="245">
        <f>'VCM-A8'!N50-'VCM-A8'!N79</f>
        <v>0</v>
      </c>
      <c r="O21" s="245">
        <f>'VCM-A8'!O50-'VCM-A8'!O79</f>
        <v>0</v>
      </c>
      <c r="P21" s="245">
        <f>'VCM-A8'!P50-'VCM-A8'!P79</f>
        <v>0</v>
      </c>
      <c r="Q21" s="248">
        <f>'VCM-A8'!Q50-'VCM-A8'!Q79</f>
        <v>0</v>
      </c>
    </row>
    <row r="22" spans="2:17" ht="17.25" customHeight="1">
      <c r="B22" s="672" t="s">
        <v>310</v>
      </c>
      <c r="C22" s="673"/>
      <c r="D22" s="239">
        <f>'VCM-A8'!D51-'VCM-A8'!D80</f>
        <v>-22</v>
      </c>
      <c r="E22" s="240">
        <f>'VCM-A8'!E51-'VCM-A8'!E80</f>
        <v>7</v>
      </c>
      <c r="F22" s="240">
        <f>'VCM-A8'!F51-'VCM-A8'!F80</f>
        <v>-9</v>
      </c>
      <c r="G22" s="240">
        <f>'VCM-A8'!G51-'VCM-A8'!G80</f>
        <v>16</v>
      </c>
      <c r="H22" s="240">
        <f>'VCM-A8'!H51-'VCM-A8'!H80</f>
        <v>9</v>
      </c>
      <c r="I22" s="240">
        <f>'VCM-A8'!I51-'VCM-A8'!I80</f>
        <v>-81</v>
      </c>
      <c r="J22" s="240">
        <f>'VCM-A8'!J51-'VCM-A8'!J80</f>
        <v>38</v>
      </c>
      <c r="K22" s="241">
        <f>'VCM-A8'!K51-'VCM-A8'!K80</f>
        <v>21</v>
      </c>
      <c r="L22" s="242">
        <f>'VCM-A8'!L51-'VCM-A8'!L80</f>
        <v>10</v>
      </c>
      <c r="M22" s="240">
        <f>'VCM-A8'!M51-'VCM-A8'!M80</f>
        <v>10</v>
      </c>
      <c r="N22" s="240">
        <f>'VCM-A8'!N51-'VCM-A8'!N80</f>
        <v>10</v>
      </c>
      <c r="O22" s="240">
        <f>'VCM-A8'!O51-'VCM-A8'!O80</f>
        <v>10</v>
      </c>
      <c r="P22" s="240">
        <f>'VCM-A8'!P51-'VCM-A8'!P80</f>
        <v>0</v>
      </c>
      <c r="Q22" s="243">
        <f>'VCM-A8'!Q51-'VCM-A8'!Q80</f>
        <v>0</v>
      </c>
    </row>
    <row r="23" spans="2:17" ht="16.5" customHeight="1">
      <c r="B23" s="105"/>
      <c r="C23" s="615" t="s">
        <v>311</v>
      </c>
      <c r="D23" s="244">
        <f>'VCM-A8'!D52-'VCM-A8'!D81</f>
        <v>-1</v>
      </c>
      <c r="E23" s="245">
        <f>'VCM-A8'!E52-'VCM-A8'!E81</f>
        <v>13</v>
      </c>
      <c r="F23" s="245">
        <f>'VCM-A8'!F52-'VCM-A8'!F81</f>
        <v>-9</v>
      </c>
      <c r="G23" s="245">
        <f>'VCM-A8'!G52-'VCM-A8'!G81</f>
        <v>16</v>
      </c>
      <c r="H23" s="245">
        <f>'VCM-A8'!H52-'VCM-A8'!H81</f>
        <v>34</v>
      </c>
      <c r="I23" s="245">
        <f>'VCM-A8'!I52-'VCM-A8'!I81</f>
        <v>-67</v>
      </c>
      <c r="J23" s="245">
        <f>'VCM-A8'!J52-'VCM-A8'!J81</f>
        <v>47</v>
      </c>
      <c r="K23" s="246">
        <f>'VCM-A8'!K52-'VCM-A8'!K81</f>
        <v>23</v>
      </c>
      <c r="L23" s="247">
        <f>'VCM-A8'!L52-'VCM-A8'!L81</f>
        <v>40</v>
      </c>
      <c r="M23" s="245">
        <f>'VCM-A8'!M52-'VCM-A8'!M81</f>
        <v>40</v>
      </c>
      <c r="N23" s="245">
        <f>'VCM-A8'!N52-'VCM-A8'!N81</f>
        <v>40</v>
      </c>
      <c r="O23" s="245">
        <f>'VCM-A8'!O52-'VCM-A8'!O81</f>
        <v>40</v>
      </c>
      <c r="P23" s="245">
        <f>'VCM-A8'!P52-'VCM-A8'!P81</f>
        <v>30</v>
      </c>
      <c r="Q23" s="248">
        <f>'VCM-A8'!Q52-'VCM-A8'!Q81</f>
        <v>30</v>
      </c>
    </row>
    <row r="24" spans="2:17" ht="17.25" customHeight="1">
      <c r="B24" s="672" t="s">
        <v>312</v>
      </c>
      <c r="C24" s="673"/>
      <c r="D24" s="239">
        <f>'VCM-A8'!D53-'VCM-A8'!D82</f>
        <v>285</v>
      </c>
      <c r="E24" s="240">
        <f>'VCM-A8'!E53-'VCM-A8'!E82</f>
        <v>330</v>
      </c>
      <c r="F24" s="240">
        <f>'VCM-A8'!F53-'VCM-A8'!F82</f>
        <v>293</v>
      </c>
      <c r="G24" s="240">
        <f>'VCM-A8'!G53-'VCM-A8'!G82</f>
        <v>386</v>
      </c>
      <c r="H24" s="240">
        <f>'VCM-A8'!H53-'VCM-A8'!H82</f>
        <v>599</v>
      </c>
      <c r="I24" s="240">
        <f>'VCM-A8'!I53-'VCM-A8'!I82</f>
        <v>383</v>
      </c>
      <c r="J24" s="240">
        <f>'VCM-A8'!J53-'VCM-A8'!J82</f>
        <v>263</v>
      </c>
      <c r="K24" s="241">
        <f>'VCM-A8'!K53-'VCM-A8'!K82</f>
        <v>353</v>
      </c>
      <c r="L24" s="242">
        <f>'VCM-A8'!L53-'VCM-A8'!L82</f>
        <v>372</v>
      </c>
      <c r="M24" s="240">
        <f>'VCM-A8'!M53-'VCM-A8'!M82</f>
        <v>382</v>
      </c>
      <c r="N24" s="240">
        <f>'VCM-A8'!N53-'VCM-A8'!N82</f>
        <v>372</v>
      </c>
      <c r="O24" s="240">
        <f>'VCM-A8'!O53-'VCM-A8'!O82</f>
        <v>421</v>
      </c>
      <c r="P24" s="240">
        <f>'VCM-A8'!P53-'VCM-A8'!P82</f>
        <v>430</v>
      </c>
      <c r="Q24" s="243">
        <f>'VCM-A8'!Q53-'VCM-A8'!Q82</f>
        <v>395</v>
      </c>
    </row>
    <row r="25" spans="2:17" ht="16.5" customHeight="1">
      <c r="B25" s="16"/>
      <c r="C25" s="615" t="s">
        <v>313</v>
      </c>
      <c r="D25" s="244">
        <f>'VCM-A8'!D54-'VCM-A8'!D83</f>
        <v>0</v>
      </c>
      <c r="E25" s="245">
        <f>'VCM-A8'!E54-'VCM-A8'!E83</f>
        <v>0</v>
      </c>
      <c r="F25" s="245">
        <f>'VCM-A8'!F54-'VCM-A8'!F83</f>
        <v>8</v>
      </c>
      <c r="G25" s="245">
        <f>'VCM-A8'!G54-'VCM-A8'!G83</f>
        <v>8</v>
      </c>
      <c r="H25" s="245">
        <f>'VCM-A8'!H54-'VCM-A8'!H83</f>
        <v>8</v>
      </c>
      <c r="I25" s="245">
        <f>'VCM-A8'!I54-'VCM-A8'!I83</f>
        <v>61</v>
      </c>
      <c r="J25" s="245">
        <f>'VCM-A8'!J54-'VCM-A8'!J83</f>
        <v>11</v>
      </c>
      <c r="K25" s="246">
        <f>'VCM-A8'!K54-'VCM-A8'!K83</f>
        <v>31</v>
      </c>
      <c r="L25" s="247">
        <f>'VCM-A8'!L54-'VCM-A8'!L83</f>
        <v>41</v>
      </c>
      <c r="M25" s="245">
        <f>'VCM-A8'!M54-'VCM-A8'!M83</f>
        <v>51</v>
      </c>
      <c r="N25" s="245">
        <f>'VCM-A8'!N54-'VCM-A8'!N83</f>
        <v>51</v>
      </c>
      <c r="O25" s="245">
        <f>'VCM-A8'!O54-'VCM-A8'!O83</f>
        <v>51</v>
      </c>
      <c r="P25" s="245">
        <f>'VCM-A8'!P54-'VCM-A8'!P83</f>
        <v>51</v>
      </c>
      <c r="Q25" s="248">
        <f>'VCM-A8'!Q54-'VCM-A8'!Q83</f>
        <v>51</v>
      </c>
    </row>
    <row r="26" spans="2:17" ht="17.25" customHeight="1">
      <c r="B26" s="674" t="s">
        <v>314</v>
      </c>
      <c r="C26" s="675"/>
      <c r="D26" s="244">
        <f>'VCM-A8'!D55-'VCM-A8'!D84</f>
        <v>0</v>
      </c>
      <c r="E26" s="245">
        <f>'VCM-A8'!E55-'VCM-A8'!E84</f>
        <v>0</v>
      </c>
      <c r="F26" s="245">
        <f>'VCM-A8'!F55-'VCM-A8'!F84</f>
        <v>0</v>
      </c>
      <c r="G26" s="245">
        <f>'VCM-A8'!G55-'VCM-A8'!G84</f>
        <v>0</v>
      </c>
      <c r="H26" s="245">
        <f>'VCM-A8'!H55-'VCM-A8'!H84</f>
        <v>0</v>
      </c>
      <c r="I26" s="245">
        <f>'VCM-A8'!I55-'VCM-A8'!I84</f>
        <v>-1</v>
      </c>
      <c r="J26" s="245">
        <f>'VCM-A8'!J55-'VCM-A8'!J84</f>
        <v>-2</v>
      </c>
      <c r="K26" s="246">
        <f>'VCM-A8'!K55-'VCM-A8'!K84</f>
        <v>5</v>
      </c>
      <c r="L26" s="247">
        <f>'VCM-A8'!L55-'VCM-A8'!L84</f>
        <v>1</v>
      </c>
      <c r="M26" s="245">
        <f>'VCM-A8'!M55-'VCM-A8'!M84</f>
        <v>-2</v>
      </c>
      <c r="N26" s="245">
        <f>'VCM-A8'!N55-'VCM-A8'!N84</f>
        <v>-1</v>
      </c>
      <c r="O26" s="245">
        <f>'VCM-A8'!O55-'VCM-A8'!O84</f>
        <v>-4</v>
      </c>
      <c r="P26" s="245">
        <f>'VCM-A8'!P55-'VCM-A8'!P84</f>
        <v>1</v>
      </c>
      <c r="Q26" s="248">
        <f>'VCM-A8'!Q55-'VCM-A8'!Q84</f>
        <v>8</v>
      </c>
    </row>
    <row r="27" spans="2:17" ht="17.25" customHeight="1">
      <c r="B27" s="674" t="s">
        <v>315</v>
      </c>
      <c r="C27" s="675"/>
      <c r="D27" s="244">
        <f>'VCM-A8'!D56-'VCM-A8'!D85</f>
        <v>0</v>
      </c>
      <c r="E27" s="245">
        <f>'VCM-A8'!E56-'VCM-A8'!E85</f>
        <v>0</v>
      </c>
      <c r="F27" s="245">
        <f>'VCM-A8'!F56-'VCM-A8'!F85</f>
        <v>0</v>
      </c>
      <c r="G27" s="245">
        <f>'VCM-A8'!G56-'VCM-A8'!G85</f>
        <v>0</v>
      </c>
      <c r="H27" s="245">
        <f>'VCM-A8'!H56-'VCM-A8'!H85</f>
        <v>0</v>
      </c>
      <c r="I27" s="245">
        <f>'VCM-A8'!I56-'VCM-A8'!I85</f>
        <v>0</v>
      </c>
      <c r="J27" s="245">
        <f>'VCM-A8'!J56-'VCM-A8'!J85</f>
        <v>6.9999999999993179E-2</v>
      </c>
      <c r="K27" s="246">
        <f>'VCM-A8'!K56-'VCM-A8'!K85</f>
        <v>239.68100000000004</v>
      </c>
      <c r="L27" s="247">
        <f>'VCM-A8'!L56-'VCM-A8'!L85</f>
        <v>243.51589600000005</v>
      </c>
      <c r="M27" s="245">
        <f>'VCM-A8'!M56-'VCM-A8'!M85</f>
        <v>246.68160264800008</v>
      </c>
      <c r="N27" s="245">
        <f>'VCM-A8'!N56-'VCM-A8'!N85</f>
        <v>250.38182668772004</v>
      </c>
      <c r="O27" s="245">
        <f>'VCM-A8'!O56-'VCM-A8'!O85</f>
        <v>254.13755408803581</v>
      </c>
      <c r="P27" s="245">
        <f>'VCM-A8'!P56-'VCM-A8'!P85</f>
        <v>257.94961739935638</v>
      </c>
      <c r="Q27" s="248">
        <f>'VCM-A8'!Q56-'VCM-A8'!Q85</f>
        <v>261.81886166034667</v>
      </c>
    </row>
    <row r="28" spans="2:17" ht="16.5" customHeight="1">
      <c r="B28" s="672" t="s">
        <v>316</v>
      </c>
      <c r="C28" s="673"/>
      <c r="D28" s="239">
        <f>'VCM-A8'!D57-'VCM-A8'!D86</f>
        <v>836</v>
      </c>
      <c r="E28" s="240">
        <f>'VCM-A8'!E57-'VCM-A8'!E86</f>
        <v>576</v>
      </c>
      <c r="F28" s="240">
        <f>'VCM-A8'!F57-'VCM-A8'!F86</f>
        <v>1054</v>
      </c>
      <c r="G28" s="240">
        <f>'VCM-A8'!G57-'VCM-A8'!G86</f>
        <v>1148.3972000000003</v>
      </c>
      <c r="H28" s="240">
        <f>'VCM-A8'!H57-'VCM-A8'!H86</f>
        <v>1094</v>
      </c>
      <c r="I28" s="240">
        <f>'VCM-A8'!I57-'VCM-A8'!I86</f>
        <v>1458</v>
      </c>
      <c r="J28" s="240">
        <f>'VCM-A8'!J57-'VCM-A8'!J86</f>
        <v>1927</v>
      </c>
      <c r="K28" s="241">
        <f>'VCM-A8'!K57-'VCM-A8'!K86</f>
        <v>1490</v>
      </c>
      <c r="L28" s="242">
        <f>'VCM-A8'!L57-'VCM-A8'!L86</f>
        <v>1300</v>
      </c>
      <c r="M28" s="240">
        <f>'VCM-A8'!M57-'VCM-A8'!M86</f>
        <v>1127.5</v>
      </c>
      <c r="N28" s="240">
        <f>'VCM-A8'!N57-'VCM-A8'!N86</f>
        <v>1001.5</v>
      </c>
      <c r="O28" s="240">
        <f>'VCM-A8'!O57-'VCM-A8'!O86</f>
        <v>1653.5</v>
      </c>
      <c r="P28" s="240">
        <f>'VCM-A8'!P57-'VCM-A8'!P86</f>
        <v>1546.5</v>
      </c>
      <c r="Q28" s="243">
        <f>'VCM-A8'!Q57-'VCM-A8'!Q86</f>
        <v>1446.5</v>
      </c>
    </row>
    <row r="29" spans="2:17" ht="16.5" customHeight="1">
      <c r="B29" s="670" t="s">
        <v>317</v>
      </c>
      <c r="C29" s="671"/>
      <c r="D29" s="239">
        <f>'VCM-A8'!D58-'VCM-A8'!D87</f>
        <v>0</v>
      </c>
      <c r="E29" s="240">
        <f>'VCM-A8'!E58-'VCM-A8'!E87</f>
        <v>0</v>
      </c>
      <c r="F29" s="240">
        <f>'VCM-A8'!F58-'VCM-A8'!F87</f>
        <v>0</v>
      </c>
      <c r="G29" s="240">
        <f>'VCM-A8'!G58-'VCM-A8'!G87</f>
        <v>0</v>
      </c>
      <c r="H29" s="240">
        <f>'VCM-A8'!H58-'VCM-A8'!H87</f>
        <v>0</v>
      </c>
      <c r="I29" s="240">
        <f>'VCM-A8'!I58-'VCM-A8'!I87</f>
        <v>0</v>
      </c>
      <c r="J29" s="240">
        <f>'VCM-A8'!J58-'VCM-A8'!J87</f>
        <v>0</v>
      </c>
      <c r="K29" s="241">
        <f>'VCM-A8'!K58-'VCM-A8'!K87</f>
        <v>0</v>
      </c>
      <c r="L29" s="242">
        <f>'VCM-A8'!L58-'VCM-A8'!L87</f>
        <v>0</v>
      </c>
      <c r="M29" s="240">
        <f>'VCM-A8'!M58-'VCM-A8'!M87</f>
        <v>0</v>
      </c>
      <c r="N29" s="240">
        <f>'VCM-A8'!N58-'VCM-A8'!N87</f>
        <v>0</v>
      </c>
      <c r="O29" s="240">
        <f>'VCM-A8'!O58-'VCM-A8'!O87</f>
        <v>0</v>
      </c>
      <c r="P29" s="240">
        <f>'VCM-A8'!P58-'VCM-A8'!P87</f>
        <v>0</v>
      </c>
      <c r="Q29" s="243">
        <f>'VCM-A8'!Q58-'VCM-A8'!Q87</f>
        <v>0</v>
      </c>
    </row>
    <row r="30" spans="2:17" ht="17.25" customHeight="1">
      <c r="B30" s="674" t="s">
        <v>318</v>
      </c>
      <c r="C30" s="675"/>
      <c r="D30" s="244">
        <f t="shared" ref="D30:K30" si="2">SUM(D28:D29)</f>
        <v>836</v>
      </c>
      <c r="E30" s="245">
        <f t="shared" si="2"/>
        <v>576</v>
      </c>
      <c r="F30" s="245">
        <f t="shared" si="2"/>
        <v>1054</v>
      </c>
      <c r="G30" s="245">
        <f t="shared" si="2"/>
        <v>1148.3972000000003</v>
      </c>
      <c r="H30" s="245">
        <f t="shared" si="2"/>
        <v>1094</v>
      </c>
      <c r="I30" s="245">
        <f t="shared" si="2"/>
        <v>1458</v>
      </c>
      <c r="J30" s="245">
        <f t="shared" si="2"/>
        <v>1927</v>
      </c>
      <c r="K30" s="246">
        <f t="shared" si="2"/>
        <v>1490</v>
      </c>
      <c r="L30" s="247">
        <f t="shared" ref="L30:Q30" si="3">SUM(L28:L29)</f>
        <v>1300</v>
      </c>
      <c r="M30" s="245">
        <f t="shared" si="3"/>
        <v>1127.5</v>
      </c>
      <c r="N30" s="245">
        <f t="shared" si="3"/>
        <v>1001.5</v>
      </c>
      <c r="O30" s="245">
        <f t="shared" si="3"/>
        <v>1653.5</v>
      </c>
      <c r="P30" s="245">
        <f t="shared" si="3"/>
        <v>1546.5</v>
      </c>
      <c r="Q30" s="248">
        <f t="shared" si="3"/>
        <v>1446.5</v>
      </c>
    </row>
    <row r="31" spans="2:17" ht="16.5" customHeight="1">
      <c r="B31" s="672" t="s">
        <v>319</v>
      </c>
      <c r="C31" s="673"/>
      <c r="D31" s="239">
        <f>'VCM-A8'!D60-'VCM-A8'!D89</f>
        <v>235</v>
      </c>
      <c r="E31" s="240">
        <f>'VCM-A8'!E60-'VCM-A8'!E89</f>
        <v>340</v>
      </c>
      <c r="F31" s="240">
        <f>'VCM-A8'!F60-'VCM-A8'!F89</f>
        <v>340</v>
      </c>
      <c r="G31" s="240">
        <f>'VCM-A8'!G60-'VCM-A8'!G89</f>
        <v>240</v>
      </c>
      <c r="H31" s="240">
        <f>'VCM-A8'!H60-'VCM-A8'!H89</f>
        <v>0</v>
      </c>
      <c r="I31" s="240">
        <f>'VCM-A8'!I60-'VCM-A8'!I89</f>
        <v>0</v>
      </c>
      <c r="J31" s="240">
        <f>'VCM-A8'!J60-'VCM-A8'!J89</f>
        <v>0</v>
      </c>
      <c r="K31" s="241">
        <f>'VCM-A8'!K60-'VCM-A8'!K89</f>
        <v>0</v>
      </c>
      <c r="L31" s="242">
        <f>'VCM-A8'!L60-'VCM-A8'!L89</f>
        <v>-0.19999999999998863</v>
      </c>
      <c r="M31" s="240">
        <f>'VCM-A8'!M60-'VCM-A8'!M89</f>
        <v>-0.19999999999998863</v>
      </c>
      <c r="N31" s="240">
        <f>'VCM-A8'!N60-'VCM-A8'!N89</f>
        <v>-0.19999999999998863</v>
      </c>
      <c r="O31" s="240">
        <f>'VCM-A8'!O60-'VCM-A8'!O89</f>
        <v>-0.19999999999998863</v>
      </c>
      <c r="P31" s="240">
        <f>'VCM-A8'!P60-'VCM-A8'!P89</f>
        <v>-0.19999999999998863</v>
      </c>
      <c r="Q31" s="243">
        <f>'VCM-A8'!Q60-'VCM-A8'!Q89</f>
        <v>-0.19999999999998863</v>
      </c>
    </row>
    <row r="32" spans="2:17" ht="16.5" customHeight="1">
      <c r="B32" s="668" t="s">
        <v>320</v>
      </c>
      <c r="C32" s="669"/>
      <c r="D32" s="239">
        <f>'VCM-A8'!D61-'VCM-A8'!D90</f>
        <v>0</v>
      </c>
      <c r="E32" s="240">
        <f>'VCM-A8'!E61-'VCM-A8'!E90</f>
        <v>0</v>
      </c>
      <c r="F32" s="240">
        <f>'VCM-A8'!F61-'VCM-A8'!F90</f>
        <v>8</v>
      </c>
      <c r="G32" s="240">
        <f>'VCM-A8'!G61-'VCM-A8'!G90</f>
        <v>25</v>
      </c>
      <c r="H32" s="240">
        <f>'VCM-A8'!H61-'VCM-A8'!H90</f>
        <v>143</v>
      </c>
      <c r="I32" s="240">
        <f>'VCM-A8'!I61-'VCM-A8'!I90</f>
        <v>202</v>
      </c>
      <c r="J32" s="240">
        <f>'VCM-A8'!J61-'VCM-A8'!J90</f>
        <v>224</v>
      </c>
      <c r="K32" s="241">
        <f>'VCM-A8'!K61-'VCM-A8'!K90</f>
        <v>159</v>
      </c>
      <c r="L32" s="242">
        <f>'VCM-A8'!L61-'VCM-A8'!L90</f>
        <v>234</v>
      </c>
      <c r="M32" s="240">
        <f>'VCM-A8'!M61-'VCM-A8'!M90</f>
        <v>216.5</v>
      </c>
      <c r="N32" s="240">
        <f>'VCM-A8'!N61-'VCM-A8'!N90</f>
        <v>199.5</v>
      </c>
      <c r="O32" s="240">
        <f>'VCM-A8'!O61-'VCM-A8'!O90</f>
        <v>182.5</v>
      </c>
      <c r="P32" s="240">
        <f>'VCM-A8'!P61-'VCM-A8'!P90</f>
        <v>165.5</v>
      </c>
      <c r="Q32" s="243">
        <f>'VCM-A8'!Q61-'VCM-A8'!Q90</f>
        <v>147.5</v>
      </c>
    </row>
    <row r="33" spans="2:17" ht="16.5" customHeight="1">
      <c r="B33" s="670" t="s">
        <v>321</v>
      </c>
      <c r="C33" s="671"/>
      <c r="D33" s="239">
        <f>'VCM-A8'!D62-'VCM-A8'!D91</f>
        <v>0</v>
      </c>
      <c r="E33" s="240">
        <f>'VCM-A8'!E62-'VCM-A8'!E91</f>
        <v>0</v>
      </c>
      <c r="F33" s="240">
        <f>'VCM-A8'!F62-'VCM-A8'!F91</f>
        <v>0</v>
      </c>
      <c r="G33" s="240">
        <f>'VCM-A8'!G62-'VCM-A8'!G91</f>
        <v>0</v>
      </c>
      <c r="H33" s="240">
        <f>'VCM-A8'!H62-'VCM-A8'!H91</f>
        <v>0</v>
      </c>
      <c r="I33" s="240">
        <f>'VCM-A8'!I62-'VCM-A8'!I91</f>
        <v>0</v>
      </c>
      <c r="J33" s="240">
        <f>'VCM-A8'!J62-'VCM-A8'!J91</f>
        <v>0</v>
      </c>
      <c r="K33" s="241">
        <f>'VCM-A8'!K62-'VCM-A8'!K91</f>
        <v>0</v>
      </c>
      <c r="L33" s="242">
        <f>'VCM-A8'!L62-'VCM-A8'!L91</f>
        <v>0</v>
      </c>
      <c r="M33" s="240">
        <f>'VCM-A8'!M62-'VCM-A8'!M91</f>
        <v>1</v>
      </c>
      <c r="N33" s="240">
        <f>'VCM-A8'!N62-'VCM-A8'!N91</f>
        <v>0</v>
      </c>
      <c r="O33" s="240">
        <f>'VCM-A8'!O62-'VCM-A8'!O91</f>
        <v>0</v>
      </c>
      <c r="P33" s="240">
        <f>'VCM-A8'!P62-'VCM-A8'!P91</f>
        <v>0</v>
      </c>
      <c r="Q33" s="243">
        <f>'VCM-A8'!Q62-'VCM-A8'!Q91</f>
        <v>0</v>
      </c>
    </row>
    <row r="34" spans="2:17" ht="17.25" customHeight="1" thickBot="1">
      <c r="B34" s="678" t="s">
        <v>322</v>
      </c>
      <c r="C34" s="679"/>
      <c r="D34" s="249">
        <f t="shared" ref="D34:K34" si="4">SUM(D31:D33)</f>
        <v>235</v>
      </c>
      <c r="E34" s="250">
        <f t="shared" si="4"/>
        <v>340</v>
      </c>
      <c r="F34" s="250">
        <f t="shared" si="4"/>
        <v>348</v>
      </c>
      <c r="G34" s="250">
        <f t="shared" si="4"/>
        <v>265</v>
      </c>
      <c r="H34" s="250">
        <f t="shared" si="4"/>
        <v>143</v>
      </c>
      <c r="I34" s="250">
        <f t="shared" si="4"/>
        <v>202</v>
      </c>
      <c r="J34" s="250">
        <f t="shared" si="4"/>
        <v>224</v>
      </c>
      <c r="K34" s="251">
        <f t="shared" si="4"/>
        <v>159</v>
      </c>
      <c r="L34" s="252">
        <f t="shared" ref="L34:Q34" si="5">SUM(L31:L33)</f>
        <v>233.8</v>
      </c>
      <c r="M34" s="250">
        <f t="shared" si="5"/>
        <v>217.3</v>
      </c>
      <c r="N34" s="250">
        <f t="shared" si="5"/>
        <v>199.3</v>
      </c>
      <c r="O34" s="250">
        <f t="shared" si="5"/>
        <v>182.3</v>
      </c>
      <c r="P34" s="250">
        <f t="shared" si="5"/>
        <v>165.3</v>
      </c>
      <c r="Q34" s="253">
        <f t="shared" si="5"/>
        <v>147.30000000000001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1535.3978179999999</v>
      </c>
      <c r="E35" s="171">
        <f t="shared" ref="E35:Q35" si="6">SUM(E19+E20+E22+E24+E26+E27+E30+E34)</f>
        <v>1141.7999999999997</v>
      </c>
      <c r="F35" s="171">
        <f t="shared" si="6"/>
        <v>1183.5</v>
      </c>
      <c r="G35" s="171">
        <f t="shared" si="6"/>
        <v>1182.8682000000003</v>
      </c>
      <c r="H35" s="171">
        <f t="shared" si="6"/>
        <v>1566.5070000000001</v>
      </c>
      <c r="I35" s="171">
        <f t="shared" si="6"/>
        <v>1811.6019999999999</v>
      </c>
      <c r="J35" s="171">
        <f t="shared" si="6"/>
        <v>2532.4900000000002</v>
      </c>
      <c r="K35" s="173">
        <f t="shared" si="6"/>
        <v>2238.9971600000003</v>
      </c>
      <c r="L35" s="172">
        <f t="shared" si="6"/>
        <v>2111.2069237248679</v>
      </c>
      <c r="M35" s="171">
        <f t="shared" si="6"/>
        <v>1959.4726303728678</v>
      </c>
      <c r="N35" s="171">
        <f t="shared" si="6"/>
        <v>1767.1728544125879</v>
      </c>
      <c r="O35" s="171">
        <f t="shared" si="6"/>
        <v>2520.9285818129038</v>
      </c>
      <c r="P35" s="171">
        <f t="shared" si="6"/>
        <v>2435.7406451242241</v>
      </c>
      <c r="Q35" s="174">
        <f t="shared" si="6"/>
        <v>2133.6098893852145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7</v>
      </c>
    </row>
    <row r="39" spans="2:17" ht="15" customHeight="1" thickBot="1">
      <c r="Q39" s="12" t="s">
        <v>53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IF('VCM-A8'!D7=0,"    -",ROUND('VCM-A8'!D36/'VCM-A8'!D7*100,1))</f>
        <v>104</v>
      </c>
      <c r="E43" s="58">
        <f>IF('VCM-A8'!E7=0,"    -",ROUND('VCM-A8'!E36/'VCM-A8'!E7*100,1))</f>
        <v>100</v>
      </c>
      <c r="F43" s="58">
        <f>IF('VCM-A8'!F7=0,"    -",ROUND('VCM-A8'!F36/'VCM-A8'!F7*100,1))</f>
        <v>96.6</v>
      </c>
      <c r="G43" s="58">
        <f>IF('VCM-A8'!G7=0,"    -",ROUND('VCM-A8'!G36/'VCM-A8'!G7*100,1))</f>
        <v>96.1</v>
      </c>
      <c r="H43" s="58">
        <f>IF('VCM-A8'!H7=0,"    -",ROUND('VCM-A8'!H36/'VCM-A8'!H7*100,1))</f>
        <v>98.9</v>
      </c>
      <c r="I43" s="58">
        <f>IF('VCM-A8'!I7=0,"    -",ROUND('VCM-A8'!I36/'VCM-A8'!I7*100,1))</f>
        <v>97.8</v>
      </c>
      <c r="J43" s="58">
        <f>IF('VCM-A8'!J7=0,"    -",ROUND('VCM-A8'!J36/'VCM-A8'!J7*100,1))</f>
        <v>102.2</v>
      </c>
      <c r="K43" s="59">
        <f>IF('VCM-A8'!K7=0,"    -",ROUND('VCM-A8'!K36/'VCM-A8'!K7*100,1))</f>
        <v>102.5</v>
      </c>
      <c r="L43" s="60">
        <f>IF('VCM-A8'!L7=0,"    -",ROUND('VCM-A8'!L36/'VCM-A8'!L7*100,1))</f>
        <v>100</v>
      </c>
      <c r="M43" s="58">
        <f>IF('VCM-A8'!M7=0,"    -",ROUND('VCM-A8'!M36/'VCM-A8'!M7*100,1))</f>
        <v>100</v>
      </c>
      <c r="N43" s="58">
        <f>IF('VCM-A8'!N7=0,"    -",ROUND('VCM-A8'!N36/'VCM-A8'!N7*100,1))</f>
        <v>100</v>
      </c>
      <c r="O43" s="58">
        <f>IF('VCM-A8'!O7=0,"    -",ROUND('VCM-A8'!O36/'VCM-A8'!O7*100,1))</f>
        <v>103.1</v>
      </c>
      <c r="P43" s="58">
        <f>IF('VCM-A8'!P7=0,"    -",ROUND('VCM-A8'!P36/'VCM-A8'!P7*100,1))</f>
        <v>103.1</v>
      </c>
      <c r="Q43" s="61">
        <f>IF('VCM-A8'!Q7=0,"    -",ROUND('VCM-A8'!Q36/'VCM-A8'!Q7*100,1))</f>
        <v>103.1</v>
      </c>
    </row>
    <row r="44" spans="2:17" ht="16.5" customHeight="1">
      <c r="B44" s="605" t="s">
        <v>434</v>
      </c>
      <c r="C44" s="606"/>
      <c r="D44" s="57">
        <f>IF('VCM-A8'!D8=0,"    -",ROUND('VCM-A8'!D37/'VCM-A8'!D8*100,1))</f>
        <v>87.9</v>
      </c>
      <c r="E44" s="58">
        <f>IF('VCM-A8'!E8=0,"    -",ROUND('VCM-A8'!E37/'VCM-A8'!E8*100,1))</f>
        <v>84.3</v>
      </c>
      <c r="F44" s="58">
        <f>IF('VCM-A8'!F8=0,"    -",ROUND('VCM-A8'!F37/'VCM-A8'!F8*100,1))</f>
        <v>90.9</v>
      </c>
      <c r="G44" s="58">
        <f>IF('VCM-A8'!G8=0,"    -",ROUND('VCM-A8'!G37/'VCM-A8'!G8*100,1))</f>
        <v>95</v>
      </c>
      <c r="H44" s="58">
        <f>IF('VCM-A8'!H8=0,"    -",ROUND('VCM-A8'!H37/'VCM-A8'!H8*100,1))</f>
        <v>91.1</v>
      </c>
      <c r="I44" s="58">
        <f>IF('VCM-A8'!I8=0,"    -",ROUND('VCM-A8'!I37/'VCM-A8'!I8*100,1))</f>
        <v>94.2</v>
      </c>
      <c r="J44" s="58">
        <f>IF('VCM-A8'!J8=0,"    -",ROUND('VCM-A8'!J37/'VCM-A8'!J8*100,1))</f>
        <v>93.3</v>
      </c>
      <c r="K44" s="59">
        <f>IF('VCM-A8'!K8=0,"    -",ROUND('VCM-A8'!K37/'VCM-A8'!K8*100,1))</f>
        <v>94</v>
      </c>
      <c r="L44" s="60">
        <f>IF('VCM-A8'!L8=0,"    -",ROUND('VCM-A8'!L37/'VCM-A8'!L8*100,1))</f>
        <v>94.2</v>
      </c>
      <c r="M44" s="58">
        <f>IF('VCM-A8'!M8=0,"    -",ROUND('VCM-A8'!M37/'VCM-A8'!M8*100,1))</f>
        <v>94.2</v>
      </c>
      <c r="N44" s="58">
        <f>IF('VCM-A8'!N8=0,"    -",ROUND('VCM-A8'!N37/'VCM-A8'!N8*100,1))</f>
        <v>94.2</v>
      </c>
      <c r="O44" s="58">
        <f>IF('VCM-A8'!O8=0,"    -",ROUND('VCM-A8'!O37/'VCM-A8'!O8*100,1))</f>
        <v>96.6</v>
      </c>
      <c r="P44" s="58">
        <f>IF('VCM-A8'!P8=0,"    -",ROUND('VCM-A8'!P37/'VCM-A8'!P8*100,1))</f>
        <v>96.6</v>
      </c>
      <c r="Q44" s="61">
        <f>IF('VCM-A8'!Q8=0,"    -",ROUND('VCM-A8'!Q37/'VCM-A8'!Q8*100,1))</f>
        <v>96.6</v>
      </c>
    </row>
    <row r="45" spans="2:17" ht="16.5" customHeight="1">
      <c r="B45" s="605" t="s">
        <v>435</v>
      </c>
      <c r="C45" s="606"/>
      <c r="D45" s="57" t="str">
        <f>IF('VCM-A8'!D9=0,"    -",ROUND('VCM-A8'!D38/'VCM-A8'!D9*100,1))</f>
        <v xml:space="preserve">    -</v>
      </c>
      <c r="E45" s="58" t="str">
        <f>IF('VCM-A8'!E9=0,"    -",ROUND('VCM-A8'!E38/'VCM-A8'!E9*100,1))</f>
        <v xml:space="preserve">    -</v>
      </c>
      <c r="F45" s="58" t="str">
        <f>IF('VCM-A8'!F9=0,"    -",ROUND('VCM-A8'!F38/'VCM-A8'!F9*100,1))</f>
        <v xml:space="preserve">    -</v>
      </c>
      <c r="G45" s="58" t="str">
        <f>IF('VCM-A8'!G9=0,"    -",ROUND('VCM-A8'!G38/'VCM-A8'!G9*100,1))</f>
        <v xml:space="preserve">    -</v>
      </c>
      <c r="H45" s="58" t="str">
        <f>IF('VCM-A8'!H9=0,"    -",ROUND('VCM-A8'!H38/'VCM-A8'!H9*100,1))</f>
        <v xml:space="preserve">    -</v>
      </c>
      <c r="I45" s="58" t="str">
        <f>IF('VCM-A8'!I9=0,"    -",ROUND('VCM-A8'!I38/'VCM-A8'!I9*100,1))</f>
        <v xml:space="preserve">    -</v>
      </c>
      <c r="J45" s="58" t="str">
        <f>IF('VCM-A8'!J9=0,"    -",ROUND('VCM-A8'!J38/'VCM-A8'!J9*100,1))</f>
        <v xml:space="preserve">    -</v>
      </c>
      <c r="K45" s="59" t="str">
        <f>IF('VCM-A8'!K9=0,"    -",ROUND('VCM-A8'!K38/'VCM-A8'!K9*100,1))</f>
        <v xml:space="preserve">    -</v>
      </c>
      <c r="L45" s="60" t="str">
        <f>IF('VCM-A8'!L9=0,"    -",ROUND('VCM-A8'!L38/'VCM-A8'!L9*100,1))</f>
        <v xml:space="preserve">    -</v>
      </c>
      <c r="M45" s="58" t="str">
        <f>IF('VCM-A8'!M9=0,"    -",ROUND('VCM-A8'!M38/'VCM-A8'!M9*100,1))</f>
        <v xml:space="preserve">    -</v>
      </c>
      <c r="N45" s="58" t="str">
        <f>IF('VCM-A8'!N9=0,"    -",ROUND('VCM-A8'!N38/'VCM-A8'!N9*100,1))</f>
        <v xml:space="preserve">    -</v>
      </c>
      <c r="O45" s="58" t="str">
        <f>IF('VCM-A8'!O9=0,"    -",ROUND('VCM-A8'!O38/'VCM-A8'!O9*100,1))</f>
        <v xml:space="preserve">    -</v>
      </c>
      <c r="P45" s="58" t="str">
        <f>IF('VCM-A8'!P9=0,"    -",ROUND('VCM-A8'!P38/'VCM-A8'!P9*100,1))</f>
        <v xml:space="preserve">    -</v>
      </c>
      <c r="Q45" s="61" t="str">
        <f>IF('VCM-A8'!Q9=0,"    -",ROUND('VCM-A8'!Q38/'VCM-A8'!Q9*100,1))</f>
        <v xml:space="preserve">    -</v>
      </c>
    </row>
    <row r="46" spans="2:17" ht="16.5" customHeight="1">
      <c r="B46" s="605" t="s">
        <v>436</v>
      </c>
      <c r="C46" s="606"/>
      <c r="D46" s="57">
        <f>IF('VCM-A8'!D10=0,"    -",ROUND('VCM-A8'!D39/'VCM-A8'!D10*100,1))</f>
        <v>51.8</v>
      </c>
      <c r="E46" s="58">
        <f>IF('VCM-A8'!E10=0,"    -",ROUND('VCM-A8'!E39/'VCM-A8'!E10*100,1))</f>
        <v>58.6</v>
      </c>
      <c r="F46" s="58">
        <f>IF('VCM-A8'!F10=0,"    -",ROUND('VCM-A8'!F39/'VCM-A8'!F10*100,1))</f>
        <v>64.2</v>
      </c>
      <c r="G46" s="58">
        <f>IF('VCM-A8'!G10=0,"    -",ROUND('VCM-A8'!G39/'VCM-A8'!G10*100,1))</f>
        <v>64.3</v>
      </c>
      <c r="H46" s="58">
        <f>IF('VCM-A8'!H10=0,"    -",ROUND('VCM-A8'!H39/'VCM-A8'!H10*100,1))</f>
        <v>70.5</v>
      </c>
      <c r="I46" s="58">
        <f>IF('VCM-A8'!I10=0,"    -",ROUND('VCM-A8'!I39/'VCM-A8'!I10*100,1))</f>
        <v>67.099999999999994</v>
      </c>
      <c r="J46" s="58">
        <f>IF('VCM-A8'!J10=0,"    -",ROUND('VCM-A8'!J39/'VCM-A8'!J10*100,1))</f>
        <v>70.400000000000006</v>
      </c>
      <c r="K46" s="59">
        <f>IF('VCM-A8'!K10=0,"    -",ROUND('VCM-A8'!K39/'VCM-A8'!K10*100,1))</f>
        <v>75.599999999999994</v>
      </c>
      <c r="L46" s="60">
        <f>IF('VCM-A8'!L10=0,"    -",ROUND('VCM-A8'!L39/'VCM-A8'!L10*100,1))</f>
        <v>79.400000000000006</v>
      </c>
      <c r="M46" s="58">
        <f>IF('VCM-A8'!M10=0,"    -",ROUND('VCM-A8'!M39/'VCM-A8'!M10*100,1))</f>
        <v>84.9</v>
      </c>
      <c r="N46" s="58">
        <f>IF('VCM-A8'!N10=0,"    -",ROUND('VCM-A8'!N39/'VCM-A8'!N10*100,1))</f>
        <v>90.2</v>
      </c>
      <c r="O46" s="58">
        <f>IF('VCM-A8'!O10=0,"    -",ROUND('VCM-A8'!O39/'VCM-A8'!O10*100,1))</f>
        <v>91.7</v>
      </c>
      <c r="P46" s="58">
        <f>IF('VCM-A8'!P10=0,"    -",ROUND('VCM-A8'!P39/'VCM-A8'!P10*100,1))</f>
        <v>94.5</v>
      </c>
      <c r="Q46" s="61">
        <f>IF('VCM-A8'!Q10=0,"    -",ROUND('VCM-A8'!Q39/'VCM-A8'!Q10*100,1))</f>
        <v>95.6</v>
      </c>
    </row>
    <row r="47" spans="2:17" ht="16.5" customHeight="1">
      <c r="B47" s="605" t="s">
        <v>437</v>
      </c>
      <c r="C47" s="606"/>
      <c r="D47" s="57">
        <f>IF('VCM-A8'!D11=0,"    -",ROUND('VCM-A8'!D40/'VCM-A8'!D11*100,1))</f>
        <v>90</v>
      </c>
      <c r="E47" s="58">
        <f>IF('VCM-A8'!E11=0,"    -",ROUND('VCM-A8'!E40/'VCM-A8'!E11*100,1))</f>
        <v>94.4</v>
      </c>
      <c r="F47" s="58">
        <f>IF('VCM-A8'!F11=0,"    -",ROUND('VCM-A8'!F40/'VCM-A8'!F11*100,1))</f>
        <v>96.1</v>
      </c>
      <c r="G47" s="58">
        <f>IF('VCM-A8'!G11=0,"    -",ROUND('VCM-A8'!G40/'VCM-A8'!G11*100,1))</f>
        <v>99.8</v>
      </c>
      <c r="H47" s="58">
        <f>IF('VCM-A8'!H11=0,"    -",ROUND('VCM-A8'!H40/'VCM-A8'!H11*100,1))</f>
        <v>87.7</v>
      </c>
      <c r="I47" s="58">
        <f>IF('VCM-A8'!I11=0,"    -",ROUND('VCM-A8'!I40/'VCM-A8'!I11*100,1))</f>
        <v>96.5</v>
      </c>
      <c r="J47" s="58">
        <f>IF('VCM-A8'!J11=0,"    -",ROUND('VCM-A8'!J40/'VCM-A8'!J11*100,1))</f>
        <v>89.3</v>
      </c>
      <c r="K47" s="59">
        <f>IF('VCM-A8'!K11=0,"    -",ROUND('VCM-A8'!K40/'VCM-A8'!K11*100,1))</f>
        <v>93.9</v>
      </c>
      <c r="L47" s="60">
        <f>IF('VCM-A8'!L11=0,"    -",ROUND('VCM-A8'!L40/'VCM-A8'!L11*100,1))</f>
        <v>87.9</v>
      </c>
      <c r="M47" s="58">
        <f>IF('VCM-A8'!M11=0,"    -",ROUND('VCM-A8'!M40/'VCM-A8'!M11*100,1))</f>
        <v>87.9</v>
      </c>
      <c r="N47" s="58">
        <f>IF('VCM-A8'!N11=0,"    -",ROUND('VCM-A8'!N40/'VCM-A8'!N11*100,1))</f>
        <v>87.9</v>
      </c>
      <c r="O47" s="58">
        <f>IF('VCM-A8'!O11=0,"    -",ROUND('VCM-A8'!O40/'VCM-A8'!O11*100,1))</f>
        <v>87.9</v>
      </c>
      <c r="P47" s="58">
        <f>IF('VCM-A8'!P11=0,"    -",ROUND('VCM-A8'!P40/'VCM-A8'!P11*100,1))</f>
        <v>87.9</v>
      </c>
      <c r="Q47" s="61">
        <f>IF('VCM-A8'!Q11=0,"    -",ROUND('VCM-A8'!Q40/'VCM-A8'!Q11*100,1))</f>
        <v>87.9</v>
      </c>
    </row>
    <row r="48" spans="2:17" ht="16.5" customHeight="1">
      <c r="B48" s="605" t="s">
        <v>438</v>
      </c>
      <c r="C48" s="606"/>
      <c r="D48" s="57">
        <f>IF('VCM-A8'!D12=0,"    -",ROUND('VCM-A8'!D41/'VCM-A8'!D12*100,1))</f>
        <v>98.2</v>
      </c>
      <c r="E48" s="58">
        <f>IF('VCM-A8'!E12=0,"    -",ROUND('VCM-A8'!E41/'VCM-A8'!E12*100,1))</f>
        <v>78.8</v>
      </c>
      <c r="F48" s="58">
        <f>IF('VCM-A8'!F12=0,"    -",ROUND('VCM-A8'!F41/'VCM-A8'!F12*100,1))</f>
        <v>98</v>
      </c>
      <c r="G48" s="58">
        <f>IF('VCM-A8'!G12=0,"    -",ROUND('VCM-A8'!G41/'VCM-A8'!G12*100,1))</f>
        <v>98</v>
      </c>
      <c r="H48" s="58">
        <f>IF('VCM-A8'!H12=0,"    -",ROUND('VCM-A8'!H41/'VCM-A8'!H12*100,1))</f>
        <v>98</v>
      </c>
      <c r="I48" s="58">
        <f>IF('VCM-A8'!I12=0,"    -",ROUND('VCM-A8'!I41/'VCM-A8'!I12*100,1))</f>
        <v>98</v>
      </c>
      <c r="J48" s="58">
        <f>IF('VCM-A8'!J12=0,"    -",ROUND('VCM-A8'!J41/'VCM-A8'!J12*100,1))</f>
        <v>98</v>
      </c>
      <c r="K48" s="59">
        <f>IF('VCM-A8'!K12=0,"    -",ROUND('VCM-A8'!K41/'VCM-A8'!K12*100,1))</f>
        <v>98</v>
      </c>
      <c r="L48" s="60">
        <f>IF('VCM-A8'!L12=0,"    -",ROUND('VCM-A8'!L41/'VCM-A8'!L12*100,1))</f>
        <v>106.7</v>
      </c>
      <c r="M48" s="58">
        <f>IF('VCM-A8'!M12=0,"    -",ROUND('VCM-A8'!M41/'VCM-A8'!M12*100,1))</f>
        <v>106.7</v>
      </c>
      <c r="N48" s="58">
        <f>IF('VCM-A8'!N12=0,"    -",ROUND('VCM-A8'!N41/'VCM-A8'!N12*100,1))</f>
        <v>106.7</v>
      </c>
      <c r="O48" s="58">
        <f>IF('VCM-A8'!O12=0,"    -",ROUND('VCM-A8'!O41/'VCM-A8'!O12*100,1))</f>
        <v>106.7</v>
      </c>
      <c r="P48" s="58">
        <f>IF('VCM-A8'!P12=0,"    -",ROUND('VCM-A8'!P41/'VCM-A8'!P12*100,1))</f>
        <v>106.7</v>
      </c>
      <c r="Q48" s="61">
        <f>IF('VCM-A8'!Q12=0,"    -",ROUND('VCM-A8'!Q41/'VCM-A8'!Q12*100,1))</f>
        <v>106.7</v>
      </c>
    </row>
    <row r="49" spans="2:17" ht="16.5" customHeight="1">
      <c r="B49" s="605" t="s">
        <v>439</v>
      </c>
      <c r="C49" s="606"/>
      <c r="D49" s="57">
        <f>IF('VCM-A8'!D13=0,"    -",ROUND('VCM-A8'!D42/'VCM-A8'!D13*100,1))</f>
        <v>100</v>
      </c>
      <c r="E49" s="58">
        <f>IF('VCM-A8'!E13=0,"    -",ROUND('VCM-A8'!E42/'VCM-A8'!E13*100,1))</f>
        <v>100.1</v>
      </c>
      <c r="F49" s="58">
        <f>IF('VCM-A8'!F13=0,"    -",ROUND('VCM-A8'!F42/'VCM-A8'!F13*100,1))</f>
        <v>100.1</v>
      </c>
      <c r="G49" s="58">
        <f>IF('VCM-A8'!G13=0,"    -",ROUND('VCM-A8'!G42/'VCM-A8'!G13*100,1))</f>
        <v>91.2</v>
      </c>
      <c r="H49" s="58">
        <f>IF('VCM-A8'!H13=0,"    -",ROUND('VCM-A8'!H42/'VCM-A8'!H13*100,1))</f>
        <v>96.7</v>
      </c>
      <c r="I49" s="58">
        <f>IF('VCM-A8'!I13=0,"    -",ROUND('VCM-A8'!I42/'VCM-A8'!I13*100,1))</f>
        <v>96.7</v>
      </c>
      <c r="J49" s="58">
        <f>IF('VCM-A8'!J13=0,"    -",ROUND('VCM-A8'!J42/'VCM-A8'!J13*100,1))</f>
        <v>80.5</v>
      </c>
      <c r="K49" s="59">
        <f>IF('VCM-A8'!K13=0,"    -",ROUND('VCM-A8'!K42/'VCM-A8'!K13*100,1))</f>
        <v>86.6</v>
      </c>
      <c r="L49" s="60">
        <f>IF('VCM-A8'!L13=0,"    -",ROUND('VCM-A8'!L42/'VCM-A8'!L13*100,1))</f>
        <v>91.6</v>
      </c>
      <c r="M49" s="58">
        <f>IF('VCM-A8'!M13=0,"    -",ROUND('VCM-A8'!M42/'VCM-A8'!M13*100,1))</f>
        <v>96.7</v>
      </c>
      <c r="N49" s="58">
        <f>IF('VCM-A8'!N13=0,"    -",ROUND('VCM-A8'!N42/'VCM-A8'!N13*100,1))</f>
        <v>96.7</v>
      </c>
      <c r="O49" s="58">
        <f>IF('VCM-A8'!O13=0,"    -",ROUND('VCM-A8'!O42/'VCM-A8'!O13*100,1))</f>
        <v>96.7</v>
      </c>
      <c r="P49" s="58">
        <f>IF('VCM-A8'!P13=0,"    -",ROUND('VCM-A8'!P42/'VCM-A8'!P13*100,1))</f>
        <v>96.7</v>
      </c>
      <c r="Q49" s="61">
        <f>IF('VCM-A8'!Q13=0,"    -",ROUND('VCM-A8'!Q42/'VCM-A8'!Q13*100,1))</f>
        <v>96.7</v>
      </c>
    </row>
    <row r="50" spans="2:17" ht="18" hidden="1" customHeight="1">
      <c r="B50" s="16"/>
      <c r="C50" s="90" t="s">
        <v>306</v>
      </c>
      <c r="D50" s="57" t="str">
        <f>IF('VCM-A8'!D14=0,"    -",ROUND('VCM-A8'!D43/'VCM-A8'!D14*100,1))</f>
        <v xml:space="preserve">    -</v>
      </c>
      <c r="E50" s="58" t="str">
        <f>IF('VCM-A8'!E14=0,"    -",ROUND('VCM-A8'!E43/'VCM-A8'!E14*100,1))</f>
        <v xml:space="preserve">    -</v>
      </c>
      <c r="F50" s="58" t="str">
        <f>IF('VCM-A8'!F14=0,"    -",ROUND('VCM-A8'!F43/'VCM-A8'!F14*100,1))</f>
        <v xml:space="preserve">    -</v>
      </c>
      <c r="G50" s="58" t="str">
        <f>IF('VCM-A8'!G14=0,"    -",ROUND('VCM-A8'!G43/'VCM-A8'!G14*100,1))</f>
        <v xml:space="preserve">    -</v>
      </c>
      <c r="H50" s="58" t="str">
        <f>IF('VCM-A8'!H14=0,"    -",ROUND('VCM-A8'!H43/'VCM-A8'!H14*100,1))</f>
        <v xml:space="preserve">    -</v>
      </c>
      <c r="I50" s="58" t="str">
        <f>IF('VCM-A8'!I14=0,"    -",ROUND('VCM-A8'!I43/'VCM-A8'!I14*100,1))</f>
        <v xml:space="preserve">    -</v>
      </c>
      <c r="J50" s="58" t="str">
        <f>IF('VCM-A8'!J14=0,"    -",ROUND('VCM-A8'!J43/'VCM-A8'!J14*100,1))</f>
        <v xml:space="preserve">    -</v>
      </c>
      <c r="K50" s="59" t="str">
        <f>IF('VCM-A8'!K14=0,"    -",ROUND('VCM-A8'!K43/'VCM-A8'!K14*100,1))</f>
        <v xml:space="preserve">    -</v>
      </c>
      <c r="L50" s="60" t="str">
        <f>IF('VCM-A8'!L14=0,"    -",ROUND('VCM-A8'!L43/'VCM-A8'!L14*100,1))</f>
        <v xml:space="preserve">    -</v>
      </c>
      <c r="M50" s="58" t="str">
        <f>IF('VCM-A8'!M14=0,"    -",ROUND('VCM-A8'!M43/'VCM-A8'!M14*100,1))</f>
        <v xml:space="preserve">    -</v>
      </c>
      <c r="N50" s="58" t="str">
        <f>IF('VCM-A8'!N14=0,"    -",ROUND('VCM-A8'!N43/'VCM-A8'!N14*100,1))</f>
        <v xml:space="preserve">    -</v>
      </c>
      <c r="O50" s="58" t="str">
        <f>IF('VCM-A8'!O14=0,"    -",ROUND('VCM-A8'!O43/'VCM-A8'!O14*100,1))</f>
        <v xml:space="preserve">    -</v>
      </c>
      <c r="P50" s="58" t="str">
        <f>IF('VCM-A8'!P14=0,"    -",ROUND('VCM-A8'!P43/'VCM-A8'!P14*100,1))</f>
        <v xml:space="preserve">    -</v>
      </c>
      <c r="Q50" s="61" t="str">
        <f>IF('VCM-A8'!Q14=0,"    -",ROUND('VCM-A8'!Q43/'VCM-A8'!Q14*100,1))</f>
        <v xml:space="preserve">    -</v>
      </c>
    </row>
    <row r="51" spans="2:17" ht="16.5" customHeight="1">
      <c r="B51" s="605" t="s">
        <v>440</v>
      </c>
      <c r="C51" s="606"/>
      <c r="D51" s="57" t="str">
        <f>IF('VCM-A8'!D15=0,"    -",ROUND('VCM-A8'!D44/'VCM-A8'!D15*100,1))</f>
        <v xml:space="preserve">    -</v>
      </c>
      <c r="E51" s="58" t="str">
        <f>IF('VCM-A8'!E15=0,"    -",ROUND('VCM-A8'!E44/'VCM-A8'!E15*100,1))</f>
        <v xml:space="preserve">    -</v>
      </c>
      <c r="F51" s="58" t="str">
        <f>IF('VCM-A8'!F15=0,"    -",ROUND('VCM-A8'!F44/'VCM-A8'!F15*100,1))</f>
        <v xml:space="preserve">    -</v>
      </c>
      <c r="G51" s="58" t="str">
        <f>IF('VCM-A8'!G15=0,"    -",ROUND('VCM-A8'!G44/'VCM-A8'!G15*100,1))</f>
        <v xml:space="preserve">    -</v>
      </c>
      <c r="H51" s="58" t="str">
        <f>IF('VCM-A8'!H15=0,"    -",ROUND('VCM-A8'!H44/'VCM-A8'!H15*100,1))</f>
        <v xml:space="preserve">    -</v>
      </c>
      <c r="I51" s="58" t="str">
        <f>IF('VCM-A8'!I15=0,"    -",ROUND('VCM-A8'!I44/'VCM-A8'!I15*100,1))</f>
        <v xml:space="preserve">    -</v>
      </c>
      <c r="J51" s="58" t="str">
        <f>IF('VCM-A8'!J15=0,"    -",ROUND('VCM-A8'!J44/'VCM-A8'!J15*100,1))</f>
        <v xml:space="preserve">    -</v>
      </c>
      <c r="K51" s="59" t="str">
        <f>IF('VCM-A8'!K15=0,"    -",ROUND('VCM-A8'!K44/'VCM-A8'!K15*100,1))</f>
        <v xml:space="preserve">    -</v>
      </c>
      <c r="L51" s="60" t="str">
        <f>IF('VCM-A8'!L15=0,"    -",ROUND('VCM-A8'!L44/'VCM-A8'!L15*100,1))</f>
        <v xml:space="preserve">    -</v>
      </c>
      <c r="M51" s="58" t="str">
        <f>IF('VCM-A8'!M15=0,"    -",ROUND('VCM-A8'!M44/'VCM-A8'!M15*100,1))</f>
        <v xml:space="preserve">    -</v>
      </c>
      <c r="N51" s="58" t="str">
        <f>IF('VCM-A8'!N15=0,"    -",ROUND('VCM-A8'!N44/'VCM-A8'!N15*100,1))</f>
        <v xml:space="preserve">    -</v>
      </c>
      <c r="O51" s="58" t="str">
        <f>IF('VCM-A8'!O15=0,"    -",ROUND('VCM-A8'!O44/'VCM-A8'!O15*100,1))</f>
        <v xml:space="preserve">    -</v>
      </c>
      <c r="P51" s="58" t="str">
        <f>IF('VCM-A8'!P15=0,"    -",ROUND('VCM-A8'!P44/'VCM-A8'!P15*100,1))</f>
        <v xml:space="preserve">    -</v>
      </c>
      <c r="Q51" s="61" t="str">
        <f>IF('VCM-A8'!Q15=0,"    -",ROUND('VCM-A8'!Q44/'VCM-A8'!Q15*100,1))</f>
        <v xml:space="preserve">    -</v>
      </c>
    </row>
    <row r="52" spans="2:17" ht="16.5" customHeight="1">
      <c r="B52" s="605" t="s">
        <v>441</v>
      </c>
      <c r="C52" s="606"/>
      <c r="D52" s="57">
        <f>IF('VCM-A8'!D16=0,"    -",ROUND('VCM-A8'!D45/'VCM-A8'!D16*100,1))</f>
        <v>63.1</v>
      </c>
      <c r="E52" s="58">
        <f>IF('VCM-A8'!E16=0,"    -",ROUND('VCM-A8'!E45/'VCM-A8'!E16*100,1))</f>
        <v>63.1</v>
      </c>
      <c r="F52" s="58">
        <f>IF('VCM-A8'!F16=0,"    -",ROUND('VCM-A8'!F45/'VCM-A8'!F16*100,1))</f>
        <v>63.1</v>
      </c>
      <c r="G52" s="58">
        <f>IF('VCM-A8'!G16=0,"    -",ROUND('VCM-A8'!G45/'VCM-A8'!G16*100,1))</f>
        <v>11.8</v>
      </c>
      <c r="H52" s="58" t="str">
        <f>IF('VCM-A8'!H16=0,"    -",ROUND('VCM-A8'!H45/'VCM-A8'!H16*100,1))</f>
        <v xml:space="preserve">    -</v>
      </c>
      <c r="I52" s="58" t="str">
        <f>IF('VCM-A8'!I16=0,"    -",ROUND('VCM-A8'!I45/'VCM-A8'!I16*100,1))</f>
        <v xml:space="preserve">    -</v>
      </c>
      <c r="J52" s="58" t="str">
        <f>IF('VCM-A8'!J16=0,"    -",ROUND('VCM-A8'!J45/'VCM-A8'!J16*100,1))</f>
        <v xml:space="preserve">    -</v>
      </c>
      <c r="K52" s="59" t="str">
        <f>IF('VCM-A8'!K16=0,"    -",ROUND('VCM-A8'!K45/'VCM-A8'!K16*100,1))</f>
        <v xml:space="preserve">    -</v>
      </c>
      <c r="L52" s="60" t="str">
        <f>IF('VCM-A8'!L16=0,"    -",ROUND('VCM-A8'!L45/'VCM-A8'!L16*100,1))</f>
        <v xml:space="preserve">    -</v>
      </c>
      <c r="M52" s="58" t="str">
        <f>IF('VCM-A8'!M16=0,"    -",ROUND('VCM-A8'!M45/'VCM-A8'!M16*100,1))</f>
        <v xml:space="preserve">    -</v>
      </c>
      <c r="N52" s="58" t="str">
        <f>IF('VCM-A8'!N16=0,"    -",ROUND('VCM-A8'!N45/'VCM-A8'!N16*100,1))</f>
        <v xml:space="preserve">    -</v>
      </c>
      <c r="O52" s="58" t="str">
        <f>IF('VCM-A8'!O16=0,"    -",ROUND('VCM-A8'!O45/'VCM-A8'!O16*100,1))</f>
        <v xml:space="preserve">    -</v>
      </c>
      <c r="P52" s="58" t="str">
        <f>IF('VCM-A8'!P16=0,"    -",ROUND('VCM-A8'!P45/'VCM-A8'!P16*100,1))</f>
        <v xml:space="preserve">    -</v>
      </c>
      <c r="Q52" s="61" t="str">
        <f>IF('VCM-A8'!Q16=0,"    -",ROUND('VCM-A8'!Q45/'VCM-A8'!Q16*100,1))</f>
        <v xml:space="preserve">    -</v>
      </c>
    </row>
    <row r="53" spans="2:17" ht="16.5" customHeight="1">
      <c r="B53" s="605" t="s">
        <v>442</v>
      </c>
      <c r="C53" s="606"/>
      <c r="D53" s="57" t="str">
        <f>IF('VCM-A8'!D17=0,"    -",ROUND('VCM-A8'!D46/'VCM-A8'!D17*100,1))</f>
        <v xml:space="preserve">    -</v>
      </c>
      <c r="E53" s="58" t="str">
        <f>IF('VCM-A8'!E17=0,"    -",ROUND('VCM-A8'!E46/'VCM-A8'!E17*100,1))</f>
        <v xml:space="preserve">    -</v>
      </c>
      <c r="F53" s="58" t="str">
        <f>IF('VCM-A8'!F17=0,"    -",ROUND('VCM-A8'!F46/'VCM-A8'!F17*100,1))</f>
        <v xml:space="preserve">    -</v>
      </c>
      <c r="G53" s="58" t="str">
        <f>IF('VCM-A8'!G17=0,"    -",ROUND('VCM-A8'!G46/'VCM-A8'!G17*100,1))</f>
        <v xml:space="preserve">    -</v>
      </c>
      <c r="H53" s="58" t="str">
        <f>IF('VCM-A8'!H17=0,"    -",ROUND('VCM-A8'!H46/'VCM-A8'!H17*100,1))</f>
        <v xml:space="preserve">    -</v>
      </c>
      <c r="I53" s="58" t="str">
        <f>IF('VCM-A8'!I17=0,"    -",ROUND('VCM-A8'!I46/'VCM-A8'!I17*100,1))</f>
        <v xml:space="preserve">    -</v>
      </c>
      <c r="J53" s="58" t="str">
        <f>IF('VCM-A8'!J17=0,"    -",ROUND('VCM-A8'!J46/'VCM-A8'!J17*100,1))</f>
        <v xml:space="preserve">    -</v>
      </c>
      <c r="K53" s="59" t="str">
        <f>IF('VCM-A8'!K17=0,"    -",ROUND('VCM-A8'!K46/'VCM-A8'!K17*100,1))</f>
        <v xml:space="preserve">    -</v>
      </c>
      <c r="L53" s="60" t="str">
        <f>IF('VCM-A8'!L17=0,"    -",ROUND('VCM-A8'!L46/'VCM-A8'!L17*100,1))</f>
        <v xml:space="preserve">    -</v>
      </c>
      <c r="M53" s="58" t="str">
        <f>IF('VCM-A8'!M17=0,"    -",ROUND('VCM-A8'!M46/'VCM-A8'!M17*100,1))</f>
        <v xml:space="preserve">    -</v>
      </c>
      <c r="N53" s="58" t="str">
        <f>IF('VCM-A8'!N17=0,"    -",ROUND('VCM-A8'!N46/'VCM-A8'!N17*100,1))</f>
        <v xml:space="preserve">    -</v>
      </c>
      <c r="O53" s="58" t="str">
        <f>IF('VCM-A8'!O17=0,"    -",ROUND('VCM-A8'!O46/'VCM-A8'!O17*100,1))</f>
        <v xml:space="preserve">    -</v>
      </c>
      <c r="P53" s="58" t="str">
        <f>IF('VCM-A8'!P17=0,"    -",ROUND('VCM-A8'!P46/'VCM-A8'!P17*100,1))</f>
        <v xml:space="preserve">    -</v>
      </c>
      <c r="Q53" s="61" t="str">
        <f>IF('VCM-A8'!Q17=0,"    -",ROUND('VCM-A8'!Q46/'VCM-A8'!Q17*100,1))</f>
        <v xml:space="preserve">    -</v>
      </c>
    </row>
    <row r="54" spans="2:17" ht="16.5" customHeight="1">
      <c r="B54" s="607" t="s">
        <v>443</v>
      </c>
      <c r="C54" s="608"/>
      <c r="D54" s="57">
        <f>IF('VCM-A8'!D18=0,"    -",ROUND('VCM-A8'!D47/'VCM-A8'!D18*100,1))</f>
        <v>83.5</v>
      </c>
      <c r="E54" s="58">
        <f>IF('VCM-A8'!E18=0,"    -",ROUND('VCM-A8'!E47/'VCM-A8'!E18*100,1))</f>
        <v>97.3</v>
      </c>
      <c r="F54" s="58">
        <f>IF('VCM-A8'!F18=0,"    -",ROUND('VCM-A8'!F47/'VCM-A8'!F18*100,1))</f>
        <v>73</v>
      </c>
      <c r="G54" s="58">
        <f>IF('VCM-A8'!G18=0,"    -",ROUND('VCM-A8'!G47/'VCM-A8'!G18*100,1))</f>
        <v>89.1</v>
      </c>
      <c r="H54" s="58">
        <f>IF('VCM-A8'!H18=0,"    -",ROUND('VCM-A8'!H47/'VCM-A8'!H18*100,1))</f>
        <v>88.2</v>
      </c>
      <c r="I54" s="58">
        <f>IF('VCM-A8'!I18=0,"    -",ROUND('VCM-A8'!I47/'VCM-A8'!I18*100,1))</f>
        <v>92</v>
      </c>
      <c r="J54" s="58">
        <f>IF('VCM-A8'!J18=0,"    -",ROUND('VCM-A8'!J47/'VCM-A8'!J18*100,1))</f>
        <v>93.3</v>
      </c>
      <c r="K54" s="59">
        <f>IF('VCM-A8'!K18=0,"    -",ROUND('VCM-A8'!K47/'VCM-A8'!K18*100,1))</f>
        <v>98.2</v>
      </c>
      <c r="L54" s="60">
        <f>IF('VCM-A8'!L18=0,"    -",ROUND('VCM-A8'!L47/'VCM-A8'!L18*100,1))</f>
        <v>96.3</v>
      </c>
      <c r="M54" s="58">
        <f>IF('VCM-A8'!M18=0,"    -",ROUND('VCM-A8'!M47/'VCM-A8'!M18*100,1))</f>
        <v>97</v>
      </c>
      <c r="N54" s="58">
        <f>IF('VCM-A8'!N18=0,"    -",ROUND('VCM-A8'!N47/'VCM-A8'!N18*100,1))</f>
        <v>97</v>
      </c>
      <c r="O54" s="58">
        <f>IF('VCM-A8'!O18=0,"    -",ROUND('VCM-A8'!O47/'VCM-A8'!O18*100,1))</f>
        <v>97</v>
      </c>
      <c r="P54" s="58">
        <f>IF('VCM-A8'!P18=0,"    -",ROUND('VCM-A8'!P47/'VCM-A8'!P18*100,1))</f>
        <v>97</v>
      </c>
      <c r="Q54" s="61">
        <f>IF('VCM-A8'!Q18=0,"    -",ROUND('VCM-A8'!Q47/'VCM-A8'!Q18*100,1))</f>
        <v>97</v>
      </c>
    </row>
    <row r="55" spans="2:17" ht="17.25" customHeight="1">
      <c r="B55" s="674" t="s">
        <v>307</v>
      </c>
      <c r="C55" s="675"/>
      <c r="D55" s="74">
        <f>IF('VCM-A8'!D19=0,"    -",ROUND('VCM-A8'!D48/'VCM-A8'!D19*100,1))</f>
        <v>64.5</v>
      </c>
      <c r="E55" s="75">
        <f>IF('VCM-A8'!E19=0,"    -",ROUND('VCM-A8'!E48/'VCM-A8'!E19*100,1))</f>
        <v>68.599999999999994</v>
      </c>
      <c r="F55" s="75">
        <f>IF('VCM-A8'!F19=0,"    -",ROUND('VCM-A8'!F48/'VCM-A8'!F19*100,1))</f>
        <v>70.7</v>
      </c>
      <c r="G55" s="75">
        <f>IF('VCM-A8'!G19=0,"    -",ROUND('VCM-A8'!G48/'VCM-A8'!G19*100,1))</f>
        <v>71.599999999999994</v>
      </c>
      <c r="H55" s="75">
        <f>IF('VCM-A8'!H19=0,"    -",ROUND('VCM-A8'!H48/'VCM-A8'!H19*100,1))</f>
        <v>76.5</v>
      </c>
      <c r="I55" s="75">
        <f>IF('VCM-A8'!I19=0,"    -",ROUND('VCM-A8'!I48/'VCM-A8'!I19*100,1))</f>
        <v>75</v>
      </c>
      <c r="J55" s="75">
        <f>IF('VCM-A8'!J19=0,"    -",ROUND('VCM-A8'!J48/'VCM-A8'!J19*100,1))</f>
        <v>77.099999999999994</v>
      </c>
      <c r="K55" s="76">
        <f>IF('VCM-A8'!K19=0,"    -",ROUND('VCM-A8'!K48/'VCM-A8'!K19*100,1))</f>
        <v>81.5</v>
      </c>
      <c r="L55" s="77">
        <f>IF('VCM-A8'!L19=0,"    -",ROUND('VCM-A8'!L48/'VCM-A8'!L19*100,1))</f>
        <v>84.1</v>
      </c>
      <c r="M55" s="75">
        <f>IF('VCM-A8'!M19=0,"    -",ROUND('VCM-A8'!M48/'VCM-A8'!M19*100,1))</f>
        <v>88.2</v>
      </c>
      <c r="N55" s="75">
        <f>IF('VCM-A8'!N19=0,"    -",ROUND('VCM-A8'!N48/'VCM-A8'!N19*100,1))</f>
        <v>92.1</v>
      </c>
      <c r="O55" s="75">
        <f>IF('VCM-A8'!O19=0,"    -",ROUND('VCM-A8'!O48/'VCM-A8'!O19*100,1))</f>
        <v>93.4</v>
      </c>
      <c r="P55" s="75">
        <f>IF('VCM-A8'!P19=0,"    -",ROUND('VCM-A8'!P48/'VCM-A8'!P19*100,1))</f>
        <v>95.4</v>
      </c>
      <c r="Q55" s="78">
        <f>IF('VCM-A8'!Q19=0,"    -",ROUND('VCM-A8'!Q48/'VCM-A8'!Q19*100,1))</f>
        <v>96.2</v>
      </c>
    </row>
    <row r="56" spans="2:17" ht="17.25" customHeight="1">
      <c r="B56" s="672" t="s">
        <v>308</v>
      </c>
      <c r="C56" s="673"/>
      <c r="D56" s="135" t="str">
        <f>IF('VCM-A8'!D20=0,"    -",ROUND('VCM-A8'!D49/'VCM-A8'!D20*100,1))</f>
        <v xml:space="preserve">    -</v>
      </c>
      <c r="E56" s="136" t="str">
        <f>IF('VCM-A8'!E20=0,"    -",ROUND('VCM-A8'!E49/'VCM-A8'!E20*100,1))</f>
        <v xml:space="preserve">    -</v>
      </c>
      <c r="F56" s="136" t="str">
        <f>IF('VCM-A8'!F20=0,"    -",ROUND('VCM-A8'!F49/'VCM-A8'!F20*100,1))</f>
        <v xml:space="preserve">    -</v>
      </c>
      <c r="G56" s="136" t="str">
        <f>IF('VCM-A8'!G20=0,"    -",ROUND('VCM-A8'!G49/'VCM-A8'!G20*100,1))</f>
        <v xml:space="preserve">    -</v>
      </c>
      <c r="H56" s="136" t="str">
        <f>IF('VCM-A8'!H20=0,"    -",ROUND('VCM-A8'!H49/'VCM-A8'!H20*100,1))</f>
        <v xml:space="preserve">    -</v>
      </c>
      <c r="I56" s="136" t="str">
        <f>IF('VCM-A8'!I20=0,"    -",ROUND('VCM-A8'!I49/'VCM-A8'!I20*100,1))</f>
        <v xml:space="preserve">    -</v>
      </c>
      <c r="J56" s="136" t="str">
        <f>IF('VCM-A8'!J20=0,"    -",ROUND('VCM-A8'!J49/'VCM-A8'!J20*100,1))</f>
        <v xml:space="preserve">    -</v>
      </c>
      <c r="K56" s="137" t="str">
        <f>IF('VCM-A8'!K20=0,"    -",ROUND('VCM-A8'!K49/'VCM-A8'!K20*100,1))</f>
        <v xml:space="preserve">    -</v>
      </c>
      <c r="L56" s="135" t="str">
        <f>IF('VCM-A8'!L20=0,"    -",ROUND('VCM-A8'!L49/'VCM-A8'!L20*100,1))</f>
        <v xml:space="preserve">    -</v>
      </c>
      <c r="M56" s="136" t="str">
        <f>IF('VCM-A8'!M20=0,"    -",ROUND('VCM-A8'!M49/'VCM-A8'!M20*100,1))</f>
        <v xml:space="preserve">    -</v>
      </c>
      <c r="N56" s="136" t="str">
        <f>IF('VCM-A8'!N20=0,"    -",ROUND('VCM-A8'!N49/'VCM-A8'!N20*100,1))</f>
        <v xml:space="preserve">    -</v>
      </c>
      <c r="O56" s="136" t="str">
        <f>IF('VCM-A8'!O20=0,"    -",ROUND('VCM-A8'!O49/'VCM-A8'!O20*100,1))</f>
        <v xml:space="preserve">    -</v>
      </c>
      <c r="P56" s="136" t="str">
        <f>IF('VCM-A8'!P20=0,"    -",ROUND('VCM-A8'!P49/'VCM-A8'!P20*100,1))</f>
        <v xml:space="preserve">    -</v>
      </c>
      <c r="Q56" s="137" t="str">
        <f>IF('VCM-A8'!Q20=0,"    -",ROUND('VCM-A8'!Q49/'VCM-A8'!Q20*100,1))</f>
        <v xml:space="preserve">    -</v>
      </c>
    </row>
    <row r="57" spans="2:17" ht="16.5" customHeight="1">
      <c r="B57" s="105"/>
      <c r="C57" s="97" t="s">
        <v>309</v>
      </c>
      <c r="D57" s="135" t="str">
        <f>IF('VCM-A8'!D21=0,"    -",ROUND('VCM-A8'!D50/'VCM-A8'!D21*100,1))</f>
        <v xml:space="preserve">    -</v>
      </c>
      <c r="E57" s="136" t="str">
        <f>IF('VCM-A8'!E21=0,"    -",ROUND('VCM-A8'!E50/'VCM-A8'!E21*100,1))</f>
        <v xml:space="preserve">    -</v>
      </c>
      <c r="F57" s="136" t="str">
        <f>IF('VCM-A8'!F21=0,"    -",ROUND('VCM-A8'!F50/'VCM-A8'!F21*100,1))</f>
        <v xml:space="preserve">    -</v>
      </c>
      <c r="G57" s="136" t="str">
        <f>IF('VCM-A8'!G21=0,"    -",ROUND('VCM-A8'!G50/'VCM-A8'!G21*100,1))</f>
        <v xml:space="preserve">    -</v>
      </c>
      <c r="H57" s="136" t="str">
        <f>IF('VCM-A8'!H21=0,"    -",ROUND('VCM-A8'!H50/'VCM-A8'!H21*100,1))</f>
        <v xml:space="preserve">    -</v>
      </c>
      <c r="I57" s="136" t="str">
        <f>IF('VCM-A8'!I21=0,"    -",ROUND('VCM-A8'!I50/'VCM-A8'!I21*100,1))</f>
        <v xml:space="preserve">    -</v>
      </c>
      <c r="J57" s="136" t="str">
        <f>IF('VCM-A8'!J21=0,"    -",ROUND('VCM-A8'!J50/'VCM-A8'!J21*100,1))</f>
        <v xml:space="preserve">    -</v>
      </c>
      <c r="K57" s="137" t="str">
        <f>IF('VCM-A8'!K21=0,"    -",ROUND('VCM-A8'!K50/'VCM-A8'!K21*100,1))</f>
        <v xml:space="preserve">    -</v>
      </c>
      <c r="L57" s="135" t="str">
        <f>IF('VCM-A8'!L21=0,"    -",ROUND('VCM-A8'!L50/'VCM-A8'!L21*100,1))</f>
        <v xml:space="preserve">    -</v>
      </c>
      <c r="M57" s="136" t="str">
        <f>IF('VCM-A8'!M21=0,"    -",ROUND('VCM-A8'!M50/'VCM-A8'!M21*100,1))</f>
        <v xml:space="preserve">    -</v>
      </c>
      <c r="N57" s="136" t="str">
        <f>IF('VCM-A8'!N21=0,"    -",ROUND('VCM-A8'!N50/'VCM-A8'!N21*100,1))</f>
        <v xml:space="preserve">    -</v>
      </c>
      <c r="O57" s="136" t="str">
        <f>IF('VCM-A8'!O21=0,"    -",ROUND('VCM-A8'!O50/'VCM-A8'!O21*100,1))</f>
        <v xml:space="preserve">    -</v>
      </c>
      <c r="P57" s="136" t="str">
        <f>IF('VCM-A8'!P21=0,"    -",ROUND('VCM-A8'!P50/'VCM-A8'!P21*100,1))</f>
        <v xml:space="preserve">    -</v>
      </c>
      <c r="Q57" s="137" t="str">
        <f>IF('VCM-A8'!Q21=0,"    -",ROUND('VCM-A8'!Q50/'VCM-A8'!Q21*100,1))</f>
        <v xml:space="preserve">    -</v>
      </c>
    </row>
    <row r="58" spans="2:17" ht="17.25" customHeight="1">
      <c r="B58" s="672" t="s">
        <v>310</v>
      </c>
      <c r="C58" s="673"/>
      <c r="D58" s="57">
        <f>IF('VCM-A8'!D22=0,"    -",ROUND('VCM-A8'!D51/'VCM-A8'!D22*100,1))</f>
        <v>77.400000000000006</v>
      </c>
      <c r="E58" s="58">
        <f>IF('VCM-A8'!E22=0,"    -",ROUND('VCM-A8'!E51/'VCM-A8'!E22*100,1))</f>
        <v>80.2</v>
      </c>
      <c r="F58" s="58">
        <f>IF('VCM-A8'!F22=0,"    -",ROUND('VCM-A8'!F51/'VCM-A8'!F22*100,1))</f>
        <v>78.8</v>
      </c>
      <c r="G58" s="58">
        <f>IF('VCM-A8'!G22=0,"    -",ROUND('VCM-A8'!G51/'VCM-A8'!G22*100,1))</f>
        <v>81.5</v>
      </c>
      <c r="H58" s="58">
        <f>IF('VCM-A8'!H22=0,"    -",ROUND('VCM-A8'!H51/'VCM-A8'!H22*100,1))</f>
        <v>81.7</v>
      </c>
      <c r="I58" s="58">
        <f>IF('VCM-A8'!I22=0,"    -",ROUND('VCM-A8'!I51/'VCM-A8'!I22*100,1))</f>
        <v>78.5</v>
      </c>
      <c r="J58" s="58">
        <f>IF('VCM-A8'!J22=0,"    -",ROUND('VCM-A8'!J51/'VCM-A8'!J22*100,1))</f>
        <v>80.8</v>
      </c>
      <c r="K58" s="59">
        <f>IF('VCM-A8'!K22=0,"    -",ROUND('VCM-A8'!K51/'VCM-A8'!K22*100,1))</f>
        <v>83.7</v>
      </c>
      <c r="L58" s="57">
        <f>IF('VCM-A8'!L22=0,"    -",ROUND('VCM-A8'!L51/'VCM-A8'!L22*100,1))</f>
        <v>85.8</v>
      </c>
      <c r="M58" s="58">
        <f>IF('VCM-A8'!M22=0,"    -",ROUND('VCM-A8'!M51/'VCM-A8'!M22*100,1))</f>
        <v>86.5</v>
      </c>
      <c r="N58" s="58">
        <f>IF('VCM-A8'!N22=0,"    -",ROUND('VCM-A8'!N51/'VCM-A8'!N22*100,1))</f>
        <v>86.2</v>
      </c>
      <c r="O58" s="58">
        <f>IF('VCM-A8'!O22=0,"    -",ROUND('VCM-A8'!O51/'VCM-A8'!O22*100,1))</f>
        <v>84.8</v>
      </c>
      <c r="P58" s="58">
        <f>IF('VCM-A8'!P22=0,"    -",ROUND('VCM-A8'!P51/'VCM-A8'!P22*100,1))</f>
        <v>85.2</v>
      </c>
      <c r="Q58" s="59">
        <f>IF('VCM-A8'!Q22=0,"    -",ROUND('VCM-A8'!Q51/'VCM-A8'!Q22*100,1))</f>
        <v>85</v>
      </c>
    </row>
    <row r="59" spans="2:17" ht="16.5" customHeight="1">
      <c r="B59" s="105"/>
      <c r="C59" s="615" t="s">
        <v>311</v>
      </c>
      <c r="D59" s="74">
        <f>IF('VCM-A8'!D23=0,"    -",ROUND('VCM-A8'!D52/'VCM-A8'!D23*100,1))</f>
        <v>86.3</v>
      </c>
      <c r="E59" s="75">
        <f>IF('VCM-A8'!E23=0,"    -",ROUND('VCM-A8'!E52/'VCM-A8'!E23*100,1))</f>
        <v>83.7</v>
      </c>
      <c r="F59" s="75">
        <f>IF('VCM-A8'!F23=0,"    -",ROUND('VCM-A8'!F52/'VCM-A8'!F23*100,1))</f>
        <v>81.400000000000006</v>
      </c>
      <c r="G59" s="75">
        <f>IF('VCM-A8'!G23=0,"    -",ROUND('VCM-A8'!G52/'VCM-A8'!G23*100,1))</f>
        <v>84.5</v>
      </c>
      <c r="H59" s="75">
        <f>IF('VCM-A8'!H23=0,"    -",ROUND('VCM-A8'!H52/'VCM-A8'!H23*100,1))</f>
        <v>85.4</v>
      </c>
      <c r="I59" s="75">
        <f>IF('VCM-A8'!I23=0,"    -",ROUND('VCM-A8'!I52/'VCM-A8'!I23*100,1))</f>
        <v>80.8</v>
      </c>
      <c r="J59" s="75">
        <f>IF('VCM-A8'!J23=0,"    -",ROUND('VCM-A8'!J52/'VCM-A8'!J23*100,1))</f>
        <v>82.9</v>
      </c>
      <c r="K59" s="76">
        <f>IF('VCM-A8'!K23=0,"    -",ROUND('VCM-A8'!K52/'VCM-A8'!K23*100,1))</f>
        <v>84.9</v>
      </c>
      <c r="L59" s="74">
        <f>IF('VCM-A8'!L23=0,"    -",ROUND('VCM-A8'!L52/'VCM-A8'!L23*100,1))</f>
        <v>87.1</v>
      </c>
      <c r="M59" s="75">
        <f>IF('VCM-A8'!M23=0,"    -",ROUND('VCM-A8'!M52/'VCM-A8'!M23*100,1))</f>
        <v>87.8</v>
      </c>
      <c r="N59" s="75">
        <f>IF('VCM-A8'!N23=0,"    -",ROUND('VCM-A8'!N52/'VCM-A8'!N23*100,1))</f>
        <v>87.3</v>
      </c>
      <c r="O59" s="75">
        <f>IF('VCM-A8'!O23=0,"    -",ROUND('VCM-A8'!O52/'VCM-A8'!O23*100,1))</f>
        <v>85.6</v>
      </c>
      <c r="P59" s="75">
        <f>IF('VCM-A8'!P23=0,"    -",ROUND('VCM-A8'!P52/'VCM-A8'!P23*100,1))</f>
        <v>85.7</v>
      </c>
      <c r="Q59" s="76">
        <f>IF('VCM-A8'!Q23=0,"    -",ROUND('VCM-A8'!Q52/'VCM-A8'!Q23*100,1))</f>
        <v>85.7</v>
      </c>
    </row>
    <row r="60" spans="2:17" ht="17.25" customHeight="1">
      <c r="B60" s="672" t="s">
        <v>312</v>
      </c>
      <c r="C60" s="673"/>
      <c r="D60" s="57">
        <f>IF('VCM-A8'!D24=0,"    -",ROUND('VCM-A8'!D53/'VCM-A8'!D24*100,1))</f>
        <v>94.5</v>
      </c>
      <c r="E60" s="58">
        <f>IF('VCM-A8'!E24=0,"    -",ROUND('VCM-A8'!E53/'VCM-A8'!E24*100,1))</f>
        <v>63</v>
      </c>
      <c r="F60" s="58">
        <f>IF('VCM-A8'!F24=0,"    -",ROUND('VCM-A8'!F53/'VCM-A8'!F24*100,1))</f>
        <v>64.3</v>
      </c>
      <c r="G60" s="58">
        <f>IF('VCM-A8'!G24=0,"    -",ROUND('VCM-A8'!G53/'VCM-A8'!G24*100,1))</f>
        <v>75.599999999999994</v>
      </c>
      <c r="H60" s="58">
        <f>IF('VCM-A8'!H24=0,"    -",ROUND('VCM-A8'!H53/'VCM-A8'!H24*100,1))</f>
        <v>88.7</v>
      </c>
      <c r="I60" s="58">
        <f>IF('VCM-A8'!I24=0,"    -",ROUND('VCM-A8'!I53/'VCM-A8'!I24*100,1))</f>
        <v>95.3</v>
      </c>
      <c r="J60" s="58">
        <f>IF('VCM-A8'!J24=0,"    -",ROUND('VCM-A8'!J53/'VCM-A8'!J24*100,1))</f>
        <v>87.4</v>
      </c>
      <c r="K60" s="59">
        <f>IF('VCM-A8'!K24=0,"    -",ROUND('VCM-A8'!K53/'VCM-A8'!K24*100,1))</f>
        <v>94.2</v>
      </c>
      <c r="L60" s="57">
        <f>IF('VCM-A8'!L24=0,"    -",ROUND('VCM-A8'!L53/'VCM-A8'!L24*100,1))</f>
        <v>97.1</v>
      </c>
      <c r="M60" s="58">
        <f>IF('VCM-A8'!M24=0,"    -",ROUND('VCM-A8'!M53/'VCM-A8'!M24*100,1))</f>
        <v>99.4</v>
      </c>
      <c r="N60" s="58">
        <f>IF('VCM-A8'!N24=0,"    -",ROUND('VCM-A8'!N53/'VCM-A8'!N24*100,1))</f>
        <v>84.2</v>
      </c>
      <c r="O60" s="58">
        <f>IF('VCM-A8'!O24=0,"    -",ROUND('VCM-A8'!O53/'VCM-A8'!O24*100,1))</f>
        <v>88.4</v>
      </c>
      <c r="P60" s="58">
        <f>IF('VCM-A8'!P24=0,"    -",ROUND('VCM-A8'!P53/'VCM-A8'!P24*100,1))</f>
        <v>90.9</v>
      </c>
      <c r="Q60" s="59">
        <f>IF('VCM-A8'!Q24=0,"    -",ROUND('VCM-A8'!Q53/'VCM-A8'!Q24*100,1))</f>
        <v>91.6</v>
      </c>
    </row>
    <row r="61" spans="2:17" ht="16.5" customHeight="1">
      <c r="B61" s="16"/>
      <c r="C61" s="615" t="s">
        <v>313</v>
      </c>
      <c r="D61" s="74" t="str">
        <f>IF('VCM-A8'!D25=0,"    -",ROUND('VCM-A8'!D54/'VCM-A8'!D25*100,1))</f>
        <v xml:space="preserve">    -</v>
      </c>
      <c r="E61" s="75">
        <f>IF('VCM-A8'!E25=0,"    -",ROUND('VCM-A8'!E54/'VCM-A8'!E25*100,1))</f>
        <v>86</v>
      </c>
      <c r="F61" s="75">
        <f>IF('VCM-A8'!F25=0,"    -",ROUND('VCM-A8'!F54/'VCM-A8'!F25*100,1))</f>
        <v>77.400000000000006</v>
      </c>
      <c r="G61" s="75">
        <f>IF('VCM-A8'!G25=0,"    -",ROUND('VCM-A8'!G54/'VCM-A8'!G25*100,1))</f>
        <v>81.400000000000006</v>
      </c>
      <c r="H61" s="75">
        <f>IF('VCM-A8'!H25=0,"    -",ROUND('VCM-A8'!H54/'VCM-A8'!H25*100,1))</f>
        <v>81.599999999999994</v>
      </c>
      <c r="I61" s="75">
        <f>IF('VCM-A8'!I25=0,"    -",ROUND('VCM-A8'!I54/'VCM-A8'!I25*100,1))</f>
        <v>92</v>
      </c>
      <c r="J61" s="75">
        <f>IF('VCM-A8'!J25=0,"    -",ROUND('VCM-A8'!J54/'VCM-A8'!J25*100,1))</f>
        <v>86</v>
      </c>
      <c r="K61" s="76">
        <f>IF('VCM-A8'!K25=0,"    -",ROUND('VCM-A8'!K54/'VCM-A8'!K25*100,1))</f>
        <v>90</v>
      </c>
      <c r="L61" s="74">
        <f>IF('VCM-A8'!L25=0,"    -",ROUND('VCM-A8'!L54/'VCM-A8'!L25*100,1))</f>
        <v>92</v>
      </c>
      <c r="M61" s="75">
        <f>IF('VCM-A8'!M25=0,"    -",ROUND('VCM-A8'!M54/'VCM-A8'!M25*100,1))</f>
        <v>94</v>
      </c>
      <c r="N61" s="75">
        <f>IF('VCM-A8'!N25=0,"    -",ROUND('VCM-A8'!N54/'VCM-A8'!N25*100,1))</f>
        <v>94</v>
      </c>
      <c r="O61" s="75">
        <f>IF('VCM-A8'!O25=0,"    -",ROUND('VCM-A8'!O54/'VCM-A8'!O25*100,1))</f>
        <v>94</v>
      </c>
      <c r="P61" s="75">
        <f>IF('VCM-A8'!P25=0,"    -",ROUND('VCM-A8'!P54/'VCM-A8'!P25*100,1))</f>
        <v>94</v>
      </c>
      <c r="Q61" s="76">
        <f>IF('VCM-A8'!Q25=0,"    -",ROUND('VCM-A8'!Q54/'VCM-A8'!Q25*100,1))</f>
        <v>94</v>
      </c>
    </row>
    <row r="62" spans="2:17" ht="17.25" customHeight="1">
      <c r="B62" s="674" t="s">
        <v>314</v>
      </c>
      <c r="C62" s="675"/>
      <c r="D62" s="57">
        <f>IF('VCM-A8'!D26=0,"    -",ROUND('VCM-A8'!D55/'VCM-A8'!D26*100,1))</f>
        <v>87.9</v>
      </c>
      <c r="E62" s="58">
        <f>IF('VCM-A8'!E26=0,"    -",ROUND('VCM-A8'!E55/'VCM-A8'!E26*100,1))</f>
        <v>42.2</v>
      </c>
      <c r="F62" s="58">
        <f>IF('VCM-A8'!F26=0,"    -",ROUND('VCM-A8'!F55/'VCM-A8'!F26*100,1))</f>
        <v>43.2</v>
      </c>
      <c r="G62" s="58">
        <f>IF('VCM-A8'!G26=0,"    -",ROUND('VCM-A8'!G55/'VCM-A8'!G26*100,1))</f>
        <v>49.7</v>
      </c>
      <c r="H62" s="58">
        <f>IF('VCM-A8'!H26=0,"    -",ROUND('VCM-A8'!H55/'VCM-A8'!H26*100,1))</f>
        <v>46.3</v>
      </c>
      <c r="I62" s="58">
        <f>IF('VCM-A8'!I26=0,"    -",ROUND('VCM-A8'!I55/'VCM-A8'!I26*100,1))</f>
        <v>46.7</v>
      </c>
      <c r="J62" s="58">
        <f>IF('VCM-A8'!J26=0,"    -",ROUND('VCM-A8'!J55/'VCM-A8'!J26*100,1))</f>
        <v>49.7</v>
      </c>
      <c r="K62" s="59">
        <f>IF('VCM-A8'!K26=0,"    -",ROUND('VCM-A8'!K55/'VCM-A8'!K26*100,1))</f>
        <v>56.8</v>
      </c>
      <c r="L62" s="57">
        <f>IF('VCM-A8'!L26=0,"    -",ROUND('VCM-A8'!L55/'VCM-A8'!L26*100,1))</f>
        <v>62.1</v>
      </c>
      <c r="M62" s="58">
        <f>IF('VCM-A8'!M26=0,"    -",ROUND('VCM-A8'!M55/'VCM-A8'!M26*100,1))</f>
        <v>67.5</v>
      </c>
      <c r="N62" s="58">
        <f>IF('VCM-A8'!N26=0,"    -",ROUND('VCM-A8'!N55/'VCM-A8'!N26*100,1))</f>
        <v>72.8</v>
      </c>
      <c r="O62" s="58">
        <f>IF('VCM-A8'!O26=0,"    -",ROUND('VCM-A8'!O55/'VCM-A8'!O26*100,1))</f>
        <v>77.5</v>
      </c>
      <c r="P62" s="58">
        <f>IF('VCM-A8'!P26=0,"    -",ROUND('VCM-A8'!P55/'VCM-A8'!P26*100,1))</f>
        <v>82.8</v>
      </c>
      <c r="Q62" s="59">
        <f>IF('VCM-A8'!Q26=0,"    -",ROUND('VCM-A8'!Q55/'VCM-A8'!Q26*100,1))</f>
        <v>87.6</v>
      </c>
    </row>
    <row r="63" spans="2:17" ht="17.25" customHeight="1">
      <c r="B63" s="674" t="s">
        <v>315</v>
      </c>
      <c r="C63" s="675"/>
      <c r="D63" s="74">
        <f>IF('VCM-A8'!D27=0,"    -",ROUND('VCM-A8'!D56/'VCM-A8'!D27*100,1))</f>
        <v>100</v>
      </c>
      <c r="E63" s="75">
        <f>IF('VCM-A8'!E27=0,"    -",ROUND('VCM-A8'!E56/'VCM-A8'!E27*100,1))</f>
        <v>100</v>
      </c>
      <c r="F63" s="75">
        <f>IF('VCM-A8'!F27=0,"    -",ROUND('VCM-A8'!F56/'VCM-A8'!F27*100,1))</f>
        <v>100</v>
      </c>
      <c r="G63" s="75">
        <f>IF('VCM-A8'!G27=0,"    -",ROUND('VCM-A8'!G56/'VCM-A8'!G27*100,1))</f>
        <v>100</v>
      </c>
      <c r="H63" s="75">
        <f>IF('VCM-A8'!H27=0,"    -",ROUND('VCM-A8'!H56/'VCM-A8'!H27*100,1))</f>
        <v>61.9</v>
      </c>
      <c r="I63" s="75">
        <f>IF('VCM-A8'!I27=0,"    -",ROUND('VCM-A8'!I56/'VCM-A8'!I27*100,1))</f>
        <v>56.3</v>
      </c>
      <c r="J63" s="75">
        <f>IF('VCM-A8'!J27=0,"    -",ROUND('VCM-A8'!J56/'VCM-A8'!J27*100,1))</f>
        <v>55.9</v>
      </c>
      <c r="K63" s="76">
        <f>IF('VCM-A8'!K27=0,"    -",ROUND('VCM-A8'!K56/'VCM-A8'!K27*100,1))</f>
        <v>59.3</v>
      </c>
      <c r="L63" s="77">
        <f>IF('VCM-A8'!L27=0,"    -",ROUND('VCM-A8'!L56/'VCM-A8'!L27*100,1))</f>
        <v>60.3</v>
      </c>
      <c r="M63" s="75">
        <f>IF('VCM-A8'!M27=0,"    -",ROUND('VCM-A8'!M56/'VCM-A8'!M27*100,1))</f>
        <v>61.1</v>
      </c>
      <c r="N63" s="75">
        <f>IF('VCM-A8'!N27=0,"    -",ROUND('VCM-A8'!N56/'VCM-A8'!N27*100,1))</f>
        <v>62</v>
      </c>
      <c r="O63" s="75">
        <f>IF('VCM-A8'!O27=0,"    -",ROUND('VCM-A8'!O56/'VCM-A8'!O27*100,1))</f>
        <v>62.9</v>
      </c>
      <c r="P63" s="75">
        <f>IF('VCM-A8'!P27=0,"    -",ROUND('VCM-A8'!P56/'VCM-A8'!P27*100,1))</f>
        <v>63.8</v>
      </c>
      <c r="Q63" s="78">
        <f>IF('VCM-A8'!Q27=0,"    -",ROUND('VCM-A8'!Q56/'VCM-A8'!Q27*100,1))</f>
        <v>64.8</v>
      </c>
    </row>
    <row r="64" spans="2:17" ht="16.5" customHeight="1">
      <c r="B64" s="672" t="s">
        <v>316</v>
      </c>
      <c r="C64" s="673"/>
      <c r="D64" s="57">
        <f>IF('VCM-A8'!D28=0,"    -",ROUND('VCM-A8'!D57/'VCM-A8'!D28*100,1))</f>
        <v>83.3</v>
      </c>
      <c r="E64" s="58">
        <f>IF('VCM-A8'!E28=0,"    -",ROUND('VCM-A8'!E57/'VCM-A8'!E28*100,1))</f>
        <v>74.900000000000006</v>
      </c>
      <c r="F64" s="58">
        <f>IF('VCM-A8'!F28=0,"    -",ROUND('VCM-A8'!F57/'VCM-A8'!F28*100,1))</f>
        <v>81.099999999999994</v>
      </c>
      <c r="G64" s="58">
        <f>IF('VCM-A8'!G28=0,"    -",ROUND('VCM-A8'!G57/'VCM-A8'!G28*100,1))</f>
        <v>82.2</v>
      </c>
      <c r="H64" s="58">
        <f>IF('VCM-A8'!H28=0,"    -",ROUND('VCM-A8'!H57/'VCM-A8'!H28*100,1))</f>
        <v>83.9</v>
      </c>
      <c r="I64" s="58">
        <f>IF('VCM-A8'!I28=0,"    -",ROUND('VCM-A8'!I57/'VCM-A8'!I28*100,1))</f>
        <v>85.2</v>
      </c>
      <c r="J64" s="58">
        <f>IF('VCM-A8'!J28=0,"    -",ROUND('VCM-A8'!J57/'VCM-A8'!J28*100,1))</f>
        <v>90.3</v>
      </c>
      <c r="K64" s="59">
        <f>IF('VCM-A8'!K28=0,"    -",ROUND('VCM-A8'!K57/'VCM-A8'!K28*100,1))</f>
        <v>90</v>
      </c>
      <c r="L64" s="60">
        <f>IF('VCM-A8'!L28=0,"    -",ROUND('VCM-A8'!L57/'VCM-A8'!L28*100,1))</f>
        <v>90</v>
      </c>
      <c r="M64" s="58">
        <f>IF('VCM-A8'!M28=0,"    -",ROUND('VCM-A8'!M57/'VCM-A8'!M28*100,1))</f>
        <v>90</v>
      </c>
      <c r="N64" s="58">
        <f>IF('VCM-A8'!N28=0,"    -",ROUND('VCM-A8'!N57/'VCM-A8'!N28*100,1))</f>
        <v>90</v>
      </c>
      <c r="O64" s="58">
        <f>IF('VCM-A8'!O28=0,"    -",ROUND('VCM-A8'!O57/'VCM-A8'!O28*100,1))</f>
        <v>90</v>
      </c>
      <c r="P64" s="58">
        <f>IF('VCM-A8'!P28=0,"    -",ROUND('VCM-A8'!P57/'VCM-A8'!P28*100,1))</f>
        <v>90</v>
      </c>
      <c r="Q64" s="61">
        <f>IF('VCM-A8'!Q28=0,"    -",ROUND('VCM-A8'!Q57/'VCM-A8'!Q28*100,1))</f>
        <v>90</v>
      </c>
    </row>
    <row r="65" spans="2:17" ht="16.5" customHeight="1">
      <c r="B65" s="670" t="s">
        <v>317</v>
      </c>
      <c r="C65" s="671"/>
      <c r="D65" s="57" t="str">
        <f>IF('VCM-A8'!D29=0,"    -",ROUND('VCM-A8'!D58/'VCM-A8'!D29*100,1))</f>
        <v xml:space="preserve">    -</v>
      </c>
      <c r="E65" s="58" t="str">
        <f>IF('VCM-A8'!E29=0,"    -",ROUND('VCM-A8'!E58/'VCM-A8'!E29*100,1))</f>
        <v xml:space="preserve">    -</v>
      </c>
      <c r="F65" s="58" t="str">
        <f>IF('VCM-A8'!F29=0,"    -",ROUND('VCM-A8'!F58/'VCM-A8'!F29*100,1))</f>
        <v xml:space="preserve">    -</v>
      </c>
      <c r="G65" s="58" t="str">
        <f>IF('VCM-A8'!G29=0,"    -",ROUND('VCM-A8'!G58/'VCM-A8'!G29*100,1))</f>
        <v xml:space="preserve">    -</v>
      </c>
      <c r="H65" s="58" t="str">
        <f>IF('VCM-A8'!H29=0,"    -",ROUND('VCM-A8'!H58/'VCM-A8'!H29*100,1))</f>
        <v xml:space="preserve">    -</v>
      </c>
      <c r="I65" s="58" t="str">
        <f>IF('VCM-A8'!I29=0,"    -",ROUND('VCM-A8'!I58/'VCM-A8'!I29*100,1))</f>
        <v xml:space="preserve">    -</v>
      </c>
      <c r="J65" s="58" t="str">
        <f>IF('VCM-A8'!J29=0,"    -",ROUND('VCM-A8'!J58/'VCM-A8'!J29*100,1))</f>
        <v xml:space="preserve">    -</v>
      </c>
      <c r="K65" s="59" t="str">
        <f>IF('VCM-A8'!K29=0,"    -",ROUND('VCM-A8'!K58/'VCM-A8'!K29*100,1))</f>
        <v xml:space="preserve">    -</v>
      </c>
      <c r="L65" s="60" t="str">
        <f>IF('VCM-A8'!L29=0,"    -",ROUND('VCM-A8'!L58/'VCM-A8'!L29*100,1))</f>
        <v xml:space="preserve">    -</v>
      </c>
      <c r="M65" s="58" t="str">
        <f>IF('VCM-A8'!M29=0,"    -",ROUND('VCM-A8'!M58/'VCM-A8'!M29*100,1))</f>
        <v xml:space="preserve">    -</v>
      </c>
      <c r="N65" s="58" t="str">
        <f>IF('VCM-A8'!N29=0,"    -",ROUND('VCM-A8'!N58/'VCM-A8'!N29*100,1))</f>
        <v xml:space="preserve">    -</v>
      </c>
      <c r="O65" s="58" t="str">
        <f>IF('VCM-A8'!O29=0,"    -",ROUND('VCM-A8'!O58/'VCM-A8'!O29*100,1))</f>
        <v xml:space="preserve">    -</v>
      </c>
      <c r="P65" s="58" t="str">
        <f>IF('VCM-A8'!P29=0,"    -",ROUND('VCM-A8'!P58/'VCM-A8'!P29*100,1))</f>
        <v xml:space="preserve">    -</v>
      </c>
      <c r="Q65" s="61" t="str">
        <f>IF('VCM-A8'!Q29=0,"    -",ROUND('VCM-A8'!Q58/'VCM-A8'!Q29*100,1))</f>
        <v xml:space="preserve">    -</v>
      </c>
    </row>
    <row r="66" spans="2:17" ht="17.25" customHeight="1">
      <c r="B66" s="674" t="s">
        <v>318</v>
      </c>
      <c r="C66" s="675"/>
      <c r="D66" s="74">
        <f>IF('VCM-A8'!D30=0,"    -",ROUND('VCM-A8'!D59/'VCM-A8'!D30*100,1))</f>
        <v>83.3</v>
      </c>
      <c r="E66" s="75">
        <f>IF('VCM-A8'!E30=0,"    -",ROUND('VCM-A8'!E59/'VCM-A8'!E30*100,1))</f>
        <v>74.900000000000006</v>
      </c>
      <c r="F66" s="75">
        <f>IF('VCM-A8'!F30=0,"    -",ROUND('VCM-A8'!F59/'VCM-A8'!F30*100,1))</f>
        <v>81.099999999999994</v>
      </c>
      <c r="G66" s="75">
        <f>IF('VCM-A8'!G30=0,"    -",ROUND('VCM-A8'!G59/'VCM-A8'!G30*100,1))</f>
        <v>82.2</v>
      </c>
      <c r="H66" s="75">
        <f>IF('VCM-A8'!H30=0,"    -",ROUND('VCM-A8'!H59/'VCM-A8'!H30*100,1))</f>
        <v>83.9</v>
      </c>
      <c r="I66" s="75">
        <f>IF('VCM-A8'!I30=0,"    -",ROUND('VCM-A8'!I59/'VCM-A8'!I30*100,1))</f>
        <v>85.2</v>
      </c>
      <c r="J66" s="75">
        <f>IF('VCM-A8'!J30=0,"    -",ROUND('VCM-A8'!J59/'VCM-A8'!J30*100,1))</f>
        <v>90.3</v>
      </c>
      <c r="K66" s="76">
        <f>IF('VCM-A8'!K30=0,"    -",ROUND('VCM-A8'!K59/'VCM-A8'!K30*100,1))</f>
        <v>90</v>
      </c>
      <c r="L66" s="77">
        <f>IF('VCM-A8'!L30=0,"    -",ROUND('VCM-A8'!L59/'VCM-A8'!L30*100,1))</f>
        <v>90</v>
      </c>
      <c r="M66" s="75">
        <f>IF('VCM-A8'!M30=0,"    -",ROUND('VCM-A8'!M59/'VCM-A8'!M30*100,1))</f>
        <v>90</v>
      </c>
      <c r="N66" s="75">
        <f>IF('VCM-A8'!N30=0,"    -",ROUND('VCM-A8'!N59/'VCM-A8'!N30*100,1))</f>
        <v>90</v>
      </c>
      <c r="O66" s="75">
        <f>IF('VCM-A8'!O30=0,"    -",ROUND('VCM-A8'!O59/'VCM-A8'!O30*100,1))</f>
        <v>90</v>
      </c>
      <c r="P66" s="75">
        <f>IF('VCM-A8'!P30=0,"    -",ROUND('VCM-A8'!P59/'VCM-A8'!P30*100,1))</f>
        <v>90</v>
      </c>
      <c r="Q66" s="78">
        <f>IF('VCM-A8'!Q30=0,"    -",ROUND('VCM-A8'!Q59/'VCM-A8'!Q30*100,1))</f>
        <v>90</v>
      </c>
    </row>
    <row r="67" spans="2:17" ht="16.5" customHeight="1">
      <c r="B67" s="672" t="s">
        <v>319</v>
      </c>
      <c r="C67" s="673"/>
      <c r="D67" s="57">
        <f>IF('VCM-A8'!D31=0,"    -",ROUND('VCM-A8'!D60/'VCM-A8'!D31*100,1))</f>
        <v>67.5</v>
      </c>
      <c r="E67" s="58">
        <f>IF('VCM-A8'!E31=0,"    -",ROUND('VCM-A8'!E60/'VCM-A8'!E31*100,1))</f>
        <v>97.7</v>
      </c>
      <c r="F67" s="58">
        <f>IF('VCM-A8'!F31=0,"    -",ROUND('VCM-A8'!F60/'VCM-A8'!F31*100,1))</f>
        <v>97.7</v>
      </c>
      <c r="G67" s="58">
        <f>IF('VCM-A8'!G31=0,"    -",ROUND('VCM-A8'!G60/'VCM-A8'!G31*100,1))</f>
        <v>97.7</v>
      </c>
      <c r="H67" s="58">
        <f>IF('VCM-A8'!H31=0,"    -",ROUND('VCM-A8'!H60/'VCM-A8'!H31*100,1))</f>
        <v>97.7</v>
      </c>
      <c r="I67" s="58">
        <f>IF('VCM-A8'!I31=0,"    -",ROUND('VCM-A8'!I60/'VCM-A8'!I31*100,1))</f>
        <v>97.7</v>
      </c>
      <c r="J67" s="58">
        <f>IF('VCM-A8'!J31=0,"    -",ROUND('VCM-A8'!J60/'VCM-A8'!J31*100,1))</f>
        <v>97.7</v>
      </c>
      <c r="K67" s="59">
        <f>IF('VCM-A8'!K31=0,"    -",ROUND('VCM-A8'!K60/'VCM-A8'!K31*100,1))</f>
        <v>85.1</v>
      </c>
      <c r="L67" s="60">
        <f>IF('VCM-A8'!L31=0,"    -",ROUND('VCM-A8'!L60/'VCM-A8'!L31*100,1))</f>
        <v>85</v>
      </c>
      <c r="M67" s="58">
        <f>IF('VCM-A8'!M31=0,"    -",ROUND('VCM-A8'!M60/'VCM-A8'!M31*100,1))</f>
        <v>85</v>
      </c>
      <c r="N67" s="58">
        <f>IF('VCM-A8'!N31=0,"    -",ROUND('VCM-A8'!N60/'VCM-A8'!N31*100,1))</f>
        <v>85</v>
      </c>
      <c r="O67" s="58">
        <f>IF('VCM-A8'!O31=0,"    -",ROUND('VCM-A8'!O60/'VCM-A8'!O31*100,1))</f>
        <v>85</v>
      </c>
      <c r="P67" s="58">
        <f>IF('VCM-A8'!P31=0,"    -",ROUND('VCM-A8'!P60/'VCM-A8'!P31*100,1))</f>
        <v>85</v>
      </c>
      <c r="Q67" s="61">
        <f>IF('VCM-A8'!Q31=0,"    -",ROUND('VCM-A8'!Q60/'VCM-A8'!Q31*100,1))</f>
        <v>85</v>
      </c>
    </row>
    <row r="68" spans="2:17" ht="16.5" customHeight="1">
      <c r="B68" s="668" t="s">
        <v>320</v>
      </c>
      <c r="C68" s="669"/>
      <c r="D68" s="57">
        <f>IF('VCM-A8'!D32=0,"    -",ROUND('VCM-A8'!D61/'VCM-A8'!D32*100,1))</f>
        <v>93.1</v>
      </c>
      <c r="E68" s="58">
        <f>IF('VCM-A8'!E32=0,"    -",ROUND('VCM-A8'!E61/'VCM-A8'!E32*100,1))</f>
        <v>88.1</v>
      </c>
      <c r="F68" s="58">
        <f>IF('VCM-A8'!F32=0,"    -",ROUND('VCM-A8'!F61/'VCM-A8'!F32*100,1))</f>
        <v>90.9</v>
      </c>
      <c r="G68" s="58">
        <f>IF('VCM-A8'!G32=0,"    -",ROUND('VCM-A8'!G61/'VCM-A8'!G32*100,1))</f>
        <v>88.8</v>
      </c>
      <c r="H68" s="58">
        <f>IF('VCM-A8'!H32=0,"    -",ROUND('VCM-A8'!H61/'VCM-A8'!H32*100,1))</f>
        <v>81.900000000000006</v>
      </c>
      <c r="I68" s="58">
        <f>IF('VCM-A8'!I32=0,"    -",ROUND('VCM-A8'!I61/'VCM-A8'!I32*100,1))</f>
        <v>85</v>
      </c>
      <c r="J68" s="58">
        <f>IF('VCM-A8'!J32=0,"    -",ROUND('VCM-A8'!J61/'VCM-A8'!J32*100,1))</f>
        <v>85</v>
      </c>
      <c r="K68" s="59">
        <f>IF('VCM-A8'!K32=0,"    -",ROUND('VCM-A8'!K61/'VCM-A8'!K32*100,1))</f>
        <v>77.5</v>
      </c>
      <c r="L68" s="60">
        <f>IF('VCM-A8'!L32=0,"    -",ROUND('VCM-A8'!L61/'VCM-A8'!L32*100,1))</f>
        <v>85</v>
      </c>
      <c r="M68" s="58">
        <f>IF('VCM-A8'!M32=0,"    -",ROUND('VCM-A8'!M61/'VCM-A8'!M32*100,1))</f>
        <v>85</v>
      </c>
      <c r="N68" s="58">
        <f>IF('VCM-A8'!N32=0,"    -",ROUND('VCM-A8'!N61/'VCM-A8'!N32*100,1))</f>
        <v>85</v>
      </c>
      <c r="O68" s="58">
        <f>IF('VCM-A8'!O32=0,"    -",ROUND('VCM-A8'!O61/'VCM-A8'!O32*100,1))</f>
        <v>85</v>
      </c>
      <c r="P68" s="58">
        <f>IF('VCM-A8'!P32=0,"    -",ROUND('VCM-A8'!P61/'VCM-A8'!P32*100,1))</f>
        <v>85</v>
      </c>
      <c r="Q68" s="61">
        <f>IF('VCM-A8'!Q32=0,"    -",ROUND('VCM-A8'!Q61/'VCM-A8'!Q32*100,1))</f>
        <v>85</v>
      </c>
    </row>
    <row r="69" spans="2:17" ht="16.5" customHeight="1">
      <c r="B69" s="670" t="s">
        <v>321</v>
      </c>
      <c r="C69" s="671"/>
      <c r="D69" s="57">
        <f>IF('VCM-A8'!D33=0,"    -",ROUND('VCM-A8'!D62/'VCM-A8'!D33*100,1))</f>
        <v>85</v>
      </c>
      <c r="E69" s="58">
        <f>IF('VCM-A8'!E33=0,"    -",ROUND('VCM-A8'!E62/'VCM-A8'!E33*100,1))</f>
        <v>85</v>
      </c>
      <c r="F69" s="58">
        <f>IF('VCM-A8'!F33=0,"    -",ROUND('VCM-A8'!F62/'VCM-A8'!F33*100,1))</f>
        <v>85</v>
      </c>
      <c r="G69" s="58">
        <f>IF('VCM-A8'!G33=0,"    -",ROUND('VCM-A8'!G62/'VCM-A8'!G33*100,1))</f>
        <v>85</v>
      </c>
      <c r="H69" s="58">
        <f>IF('VCM-A8'!H33=0,"    -",ROUND('VCM-A8'!H62/'VCM-A8'!H33*100,1))</f>
        <v>85</v>
      </c>
      <c r="I69" s="58">
        <f>IF('VCM-A8'!I33=0,"    -",ROUND('VCM-A8'!I62/'VCM-A8'!I33*100,1))</f>
        <v>85</v>
      </c>
      <c r="J69" s="58">
        <f>IF('VCM-A8'!J33=0,"    -",ROUND('VCM-A8'!J62/'VCM-A8'!J33*100,1))</f>
        <v>85</v>
      </c>
      <c r="K69" s="59">
        <f>IF('VCM-A8'!K33=0,"    -",ROUND('VCM-A8'!K62/'VCM-A8'!K33*100,1))</f>
        <v>71.2</v>
      </c>
      <c r="L69" s="60">
        <f>IF('VCM-A8'!L33=0,"    -",ROUND('VCM-A8'!L62/'VCM-A8'!L33*100,1))</f>
        <v>71.2</v>
      </c>
      <c r="M69" s="58">
        <f>IF('VCM-A8'!M33=0,"    -",ROUND('VCM-A8'!M62/'VCM-A8'!M33*100,1))</f>
        <v>71.2</v>
      </c>
      <c r="N69" s="58">
        <f>IF('VCM-A8'!N33=0,"    -",ROUND('VCM-A8'!N62/'VCM-A8'!N33*100,1))</f>
        <v>71.2</v>
      </c>
      <c r="O69" s="58">
        <f>IF('VCM-A8'!O33=0,"    -",ROUND('VCM-A8'!O62/'VCM-A8'!O33*100,1))</f>
        <v>71.2</v>
      </c>
      <c r="P69" s="58">
        <f>IF('VCM-A8'!P33=0,"    -",ROUND('VCM-A8'!P62/'VCM-A8'!P33*100,1))</f>
        <v>71.2</v>
      </c>
      <c r="Q69" s="61">
        <f>IF('VCM-A8'!Q33=0,"    -",ROUND('VCM-A8'!Q62/'VCM-A8'!Q33*100,1))</f>
        <v>71.2</v>
      </c>
    </row>
    <row r="70" spans="2:17" ht="17.25" customHeight="1" thickBot="1">
      <c r="B70" s="678" t="s">
        <v>322</v>
      </c>
      <c r="C70" s="679"/>
      <c r="D70" s="111">
        <f>IF('VCM-A8'!D34=0,"    -",ROUND('VCM-A8'!D63/'VCM-A8'!D34*100,1))</f>
        <v>85</v>
      </c>
      <c r="E70" s="112">
        <f>IF('VCM-A8'!E34=0,"    -",ROUND('VCM-A8'!E63/'VCM-A8'!E34*100,1))</f>
        <v>89.6</v>
      </c>
      <c r="F70" s="112">
        <f>IF('VCM-A8'!F34=0,"    -",ROUND('VCM-A8'!F63/'VCM-A8'!F34*100,1))</f>
        <v>91.1</v>
      </c>
      <c r="G70" s="112">
        <f>IF('VCM-A8'!G34=0,"    -",ROUND('VCM-A8'!G63/'VCM-A8'!G34*100,1))</f>
        <v>89.9</v>
      </c>
      <c r="H70" s="112">
        <f>IF('VCM-A8'!H34=0,"    -",ROUND('VCM-A8'!H63/'VCM-A8'!H34*100,1))</f>
        <v>85.7</v>
      </c>
      <c r="I70" s="112">
        <f>IF('VCM-A8'!I34=0,"    -",ROUND('VCM-A8'!I63/'VCM-A8'!I34*100,1))</f>
        <v>87.6</v>
      </c>
      <c r="J70" s="112">
        <f>IF('VCM-A8'!J34=0,"    -",ROUND('VCM-A8'!J63/'VCM-A8'!J34*100,1))</f>
        <v>87.6</v>
      </c>
      <c r="K70" s="113">
        <f>IF('VCM-A8'!K34=0,"    -",ROUND('VCM-A8'!K63/'VCM-A8'!K34*100,1))</f>
        <v>77.5</v>
      </c>
      <c r="L70" s="114">
        <f>IF('VCM-A8'!L34=0,"    -",ROUND('VCM-A8'!L63/'VCM-A8'!L34*100,1))</f>
        <v>81.900000000000006</v>
      </c>
      <c r="M70" s="112">
        <f>IF('VCM-A8'!M34=0,"    -",ROUND('VCM-A8'!M63/'VCM-A8'!M34*100,1))</f>
        <v>81.900000000000006</v>
      </c>
      <c r="N70" s="112">
        <f>IF('VCM-A8'!N34=0,"    -",ROUND('VCM-A8'!N63/'VCM-A8'!N34*100,1))</f>
        <v>81.900000000000006</v>
      </c>
      <c r="O70" s="112">
        <f>IF('VCM-A8'!O34=0,"    -",ROUND('VCM-A8'!O63/'VCM-A8'!O34*100,1))</f>
        <v>81.900000000000006</v>
      </c>
      <c r="P70" s="112">
        <f>IF('VCM-A8'!P34=0,"    -",ROUND('VCM-A8'!P63/'VCM-A8'!P34*100,1))</f>
        <v>81.900000000000006</v>
      </c>
      <c r="Q70" s="115">
        <f>IF('VCM-A8'!Q34=0,"    -",ROUND('VCM-A8'!Q63/'VCM-A8'!Q34*100,1))</f>
        <v>81.900000000000006</v>
      </c>
    </row>
    <row r="71" spans="2:17" ht="18" customHeight="1" thickTop="1" thickBot="1">
      <c r="B71" s="21"/>
      <c r="C71" s="619" t="s">
        <v>337</v>
      </c>
      <c r="D71" s="122">
        <f>IF('VCM-A8'!D35=0,"    -",ROUND('VCM-A8'!D64/'VCM-A8'!D35*100,1))</f>
        <v>71.7</v>
      </c>
      <c r="E71" s="123">
        <f>IF('VCM-A8'!E35=0,"    -",ROUND('VCM-A8'!E64/'VCM-A8'!E35*100,1))</f>
        <v>71.8</v>
      </c>
      <c r="F71" s="123">
        <f>IF('VCM-A8'!F35=0,"    -",ROUND('VCM-A8'!F64/'VCM-A8'!F35*100,1))</f>
        <v>74</v>
      </c>
      <c r="G71" s="123">
        <f>IF('VCM-A8'!G35=0,"    -",ROUND('VCM-A8'!G64/'VCM-A8'!G35*100,1))</f>
        <v>75.400000000000006</v>
      </c>
      <c r="H71" s="123">
        <f>IF('VCM-A8'!H35=0,"    -",ROUND('VCM-A8'!H64/'VCM-A8'!H35*100,1))</f>
        <v>78.400000000000006</v>
      </c>
      <c r="I71" s="123">
        <f>IF('VCM-A8'!I35=0,"    -",ROUND('VCM-A8'!I64/'VCM-A8'!I35*100,1))</f>
        <v>77.5</v>
      </c>
      <c r="J71" s="123">
        <f>IF('VCM-A8'!J35=0,"    -",ROUND('VCM-A8'!J64/'VCM-A8'!J35*100,1))</f>
        <v>79.7</v>
      </c>
      <c r="K71" s="124">
        <f>IF('VCM-A8'!K35=0,"    -",ROUND('VCM-A8'!K64/'VCM-A8'!K35*100,1))</f>
        <v>82.5</v>
      </c>
      <c r="L71" s="125">
        <f>IF('VCM-A8'!L35=0,"    -",ROUND('VCM-A8'!L64/'VCM-A8'!L35*100,1))</f>
        <v>84.7</v>
      </c>
      <c r="M71" s="123">
        <f>IF('VCM-A8'!M35=0,"    -",ROUND('VCM-A8'!M64/'VCM-A8'!M35*100,1))</f>
        <v>87.5</v>
      </c>
      <c r="N71" s="123">
        <f>IF('VCM-A8'!N35=0,"    -",ROUND('VCM-A8'!N64/'VCM-A8'!N35*100,1))</f>
        <v>89.4</v>
      </c>
      <c r="O71" s="123">
        <f>IF('VCM-A8'!O35=0,"    -",ROUND('VCM-A8'!O64/'VCM-A8'!O35*100,1))</f>
        <v>90.3</v>
      </c>
      <c r="P71" s="123">
        <f>IF('VCM-A8'!P35=0,"    -",ROUND('VCM-A8'!P64/'VCM-A8'!P35*100,1))</f>
        <v>91.7</v>
      </c>
      <c r="Q71" s="126">
        <f>IF('VCM-A8'!Q35=0,"    -",ROUND('VCM-A8'!Q64/'VCM-A8'!Q35*100,1))</f>
        <v>92.4</v>
      </c>
    </row>
    <row r="72" spans="2:17" ht="12" customHeight="1"/>
    <row r="73" spans="2:17" ht="13.7" customHeight="1">
      <c r="C73" t="s">
        <v>330</v>
      </c>
    </row>
    <row r="74" spans="2:17" ht="13.7" customHeight="1">
      <c r="C74" s="617" t="s">
        <v>331</v>
      </c>
    </row>
    <row r="75" spans="2:17" ht="13.7" customHeight="1">
      <c r="C75" t="s">
        <v>332</v>
      </c>
    </row>
    <row r="76" spans="2:17" ht="13.7" customHeight="1">
      <c r="C76" s="617" t="s">
        <v>333</v>
      </c>
    </row>
  </sheetData>
  <mergeCells count="35">
    <mergeCell ref="B2:C2"/>
    <mergeCell ref="F2:G2"/>
    <mergeCell ref="P3:Q3"/>
    <mergeCell ref="B38:C38"/>
    <mergeCell ref="F38:G38"/>
    <mergeCell ref="D4:K4"/>
    <mergeCell ref="L4:Q4"/>
    <mergeCell ref="B27:C27"/>
    <mergeCell ref="B28:C28"/>
    <mergeCell ref="B29:C29"/>
    <mergeCell ref="B30:C30"/>
    <mergeCell ref="B31:C31"/>
    <mergeCell ref="B32:C32"/>
    <mergeCell ref="B68:C68"/>
    <mergeCell ref="B69:C69"/>
    <mergeCell ref="B70:C70"/>
    <mergeCell ref="B19:C19"/>
    <mergeCell ref="B20:C20"/>
    <mergeCell ref="B22:C22"/>
    <mergeCell ref="B24:C24"/>
    <mergeCell ref="B26:C26"/>
    <mergeCell ref="B33:C33"/>
    <mergeCell ref="B34:C34"/>
    <mergeCell ref="B63:C63"/>
    <mergeCell ref="B64:C64"/>
    <mergeCell ref="B65:C65"/>
    <mergeCell ref="B66:C66"/>
    <mergeCell ref="B67:C67"/>
    <mergeCell ref="B55:C55"/>
    <mergeCell ref="B56:C56"/>
    <mergeCell ref="B58:C58"/>
    <mergeCell ref="B60:C60"/>
    <mergeCell ref="B62:C62"/>
    <mergeCell ref="L40:Q40"/>
    <mergeCell ref="D40:K40"/>
  </mergeCells>
  <phoneticPr fontId="6"/>
  <conditionalFormatting sqref="C75:C76">
    <cfRule type="expression" dxfId="185" priority="5">
      <formula>CELL("protect",C75)=0</formula>
    </cfRule>
    <cfRule type="expression" dxfId="184" priority="6">
      <formula>CELL("protect",C75)=0</formula>
    </cfRule>
  </conditionalFormatting>
  <conditionalFormatting sqref="C73">
    <cfRule type="expression" dxfId="183" priority="3">
      <formula>CELL("protect",C73)=0</formula>
    </cfRule>
    <cfRule type="expression" dxfId="182" priority="4">
      <formula>CELL("protect",C73)=0</formula>
    </cfRule>
  </conditionalFormatting>
  <conditionalFormatting sqref="C75">
    <cfRule type="expression" dxfId="181" priority="1">
      <formula>CELL("protect",C75)=0</formula>
    </cfRule>
    <cfRule type="expression" dxfId="180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&amp;C170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8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'EDC-A9'!D36-'EDC-A9'!D65</f>
        <v>-275</v>
      </c>
      <c r="E7" s="240">
        <f>'EDC-A9'!E36-'EDC-A9'!E65</f>
        <v>-233</v>
      </c>
      <c r="F7" s="240">
        <f>'EDC-A9'!F36-'EDC-A9'!F65</f>
        <v>-222</v>
      </c>
      <c r="G7" s="240">
        <f>'EDC-A9'!G36-'EDC-A9'!G65</f>
        <v>28</v>
      </c>
      <c r="H7" s="240">
        <f>'EDC-A9'!H36-'EDC-A9'!H65</f>
        <v>55</v>
      </c>
      <c r="I7" s="240">
        <f>'EDC-A9'!I36-'EDC-A9'!I65</f>
        <v>3</v>
      </c>
      <c r="J7" s="240">
        <f>'EDC-A9'!J36-'EDC-A9'!J65</f>
        <v>-1</v>
      </c>
      <c r="K7" s="241">
        <f>'EDC-A9'!K36-'EDC-A9'!K65</f>
        <v>-44</v>
      </c>
      <c r="L7" s="242">
        <f>'EDC-A9'!L36-'EDC-A9'!L65</f>
        <v>0</v>
      </c>
      <c r="M7" s="240">
        <f>'EDC-A9'!M36-'EDC-A9'!M65</f>
        <v>0</v>
      </c>
      <c r="N7" s="240">
        <f>'EDC-A9'!N36-'EDC-A9'!N65</f>
        <v>0</v>
      </c>
      <c r="O7" s="240">
        <f>'EDC-A9'!O36-'EDC-A9'!O65</f>
        <v>30</v>
      </c>
      <c r="P7" s="240">
        <f>'EDC-A9'!P36-'EDC-A9'!P65</f>
        <v>30</v>
      </c>
      <c r="Q7" s="243">
        <f>'EDC-A9'!Q36-'EDC-A9'!Q65</f>
        <v>30</v>
      </c>
    </row>
    <row r="8" spans="2:19" ht="16.5" customHeight="1">
      <c r="B8" s="605" t="s">
        <v>434</v>
      </c>
      <c r="C8" s="606"/>
      <c r="D8" s="239">
        <f>'EDC-A9'!D37-'EDC-A9'!D66</f>
        <v>-43</v>
      </c>
      <c r="E8" s="240">
        <f>'EDC-A9'!E37-'EDC-A9'!E66</f>
        <v>-67</v>
      </c>
      <c r="F8" s="240">
        <f>'EDC-A9'!F37-'EDC-A9'!F66</f>
        <v>-15</v>
      </c>
      <c r="G8" s="240">
        <f>'EDC-A9'!G37-'EDC-A9'!G66</f>
        <v>-112</v>
      </c>
      <c r="H8" s="240">
        <f>'EDC-A9'!H37-'EDC-A9'!H66</f>
        <v>-176</v>
      </c>
      <c r="I8" s="240">
        <f>'EDC-A9'!I37-'EDC-A9'!I66</f>
        <v>-226</v>
      </c>
      <c r="J8" s="240">
        <f>'EDC-A9'!J37-'EDC-A9'!J66</f>
        <v>-250</v>
      </c>
      <c r="K8" s="241">
        <f>'EDC-A9'!K37-'EDC-A9'!K66</f>
        <v>-134</v>
      </c>
      <c r="L8" s="242">
        <f>'EDC-A9'!L37-'EDC-A9'!L66</f>
        <v>-150</v>
      </c>
      <c r="M8" s="240">
        <f>'EDC-A9'!M37-'EDC-A9'!M66</f>
        <v>-150</v>
      </c>
      <c r="N8" s="240">
        <f>'EDC-A9'!N37-'EDC-A9'!N66</f>
        <v>-150</v>
      </c>
      <c r="O8" s="240">
        <f>'EDC-A9'!O37-'EDC-A9'!O66</f>
        <v>-150</v>
      </c>
      <c r="P8" s="240">
        <f>'EDC-A9'!P37-'EDC-A9'!P66</f>
        <v>-150</v>
      </c>
      <c r="Q8" s="243">
        <f>'EDC-A9'!Q37-'EDC-A9'!Q66</f>
        <v>-150</v>
      </c>
    </row>
    <row r="9" spans="2:19" ht="16.5" customHeight="1">
      <c r="B9" s="605" t="s">
        <v>435</v>
      </c>
      <c r="C9" s="606"/>
      <c r="D9" s="239">
        <f>'EDC-A9'!D38-'EDC-A9'!D67</f>
        <v>0</v>
      </c>
      <c r="E9" s="240">
        <f>'EDC-A9'!E38-'EDC-A9'!E67</f>
        <v>0</v>
      </c>
      <c r="F9" s="240">
        <f>'EDC-A9'!F38-'EDC-A9'!F67</f>
        <v>0</v>
      </c>
      <c r="G9" s="240">
        <f>'EDC-A9'!G38-'EDC-A9'!G67</f>
        <v>0</v>
      </c>
      <c r="H9" s="240">
        <f>'EDC-A9'!H38-'EDC-A9'!H67</f>
        <v>0</v>
      </c>
      <c r="I9" s="240">
        <f>'EDC-A9'!I38-'EDC-A9'!I67</f>
        <v>0</v>
      </c>
      <c r="J9" s="240">
        <f>'EDC-A9'!J38-'EDC-A9'!J67</f>
        <v>0</v>
      </c>
      <c r="K9" s="241">
        <f>'EDC-A9'!K38-'EDC-A9'!K67</f>
        <v>0</v>
      </c>
      <c r="L9" s="242">
        <f>'EDC-A9'!L38-'EDC-A9'!L67</f>
        <v>0</v>
      </c>
      <c r="M9" s="240">
        <f>'EDC-A9'!M38-'EDC-A9'!M67</f>
        <v>0</v>
      </c>
      <c r="N9" s="240">
        <f>'EDC-A9'!N38-'EDC-A9'!N67</f>
        <v>0</v>
      </c>
      <c r="O9" s="240">
        <f>'EDC-A9'!O38-'EDC-A9'!O67</f>
        <v>0</v>
      </c>
      <c r="P9" s="240">
        <f>'EDC-A9'!P38-'EDC-A9'!P67</f>
        <v>0</v>
      </c>
      <c r="Q9" s="243">
        <f>'EDC-A9'!Q38-'EDC-A9'!Q67</f>
        <v>0</v>
      </c>
    </row>
    <row r="10" spans="2:19" ht="16.5" customHeight="1">
      <c r="B10" s="605" t="s">
        <v>436</v>
      </c>
      <c r="C10" s="606"/>
      <c r="D10" s="239">
        <f>'EDC-A9'!D39-'EDC-A9'!D68</f>
        <v>-350</v>
      </c>
      <c r="E10" s="240">
        <f>'EDC-A9'!E39-'EDC-A9'!E68</f>
        <v>-390</v>
      </c>
      <c r="F10" s="240">
        <f>'EDC-A9'!F39-'EDC-A9'!F68</f>
        <v>-552</v>
      </c>
      <c r="G10" s="240">
        <f>'EDC-A9'!G39-'EDC-A9'!G68</f>
        <v>-634</v>
      </c>
      <c r="H10" s="240">
        <f>'EDC-A9'!H39-'EDC-A9'!H68</f>
        <v>-699</v>
      </c>
      <c r="I10" s="240">
        <f>'EDC-A9'!I39-'EDC-A9'!I68</f>
        <v>-605</v>
      </c>
      <c r="J10" s="240">
        <f>'EDC-A9'!J39-'EDC-A9'!J68</f>
        <v>-664</v>
      </c>
      <c r="K10" s="241">
        <f>'EDC-A9'!K39-'EDC-A9'!K68</f>
        <v>-380</v>
      </c>
      <c r="L10" s="242">
        <f>'EDC-A9'!L39-'EDC-A9'!L68</f>
        <v>-375</v>
      </c>
      <c r="M10" s="240">
        <f>'EDC-A9'!M39-'EDC-A9'!M68</f>
        <v>-447</v>
      </c>
      <c r="N10" s="240">
        <f>'EDC-A9'!N39-'EDC-A9'!N68</f>
        <v>-580</v>
      </c>
      <c r="O10" s="240">
        <f>'EDC-A9'!O39-'EDC-A9'!O68</f>
        <v>-602</v>
      </c>
      <c r="P10" s="240">
        <f>'EDC-A9'!P39-'EDC-A9'!P68</f>
        <v>-594</v>
      </c>
      <c r="Q10" s="243">
        <f>'EDC-A9'!Q39-'EDC-A9'!Q68</f>
        <v>-585</v>
      </c>
    </row>
    <row r="11" spans="2:19" ht="16.5" customHeight="1">
      <c r="B11" s="605" t="s">
        <v>437</v>
      </c>
      <c r="C11" s="606"/>
      <c r="D11" s="239">
        <f>'EDC-A9'!D40-'EDC-A9'!D69</f>
        <v>-53.5</v>
      </c>
      <c r="E11" s="240">
        <f>'EDC-A9'!E40-'EDC-A9'!E69</f>
        <v>-53.5</v>
      </c>
      <c r="F11" s="240">
        <f>'EDC-A9'!F40-'EDC-A9'!F69</f>
        <v>-53.5</v>
      </c>
      <c r="G11" s="240">
        <f>'EDC-A9'!G40-'EDC-A9'!G69</f>
        <v>-53.5</v>
      </c>
      <c r="H11" s="240">
        <f>'EDC-A9'!H40-'EDC-A9'!H69</f>
        <v>-13.597929673747501</v>
      </c>
      <c r="I11" s="240">
        <f>'EDC-A9'!I40-'EDC-A9'!I69</f>
        <v>-60.272719579111197</v>
      </c>
      <c r="J11" s="240">
        <f>'EDC-A9'!J40-'EDC-A9'!J69</f>
        <v>-69.714508442479485</v>
      </c>
      <c r="K11" s="241">
        <f>'EDC-A9'!K40-'EDC-A9'!K69</f>
        <v>-97.023496964224876</v>
      </c>
      <c r="L11" s="242">
        <f>'EDC-A9'!L40-'EDC-A9'!L69</f>
        <v>-61.68573871091786</v>
      </c>
      <c r="M11" s="240">
        <f>'EDC-A9'!M40-'EDC-A9'!M69</f>
        <v>-61.68573871091786</v>
      </c>
      <c r="N11" s="240">
        <f>'EDC-A9'!N40-'EDC-A9'!N69</f>
        <v>-61.68573871091786</v>
      </c>
      <c r="O11" s="240">
        <f>'EDC-A9'!O40-'EDC-A9'!O69</f>
        <v>-61.68573871091786</v>
      </c>
      <c r="P11" s="240">
        <f>'EDC-A9'!P40-'EDC-A9'!P69</f>
        <v>-61.68573871091786</v>
      </c>
      <c r="Q11" s="243">
        <f>'EDC-A9'!Q40-'EDC-A9'!Q69</f>
        <v>-61.68573871091786</v>
      </c>
    </row>
    <row r="12" spans="2:19" ht="16.5" customHeight="1">
      <c r="B12" s="605" t="s">
        <v>438</v>
      </c>
      <c r="C12" s="606"/>
      <c r="D12" s="239">
        <f>'EDC-A9'!D41-'EDC-A9'!D70</f>
        <v>250.61877108433725</v>
      </c>
      <c r="E12" s="240">
        <f>'EDC-A9'!E41-'EDC-A9'!E70</f>
        <v>196.30120481927707</v>
      </c>
      <c r="F12" s="240">
        <f>'EDC-A9'!F41-'EDC-A9'!F70</f>
        <v>244.63855421686742</v>
      </c>
      <c r="G12" s="240">
        <f>'EDC-A9'!G41-'EDC-A9'!G70</f>
        <v>244.63855421686742</v>
      </c>
      <c r="H12" s="240">
        <f>'EDC-A9'!H41-'EDC-A9'!H70</f>
        <v>244.63855421686742</v>
      </c>
      <c r="I12" s="240">
        <f>'EDC-A9'!I41-'EDC-A9'!I70</f>
        <v>300</v>
      </c>
      <c r="J12" s="240">
        <f>'EDC-A9'!J41-'EDC-A9'!J70</f>
        <v>213.5</v>
      </c>
      <c r="K12" s="241">
        <f>'EDC-A9'!K41-'EDC-A9'!K70</f>
        <v>170</v>
      </c>
      <c r="L12" s="242">
        <f>'EDC-A9'!L41-'EDC-A9'!L70</f>
        <v>125</v>
      </c>
      <c r="M12" s="240">
        <f>'EDC-A9'!M41-'EDC-A9'!M70</f>
        <v>80</v>
      </c>
      <c r="N12" s="240">
        <f>'EDC-A9'!N41-'EDC-A9'!N70</f>
        <v>30</v>
      </c>
      <c r="O12" s="240">
        <f>'EDC-A9'!O41-'EDC-A9'!O70</f>
        <v>-20</v>
      </c>
      <c r="P12" s="240">
        <f>'EDC-A9'!P41-'EDC-A9'!P70</f>
        <v>-65</v>
      </c>
      <c r="Q12" s="243">
        <f>'EDC-A9'!Q41-'EDC-A9'!Q70</f>
        <v>-120</v>
      </c>
    </row>
    <row r="13" spans="2:19" ht="16.5" customHeight="1">
      <c r="B13" s="605" t="s">
        <v>439</v>
      </c>
      <c r="C13" s="606"/>
      <c r="D13" s="239">
        <f>'EDC-A9'!D42-'EDC-A9'!D71</f>
        <v>-239</v>
      </c>
      <c r="E13" s="240">
        <f>'EDC-A9'!E42-'EDC-A9'!E71</f>
        <v>-263</v>
      </c>
      <c r="F13" s="240">
        <f>'EDC-A9'!F42-'EDC-A9'!F71</f>
        <v>-94.5</v>
      </c>
      <c r="G13" s="240">
        <f>'EDC-A9'!G42-'EDC-A9'!G71</f>
        <v>-169.5</v>
      </c>
      <c r="H13" s="240">
        <f>'EDC-A9'!H42-'EDC-A9'!H71</f>
        <v>-200</v>
      </c>
      <c r="I13" s="240">
        <f>'EDC-A9'!I42-'EDC-A9'!I71</f>
        <v>-200</v>
      </c>
      <c r="J13" s="240">
        <f>'EDC-A9'!J42-'EDC-A9'!J71</f>
        <v>-277</v>
      </c>
      <c r="K13" s="241">
        <f>'EDC-A9'!K42-'EDC-A9'!K71</f>
        <v>-300</v>
      </c>
      <c r="L13" s="242">
        <f>'EDC-A9'!L42-'EDC-A9'!L71</f>
        <v>-280</v>
      </c>
      <c r="M13" s="240">
        <f>'EDC-A9'!M42-'EDC-A9'!M71</f>
        <v>-250</v>
      </c>
      <c r="N13" s="240">
        <f>'EDC-A9'!N42-'EDC-A9'!N71</f>
        <v>-180</v>
      </c>
      <c r="O13" s="240">
        <f>'EDC-A9'!O42-'EDC-A9'!O71</f>
        <v>-200</v>
      </c>
      <c r="P13" s="240">
        <f>'EDC-A9'!P42-'EDC-A9'!P71</f>
        <v>-300</v>
      </c>
      <c r="Q13" s="243">
        <f>'EDC-A9'!Q42-'EDC-A9'!Q71</f>
        <v>-300</v>
      </c>
    </row>
    <row r="14" spans="2:19" ht="18" hidden="1" customHeight="1">
      <c r="B14" s="16"/>
      <c r="C14" s="90" t="s">
        <v>306</v>
      </c>
      <c r="D14" s="239">
        <f>'EDC-A9'!D43-'EDC-A9'!D72</f>
        <v>0</v>
      </c>
      <c r="E14" s="240">
        <f>'EDC-A9'!E43-'EDC-A9'!E72</f>
        <v>0</v>
      </c>
      <c r="F14" s="240">
        <f>'EDC-A9'!F43-'EDC-A9'!F72</f>
        <v>0</v>
      </c>
      <c r="G14" s="240">
        <f>'EDC-A9'!G43-'EDC-A9'!G72</f>
        <v>0</v>
      </c>
      <c r="H14" s="240">
        <f>'EDC-A9'!H43-'EDC-A9'!H72</f>
        <v>0</v>
      </c>
      <c r="I14" s="240">
        <f>'EDC-A9'!I43-'EDC-A9'!I72</f>
        <v>0</v>
      </c>
      <c r="J14" s="240">
        <f>'EDC-A9'!J43-'EDC-A9'!J72</f>
        <v>0</v>
      </c>
      <c r="K14" s="241">
        <f>'EDC-A9'!K43-'EDC-A9'!K72</f>
        <v>0</v>
      </c>
      <c r="L14" s="242">
        <f>'EDC-A9'!L43-'EDC-A9'!L72</f>
        <v>0</v>
      </c>
      <c r="M14" s="240">
        <f>'EDC-A9'!M43-'EDC-A9'!M72</f>
        <v>0</v>
      </c>
      <c r="N14" s="240">
        <f>'EDC-A9'!N43-'EDC-A9'!N72</f>
        <v>0</v>
      </c>
      <c r="O14" s="240">
        <f>'EDC-A9'!O43-'EDC-A9'!O72</f>
        <v>0</v>
      </c>
      <c r="P14" s="240">
        <f>'EDC-A9'!P43-'EDC-A9'!P72</f>
        <v>0</v>
      </c>
      <c r="Q14" s="243">
        <f>'EDC-A9'!Q43-'EDC-A9'!Q72</f>
        <v>0</v>
      </c>
    </row>
    <row r="15" spans="2:19" ht="16.5" customHeight="1">
      <c r="B15" s="605" t="s">
        <v>440</v>
      </c>
      <c r="C15" s="606"/>
      <c r="D15" s="239">
        <f>'EDC-A9'!D44-'EDC-A9'!D73</f>
        <v>0</v>
      </c>
      <c r="E15" s="240">
        <f>'EDC-A9'!E44-'EDC-A9'!E73</f>
        <v>0</v>
      </c>
      <c r="F15" s="240">
        <f>'EDC-A9'!F44-'EDC-A9'!F73</f>
        <v>0</v>
      </c>
      <c r="G15" s="240">
        <f>'EDC-A9'!G44-'EDC-A9'!G73</f>
        <v>0</v>
      </c>
      <c r="H15" s="240">
        <f>'EDC-A9'!H44-'EDC-A9'!H73</f>
        <v>0</v>
      </c>
      <c r="I15" s="240">
        <f>'EDC-A9'!I44-'EDC-A9'!I73</f>
        <v>0</v>
      </c>
      <c r="J15" s="240">
        <f>'EDC-A9'!J44-'EDC-A9'!J73</f>
        <v>0</v>
      </c>
      <c r="K15" s="241">
        <f>'EDC-A9'!K44-'EDC-A9'!K73</f>
        <v>0</v>
      </c>
      <c r="L15" s="242">
        <f>'EDC-A9'!L44-'EDC-A9'!L73</f>
        <v>0</v>
      </c>
      <c r="M15" s="240">
        <f>'EDC-A9'!M44-'EDC-A9'!M73</f>
        <v>0</v>
      </c>
      <c r="N15" s="240">
        <f>'EDC-A9'!N44-'EDC-A9'!N73</f>
        <v>0</v>
      </c>
      <c r="O15" s="240">
        <f>'EDC-A9'!O44-'EDC-A9'!O73</f>
        <v>0</v>
      </c>
      <c r="P15" s="240">
        <f>'EDC-A9'!P44-'EDC-A9'!P73</f>
        <v>0</v>
      </c>
      <c r="Q15" s="243">
        <f>'EDC-A9'!Q44-'EDC-A9'!Q73</f>
        <v>0</v>
      </c>
    </row>
    <row r="16" spans="2:19" ht="16.5" customHeight="1">
      <c r="B16" s="605" t="s">
        <v>441</v>
      </c>
      <c r="C16" s="606"/>
      <c r="D16" s="239">
        <f>'EDC-A9'!D45-'EDC-A9'!D74</f>
        <v>-155.86419753086417</v>
      </c>
      <c r="E16" s="240">
        <f>'EDC-A9'!E45-'EDC-A9'!E74</f>
        <v>-155.86419753086417</v>
      </c>
      <c r="F16" s="240">
        <f>'EDC-A9'!F45-'EDC-A9'!F74</f>
        <v>-119</v>
      </c>
      <c r="G16" s="240">
        <f>'EDC-A9'!G45-'EDC-A9'!G74</f>
        <v>0</v>
      </c>
      <c r="H16" s="240">
        <f>'EDC-A9'!H45-'EDC-A9'!H74</f>
        <v>0</v>
      </c>
      <c r="I16" s="240">
        <f>'EDC-A9'!I45-'EDC-A9'!I74</f>
        <v>0</v>
      </c>
      <c r="J16" s="240">
        <f>'EDC-A9'!J45-'EDC-A9'!J74</f>
        <v>0</v>
      </c>
      <c r="K16" s="241">
        <f>'EDC-A9'!K45-'EDC-A9'!K74</f>
        <v>0</v>
      </c>
      <c r="L16" s="242">
        <f>'EDC-A9'!L45-'EDC-A9'!L74</f>
        <v>0</v>
      </c>
      <c r="M16" s="240">
        <f>'EDC-A9'!M45-'EDC-A9'!M74</f>
        <v>0</v>
      </c>
      <c r="N16" s="240">
        <f>'EDC-A9'!N45-'EDC-A9'!N74</f>
        <v>0</v>
      </c>
      <c r="O16" s="240">
        <f>'EDC-A9'!O45-'EDC-A9'!O74</f>
        <v>0</v>
      </c>
      <c r="P16" s="240">
        <f>'EDC-A9'!P45-'EDC-A9'!P74</f>
        <v>0</v>
      </c>
      <c r="Q16" s="243">
        <f>'EDC-A9'!Q45-'EDC-A9'!Q74</f>
        <v>0</v>
      </c>
    </row>
    <row r="17" spans="2:17" ht="16.5" customHeight="1">
      <c r="B17" s="605" t="s">
        <v>442</v>
      </c>
      <c r="C17" s="606"/>
      <c r="D17" s="239">
        <f>'EDC-A9'!D46-'EDC-A9'!D75</f>
        <v>0</v>
      </c>
      <c r="E17" s="240">
        <f>'EDC-A9'!E46-'EDC-A9'!E75</f>
        <v>0</v>
      </c>
      <c r="F17" s="240">
        <f>'EDC-A9'!F46-'EDC-A9'!F75</f>
        <v>0</v>
      </c>
      <c r="G17" s="240">
        <f>'EDC-A9'!G46-'EDC-A9'!G75</f>
        <v>0</v>
      </c>
      <c r="H17" s="240">
        <f>'EDC-A9'!H46-'EDC-A9'!H75</f>
        <v>0</v>
      </c>
      <c r="I17" s="240">
        <f>'EDC-A9'!I46-'EDC-A9'!I75</f>
        <v>0</v>
      </c>
      <c r="J17" s="240">
        <f>'EDC-A9'!J46-'EDC-A9'!J75</f>
        <v>0</v>
      </c>
      <c r="K17" s="241">
        <f>'EDC-A9'!K46-'EDC-A9'!K75</f>
        <v>0</v>
      </c>
      <c r="L17" s="242">
        <f>'EDC-A9'!L46-'EDC-A9'!L75</f>
        <v>0</v>
      </c>
      <c r="M17" s="240">
        <f>'EDC-A9'!M46-'EDC-A9'!M75</f>
        <v>0</v>
      </c>
      <c r="N17" s="240">
        <f>'EDC-A9'!N46-'EDC-A9'!N75</f>
        <v>0</v>
      </c>
      <c r="O17" s="240">
        <f>'EDC-A9'!O46-'EDC-A9'!O75</f>
        <v>0</v>
      </c>
      <c r="P17" s="240">
        <f>'EDC-A9'!P46-'EDC-A9'!P75</f>
        <v>0</v>
      </c>
      <c r="Q17" s="243">
        <f>'EDC-A9'!Q46-'EDC-A9'!Q75</f>
        <v>0</v>
      </c>
    </row>
    <row r="18" spans="2:17" ht="16.5" customHeight="1">
      <c r="B18" s="607" t="s">
        <v>443</v>
      </c>
      <c r="C18" s="608"/>
      <c r="D18" s="239">
        <f>'EDC-A9'!D47-'EDC-A9'!D76</f>
        <v>-214.20000000000027</v>
      </c>
      <c r="E18" s="240">
        <f>'EDC-A9'!E47-'EDC-A9'!E76</f>
        <v>-112.09999999999991</v>
      </c>
      <c r="F18" s="240">
        <f>'EDC-A9'!F47-'EDC-A9'!F76</f>
        <v>-65.300000000000182</v>
      </c>
      <c r="G18" s="240">
        <f>'EDC-A9'!G47-'EDC-A9'!G76</f>
        <v>-253.09999999999991</v>
      </c>
      <c r="H18" s="240">
        <f>'EDC-A9'!H47-'EDC-A9'!H76</f>
        <v>-222.89999999999964</v>
      </c>
      <c r="I18" s="240">
        <f>'EDC-A9'!I47-'EDC-A9'!I76</f>
        <v>-281.59999999999991</v>
      </c>
      <c r="J18" s="240">
        <f>'EDC-A9'!J47-'EDC-A9'!J76</f>
        <v>-259.09999999999991</v>
      </c>
      <c r="K18" s="241">
        <f>'EDC-A9'!K47-'EDC-A9'!K76</f>
        <v>-332.80000000000018</v>
      </c>
      <c r="L18" s="242">
        <f>'EDC-A9'!L47-'EDC-A9'!L76</f>
        <v>-238.59999999999991</v>
      </c>
      <c r="M18" s="240">
        <f>'EDC-A9'!M47-'EDC-A9'!M76</f>
        <v>-276.80000000000018</v>
      </c>
      <c r="N18" s="240">
        <f>'EDC-A9'!N47-'EDC-A9'!N76</f>
        <v>-276.80000000000018</v>
      </c>
      <c r="O18" s="240">
        <f>'EDC-A9'!O47-'EDC-A9'!O76</f>
        <v>-276.80000000000018</v>
      </c>
      <c r="P18" s="240">
        <f>'EDC-A9'!P47-'EDC-A9'!P76</f>
        <v>-276.80000000000018</v>
      </c>
      <c r="Q18" s="243">
        <f>'EDC-A9'!Q47-'EDC-A9'!Q76</f>
        <v>-276.80000000000018</v>
      </c>
    </row>
    <row r="19" spans="2:17" ht="17.25" customHeight="1">
      <c r="B19" s="620" t="s">
        <v>307</v>
      </c>
      <c r="C19" s="621"/>
      <c r="D19" s="244">
        <f t="shared" ref="D19:K19" si="0">SUM(D7:D18)</f>
        <v>-1079.9454264465271</v>
      </c>
      <c r="E19" s="245">
        <f t="shared" si="0"/>
        <v>-1078.1629927115871</v>
      </c>
      <c r="F19" s="245">
        <f t="shared" si="0"/>
        <v>-876.66144578313276</v>
      </c>
      <c r="G19" s="245">
        <f t="shared" si="0"/>
        <v>-949.46144578313249</v>
      </c>
      <c r="H19" s="245">
        <f t="shared" si="0"/>
        <v>-1011.8593754568798</v>
      </c>
      <c r="I19" s="245">
        <f t="shared" si="0"/>
        <v>-1069.8727195791112</v>
      </c>
      <c r="J19" s="245">
        <f t="shared" si="0"/>
        <v>-1307.3145084424793</v>
      </c>
      <c r="K19" s="246">
        <f t="shared" si="0"/>
        <v>-1117.8234969642251</v>
      </c>
      <c r="L19" s="247">
        <f t="shared" ref="L19:Q19" si="1">SUM(L7:L18)</f>
        <v>-980.28573871091771</v>
      </c>
      <c r="M19" s="245">
        <f t="shared" si="1"/>
        <v>-1105.485738710918</v>
      </c>
      <c r="N19" s="245">
        <f t="shared" si="1"/>
        <v>-1218.485738710918</v>
      </c>
      <c r="O19" s="245">
        <f t="shared" si="1"/>
        <v>-1280.485738710918</v>
      </c>
      <c r="P19" s="245">
        <f t="shared" si="1"/>
        <v>-1417.485738710918</v>
      </c>
      <c r="Q19" s="248">
        <f t="shared" si="1"/>
        <v>-1463.485738710918</v>
      </c>
    </row>
    <row r="20" spans="2:17" ht="17.25" customHeight="1">
      <c r="B20" s="609" t="s">
        <v>308</v>
      </c>
      <c r="C20" s="610"/>
      <c r="D20" s="244">
        <f>'EDC-A9'!D49-'EDC-A9'!D78</f>
        <v>0</v>
      </c>
      <c r="E20" s="245">
        <f>'EDC-A9'!E49-'EDC-A9'!E78</f>
        <v>0</v>
      </c>
      <c r="F20" s="245">
        <f>'EDC-A9'!F49-'EDC-A9'!F78</f>
        <v>0</v>
      </c>
      <c r="G20" s="245">
        <f>'EDC-A9'!G49-'EDC-A9'!G78</f>
        <v>0</v>
      </c>
      <c r="H20" s="245">
        <f>'EDC-A9'!H49-'EDC-A9'!H78</f>
        <v>0</v>
      </c>
      <c r="I20" s="245">
        <f>'EDC-A9'!I49-'EDC-A9'!I78</f>
        <v>0</v>
      </c>
      <c r="J20" s="245">
        <f>'EDC-A9'!J49-'EDC-A9'!J78</f>
        <v>0</v>
      </c>
      <c r="K20" s="246">
        <f>'EDC-A9'!K49-'EDC-A9'!K78</f>
        <v>0</v>
      </c>
      <c r="L20" s="247">
        <f>'EDC-A9'!L49-'EDC-A9'!L78</f>
        <v>0</v>
      </c>
      <c r="M20" s="245">
        <f>'EDC-A9'!M49-'EDC-A9'!M78</f>
        <v>0</v>
      </c>
      <c r="N20" s="245">
        <f>'EDC-A9'!N49-'EDC-A9'!N78</f>
        <v>0</v>
      </c>
      <c r="O20" s="245">
        <f>'EDC-A9'!O49-'EDC-A9'!O78</f>
        <v>0</v>
      </c>
      <c r="P20" s="245">
        <f>'EDC-A9'!P49-'EDC-A9'!P78</f>
        <v>0</v>
      </c>
      <c r="Q20" s="248">
        <f>'EDC-A9'!Q49-'EDC-A9'!Q78</f>
        <v>0</v>
      </c>
    </row>
    <row r="21" spans="2:17" ht="16.5" customHeight="1">
      <c r="B21" s="105"/>
      <c r="C21" s="97" t="s">
        <v>309</v>
      </c>
      <c r="D21" s="244">
        <f>'EDC-A9'!D50-'EDC-A9'!D79</f>
        <v>0</v>
      </c>
      <c r="E21" s="245">
        <f>'EDC-A9'!E50-'EDC-A9'!E79</f>
        <v>0</v>
      </c>
      <c r="F21" s="245">
        <f>'EDC-A9'!F50-'EDC-A9'!F79</f>
        <v>0</v>
      </c>
      <c r="G21" s="245">
        <f>'EDC-A9'!G50-'EDC-A9'!G79</f>
        <v>0</v>
      </c>
      <c r="H21" s="245">
        <f>'EDC-A9'!H50-'EDC-A9'!H79</f>
        <v>0</v>
      </c>
      <c r="I21" s="245">
        <f>'EDC-A9'!I50-'EDC-A9'!I79</f>
        <v>0</v>
      </c>
      <c r="J21" s="245">
        <f>'EDC-A9'!J50-'EDC-A9'!J79</f>
        <v>0</v>
      </c>
      <c r="K21" s="246">
        <f>'EDC-A9'!K50-'EDC-A9'!K79</f>
        <v>0</v>
      </c>
      <c r="L21" s="247">
        <f>'EDC-A9'!L50-'EDC-A9'!L79</f>
        <v>0</v>
      </c>
      <c r="M21" s="245">
        <f>'EDC-A9'!M50-'EDC-A9'!M79</f>
        <v>0</v>
      </c>
      <c r="N21" s="245">
        <f>'EDC-A9'!N50-'EDC-A9'!N79</f>
        <v>0</v>
      </c>
      <c r="O21" s="245">
        <f>'EDC-A9'!O50-'EDC-A9'!O79</f>
        <v>0</v>
      </c>
      <c r="P21" s="245">
        <f>'EDC-A9'!P50-'EDC-A9'!P79</f>
        <v>0</v>
      </c>
      <c r="Q21" s="248">
        <f>'EDC-A9'!Q50-'EDC-A9'!Q79</f>
        <v>0</v>
      </c>
    </row>
    <row r="22" spans="2:17" ht="17.25" customHeight="1">
      <c r="B22" s="609" t="s">
        <v>310</v>
      </c>
      <c r="C22" s="610"/>
      <c r="D22" s="239">
        <f>'EDC-A9'!D51-'EDC-A9'!D80</f>
        <v>797</v>
      </c>
      <c r="E22" s="240">
        <f>'EDC-A9'!E51-'EDC-A9'!E80</f>
        <v>649</v>
      </c>
      <c r="F22" s="240">
        <f>'EDC-A9'!F51-'EDC-A9'!F80</f>
        <v>224</v>
      </c>
      <c r="G22" s="240">
        <f>'EDC-A9'!G51-'EDC-A9'!G80</f>
        <v>181</v>
      </c>
      <c r="H22" s="240">
        <f>'EDC-A9'!H51-'EDC-A9'!H80</f>
        <v>144</v>
      </c>
      <c r="I22" s="240">
        <f>'EDC-A9'!I51-'EDC-A9'!I80</f>
        <v>138</v>
      </c>
      <c r="J22" s="240">
        <f>'EDC-A9'!J51-'EDC-A9'!J80</f>
        <v>297</v>
      </c>
      <c r="K22" s="241">
        <f>'EDC-A9'!K51-'EDC-A9'!K80</f>
        <v>288</v>
      </c>
      <c r="L22" s="242">
        <f>'EDC-A9'!L51-'EDC-A9'!L80</f>
        <v>-45</v>
      </c>
      <c r="M22" s="240">
        <f>'EDC-A9'!M51-'EDC-A9'!M80</f>
        <v>-75</v>
      </c>
      <c r="N22" s="240">
        <f>'EDC-A9'!N51-'EDC-A9'!N80</f>
        <v>-100</v>
      </c>
      <c r="O22" s="240">
        <f>'EDC-A9'!O51-'EDC-A9'!O80</f>
        <v>-115</v>
      </c>
      <c r="P22" s="240">
        <f>'EDC-A9'!P51-'EDC-A9'!P80</f>
        <v>-145</v>
      </c>
      <c r="Q22" s="243">
        <f>'EDC-A9'!Q51-'EDC-A9'!Q80</f>
        <v>-150</v>
      </c>
    </row>
    <row r="23" spans="2:17" ht="16.5" customHeight="1">
      <c r="B23" s="105"/>
      <c r="C23" s="615" t="s">
        <v>311</v>
      </c>
      <c r="D23" s="244">
        <f>'EDC-A9'!D52-'EDC-A9'!D81</f>
        <v>416</v>
      </c>
      <c r="E23" s="245">
        <f>'EDC-A9'!E52-'EDC-A9'!E81</f>
        <v>304</v>
      </c>
      <c r="F23" s="245">
        <f>'EDC-A9'!F52-'EDC-A9'!F81</f>
        <v>285</v>
      </c>
      <c r="G23" s="245">
        <f>'EDC-A9'!G52-'EDC-A9'!G81</f>
        <v>226</v>
      </c>
      <c r="H23" s="245">
        <f>'EDC-A9'!H52-'EDC-A9'!H81</f>
        <v>171</v>
      </c>
      <c r="I23" s="245">
        <f>'EDC-A9'!I52-'EDC-A9'!I81</f>
        <v>147</v>
      </c>
      <c r="J23" s="245">
        <f>'EDC-A9'!J52-'EDC-A9'!J81</f>
        <v>333</v>
      </c>
      <c r="K23" s="246">
        <f>'EDC-A9'!K52-'EDC-A9'!K81</f>
        <v>320</v>
      </c>
      <c r="L23" s="247">
        <f>'EDC-A9'!L52-'EDC-A9'!L81</f>
        <v>70</v>
      </c>
      <c r="M23" s="245">
        <f>'EDC-A9'!M52-'EDC-A9'!M81</f>
        <v>45</v>
      </c>
      <c r="N23" s="245">
        <f>'EDC-A9'!N52-'EDC-A9'!N81</f>
        <v>20</v>
      </c>
      <c r="O23" s="245">
        <f>'EDC-A9'!O52-'EDC-A9'!O81</f>
        <v>10</v>
      </c>
      <c r="P23" s="245">
        <f>'EDC-A9'!P52-'EDC-A9'!P81</f>
        <v>-15</v>
      </c>
      <c r="Q23" s="248">
        <f>'EDC-A9'!Q52-'EDC-A9'!Q81</f>
        <v>-15</v>
      </c>
    </row>
    <row r="24" spans="2:17" ht="17.25" customHeight="1">
      <c r="B24" s="609" t="s">
        <v>312</v>
      </c>
      <c r="C24" s="610"/>
      <c r="D24" s="239">
        <f>'EDC-A9'!D53-'EDC-A9'!D82</f>
        <v>568</v>
      </c>
      <c r="E24" s="240">
        <f>'EDC-A9'!E53-'EDC-A9'!E82</f>
        <v>633</v>
      </c>
      <c r="F24" s="240">
        <f>'EDC-A9'!F53-'EDC-A9'!F82</f>
        <v>583</v>
      </c>
      <c r="G24" s="240">
        <f>'EDC-A9'!G53-'EDC-A9'!G82</f>
        <v>935</v>
      </c>
      <c r="H24" s="240">
        <f>'EDC-A9'!H53-'EDC-A9'!H82</f>
        <v>977</v>
      </c>
      <c r="I24" s="240">
        <f>'EDC-A9'!I53-'EDC-A9'!I82</f>
        <v>370</v>
      </c>
      <c r="J24" s="240">
        <f>'EDC-A9'!J53-'EDC-A9'!J82</f>
        <v>658</v>
      </c>
      <c r="K24" s="241">
        <f>'EDC-A9'!K53-'EDC-A9'!K82</f>
        <v>729</v>
      </c>
      <c r="L24" s="242">
        <f>'EDC-A9'!L53-'EDC-A9'!L82</f>
        <v>939</v>
      </c>
      <c r="M24" s="240">
        <f>'EDC-A9'!M53-'EDC-A9'!M82</f>
        <v>975</v>
      </c>
      <c r="N24" s="240">
        <f>'EDC-A9'!N53-'EDC-A9'!N82</f>
        <v>1009</v>
      </c>
      <c r="O24" s="240">
        <f>'EDC-A9'!O53-'EDC-A9'!O82</f>
        <v>1018</v>
      </c>
      <c r="P24" s="240">
        <f>'EDC-A9'!P53-'EDC-A9'!P82</f>
        <v>1014</v>
      </c>
      <c r="Q24" s="243">
        <f>'EDC-A9'!Q53-'EDC-A9'!Q82</f>
        <v>1062</v>
      </c>
    </row>
    <row r="25" spans="2:17" ht="16.5" customHeight="1">
      <c r="B25" s="16"/>
      <c r="C25" s="615" t="s">
        <v>313</v>
      </c>
      <c r="D25" s="244">
        <f>'EDC-A9'!D54-'EDC-A9'!D83</f>
        <v>0</v>
      </c>
      <c r="E25" s="245">
        <f>'EDC-A9'!E54-'EDC-A9'!E83</f>
        <v>361</v>
      </c>
      <c r="F25" s="245">
        <f>'EDC-A9'!F54-'EDC-A9'!F83</f>
        <v>364</v>
      </c>
      <c r="G25" s="245">
        <f>'EDC-A9'!G54-'EDC-A9'!G83</f>
        <v>360</v>
      </c>
      <c r="H25" s="245">
        <f>'EDC-A9'!H54-'EDC-A9'!H83</f>
        <v>429</v>
      </c>
      <c r="I25" s="245">
        <f>'EDC-A9'!I54-'EDC-A9'!I83</f>
        <v>429</v>
      </c>
      <c r="J25" s="245">
        <f>'EDC-A9'!J54-'EDC-A9'!J83</f>
        <v>457</v>
      </c>
      <c r="K25" s="246">
        <f>'EDC-A9'!K54-'EDC-A9'!K83</f>
        <v>525</v>
      </c>
      <c r="L25" s="247">
        <f>'EDC-A9'!L54-'EDC-A9'!L83</f>
        <v>684</v>
      </c>
      <c r="M25" s="245">
        <f>'EDC-A9'!M54-'EDC-A9'!M83</f>
        <v>718</v>
      </c>
      <c r="N25" s="245">
        <f>'EDC-A9'!N54-'EDC-A9'!N83</f>
        <v>718</v>
      </c>
      <c r="O25" s="245">
        <f>'EDC-A9'!O54-'EDC-A9'!O83</f>
        <v>723</v>
      </c>
      <c r="P25" s="245">
        <f>'EDC-A9'!P54-'EDC-A9'!P83</f>
        <v>723</v>
      </c>
      <c r="Q25" s="248">
        <f>'EDC-A9'!Q54-'EDC-A9'!Q83</f>
        <v>723</v>
      </c>
    </row>
    <row r="26" spans="2:17" ht="17.25" customHeight="1">
      <c r="B26" s="620" t="s">
        <v>314</v>
      </c>
      <c r="C26" s="621"/>
      <c r="D26" s="244">
        <f>'EDC-A9'!D55-'EDC-A9'!D84</f>
        <v>-8</v>
      </c>
      <c r="E26" s="245">
        <f>'EDC-A9'!E55-'EDC-A9'!E84</f>
        <v>-8</v>
      </c>
      <c r="F26" s="245">
        <f>'EDC-A9'!F55-'EDC-A9'!F84</f>
        <v>-51</v>
      </c>
      <c r="G26" s="245">
        <f>'EDC-A9'!G55-'EDC-A9'!G84</f>
        <v>-89</v>
      </c>
      <c r="H26" s="245">
        <f>'EDC-A9'!H55-'EDC-A9'!H84</f>
        <v>-108</v>
      </c>
      <c r="I26" s="245">
        <f>'EDC-A9'!I55-'EDC-A9'!I84</f>
        <v>-153</v>
      </c>
      <c r="J26" s="245">
        <f>'EDC-A9'!J55-'EDC-A9'!J84</f>
        <v>-181</v>
      </c>
      <c r="K26" s="246">
        <f>'EDC-A9'!K55-'EDC-A9'!K84</f>
        <v>-227</v>
      </c>
      <c r="L26" s="247">
        <f>'EDC-A9'!L55-'EDC-A9'!L84</f>
        <v>-283</v>
      </c>
      <c r="M26" s="245">
        <f>'EDC-A9'!M55-'EDC-A9'!M84</f>
        <v>-346</v>
      </c>
      <c r="N26" s="245">
        <f>'EDC-A9'!N55-'EDC-A9'!N84</f>
        <v>-414</v>
      </c>
      <c r="O26" s="245">
        <f>'EDC-A9'!O55-'EDC-A9'!O84</f>
        <v>-478</v>
      </c>
      <c r="P26" s="245">
        <f>'EDC-A9'!P55-'EDC-A9'!P84</f>
        <v>-551</v>
      </c>
      <c r="Q26" s="248">
        <f>'EDC-A9'!Q55-'EDC-A9'!Q84</f>
        <v>-554</v>
      </c>
    </row>
    <row r="27" spans="2:17" ht="17.25" customHeight="1">
      <c r="B27" s="620" t="s">
        <v>315</v>
      </c>
      <c r="C27" s="621"/>
      <c r="D27" s="244">
        <f>'EDC-A9'!D56-'EDC-A9'!D85</f>
        <v>0</v>
      </c>
      <c r="E27" s="245">
        <f>'EDC-A9'!E56-'EDC-A9'!E85</f>
        <v>0</v>
      </c>
      <c r="F27" s="245">
        <f>'EDC-A9'!F56-'EDC-A9'!F85</f>
        <v>0</v>
      </c>
      <c r="G27" s="245">
        <f>'EDC-A9'!G56-'EDC-A9'!G85</f>
        <v>0</v>
      </c>
      <c r="H27" s="245">
        <f>'EDC-A9'!H56-'EDC-A9'!H85</f>
        <v>0</v>
      </c>
      <c r="I27" s="245">
        <f>'EDC-A9'!I56-'EDC-A9'!I85</f>
        <v>0</v>
      </c>
      <c r="J27" s="245">
        <f>'EDC-A9'!J56-'EDC-A9'!J85</f>
        <v>-1.3350000000000364</v>
      </c>
      <c r="K27" s="246">
        <f>'EDC-A9'!K56-'EDC-A9'!K85</f>
        <v>0</v>
      </c>
      <c r="L27" s="247">
        <f>'EDC-A9'!L56-'EDC-A9'!L85</f>
        <v>0</v>
      </c>
      <c r="M27" s="245">
        <f>'EDC-A9'!M56-'EDC-A9'!M85</f>
        <v>0</v>
      </c>
      <c r="N27" s="245">
        <f>'EDC-A9'!N56-'EDC-A9'!N85</f>
        <v>0</v>
      </c>
      <c r="O27" s="245">
        <f>'EDC-A9'!O56-'EDC-A9'!O85</f>
        <v>0</v>
      </c>
      <c r="P27" s="245">
        <f>'EDC-A9'!P56-'EDC-A9'!P85</f>
        <v>0</v>
      </c>
      <c r="Q27" s="248">
        <f>'EDC-A9'!Q56-'EDC-A9'!Q85</f>
        <v>0</v>
      </c>
    </row>
    <row r="28" spans="2:17" ht="16.5" customHeight="1">
      <c r="B28" s="609" t="s">
        <v>316</v>
      </c>
      <c r="C28" s="610"/>
      <c r="D28" s="239">
        <f>'EDC-A9'!D57-'EDC-A9'!D86</f>
        <v>4628</v>
      </c>
      <c r="E28" s="240">
        <f>'EDC-A9'!E57-'EDC-A9'!E86</f>
        <v>6620</v>
      </c>
      <c r="F28" s="240">
        <f>'EDC-A9'!F57-'EDC-A9'!F86</f>
        <v>5849</v>
      </c>
      <c r="G28" s="240">
        <f>'EDC-A9'!G57-'EDC-A9'!G86</f>
        <v>5710</v>
      </c>
      <c r="H28" s="240">
        <f>'EDC-A9'!H57-'EDC-A9'!H86</f>
        <v>5494</v>
      </c>
      <c r="I28" s="240">
        <f>'EDC-A9'!I57-'EDC-A9'!I86</f>
        <v>5216</v>
      </c>
      <c r="J28" s="240">
        <f>'EDC-A9'!J57-'EDC-A9'!J86</f>
        <v>4552</v>
      </c>
      <c r="K28" s="241">
        <f>'EDC-A9'!K57-'EDC-A9'!K86</f>
        <v>5412</v>
      </c>
      <c r="L28" s="242">
        <f>'EDC-A9'!L57-'EDC-A9'!L86</f>
        <v>5083</v>
      </c>
      <c r="M28" s="240">
        <f>'EDC-A9'!M57-'EDC-A9'!M86</f>
        <v>4785</v>
      </c>
      <c r="N28" s="240">
        <f>'EDC-A9'!N57-'EDC-A9'!N86</f>
        <v>4567</v>
      </c>
      <c r="O28" s="240">
        <f>'EDC-A9'!O57-'EDC-A9'!O86</f>
        <v>4894</v>
      </c>
      <c r="P28" s="240">
        <f>'EDC-A9'!P57-'EDC-A9'!P86</f>
        <v>4709</v>
      </c>
      <c r="Q28" s="243">
        <f>'EDC-A9'!Q57-'EDC-A9'!Q86</f>
        <v>4535</v>
      </c>
    </row>
    <row r="29" spans="2:17" ht="16.5" customHeight="1">
      <c r="B29" s="607" t="s">
        <v>317</v>
      </c>
      <c r="C29" s="608"/>
      <c r="D29" s="239">
        <f>'EDC-A9'!D58-'EDC-A9'!D87</f>
        <v>0</v>
      </c>
      <c r="E29" s="240">
        <f>'EDC-A9'!E58-'EDC-A9'!E87</f>
        <v>0</v>
      </c>
      <c r="F29" s="240">
        <f>'EDC-A9'!F58-'EDC-A9'!F87</f>
        <v>0</v>
      </c>
      <c r="G29" s="240">
        <f>'EDC-A9'!G58-'EDC-A9'!G87</f>
        <v>0</v>
      </c>
      <c r="H29" s="240">
        <f>'EDC-A9'!H58-'EDC-A9'!H87</f>
        <v>0</v>
      </c>
      <c r="I29" s="240">
        <f>'EDC-A9'!I58-'EDC-A9'!I87</f>
        <v>0</v>
      </c>
      <c r="J29" s="240">
        <f>'EDC-A9'!J58-'EDC-A9'!J87</f>
        <v>0</v>
      </c>
      <c r="K29" s="241">
        <f>'EDC-A9'!K58-'EDC-A9'!K87</f>
        <v>0</v>
      </c>
      <c r="L29" s="242">
        <f>'EDC-A9'!L58-'EDC-A9'!L87</f>
        <v>0</v>
      </c>
      <c r="M29" s="240">
        <f>'EDC-A9'!M58-'EDC-A9'!M87</f>
        <v>0</v>
      </c>
      <c r="N29" s="240">
        <f>'EDC-A9'!N58-'EDC-A9'!N87</f>
        <v>0</v>
      </c>
      <c r="O29" s="240">
        <f>'EDC-A9'!O58-'EDC-A9'!O87</f>
        <v>0</v>
      </c>
      <c r="P29" s="240">
        <f>'EDC-A9'!P58-'EDC-A9'!P87</f>
        <v>0</v>
      </c>
      <c r="Q29" s="243">
        <f>'EDC-A9'!Q58-'EDC-A9'!Q87</f>
        <v>0</v>
      </c>
    </row>
    <row r="30" spans="2:17" ht="17.25" customHeight="1">
      <c r="B30" s="620" t="s">
        <v>318</v>
      </c>
      <c r="C30" s="621"/>
      <c r="D30" s="244">
        <f t="shared" ref="D30:K30" si="2">SUM(D28:D29)</f>
        <v>4628</v>
      </c>
      <c r="E30" s="245">
        <f t="shared" si="2"/>
        <v>6620</v>
      </c>
      <c r="F30" s="245">
        <f t="shared" si="2"/>
        <v>5849</v>
      </c>
      <c r="G30" s="245">
        <f t="shared" si="2"/>
        <v>5710</v>
      </c>
      <c r="H30" s="245">
        <f t="shared" si="2"/>
        <v>5494</v>
      </c>
      <c r="I30" s="245">
        <f t="shared" si="2"/>
        <v>5216</v>
      </c>
      <c r="J30" s="245">
        <f t="shared" si="2"/>
        <v>4552</v>
      </c>
      <c r="K30" s="246">
        <f t="shared" si="2"/>
        <v>5412</v>
      </c>
      <c r="L30" s="247">
        <f t="shared" ref="L30:Q30" si="3">SUM(L28:L29)</f>
        <v>5083</v>
      </c>
      <c r="M30" s="245">
        <f t="shared" si="3"/>
        <v>4785</v>
      </c>
      <c r="N30" s="245">
        <f t="shared" si="3"/>
        <v>4567</v>
      </c>
      <c r="O30" s="245">
        <f t="shared" si="3"/>
        <v>4894</v>
      </c>
      <c r="P30" s="245">
        <f t="shared" si="3"/>
        <v>4709</v>
      </c>
      <c r="Q30" s="248">
        <f t="shared" si="3"/>
        <v>4535</v>
      </c>
    </row>
    <row r="31" spans="2:17" ht="16.5" customHeight="1">
      <c r="B31" s="609" t="s">
        <v>319</v>
      </c>
      <c r="C31" s="610"/>
      <c r="D31" s="239">
        <f>'EDC-A9'!D60-'EDC-A9'!D89</f>
        <v>-221</v>
      </c>
      <c r="E31" s="240">
        <f>'EDC-A9'!E60-'EDC-A9'!E89</f>
        <v>-415</v>
      </c>
      <c r="F31" s="240">
        <f>'EDC-A9'!F60-'EDC-A9'!F89</f>
        <v>-447</v>
      </c>
      <c r="G31" s="240">
        <f>'EDC-A9'!G60-'EDC-A9'!G89</f>
        <v>-458</v>
      </c>
      <c r="H31" s="240">
        <f>'EDC-A9'!H60-'EDC-A9'!H89</f>
        <v>-471</v>
      </c>
      <c r="I31" s="240">
        <f>'EDC-A9'!I60-'EDC-A9'!I89</f>
        <v>-493</v>
      </c>
      <c r="J31" s="240">
        <f>'EDC-A9'!J60-'EDC-A9'!J89</f>
        <v>-507</v>
      </c>
      <c r="K31" s="241">
        <f>'EDC-A9'!K60-'EDC-A9'!K89</f>
        <v>-684</v>
      </c>
      <c r="L31" s="242">
        <f>'EDC-A9'!L60-'EDC-A9'!L89</f>
        <v>-699</v>
      </c>
      <c r="M31" s="240">
        <f>'EDC-A9'!M60-'EDC-A9'!M89</f>
        <v>-717</v>
      </c>
      <c r="N31" s="240">
        <f>'EDC-A9'!N60-'EDC-A9'!N89</f>
        <v>-684</v>
      </c>
      <c r="O31" s="240">
        <f>'EDC-A9'!O60-'EDC-A9'!O89</f>
        <v>-684</v>
      </c>
      <c r="P31" s="240">
        <f>'EDC-A9'!P60-'EDC-A9'!P89</f>
        <v>-684</v>
      </c>
      <c r="Q31" s="243">
        <f>'EDC-A9'!Q60-'EDC-A9'!Q89</f>
        <v>-684</v>
      </c>
    </row>
    <row r="32" spans="2:17" ht="16.5" customHeight="1">
      <c r="B32" s="605" t="s">
        <v>320</v>
      </c>
      <c r="C32" s="606"/>
      <c r="D32" s="239">
        <f>'EDC-A9'!D61-'EDC-A9'!D90</f>
        <v>142</v>
      </c>
      <c r="E32" s="240">
        <f>'EDC-A9'!E61-'EDC-A9'!E90</f>
        <v>89</v>
      </c>
      <c r="F32" s="240">
        <f>'EDC-A9'!F61-'EDC-A9'!F90</f>
        <v>114</v>
      </c>
      <c r="G32" s="240">
        <f>'EDC-A9'!G61-'EDC-A9'!G90</f>
        <v>142</v>
      </c>
      <c r="H32" s="240">
        <f>'EDC-A9'!H61-'EDC-A9'!H90</f>
        <v>3</v>
      </c>
      <c r="I32" s="240">
        <f>'EDC-A9'!I61-'EDC-A9'!I90</f>
        <v>62</v>
      </c>
      <c r="J32" s="240">
        <f>'EDC-A9'!J61-'EDC-A9'!J90</f>
        <v>165.39999999999998</v>
      </c>
      <c r="K32" s="241">
        <f>'EDC-A9'!K61-'EDC-A9'!K90</f>
        <v>157.39999999999998</v>
      </c>
      <c r="L32" s="242">
        <f>'EDC-A9'!L61-'EDC-A9'!L90</f>
        <v>136.19999999999993</v>
      </c>
      <c r="M32" s="240">
        <f>'EDC-A9'!M61-'EDC-A9'!M90</f>
        <v>136.59999999999991</v>
      </c>
      <c r="N32" s="240">
        <f>'EDC-A9'!N61-'EDC-A9'!N90</f>
        <v>136.59999999999991</v>
      </c>
      <c r="O32" s="240">
        <f>'EDC-A9'!O61-'EDC-A9'!O90</f>
        <v>136.59999999999991</v>
      </c>
      <c r="P32" s="240">
        <f>'EDC-A9'!P61-'EDC-A9'!P90</f>
        <v>136.59999999999991</v>
      </c>
      <c r="Q32" s="243">
        <f>'EDC-A9'!Q61-'EDC-A9'!Q90</f>
        <v>136.59999999999991</v>
      </c>
    </row>
    <row r="33" spans="2:17" ht="16.5" customHeight="1">
      <c r="B33" s="607" t="s">
        <v>321</v>
      </c>
      <c r="C33" s="608"/>
      <c r="D33" s="239">
        <f>'EDC-A9'!D62-'EDC-A9'!D91</f>
        <v>-24</v>
      </c>
      <c r="E33" s="240">
        <f>'EDC-A9'!E62-'EDC-A9'!E91</f>
        <v>118</v>
      </c>
      <c r="F33" s="240">
        <f>'EDC-A9'!F62-'EDC-A9'!F91</f>
        <v>30</v>
      </c>
      <c r="G33" s="240">
        <f>'EDC-A9'!G62-'EDC-A9'!G91</f>
        <v>30</v>
      </c>
      <c r="H33" s="240">
        <f>'EDC-A9'!H62-'EDC-A9'!H91</f>
        <v>22</v>
      </c>
      <c r="I33" s="240">
        <f>'EDC-A9'!I62-'EDC-A9'!I91</f>
        <v>293</v>
      </c>
      <c r="J33" s="240">
        <f>'EDC-A9'!J62-'EDC-A9'!J91</f>
        <v>295</v>
      </c>
      <c r="K33" s="241">
        <f>'EDC-A9'!K62-'EDC-A9'!K91</f>
        <v>291</v>
      </c>
      <c r="L33" s="242">
        <f>'EDC-A9'!L62-'EDC-A9'!L91</f>
        <v>344</v>
      </c>
      <c r="M33" s="240">
        <f>'EDC-A9'!M62-'EDC-A9'!M91</f>
        <v>344</v>
      </c>
      <c r="N33" s="240">
        <f>'EDC-A9'!N62-'EDC-A9'!N91</f>
        <v>344</v>
      </c>
      <c r="O33" s="240">
        <f>'EDC-A9'!O62-'EDC-A9'!O91</f>
        <v>344</v>
      </c>
      <c r="P33" s="240">
        <f>'EDC-A9'!P62-'EDC-A9'!P91</f>
        <v>344</v>
      </c>
      <c r="Q33" s="243">
        <f>'EDC-A9'!Q62-'EDC-A9'!Q91</f>
        <v>344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-103</v>
      </c>
      <c r="E34" s="250">
        <f t="shared" si="4"/>
        <v>-208</v>
      </c>
      <c r="F34" s="250">
        <f t="shared" si="4"/>
        <v>-303</v>
      </c>
      <c r="G34" s="250">
        <f t="shared" si="4"/>
        <v>-286</v>
      </c>
      <c r="H34" s="250">
        <f t="shared" si="4"/>
        <v>-446</v>
      </c>
      <c r="I34" s="250">
        <f t="shared" si="4"/>
        <v>-138</v>
      </c>
      <c r="J34" s="250">
        <f t="shared" si="4"/>
        <v>-46.600000000000023</v>
      </c>
      <c r="K34" s="251">
        <f t="shared" si="4"/>
        <v>-235.60000000000002</v>
      </c>
      <c r="L34" s="252">
        <f t="shared" ref="L34:Q34" si="5">SUM(L31:L33)</f>
        <v>-218.80000000000007</v>
      </c>
      <c r="M34" s="250">
        <f t="shared" si="5"/>
        <v>-236.40000000000009</v>
      </c>
      <c r="N34" s="250">
        <f t="shared" si="5"/>
        <v>-203.40000000000009</v>
      </c>
      <c r="O34" s="250">
        <f t="shared" si="5"/>
        <v>-203.40000000000009</v>
      </c>
      <c r="P34" s="250">
        <f t="shared" si="5"/>
        <v>-203.40000000000009</v>
      </c>
      <c r="Q34" s="253">
        <f t="shared" si="5"/>
        <v>-203.40000000000009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4802.0545735534724</v>
      </c>
      <c r="E35" s="171">
        <f t="shared" ref="E35:Q35" si="6">SUM(E19+E20+E22+E24+E26+E27+E30+E34)</f>
        <v>6607.8370072884127</v>
      </c>
      <c r="F35" s="171">
        <f t="shared" si="6"/>
        <v>5425.3385542168671</v>
      </c>
      <c r="G35" s="171">
        <f t="shared" si="6"/>
        <v>5501.5385542168679</v>
      </c>
      <c r="H35" s="171">
        <f t="shared" si="6"/>
        <v>5049.1406245431199</v>
      </c>
      <c r="I35" s="171">
        <f t="shared" si="6"/>
        <v>4363.1272804208893</v>
      </c>
      <c r="J35" s="171">
        <f t="shared" si="6"/>
        <v>3970.7504915575205</v>
      </c>
      <c r="K35" s="173">
        <f t="shared" si="6"/>
        <v>4848.5765030357743</v>
      </c>
      <c r="L35" s="172">
        <f t="shared" si="6"/>
        <v>4494.9142612890819</v>
      </c>
      <c r="M35" s="171">
        <f t="shared" si="6"/>
        <v>3997.1142612890822</v>
      </c>
      <c r="N35" s="171">
        <f t="shared" si="6"/>
        <v>3640.1142612890822</v>
      </c>
      <c r="O35" s="171">
        <f t="shared" si="6"/>
        <v>3835.1142612890822</v>
      </c>
      <c r="P35" s="171">
        <f t="shared" si="6"/>
        <v>3406.1142612890822</v>
      </c>
      <c r="Q35" s="174">
        <f t="shared" si="6"/>
        <v>3226.1142612890822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8</v>
      </c>
    </row>
    <row r="39" spans="2:17" ht="15" customHeight="1" thickBot="1">
      <c r="Q39" s="12" t="s">
        <v>52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IF('EDC-A9'!D7=0,"    -",ROUND('EDC-A9'!D36/'EDC-A9'!D7*100,1))</f>
        <v>81.7</v>
      </c>
      <c r="E43" s="58">
        <f>IF('EDC-A9'!E7=0,"    -",ROUND('EDC-A9'!E36/'EDC-A9'!E7*100,1))</f>
        <v>82.3</v>
      </c>
      <c r="F43" s="58">
        <f>IF('EDC-A9'!F7=0,"    -",ROUND('EDC-A9'!F36/'EDC-A9'!F7*100,1))</f>
        <v>87.2</v>
      </c>
      <c r="G43" s="58">
        <f>IF('EDC-A9'!G7=0,"    -",ROUND('EDC-A9'!G36/'EDC-A9'!G7*100,1))</f>
        <v>84.7</v>
      </c>
      <c r="H43" s="58">
        <f>IF('EDC-A9'!H7=0,"    -",ROUND('EDC-A9'!H36/'EDC-A9'!H7*100,1))</f>
        <v>90.5</v>
      </c>
      <c r="I43" s="58">
        <f>IF('EDC-A9'!I7=0,"    -",ROUND('EDC-A9'!I36/'EDC-A9'!I7*100,1))</f>
        <v>84.8</v>
      </c>
      <c r="J43" s="58">
        <f>IF('EDC-A9'!J7=0,"    -",ROUND('EDC-A9'!J36/'EDC-A9'!J7*100,1))</f>
        <v>80.900000000000006</v>
      </c>
      <c r="K43" s="59">
        <f>IF('EDC-A9'!K7=0,"    -",ROUND('EDC-A9'!K36/'EDC-A9'!K7*100,1))</f>
        <v>74</v>
      </c>
      <c r="L43" s="60">
        <f>IF('EDC-A9'!L7=0,"    -",ROUND('EDC-A9'!L36/'EDC-A9'!L7*100,1))</f>
        <v>81.2</v>
      </c>
      <c r="M43" s="58">
        <f>IF('EDC-A9'!M7=0,"    -",ROUND('EDC-A9'!M36/'EDC-A9'!M7*100,1))</f>
        <v>81.2</v>
      </c>
      <c r="N43" s="58">
        <f>IF('EDC-A9'!N7=0,"    -",ROUND('EDC-A9'!N36/'EDC-A9'!N7*100,1))</f>
        <v>81.2</v>
      </c>
      <c r="O43" s="58">
        <f>IF('EDC-A9'!O7=0,"    -",ROUND('EDC-A9'!O36/'EDC-A9'!O7*100,1))</f>
        <v>85.3</v>
      </c>
      <c r="P43" s="58">
        <f>IF('EDC-A9'!P7=0,"    -",ROUND('EDC-A9'!P36/'EDC-A9'!P7*100,1))</f>
        <v>85.3</v>
      </c>
      <c r="Q43" s="61">
        <f>IF('EDC-A9'!Q7=0,"    -",ROUND('EDC-A9'!Q36/'EDC-A9'!Q7*100,1))</f>
        <v>85.3</v>
      </c>
    </row>
    <row r="44" spans="2:17" ht="16.5" customHeight="1">
      <c r="B44" s="605" t="s">
        <v>434</v>
      </c>
      <c r="C44" s="606"/>
      <c r="D44" s="57">
        <f>IF('EDC-A9'!D8=0,"    -",ROUND('EDC-A9'!D37/'EDC-A9'!D8*100,1))</f>
        <v>81.900000000000006</v>
      </c>
      <c r="E44" s="58">
        <f>IF('EDC-A9'!E8=0,"    -",ROUND('EDC-A9'!E37/'EDC-A9'!E8*100,1))</f>
        <v>77.900000000000006</v>
      </c>
      <c r="F44" s="58">
        <f>IF('EDC-A9'!F8=0,"    -",ROUND('EDC-A9'!F37/'EDC-A9'!F8*100,1))</f>
        <v>80.3</v>
      </c>
      <c r="G44" s="58">
        <f>IF('EDC-A9'!G8=0,"    -",ROUND('EDC-A9'!G37/'EDC-A9'!G8*100,1))</f>
        <v>80.2</v>
      </c>
      <c r="H44" s="58">
        <f>IF('EDC-A9'!H8=0,"    -",ROUND('EDC-A9'!H37/'EDC-A9'!H8*100,1))</f>
        <v>77.099999999999994</v>
      </c>
      <c r="I44" s="58">
        <f>IF('EDC-A9'!I8=0,"    -",ROUND('EDC-A9'!I37/'EDC-A9'!I8*100,1))</f>
        <v>77.400000000000006</v>
      </c>
      <c r="J44" s="58">
        <f>IF('EDC-A9'!J8=0,"    -",ROUND('EDC-A9'!J37/'EDC-A9'!J8*100,1))</f>
        <v>76.2</v>
      </c>
      <c r="K44" s="59">
        <f>IF('EDC-A9'!K8=0,"    -",ROUND('EDC-A9'!K37/'EDC-A9'!K8*100,1))</f>
        <v>85.3</v>
      </c>
      <c r="L44" s="60">
        <f>IF('EDC-A9'!L8=0,"    -",ROUND('EDC-A9'!L37/'EDC-A9'!L8*100,1))</f>
        <v>81.900000000000006</v>
      </c>
      <c r="M44" s="58">
        <f>IF('EDC-A9'!M8=0,"    -",ROUND('EDC-A9'!M37/'EDC-A9'!M8*100,1))</f>
        <v>81.900000000000006</v>
      </c>
      <c r="N44" s="58">
        <f>IF('EDC-A9'!N8=0,"    -",ROUND('EDC-A9'!N37/'EDC-A9'!N8*100,1))</f>
        <v>81.900000000000006</v>
      </c>
      <c r="O44" s="58">
        <f>IF('EDC-A9'!O8=0,"    -",ROUND('EDC-A9'!O37/'EDC-A9'!O8*100,1))</f>
        <v>81.900000000000006</v>
      </c>
      <c r="P44" s="58">
        <f>IF('EDC-A9'!P8=0,"    -",ROUND('EDC-A9'!P37/'EDC-A9'!P8*100,1))</f>
        <v>81.900000000000006</v>
      </c>
      <c r="Q44" s="61">
        <f>IF('EDC-A9'!Q8=0,"    -",ROUND('EDC-A9'!Q37/'EDC-A9'!Q8*100,1))</f>
        <v>81.900000000000006</v>
      </c>
    </row>
    <row r="45" spans="2:17" ht="16.5" customHeight="1">
      <c r="B45" s="605" t="s">
        <v>435</v>
      </c>
      <c r="C45" s="606"/>
      <c r="D45" s="57" t="str">
        <f>IF('EDC-A9'!D9=0,"    -",ROUND('EDC-A9'!D38/'EDC-A9'!D9*100,1))</f>
        <v xml:space="preserve">    -</v>
      </c>
      <c r="E45" s="58" t="str">
        <f>IF('EDC-A9'!E9=0,"    -",ROUND('EDC-A9'!E38/'EDC-A9'!E9*100,1))</f>
        <v xml:space="preserve">    -</v>
      </c>
      <c r="F45" s="58" t="str">
        <f>IF('EDC-A9'!F9=0,"    -",ROUND('EDC-A9'!F38/'EDC-A9'!F9*100,1))</f>
        <v xml:space="preserve">    -</v>
      </c>
      <c r="G45" s="58" t="str">
        <f>IF('EDC-A9'!G9=0,"    -",ROUND('EDC-A9'!G38/'EDC-A9'!G9*100,1))</f>
        <v xml:space="preserve">    -</v>
      </c>
      <c r="H45" s="58" t="str">
        <f>IF('EDC-A9'!H9=0,"    -",ROUND('EDC-A9'!H38/'EDC-A9'!H9*100,1))</f>
        <v xml:space="preserve">    -</v>
      </c>
      <c r="I45" s="58" t="str">
        <f>IF('EDC-A9'!I9=0,"    -",ROUND('EDC-A9'!I38/'EDC-A9'!I9*100,1))</f>
        <v xml:space="preserve">    -</v>
      </c>
      <c r="J45" s="58" t="str">
        <f>IF('EDC-A9'!J9=0,"    -",ROUND('EDC-A9'!J38/'EDC-A9'!J9*100,1))</f>
        <v xml:space="preserve">    -</v>
      </c>
      <c r="K45" s="59" t="str">
        <f>IF('EDC-A9'!K9=0,"    -",ROUND('EDC-A9'!K38/'EDC-A9'!K9*100,1))</f>
        <v xml:space="preserve">    -</v>
      </c>
      <c r="L45" s="60" t="str">
        <f>IF('EDC-A9'!L9=0,"    -",ROUND('EDC-A9'!L38/'EDC-A9'!L9*100,1))</f>
        <v xml:space="preserve">    -</v>
      </c>
      <c r="M45" s="58" t="str">
        <f>IF('EDC-A9'!M9=0,"    -",ROUND('EDC-A9'!M38/'EDC-A9'!M9*100,1))</f>
        <v xml:space="preserve">    -</v>
      </c>
      <c r="N45" s="58" t="str">
        <f>IF('EDC-A9'!N9=0,"    -",ROUND('EDC-A9'!N38/'EDC-A9'!N9*100,1))</f>
        <v xml:space="preserve">    -</v>
      </c>
      <c r="O45" s="58" t="str">
        <f>IF('EDC-A9'!O9=0,"    -",ROUND('EDC-A9'!O38/'EDC-A9'!O9*100,1))</f>
        <v xml:space="preserve">    -</v>
      </c>
      <c r="P45" s="58" t="str">
        <f>IF('EDC-A9'!P9=0,"    -",ROUND('EDC-A9'!P38/'EDC-A9'!P9*100,1))</f>
        <v xml:space="preserve">    -</v>
      </c>
      <c r="Q45" s="61" t="str">
        <f>IF('EDC-A9'!Q9=0,"    -",ROUND('EDC-A9'!Q38/'EDC-A9'!Q9*100,1))</f>
        <v xml:space="preserve">    -</v>
      </c>
    </row>
    <row r="46" spans="2:17" ht="16.5" customHeight="1">
      <c r="B46" s="605" t="s">
        <v>436</v>
      </c>
      <c r="C46" s="606"/>
      <c r="D46" s="57">
        <f>IF('EDC-A9'!D10=0,"    -",ROUND('EDC-A9'!D39/'EDC-A9'!D10*100,1))</f>
        <v>85.1</v>
      </c>
      <c r="E46" s="58">
        <f>IF('EDC-A9'!E10=0,"    -",ROUND('EDC-A9'!E39/'EDC-A9'!E10*100,1))</f>
        <v>85.9</v>
      </c>
      <c r="F46" s="58">
        <f>IF('EDC-A9'!F10=0,"    -",ROUND('EDC-A9'!F39/'EDC-A9'!F10*100,1))</f>
        <v>88</v>
      </c>
      <c r="G46" s="58">
        <f>IF('EDC-A9'!G10=0,"    -",ROUND('EDC-A9'!G39/'EDC-A9'!G10*100,1))</f>
        <v>91.5</v>
      </c>
      <c r="H46" s="58">
        <f>IF('EDC-A9'!H10=0,"    -",ROUND('EDC-A9'!H39/'EDC-A9'!H10*100,1))</f>
        <v>90.3</v>
      </c>
      <c r="I46" s="58">
        <f>IF('EDC-A9'!I10=0,"    -",ROUND('EDC-A9'!I39/'EDC-A9'!I10*100,1))</f>
        <v>87.2</v>
      </c>
      <c r="J46" s="58">
        <f>IF('EDC-A9'!J10=0,"    -",ROUND('EDC-A9'!J39/'EDC-A9'!J10*100,1))</f>
        <v>85.4</v>
      </c>
      <c r="K46" s="59">
        <f>IF('EDC-A9'!K10=0,"    -",ROUND('EDC-A9'!K39/'EDC-A9'!K10*100,1))</f>
        <v>91.3</v>
      </c>
      <c r="L46" s="60">
        <f>IF('EDC-A9'!L10=0,"    -",ROUND('EDC-A9'!L39/'EDC-A9'!L10*100,1))</f>
        <v>88.4</v>
      </c>
      <c r="M46" s="58">
        <f>IF('EDC-A9'!M10=0,"    -",ROUND('EDC-A9'!M39/'EDC-A9'!M10*100,1))</f>
        <v>92.7</v>
      </c>
      <c r="N46" s="58">
        <f>IF('EDC-A9'!N10=0,"    -",ROUND('EDC-A9'!N39/'EDC-A9'!N10*100,1))</f>
        <v>93.6</v>
      </c>
      <c r="O46" s="58">
        <f>IF('EDC-A9'!O10=0,"    -",ROUND('EDC-A9'!O39/'EDC-A9'!O10*100,1))</f>
        <v>85.7</v>
      </c>
      <c r="P46" s="58">
        <f>IF('EDC-A9'!P10=0,"    -",ROUND('EDC-A9'!P39/'EDC-A9'!P10*100,1))</f>
        <v>85.6</v>
      </c>
      <c r="Q46" s="61">
        <f>IF('EDC-A9'!Q10=0,"    -",ROUND('EDC-A9'!Q39/'EDC-A9'!Q10*100,1))</f>
        <v>85.5</v>
      </c>
    </row>
    <row r="47" spans="2:17" ht="16.5" customHeight="1">
      <c r="B47" s="605" t="s">
        <v>437</v>
      </c>
      <c r="C47" s="606"/>
      <c r="D47" s="57">
        <f>IF('EDC-A9'!D11=0,"    -",ROUND('EDC-A9'!D40/'EDC-A9'!D11*100,1))</f>
        <v>95</v>
      </c>
      <c r="E47" s="58">
        <f>IF('EDC-A9'!E11=0,"    -",ROUND('EDC-A9'!E40/'EDC-A9'!E11*100,1))</f>
        <v>95</v>
      </c>
      <c r="F47" s="58">
        <f>IF('EDC-A9'!F11=0,"    -",ROUND('EDC-A9'!F40/'EDC-A9'!F11*100,1))</f>
        <v>95</v>
      </c>
      <c r="G47" s="58">
        <f>IF('EDC-A9'!G11=0,"    -",ROUND('EDC-A9'!G40/'EDC-A9'!G11*100,1))</f>
        <v>95</v>
      </c>
      <c r="H47" s="58">
        <f>IF('EDC-A9'!H11=0,"    -",ROUND('EDC-A9'!H40/'EDC-A9'!H11*100,1))</f>
        <v>90</v>
      </c>
      <c r="I47" s="58">
        <f>IF('EDC-A9'!I11=0,"    -",ROUND('EDC-A9'!I40/'EDC-A9'!I11*100,1))</f>
        <v>90.2</v>
      </c>
      <c r="J47" s="58">
        <f>IF('EDC-A9'!J11=0,"    -",ROUND('EDC-A9'!J40/'EDC-A9'!J11*100,1))</f>
        <v>90.2</v>
      </c>
      <c r="K47" s="59">
        <f>IF('EDC-A9'!K11=0,"    -",ROUND('EDC-A9'!K40/'EDC-A9'!K11*100,1))</f>
        <v>90.2</v>
      </c>
      <c r="L47" s="60">
        <f>IF('EDC-A9'!L11=0,"    -",ROUND('EDC-A9'!L40/'EDC-A9'!L11*100,1))</f>
        <v>90.2</v>
      </c>
      <c r="M47" s="58">
        <f>IF('EDC-A9'!M11=0,"    -",ROUND('EDC-A9'!M40/'EDC-A9'!M11*100,1))</f>
        <v>90.2</v>
      </c>
      <c r="N47" s="58">
        <f>IF('EDC-A9'!N11=0,"    -",ROUND('EDC-A9'!N40/'EDC-A9'!N11*100,1))</f>
        <v>90.2</v>
      </c>
      <c r="O47" s="58">
        <f>IF('EDC-A9'!O11=0,"    -",ROUND('EDC-A9'!O40/'EDC-A9'!O11*100,1))</f>
        <v>90.2</v>
      </c>
      <c r="P47" s="58">
        <f>IF('EDC-A9'!P11=0,"    -",ROUND('EDC-A9'!P40/'EDC-A9'!P11*100,1))</f>
        <v>90.2</v>
      </c>
      <c r="Q47" s="61">
        <f>IF('EDC-A9'!Q11=0,"    -",ROUND('EDC-A9'!Q40/'EDC-A9'!Q11*100,1))</f>
        <v>90.2</v>
      </c>
    </row>
    <row r="48" spans="2:17" ht="16.5" customHeight="1">
      <c r="B48" s="605" t="s">
        <v>438</v>
      </c>
      <c r="C48" s="606"/>
      <c r="D48" s="57">
        <f>IF('EDC-A9'!D12=0,"    -",ROUND('EDC-A9'!D41/'EDC-A9'!D12*100,1))</f>
        <v>100.9</v>
      </c>
      <c r="E48" s="58">
        <f>IF('EDC-A9'!E12=0,"    -",ROUND('EDC-A9'!E41/'EDC-A9'!E12*100,1))</f>
        <v>80.400000000000006</v>
      </c>
      <c r="F48" s="58">
        <f>IF('EDC-A9'!F12=0,"    -",ROUND('EDC-A9'!F41/'EDC-A9'!F12*100,1))</f>
        <v>100</v>
      </c>
      <c r="G48" s="58">
        <f>IF('EDC-A9'!G12=0,"    -",ROUND('EDC-A9'!G41/'EDC-A9'!G12*100,1))</f>
        <v>100</v>
      </c>
      <c r="H48" s="58">
        <f>IF('EDC-A9'!H12=0,"    -",ROUND('EDC-A9'!H41/'EDC-A9'!H12*100,1))</f>
        <v>100</v>
      </c>
      <c r="I48" s="58">
        <f>IF('EDC-A9'!I12=0,"    -",ROUND('EDC-A9'!I41/'EDC-A9'!I12*100,1))</f>
        <v>83.7</v>
      </c>
      <c r="J48" s="58">
        <f>IF('EDC-A9'!J12=0,"    -",ROUND('EDC-A9'!J41/'EDC-A9'!J12*100,1))</f>
        <v>87.9</v>
      </c>
      <c r="K48" s="59">
        <f>IF('EDC-A9'!K12=0,"    -",ROUND('EDC-A9'!K41/'EDC-A9'!K12*100,1))</f>
        <v>87.9</v>
      </c>
      <c r="L48" s="60">
        <f>IF('EDC-A9'!L12=0,"    -",ROUND('EDC-A9'!L41/'EDC-A9'!L12*100,1))</f>
        <v>87.9</v>
      </c>
      <c r="M48" s="58">
        <f>IF('EDC-A9'!M12=0,"    -",ROUND('EDC-A9'!M41/'EDC-A9'!M12*100,1))</f>
        <v>87.9</v>
      </c>
      <c r="N48" s="58">
        <f>IF('EDC-A9'!N12=0,"    -",ROUND('EDC-A9'!N41/'EDC-A9'!N12*100,1))</f>
        <v>87.9</v>
      </c>
      <c r="O48" s="58">
        <f>IF('EDC-A9'!O12=0,"    -",ROUND('EDC-A9'!O41/'EDC-A9'!O12*100,1))</f>
        <v>87.9</v>
      </c>
      <c r="P48" s="58">
        <f>IF('EDC-A9'!P12=0,"    -",ROUND('EDC-A9'!P41/'EDC-A9'!P12*100,1))</f>
        <v>88.7</v>
      </c>
      <c r="Q48" s="61">
        <f>IF('EDC-A9'!Q12=0,"    -",ROUND('EDC-A9'!Q41/'EDC-A9'!Q12*100,1))</f>
        <v>88.7</v>
      </c>
    </row>
    <row r="49" spans="2:17" ht="16.5" customHeight="1">
      <c r="B49" s="605" t="s">
        <v>439</v>
      </c>
      <c r="C49" s="606"/>
      <c r="D49" s="57">
        <f>IF('EDC-A9'!D13=0,"    -",ROUND('EDC-A9'!D42/'EDC-A9'!D13*100,1))</f>
        <v>61.9</v>
      </c>
      <c r="E49" s="58">
        <f>IF('EDC-A9'!E13=0,"    -",ROUND('EDC-A9'!E42/'EDC-A9'!E13*100,1))</f>
        <v>61.9</v>
      </c>
      <c r="F49" s="58">
        <f>IF('EDC-A9'!F13=0,"    -",ROUND('EDC-A9'!F42/'EDC-A9'!F13*100,1))</f>
        <v>95</v>
      </c>
      <c r="G49" s="58">
        <f>IF('EDC-A9'!G13=0,"    -",ROUND('EDC-A9'!G42/'EDC-A9'!G13*100,1))</f>
        <v>95</v>
      </c>
      <c r="H49" s="58">
        <f>IF('EDC-A9'!H13=0,"    -",ROUND('EDC-A9'!H42/'EDC-A9'!H13*100,1))</f>
        <v>80</v>
      </c>
      <c r="I49" s="58">
        <f>IF('EDC-A9'!I13=0,"    -",ROUND('EDC-A9'!I42/'EDC-A9'!I13*100,1))</f>
        <v>80</v>
      </c>
      <c r="J49" s="58">
        <f>IF('EDC-A9'!J13=0,"    -",ROUND('EDC-A9'!J42/'EDC-A9'!J13*100,1))</f>
        <v>75</v>
      </c>
      <c r="K49" s="59">
        <f>IF('EDC-A9'!K13=0,"    -",ROUND('EDC-A9'!K42/'EDC-A9'!K13*100,1))</f>
        <v>78.3</v>
      </c>
      <c r="L49" s="60">
        <f>IF('EDC-A9'!L13=0,"    -",ROUND('EDC-A9'!L42/'EDC-A9'!L13*100,1))</f>
        <v>80.099999999999994</v>
      </c>
      <c r="M49" s="58">
        <f>IF('EDC-A9'!M13=0,"    -",ROUND('EDC-A9'!M42/'EDC-A9'!M13*100,1))</f>
        <v>87</v>
      </c>
      <c r="N49" s="58">
        <f>IF('EDC-A9'!N13=0,"    -",ROUND('EDC-A9'!N42/'EDC-A9'!N13*100,1))</f>
        <v>95.7</v>
      </c>
      <c r="O49" s="58">
        <f>IF('EDC-A9'!O13=0,"    -",ROUND('EDC-A9'!O42/'EDC-A9'!O13*100,1))</f>
        <v>95.7</v>
      </c>
      <c r="P49" s="58">
        <f>IF('EDC-A9'!P13=0,"    -",ROUND('EDC-A9'!P42/'EDC-A9'!P13*100,1))</f>
        <v>95.7</v>
      </c>
      <c r="Q49" s="61">
        <f>IF('EDC-A9'!Q13=0,"    -",ROUND('EDC-A9'!Q42/'EDC-A9'!Q13*100,1))</f>
        <v>95.7</v>
      </c>
    </row>
    <row r="50" spans="2:17" ht="18" hidden="1" customHeight="1">
      <c r="B50" s="16"/>
      <c r="C50" s="90" t="s">
        <v>306</v>
      </c>
      <c r="D50" s="57" t="str">
        <f>IF('EDC-A9'!D14=0,"    -",ROUND('EDC-A9'!D43/'EDC-A9'!D14*100,1))</f>
        <v xml:space="preserve">    -</v>
      </c>
      <c r="E50" s="58" t="str">
        <f>IF('EDC-A9'!E14=0,"    -",ROUND('EDC-A9'!E43/'EDC-A9'!E14*100,1))</f>
        <v xml:space="preserve">    -</v>
      </c>
      <c r="F50" s="58" t="str">
        <f>IF('EDC-A9'!F14=0,"    -",ROUND('EDC-A9'!F43/'EDC-A9'!F14*100,1))</f>
        <v xml:space="preserve">    -</v>
      </c>
      <c r="G50" s="58" t="str">
        <f>IF('EDC-A9'!G14=0,"    -",ROUND('EDC-A9'!G43/'EDC-A9'!G14*100,1))</f>
        <v xml:space="preserve">    -</v>
      </c>
      <c r="H50" s="58" t="str">
        <f>IF('EDC-A9'!H14=0,"    -",ROUND('EDC-A9'!H43/'EDC-A9'!H14*100,1))</f>
        <v xml:space="preserve">    -</v>
      </c>
      <c r="I50" s="58" t="str">
        <f>IF('EDC-A9'!I14=0,"    -",ROUND('EDC-A9'!I43/'EDC-A9'!I14*100,1))</f>
        <v xml:space="preserve">    -</v>
      </c>
      <c r="J50" s="58" t="str">
        <f>IF('EDC-A9'!J14=0,"    -",ROUND('EDC-A9'!J43/'EDC-A9'!J14*100,1))</f>
        <v xml:space="preserve">    -</v>
      </c>
      <c r="K50" s="59" t="str">
        <f>IF('EDC-A9'!K14=0,"    -",ROUND('EDC-A9'!K43/'EDC-A9'!K14*100,1))</f>
        <v xml:space="preserve">    -</v>
      </c>
      <c r="L50" s="60" t="str">
        <f>IF('EDC-A9'!L14=0,"    -",ROUND('EDC-A9'!L43/'EDC-A9'!L14*100,1))</f>
        <v xml:space="preserve">    -</v>
      </c>
      <c r="M50" s="58" t="str">
        <f>IF('EDC-A9'!M14=0,"    -",ROUND('EDC-A9'!M43/'EDC-A9'!M14*100,1))</f>
        <v xml:space="preserve">    -</v>
      </c>
      <c r="N50" s="58" t="str">
        <f>IF('EDC-A9'!N14=0,"    -",ROUND('EDC-A9'!N43/'EDC-A9'!N14*100,1))</f>
        <v xml:space="preserve">    -</v>
      </c>
      <c r="O50" s="58" t="str">
        <f>IF('EDC-A9'!O14=0,"    -",ROUND('EDC-A9'!O43/'EDC-A9'!O14*100,1))</f>
        <v xml:space="preserve">    -</v>
      </c>
      <c r="P50" s="58" t="str">
        <f>IF('EDC-A9'!P14=0,"    -",ROUND('EDC-A9'!P43/'EDC-A9'!P14*100,1))</f>
        <v xml:space="preserve">    -</v>
      </c>
      <c r="Q50" s="61" t="str">
        <f>IF('EDC-A9'!Q14=0,"    -",ROUND('EDC-A9'!Q43/'EDC-A9'!Q14*100,1))</f>
        <v xml:space="preserve">    -</v>
      </c>
    </row>
    <row r="51" spans="2:17" ht="16.5" customHeight="1">
      <c r="B51" s="605" t="s">
        <v>440</v>
      </c>
      <c r="C51" s="606"/>
      <c r="D51" s="57" t="str">
        <f>IF('EDC-A9'!D15=0,"    -",ROUND('EDC-A9'!D44/'EDC-A9'!D15*100,1))</f>
        <v xml:space="preserve">    -</v>
      </c>
      <c r="E51" s="58" t="str">
        <f>IF('EDC-A9'!E15=0,"    -",ROUND('EDC-A9'!E44/'EDC-A9'!E15*100,1))</f>
        <v xml:space="preserve">    -</v>
      </c>
      <c r="F51" s="58" t="str">
        <f>IF('EDC-A9'!F15=0,"    -",ROUND('EDC-A9'!F44/'EDC-A9'!F15*100,1))</f>
        <v xml:space="preserve">    -</v>
      </c>
      <c r="G51" s="58" t="str">
        <f>IF('EDC-A9'!G15=0,"    -",ROUND('EDC-A9'!G44/'EDC-A9'!G15*100,1))</f>
        <v xml:space="preserve">    -</v>
      </c>
      <c r="H51" s="58" t="str">
        <f>IF('EDC-A9'!H15=0,"    -",ROUND('EDC-A9'!H44/'EDC-A9'!H15*100,1))</f>
        <v xml:space="preserve">    -</v>
      </c>
      <c r="I51" s="58" t="str">
        <f>IF('EDC-A9'!I15=0,"    -",ROUND('EDC-A9'!I44/'EDC-A9'!I15*100,1))</f>
        <v xml:space="preserve">    -</v>
      </c>
      <c r="J51" s="58" t="str">
        <f>IF('EDC-A9'!J15=0,"    -",ROUND('EDC-A9'!J44/'EDC-A9'!J15*100,1))</f>
        <v xml:space="preserve">    -</v>
      </c>
      <c r="K51" s="59" t="str">
        <f>IF('EDC-A9'!K15=0,"    -",ROUND('EDC-A9'!K44/'EDC-A9'!K15*100,1))</f>
        <v xml:space="preserve">    -</v>
      </c>
      <c r="L51" s="60" t="str">
        <f>IF('EDC-A9'!L15=0,"    -",ROUND('EDC-A9'!L44/'EDC-A9'!L15*100,1))</f>
        <v xml:space="preserve">    -</v>
      </c>
      <c r="M51" s="58" t="str">
        <f>IF('EDC-A9'!M15=0,"    -",ROUND('EDC-A9'!M44/'EDC-A9'!M15*100,1))</f>
        <v xml:space="preserve">    -</v>
      </c>
      <c r="N51" s="58" t="str">
        <f>IF('EDC-A9'!N15=0,"    -",ROUND('EDC-A9'!N44/'EDC-A9'!N15*100,1))</f>
        <v xml:space="preserve">    -</v>
      </c>
      <c r="O51" s="58" t="str">
        <f>IF('EDC-A9'!O15=0,"    -",ROUND('EDC-A9'!O44/'EDC-A9'!O15*100,1))</f>
        <v xml:space="preserve">    -</v>
      </c>
      <c r="P51" s="58" t="str">
        <f>IF('EDC-A9'!P15=0,"    -",ROUND('EDC-A9'!P44/'EDC-A9'!P15*100,1))</f>
        <v xml:space="preserve">    -</v>
      </c>
      <c r="Q51" s="61" t="str">
        <f>IF('EDC-A9'!Q15=0,"    -",ROUND('EDC-A9'!Q44/'EDC-A9'!Q15*100,1))</f>
        <v xml:space="preserve">    -</v>
      </c>
    </row>
    <row r="52" spans="2:17" ht="16.5" customHeight="1">
      <c r="B52" s="605" t="s">
        <v>441</v>
      </c>
      <c r="C52" s="606"/>
      <c r="D52" s="57" t="str">
        <f>IF('EDC-A9'!D16=0,"    -",ROUND('EDC-A9'!D45/'EDC-A9'!D16*100,1))</f>
        <v xml:space="preserve">    -</v>
      </c>
      <c r="E52" s="58" t="str">
        <f>IF('EDC-A9'!E16=0,"    -",ROUND('EDC-A9'!E45/'EDC-A9'!E16*100,1))</f>
        <v xml:space="preserve">    -</v>
      </c>
      <c r="F52" s="58" t="str">
        <f>IF('EDC-A9'!F16=0,"    -",ROUND('EDC-A9'!F45/'EDC-A9'!F16*100,1))</f>
        <v xml:space="preserve">    -</v>
      </c>
      <c r="G52" s="58" t="str">
        <f>IF('EDC-A9'!G16=0,"    -",ROUND('EDC-A9'!G45/'EDC-A9'!G16*100,1))</f>
        <v xml:space="preserve">    -</v>
      </c>
      <c r="H52" s="58" t="str">
        <f>IF('EDC-A9'!H16=0,"    -",ROUND('EDC-A9'!H45/'EDC-A9'!H16*100,1))</f>
        <v xml:space="preserve">    -</v>
      </c>
      <c r="I52" s="58" t="str">
        <f>IF('EDC-A9'!I16=0,"    -",ROUND('EDC-A9'!I45/'EDC-A9'!I16*100,1))</f>
        <v xml:space="preserve">    -</v>
      </c>
      <c r="J52" s="58" t="str">
        <f>IF('EDC-A9'!J16=0,"    -",ROUND('EDC-A9'!J45/'EDC-A9'!J16*100,1))</f>
        <v xml:space="preserve">    -</v>
      </c>
      <c r="K52" s="59" t="str">
        <f>IF('EDC-A9'!K16=0,"    -",ROUND('EDC-A9'!K45/'EDC-A9'!K16*100,1))</f>
        <v xml:space="preserve">    -</v>
      </c>
      <c r="L52" s="60" t="str">
        <f>IF('EDC-A9'!L16=0,"    -",ROUND('EDC-A9'!L45/'EDC-A9'!L16*100,1))</f>
        <v xml:space="preserve">    -</v>
      </c>
      <c r="M52" s="58" t="str">
        <f>IF('EDC-A9'!M16=0,"    -",ROUND('EDC-A9'!M45/'EDC-A9'!M16*100,1))</f>
        <v xml:space="preserve">    -</v>
      </c>
      <c r="N52" s="58" t="str">
        <f>IF('EDC-A9'!N16=0,"    -",ROUND('EDC-A9'!N45/'EDC-A9'!N16*100,1))</f>
        <v xml:space="preserve">    -</v>
      </c>
      <c r="O52" s="58" t="str">
        <f>IF('EDC-A9'!O16=0,"    -",ROUND('EDC-A9'!O45/'EDC-A9'!O16*100,1))</f>
        <v xml:space="preserve">    -</v>
      </c>
      <c r="P52" s="58" t="str">
        <f>IF('EDC-A9'!P16=0,"    -",ROUND('EDC-A9'!P45/'EDC-A9'!P16*100,1))</f>
        <v xml:space="preserve">    -</v>
      </c>
      <c r="Q52" s="61" t="str">
        <f>IF('EDC-A9'!Q16=0,"    -",ROUND('EDC-A9'!Q45/'EDC-A9'!Q16*100,1))</f>
        <v xml:space="preserve">    -</v>
      </c>
    </row>
    <row r="53" spans="2:17" ht="16.5" customHeight="1">
      <c r="B53" s="605" t="s">
        <v>442</v>
      </c>
      <c r="C53" s="606"/>
      <c r="D53" s="57" t="str">
        <f>IF('EDC-A9'!D17=0,"    -",ROUND('EDC-A9'!D46/'EDC-A9'!D17*100,1))</f>
        <v xml:space="preserve">    -</v>
      </c>
      <c r="E53" s="58" t="str">
        <f>IF('EDC-A9'!E17=0,"    -",ROUND('EDC-A9'!E46/'EDC-A9'!E17*100,1))</f>
        <v xml:space="preserve">    -</v>
      </c>
      <c r="F53" s="58" t="str">
        <f>IF('EDC-A9'!F17=0,"    -",ROUND('EDC-A9'!F46/'EDC-A9'!F17*100,1))</f>
        <v xml:space="preserve">    -</v>
      </c>
      <c r="G53" s="58" t="str">
        <f>IF('EDC-A9'!G17=0,"    -",ROUND('EDC-A9'!G46/'EDC-A9'!G17*100,1))</f>
        <v xml:space="preserve">    -</v>
      </c>
      <c r="H53" s="58" t="str">
        <f>IF('EDC-A9'!H17=0,"    -",ROUND('EDC-A9'!H46/'EDC-A9'!H17*100,1))</f>
        <v xml:space="preserve">    -</v>
      </c>
      <c r="I53" s="58" t="str">
        <f>IF('EDC-A9'!I17=0,"    -",ROUND('EDC-A9'!I46/'EDC-A9'!I17*100,1))</f>
        <v xml:space="preserve">    -</v>
      </c>
      <c r="J53" s="58" t="str">
        <f>IF('EDC-A9'!J17=0,"    -",ROUND('EDC-A9'!J46/'EDC-A9'!J17*100,1))</f>
        <v xml:space="preserve">    -</v>
      </c>
      <c r="K53" s="59" t="str">
        <f>IF('EDC-A9'!K17=0,"    -",ROUND('EDC-A9'!K46/'EDC-A9'!K17*100,1))</f>
        <v xml:space="preserve">    -</v>
      </c>
      <c r="L53" s="60" t="str">
        <f>IF('EDC-A9'!L17=0,"    -",ROUND('EDC-A9'!L46/'EDC-A9'!L17*100,1))</f>
        <v xml:space="preserve">    -</v>
      </c>
      <c r="M53" s="58" t="str">
        <f>IF('EDC-A9'!M17=0,"    -",ROUND('EDC-A9'!M46/'EDC-A9'!M17*100,1))</f>
        <v xml:space="preserve">    -</v>
      </c>
      <c r="N53" s="58" t="str">
        <f>IF('EDC-A9'!N17=0,"    -",ROUND('EDC-A9'!N46/'EDC-A9'!N17*100,1))</f>
        <v xml:space="preserve">    -</v>
      </c>
      <c r="O53" s="58" t="str">
        <f>IF('EDC-A9'!O17=0,"    -",ROUND('EDC-A9'!O46/'EDC-A9'!O17*100,1))</f>
        <v xml:space="preserve">    -</v>
      </c>
      <c r="P53" s="58" t="str">
        <f>IF('EDC-A9'!P17=0,"    -",ROUND('EDC-A9'!P46/'EDC-A9'!P17*100,1))</f>
        <v xml:space="preserve">    -</v>
      </c>
      <c r="Q53" s="61" t="str">
        <f>IF('EDC-A9'!Q17=0,"    -",ROUND('EDC-A9'!Q46/'EDC-A9'!Q17*100,1))</f>
        <v xml:space="preserve">    -</v>
      </c>
    </row>
    <row r="54" spans="2:17" ht="16.5" customHeight="1">
      <c r="B54" s="607" t="s">
        <v>443</v>
      </c>
      <c r="C54" s="608"/>
      <c r="D54" s="57">
        <f>IF('EDC-A9'!D18=0,"    -",ROUND('EDC-A9'!D47/'EDC-A9'!D18*100,1))</f>
        <v>74.400000000000006</v>
      </c>
      <c r="E54" s="58">
        <f>IF('EDC-A9'!E18=0,"    -",ROUND('EDC-A9'!E47/'EDC-A9'!E18*100,1))</f>
        <v>67.5</v>
      </c>
      <c r="F54" s="58">
        <f>IF('EDC-A9'!F18=0,"    -",ROUND('EDC-A9'!F47/'EDC-A9'!F18*100,1))</f>
        <v>59.4</v>
      </c>
      <c r="G54" s="58">
        <f>IF('EDC-A9'!G18=0,"    -",ROUND('EDC-A9'!G47/'EDC-A9'!G18*100,1))</f>
        <v>62.9</v>
      </c>
      <c r="H54" s="58">
        <f>IF('EDC-A9'!H18=0,"    -",ROUND('EDC-A9'!H47/'EDC-A9'!H18*100,1))</f>
        <v>62.3</v>
      </c>
      <c r="I54" s="58">
        <f>IF('EDC-A9'!I18=0,"    -",ROUND('EDC-A9'!I47/'EDC-A9'!I18*100,1))</f>
        <v>73.3</v>
      </c>
      <c r="J54" s="58">
        <f>IF('EDC-A9'!J18=0,"    -",ROUND('EDC-A9'!J47/'EDC-A9'!J18*100,1))</f>
        <v>75.3</v>
      </c>
      <c r="K54" s="59">
        <f>IF('EDC-A9'!K18=0,"    -",ROUND('EDC-A9'!K47/'EDC-A9'!K18*100,1))</f>
        <v>78.3</v>
      </c>
      <c r="L54" s="60">
        <f>IF('EDC-A9'!L18=0,"    -",ROUND('EDC-A9'!L47/'EDC-A9'!L18*100,1))</f>
        <v>77.8</v>
      </c>
      <c r="M54" s="58">
        <f>IF('EDC-A9'!M18=0,"    -",ROUND('EDC-A9'!M47/'EDC-A9'!M18*100,1))</f>
        <v>78.8</v>
      </c>
      <c r="N54" s="58">
        <f>IF('EDC-A9'!N18=0,"    -",ROUND('EDC-A9'!N47/'EDC-A9'!N18*100,1))</f>
        <v>78.8</v>
      </c>
      <c r="O54" s="58">
        <f>IF('EDC-A9'!O18=0,"    -",ROUND('EDC-A9'!O47/'EDC-A9'!O18*100,1))</f>
        <v>78.8</v>
      </c>
      <c r="P54" s="58">
        <f>IF('EDC-A9'!P18=0,"    -",ROUND('EDC-A9'!P47/'EDC-A9'!P18*100,1))</f>
        <v>78.8</v>
      </c>
      <c r="Q54" s="61">
        <f>IF('EDC-A9'!Q18=0,"    -",ROUND('EDC-A9'!Q47/'EDC-A9'!Q18*100,1))</f>
        <v>78.8</v>
      </c>
    </row>
    <row r="55" spans="2:17" ht="17.25" customHeight="1">
      <c r="B55" s="674" t="s">
        <v>307</v>
      </c>
      <c r="C55" s="675"/>
      <c r="D55" s="74">
        <f>IF('EDC-A9'!D19=0,"    -",ROUND('EDC-A9'!D48/'EDC-A9'!D19*100,1))</f>
        <v>81.5</v>
      </c>
      <c r="E55" s="75">
        <f>IF('EDC-A9'!E19=0,"    -",ROUND('EDC-A9'!E48/'EDC-A9'!E19*100,1))</f>
        <v>78</v>
      </c>
      <c r="F55" s="75">
        <f>IF('EDC-A9'!F19=0,"    -",ROUND('EDC-A9'!F48/'EDC-A9'!F19*100,1))</f>
        <v>79.5</v>
      </c>
      <c r="G55" s="75">
        <f>IF('EDC-A9'!G19=0,"    -",ROUND('EDC-A9'!G48/'EDC-A9'!G19*100,1))</f>
        <v>81.8</v>
      </c>
      <c r="H55" s="75">
        <f>IF('EDC-A9'!H19=0,"    -",ROUND('EDC-A9'!H48/'EDC-A9'!H19*100,1))</f>
        <v>80.5</v>
      </c>
      <c r="I55" s="75">
        <f>IF('EDC-A9'!I19=0,"    -",ROUND('EDC-A9'!I48/'EDC-A9'!I19*100,1))</f>
        <v>81.5</v>
      </c>
      <c r="J55" s="75">
        <f>IF('EDC-A9'!J19=0,"    -",ROUND('EDC-A9'!J48/'EDC-A9'!J19*100,1))</f>
        <v>80.900000000000006</v>
      </c>
      <c r="K55" s="76">
        <f>IF('EDC-A9'!K19=0,"    -",ROUND('EDC-A9'!K48/'EDC-A9'!K19*100,1))</f>
        <v>84.6</v>
      </c>
      <c r="L55" s="77">
        <f>IF('EDC-A9'!L19=0,"    -",ROUND('EDC-A9'!L48/'EDC-A9'!L19*100,1))</f>
        <v>83.8</v>
      </c>
      <c r="M55" s="75">
        <f>IF('EDC-A9'!M19=0,"    -",ROUND('EDC-A9'!M48/'EDC-A9'!M19*100,1))</f>
        <v>86.2</v>
      </c>
      <c r="N55" s="75">
        <f>IF('EDC-A9'!N19=0,"    -",ROUND('EDC-A9'!N48/'EDC-A9'!N19*100,1))</f>
        <v>87.3</v>
      </c>
      <c r="O55" s="75">
        <f>IF('EDC-A9'!O19=0,"    -",ROUND('EDC-A9'!O48/'EDC-A9'!O19*100,1))</f>
        <v>84.6</v>
      </c>
      <c r="P55" s="75">
        <f>IF('EDC-A9'!P19=0,"    -",ROUND('EDC-A9'!P48/'EDC-A9'!P19*100,1))</f>
        <v>84.6</v>
      </c>
      <c r="Q55" s="78">
        <f>IF('EDC-A9'!Q19=0,"    -",ROUND('EDC-A9'!Q48/'EDC-A9'!Q19*100,1))</f>
        <v>84.6</v>
      </c>
    </row>
    <row r="56" spans="2:17" ht="17.25" customHeight="1">
      <c r="B56" s="672" t="s">
        <v>308</v>
      </c>
      <c r="C56" s="673"/>
      <c r="D56" s="135" t="str">
        <f>IF('EDC-A9'!D20=0,"    -",ROUND('EDC-A9'!D49/'EDC-A9'!D20*100,1))</f>
        <v xml:space="preserve">    -</v>
      </c>
      <c r="E56" s="136" t="str">
        <f>IF('EDC-A9'!E20=0,"    -",ROUND('EDC-A9'!E49/'EDC-A9'!E20*100,1))</f>
        <v xml:space="preserve">    -</v>
      </c>
      <c r="F56" s="136" t="str">
        <f>IF('EDC-A9'!F20=0,"    -",ROUND('EDC-A9'!F49/'EDC-A9'!F20*100,1))</f>
        <v xml:space="preserve">    -</v>
      </c>
      <c r="G56" s="136" t="str">
        <f>IF('EDC-A9'!G20=0,"    -",ROUND('EDC-A9'!G49/'EDC-A9'!G20*100,1))</f>
        <v xml:space="preserve">    -</v>
      </c>
      <c r="H56" s="136" t="str">
        <f>IF('EDC-A9'!H20=0,"    -",ROUND('EDC-A9'!H49/'EDC-A9'!H20*100,1))</f>
        <v xml:space="preserve">    -</v>
      </c>
      <c r="I56" s="136" t="str">
        <f>IF('EDC-A9'!I20=0,"    -",ROUND('EDC-A9'!I49/'EDC-A9'!I20*100,1))</f>
        <v xml:space="preserve">    -</v>
      </c>
      <c r="J56" s="136" t="str">
        <f>IF('EDC-A9'!J20=0,"    -",ROUND('EDC-A9'!J49/'EDC-A9'!J20*100,1))</f>
        <v xml:space="preserve">    -</v>
      </c>
      <c r="K56" s="137" t="str">
        <f>IF('EDC-A9'!K20=0,"    -",ROUND('EDC-A9'!K49/'EDC-A9'!K20*100,1))</f>
        <v xml:space="preserve">    -</v>
      </c>
      <c r="L56" s="135" t="str">
        <f>IF('EDC-A9'!L20=0,"    -",ROUND('EDC-A9'!L49/'EDC-A9'!L20*100,1))</f>
        <v xml:space="preserve">    -</v>
      </c>
      <c r="M56" s="136" t="str">
        <f>IF('EDC-A9'!M20=0,"    -",ROUND('EDC-A9'!M49/'EDC-A9'!M20*100,1))</f>
        <v xml:space="preserve">    -</v>
      </c>
      <c r="N56" s="136" t="str">
        <f>IF('EDC-A9'!N20=0,"    -",ROUND('EDC-A9'!N49/'EDC-A9'!N20*100,1))</f>
        <v xml:space="preserve">    -</v>
      </c>
      <c r="O56" s="136" t="str">
        <f>IF('EDC-A9'!O20=0,"    -",ROUND('EDC-A9'!O49/'EDC-A9'!O20*100,1))</f>
        <v xml:space="preserve">    -</v>
      </c>
      <c r="P56" s="136" t="str">
        <f>IF('EDC-A9'!P20=0,"    -",ROUND('EDC-A9'!P49/'EDC-A9'!P20*100,1))</f>
        <v xml:space="preserve">    -</v>
      </c>
      <c r="Q56" s="137" t="str">
        <f>IF('EDC-A9'!Q20=0,"    -",ROUND('EDC-A9'!Q49/'EDC-A9'!Q20*100,1))</f>
        <v xml:space="preserve">    -</v>
      </c>
    </row>
    <row r="57" spans="2:17" ht="16.5" customHeight="1">
      <c r="B57" s="105"/>
      <c r="C57" s="97" t="s">
        <v>309</v>
      </c>
      <c r="D57" s="135" t="str">
        <f>IF('EDC-A9'!D21=0,"    -",ROUND('EDC-A9'!D50/'EDC-A9'!D21*100,1))</f>
        <v xml:space="preserve">    -</v>
      </c>
      <c r="E57" s="136" t="str">
        <f>IF('EDC-A9'!E21=0,"    -",ROUND('EDC-A9'!E50/'EDC-A9'!E21*100,1))</f>
        <v xml:space="preserve">    -</v>
      </c>
      <c r="F57" s="136" t="str">
        <f>IF('EDC-A9'!F21=0,"    -",ROUND('EDC-A9'!F50/'EDC-A9'!F21*100,1))</f>
        <v xml:space="preserve">    -</v>
      </c>
      <c r="G57" s="136" t="str">
        <f>IF('EDC-A9'!G21=0,"    -",ROUND('EDC-A9'!G50/'EDC-A9'!G21*100,1))</f>
        <v xml:space="preserve">    -</v>
      </c>
      <c r="H57" s="136" t="str">
        <f>IF('EDC-A9'!H21=0,"    -",ROUND('EDC-A9'!H50/'EDC-A9'!H21*100,1))</f>
        <v xml:space="preserve">    -</v>
      </c>
      <c r="I57" s="136" t="str">
        <f>IF('EDC-A9'!I21=0,"    -",ROUND('EDC-A9'!I50/'EDC-A9'!I21*100,1))</f>
        <v xml:space="preserve">    -</v>
      </c>
      <c r="J57" s="136" t="str">
        <f>IF('EDC-A9'!J21=0,"    -",ROUND('EDC-A9'!J50/'EDC-A9'!J21*100,1))</f>
        <v xml:space="preserve">    -</v>
      </c>
      <c r="K57" s="137" t="str">
        <f>IF('EDC-A9'!K21=0,"    -",ROUND('EDC-A9'!K50/'EDC-A9'!K21*100,1))</f>
        <v xml:space="preserve">    -</v>
      </c>
      <c r="L57" s="135" t="str">
        <f>IF('EDC-A9'!L21=0,"    -",ROUND('EDC-A9'!L50/'EDC-A9'!L21*100,1))</f>
        <v xml:space="preserve">    -</v>
      </c>
      <c r="M57" s="136" t="str">
        <f>IF('EDC-A9'!M21=0,"    -",ROUND('EDC-A9'!M50/'EDC-A9'!M21*100,1))</f>
        <v xml:space="preserve">    -</v>
      </c>
      <c r="N57" s="136" t="str">
        <f>IF('EDC-A9'!N21=0,"    -",ROUND('EDC-A9'!N50/'EDC-A9'!N21*100,1))</f>
        <v xml:space="preserve">    -</v>
      </c>
      <c r="O57" s="136" t="str">
        <f>IF('EDC-A9'!O21=0,"    -",ROUND('EDC-A9'!O50/'EDC-A9'!O21*100,1))</f>
        <v xml:space="preserve">    -</v>
      </c>
      <c r="P57" s="136" t="str">
        <f>IF('EDC-A9'!P21=0,"    -",ROUND('EDC-A9'!P50/'EDC-A9'!P21*100,1))</f>
        <v xml:space="preserve">    -</v>
      </c>
      <c r="Q57" s="137" t="str">
        <f>IF('EDC-A9'!Q21=0,"    -",ROUND('EDC-A9'!Q50/'EDC-A9'!Q21*100,1))</f>
        <v xml:space="preserve">    -</v>
      </c>
    </row>
    <row r="58" spans="2:17" ht="17.25" customHeight="1">
      <c r="B58" s="672" t="s">
        <v>310</v>
      </c>
      <c r="C58" s="673"/>
      <c r="D58" s="57">
        <f>IF('EDC-A9'!D22=0,"    -",ROUND('EDC-A9'!D51/'EDC-A9'!D22*100,1))</f>
        <v>83.4</v>
      </c>
      <c r="E58" s="58">
        <f>IF('EDC-A9'!E22=0,"    -",ROUND('EDC-A9'!E51/'EDC-A9'!E22*100,1))</f>
        <v>84.8</v>
      </c>
      <c r="F58" s="58">
        <f>IF('EDC-A9'!F22=0,"    -",ROUND('EDC-A9'!F51/'EDC-A9'!F22*100,1))</f>
        <v>75.8</v>
      </c>
      <c r="G58" s="58">
        <f>IF('EDC-A9'!G22=0,"    -",ROUND('EDC-A9'!G51/'EDC-A9'!G22*100,1))</f>
        <v>78.099999999999994</v>
      </c>
      <c r="H58" s="58">
        <f>IF('EDC-A9'!H22=0,"    -",ROUND('EDC-A9'!H51/'EDC-A9'!H22*100,1))</f>
        <v>78</v>
      </c>
      <c r="I58" s="58">
        <f>IF('EDC-A9'!I22=0,"    -",ROUND('EDC-A9'!I51/'EDC-A9'!I22*100,1))</f>
        <v>78.099999999999994</v>
      </c>
      <c r="J58" s="58">
        <f>IF('EDC-A9'!J22=0,"    -",ROUND('EDC-A9'!J51/'EDC-A9'!J22*100,1))</f>
        <v>81.599999999999994</v>
      </c>
      <c r="K58" s="59">
        <f>IF('EDC-A9'!K22=0,"    -",ROUND('EDC-A9'!K51/'EDC-A9'!K22*100,1))</f>
        <v>83.8</v>
      </c>
      <c r="L58" s="57">
        <f>IF('EDC-A9'!L22=0,"    -",ROUND('EDC-A9'!L51/'EDC-A9'!L22*100,1))</f>
        <v>85</v>
      </c>
      <c r="M58" s="58">
        <f>IF('EDC-A9'!M22=0,"    -",ROUND('EDC-A9'!M51/'EDC-A9'!M22*100,1))</f>
        <v>85.4</v>
      </c>
      <c r="N58" s="58">
        <f>IF('EDC-A9'!N22=0,"    -",ROUND('EDC-A9'!N51/'EDC-A9'!N22*100,1))</f>
        <v>86</v>
      </c>
      <c r="O58" s="58">
        <f>IF('EDC-A9'!O22=0,"    -",ROUND('EDC-A9'!O51/'EDC-A9'!O22*100,1))</f>
        <v>85.7</v>
      </c>
      <c r="P58" s="58">
        <f>IF('EDC-A9'!P22=0,"    -",ROUND('EDC-A9'!P51/'EDC-A9'!P22*100,1))</f>
        <v>85.8</v>
      </c>
      <c r="Q58" s="59">
        <f>IF('EDC-A9'!Q22=0,"    -",ROUND('EDC-A9'!Q51/'EDC-A9'!Q22*100,1))</f>
        <v>85.6</v>
      </c>
    </row>
    <row r="59" spans="2:17" ht="16.5" customHeight="1">
      <c r="B59" s="105"/>
      <c r="C59" s="615" t="s">
        <v>311</v>
      </c>
      <c r="D59" s="74">
        <f>IF('EDC-A9'!D23=0,"    -",ROUND('EDC-A9'!D52/'EDC-A9'!D23*100,1))</f>
        <v>84.4</v>
      </c>
      <c r="E59" s="75">
        <f>IF('EDC-A9'!E23=0,"    -",ROUND('EDC-A9'!E52/'EDC-A9'!E23*100,1))</f>
        <v>81.400000000000006</v>
      </c>
      <c r="F59" s="75">
        <f>IF('EDC-A9'!F23=0,"    -",ROUND('EDC-A9'!F52/'EDC-A9'!F23*100,1))</f>
        <v>79.2</v>
      </c>
      <c r="G59" s="75">
        <f>IF('EDC-A9'!G23=0,"    -",ROUND('EDC-A9'!G52/'EDC-A9'!G23*100,1))</f>
        <v>81.8</v>
      </c>
      <c r="H59" s="75">
        <f>IF('EDC-A9'!H23=0,"    -",ROUND('EDC-A9'!H52/'EDC-A9'!H23*100,1))</f>
        <v>82.1</v>
      </c>
      <c r="I59" s="75">
        <f>IF('EDC-A9'!I23=0,"    -",ROUND('EDC-A9'!I52/'EDC-A9'!I23*100,1))</f>
        <v>81.400000000000006</v>
      </c>
      <c r="J59" s="75">
        <f>IF('EDC-A9'!J23=0,"    -",ROUND('EDC-A9'!J52/'EDC-A9'!J23*100,1))</f>
        <v>83.9</v>
      </c>
      <c r="K59" s="76">
        <f>IF('EDC-A9'!K23=0,"    -",ROUND('EDC-A9'!K52/'EDC-A9'!K23*100,1))</f>
        <v>85.2</v>
      </c>
      <c r="L59" s="74">
        <f>IF('EDC-A9'!L23=0,"    -",ROUND('EDC-A9'!L52/'EDC-A9'!L23*100,1))</f>
        <v>86.1</v>
      </c>
      <c r="M59" s="75">
        <f>IF('EDC-A9'!M23=0,"    -",ROUND('EDC-A9'!M52/'EDC-A9'!M23*100,1))</f>
        <v>86.5</v>
      </c>
      <c r="N59" s="75">
        <f>IF('EDC-A9'!N23=0,"    -",ROUND('EDC-A9'!N52/'EDC-A9'!N23*100,1))</f>
        <v>87.1</v>
      </c>
      <c r="O59" s="75">
        <f>IF('EDC-A9'!O23=0,"    -",ROUND('EDC-A9'!O52/'EDC-A9'!O23*100,1))</f>
        <v>86.7</v>
      </c>
      <c r="P59" s="75">
        <f>IF('EDC-A9'!P23=0,"    -",ROUND('EDC-A9'!P52/'EDC-A9'!P23*100,1))</f>
        <v>86.6</v>
      </c>
      <c r="Q59" s="76">
        <f>IF('EDC-A9'!Q23=0,"    -",ROUND('EDC-A9'!Q52/'EDC-A9'!Q23*100,1))</f>
        <v>86.6</v>
      </c>
    </row>
    <row r="60" spans="2:17" ht="17.25" customHeight="1">
      <c r="B60" s="672" t="s">
        <v>312</v>
      </c>
      <c r="C60" s="673"/>
      <c r="D60" s="57">
        <f>IF('EDC-A9'!D24=0,"    -",ROUND('EDC-A9'!D53/'EDC-A9'!D24*100,1))</f>
        <v>62.7</v>
      </c>
      <c r="E60" s="58">
        <f>IF('EDC-A9'!E24=0,"    -",ROUND('EDC-A9'!E53/'EDC-A9'!E24*100,1))</f>
        <v>61.7</v>
      </c>
      <c r="F60" s="58">
        <f>IF('EDC-A9'!F24=0,"    -",ROUND('EDC-A9'!F53/'EDC-A9'!F24*100,1))</f>
        <v>60.8</v>
      </c>
      <c r="G60" s="58">
        <f>IF('EDC-A9'!G24=0,"    -",ROUND('EDC-A9'!G53/'EDC-A9'!G24*100,1))</f>
        <v>68.5</v>
      </c>
      <c r="H60" s="58">
        <f>IF('EDC-A9'!H24=0,"    -",ROUND('EDC-A9'!H53/'EDC-A9'!H24*100,1))</f>
        <v>70.400000000000006</v>
      </c>
      <c r="I60" s="58">
        <f>IF('EDC-A9'!I24=0,"    -",ROUND('EDC-A9'!I53/'EDC-A9'!I24*100,1))</f>
        <v>71.599999999999994</v>
      </c>
      <c r="J60" s="58">
        <f>IF('EDC-A9'!J24=0,"    -",ROUND('EDC-A9'!J53/'EDC-A9'!J24*100,1))</f>
        <v>73.400000000000006</v>
      </c>
      <c r="K60" s="59">
        <f>IF('EDC-A9'!K24=0,"    -",ROUND('EDC-A9'!K53/'EDC-A9'!K24*100,1))</f>
        <v>79.5</v>
      </c>
      <c r="L60" s="57">
        <f>IF('EDC-A9'!L24=0,"    -",ROUND('EDC-A9'!L53/'EDC-A9'!L24*100,1))</f>
        <v>86.5</v>
      </c>
      <c r="M60" s="58">
        <f>IF('EDC-A9'!M24=0,"    -",ROUND('EDC-A9'!M53/'EDC-A9'!M24*100,1))</f>
        <v>88.9</v>
      </c>
      <c r="N60" s="58">
        <f>IF('EDC-A9'!N24=0,"    -",ROUND('EDC-A9'!N53/'EDC-A9'!N24*100,1))</f>
        <v>81.7</v>
      </c>
      <c r="O60" s="58">
        <f>IF('EDC-A9'!O24=0,"    -",ROUND('EDC-A9'!O53/'EDC-A9'!O24*100,1))</f>
        <v>84.9</v>
      </c>
      <c r="P60" s="58">
        <f>IF('EDC-A9'!P24=0,"    -",ROUND('EDC-A9'!P53/'EDC-A9'!P24*100,1))</f>
        <v>87.9</v>
      </c>
      <c r="Q60" s="59">
        <f>IF('EDC-A9'!Q24=0,"    -",ROUND('EDC-A9'!Q53/'EDC-A9'!Q24*100,1))</f>
        <v>89.2</v>
      </c>
    </row>
    <row r="61" spans="2:17" ht="16.5" customHeight="1">
      <c r="B61" s="16"/>
      <c r="C61" s="615" t="s">
        <v>313</v>
      </c>
      <c r="D61" s="74" t="str">
        <f>IF('EDC-A9'!D25=0,"    -",ROUND('EDC-A9'!D54/'EDC-A9'!D25*100,1))</f>
        <v xml:space="preserve">    -</v>
      </c>
      <c r="E61" s="75">
        <f>IF('EDC-A9'!E25=0,"    -",ROUND('EDC-A9'!E54/'EDC-A9'!E25*100,1))</f>
        <v>80</v>
      </c>
      <c r="F61" s="75">
        <f>IF('EDC-A9'!F25=0,"    -",ROUND('EDC-A9'!F54/'EDC-A9'!F25*100,1))</f>
        <v>79.3</v>
      </c>
      <c r="G61" s="75">
        <f>IF('EDC-A9'!G25=0,"    -",ROUND('EDC-A9'!G54/'EDC-A9'!G25*100,1))</f>
        <v>65.599999999999994</v>
      </c>
      <c r="H61" s="75">
        <f>IF('EDC-A9'!H25=0,"    -",ROUND('EDC-A9'!H54/'EDC-A9'!H25*100,1))</f>
        <v>70.3</v>
      </c>
      <c r="I61" s="75">
        <f>IF('EDC-A9'!I25=0,"    -",ROUND('EDC-A9'!I54/'EDC-A9'!I25*100,1))</f>
        <v>75.599999999999994</v>
      </c>
      <c r="J61" s="75">
        <f>IF('EDC-A9'!J25=0,"    -",ROUND('EDC-A9'!J54/'EDC-A9'!J25*100,1))</f>
        <v>74.400000000000006</v>
      </c>
      <c r="K61" s="76">
        <f>IF('EDC-A9'!K25=0,"    -",ROUND('EDC-A9'!K54/'EDC-A9'!K25*100,1))</f>
        <v>80.8</v>
      </c>
      <c r="L61" s="74">
        <f>IF('EDC-A9'!L25=0,"    -",ROUND('EDC-A9'!L54/'EDC-A9'!L25*100,1))</f>
        <v>92.2</v>
      </c>
      <c r="M61" s="75">
        <f>IF('EDC-A9'!M25=0,"    -",ROUND('EDC-A9'!M54/'EDC-A9'!M25*100,1))</f>
        <v>95.5</v>
      </c>
      <c r="N61" s="75">
        <f>IF('EDC-A9'!N25=0,"    -",ROUND('EDC-A9'!N54/'EDC-A9'!N25*100,1))</f>
        <v>95.5</v>
      </c>
      <c r="O61" s="75">
        <f>IF('EDC-A9'!O25=0,"    -",ROUND('EDC-A9'!O54/'EDC-A9'!O25*100,1))</f>
        <v>95.8</v>
      </c>
      <c r="P61" s="75">
        <f>IF('EDC-A9'!P25=0,"    -",ROUND('EDC-A9'!P54/'EDC-A9'!P25*100,1))</f>
        <v>95.8</v>
      </c>
      <c r="Q61" s="76">
        <f>IF('EDC-A9'!Q25=0,"    -",ROUND('EDC-A9'!Q54/'EDC-A9'!Q25*100,1))</f>
        <v>95.8</v>
      </c>
    </row>
    <row r="62" spans="2:17" ht="17.25" customHeight="1">
      <c r="B62" s="674" t="s">
        <v>314</v>
      </c>
      <c r="C62" s="675"/>
      <c r="D62" s="57">
        <f>IF('EDC-A9'!D26=0,"    -",ROUND('EDC-A9'!D55/'EDC-A9'!D26*100,1))</f>
        <v>77</v>
      </c>
      <c r="E62" s="58">
        <f>IF('EDC-A9'!E26=0,"    -",ROUND('EDC-A9'!E55/'EDC-A9'!E26*100,1))</f>
        <v>69.400000000000006</v>
      </c>
      <c r="F62" s="58">
        <f>IF('EDC-A9'!F26=0,"    -",ROUND('EDC-A9'!F55/'EDC-A9'!F26*100,1))</f>
        <v>47.2</v>
      </c>
      <c r="G62" s="58">
        <f>IF('EDC-A9'!G26=0,"    -",ROUND('EDC-A9'!G55/'EDC-A9'!G26*100,1))</f>
        <v>46.1</v>
      </c>
      <c r="H62" s="58">
        <f>IF('EDC-A9'!H26=0,"    -",ROUND('EDC-A9'!H55/'EDC-A9'!H26*100,1))</f>
        <v>46.2</v>
      </c>
      <c r="I62" s="58">
        <f>IF('EDC-A9'!I26=0,"    -",ROUND('EDC-A9'!I55/'EDC-A9'!I26*100,1))</f>
        <v>42.3</v>
      </c>
      <c r="J62" s="58">
        <f>IF('EDC-A9'!J26=0,"    -",ROUND('EDC-A9'!J55/'EDC-A9'!J26*100,1))</f>
        <v>43.4</v>
      </c>
      <c r="K62" s="59">
        <f>IF('EDC-A9'!K26=0,"    -",ROUND('EDC-A9'!K55/'EDC-A9'!K26*100,1))</f>
        <v>47.9</v>
      </c>
      <c r="L62" s="57">
        <f>IF('EDC-A9'!L26=0,"    -",ROUND('EDC-A9'!L55/'EDC-A9'!L26*100,1))</f>
        <v>49.3</v>
      </c>
      <c r="M62" s="58">
        <f>IF('EDC-A9'!M26=0,"    -",ROUND('EDC-A9'!M55/'EDC-A9'!M26*100,1))</f>
        <v>50.2</v>
      </c>
      <c r="N62" s="58">
        <f>IF('EDC-A9'!N26=0,"    -",ROUND('EDC-A9'!N55/'EDC-A9'!N26*100,1))</f>
        <v>50.6</v>
      </c>
      <c r="O62" s="58">
        <f>IF('EDC-A9'!O26=0,"    -",ROUND('EDC-A9'!O55/'EDC-A9'!O26*100,1))</f>
        <v>50.6</v>
      </c>
      <c r="P62" s="58">
        <f>IF('EDC-A9'!P26=0,"    -",ROUND('EDC-A9'!P55/'EDC-A9'!P26*100,1))</f>
        <v>50.6</v>
      </c>
      <c r="Q62" s="59">
        <f>IF('EDC-A9'!Q26=0,"    -",ROUND('EDC-A9'!Q55/'EDC-A9'!Q26*100,1))</f>
        <v>50.6</v>
      </c>
    </row>
    <row r="63" spans="2:17" ht="17.25" customHeight="1">
      <c r="B63" s="674" t="s">
        <v>315</v>
      </c>
      <c r="C63" s="675"/>
      <c r="D63" s="74">
        <f>IF('EDC-A9'!D27=0,"    -",ROUND('EDC-A9'!D56/'EDC-A9'!D27*100,1))</f>
        <v>95.7</v>
      </c>
      <c r="E63" s="75">
        <f>IF('EDC-A9'!E27=0,"    -",ROUND('EDC-A9'!E56/'EDC-A9'!E27*100,1))</f>
        <v>70.7</v>
      </c>
      <c r="F63" s="75">
        <f>IF('EDC-A9'!F27=0,"    -",ROUND('EDC-A9'!F56/'EDC-A9'!F27*100,1))</f>
        <v>78.099999999999994</v>
      </c>
      <c r="G63" s="75">
        <f>IF('EDC-A9'!G27=0,"    -",ROUND('EDC-A9'!G56/'EDC-A9'!G27*100,1))</f>
        <v>67.599999999999994</v>
      </c>
      <c r="H63" s="75">
        <f>IF('EDC-A9'!H27=0,"    -",ROUND('EDC-A9'!H56/'EDC-A9'!H27*100,1))</f>
        <v>68.099999999999994</v>
      </c>
      <c r="I63" s="75">
        <f>IF('EDC-A9'!I27=0,"    -",ROUND('EDC-A9'!I56/'EDC-A9'!I27*100,1))</f>
        <v>65.5</v>
      </c>
      <c r="J63" s="75">
        <f>IF('EDC-A9'!J27=0,"    -",ROUND('EDC-A9'!J56/'EDC-A9'!J27*100,1))</f>
        <v>59.4</v>
      </c>
      <c r="K63" s="76">
        <f>IF('EDC-A9'!K27=0,"    -",ROUND('EDC-A9'!K56/'EDC-A9'!K27*100,1))</f>
        <v>43.1</v>
      </c>
      <c r="L63" s="77">
        <f>IF('EDC-A9'!L27=0,"    -",ROUND('EDC-A9'!L56/'EDC-A9'!L27*100,1))</f>
        <v>43.8</v>
      </c>
      <c r="M63" s="75">
        <f>IF('EDC-A9'!M27=0,"    -",ROUND('EDC-A9'!M56/'EDC-A9'!M27*100,1))</f>
        <v>44.3</v>
      </c>
      <c r="N63" s="75">
        <f>IF('EDC-A9'!N27=0,"    -",ROUND('EDC-A9'!N56/'EDC-A9'!N27*100,1))</f>
        <v>45</v>
      </c>
      <c r="O63" s="75">
        <f>IF('EDC-A9'!O27=0,"    -",ROUND('EDC-A9'!O56/'EDC-A9'!O27*100,1))</f>
        <v>45.7</v>
      </c>
      <c r="P63" s="75">
        <f>IF('EDC-A9'!P27=0,"    -",ROUND('EDC-A9'!P56/'EDC-A9'!P27*100,1))</f>
        <v>46.3</v>
      </c>
      <c r="Q63" s="78">
        <f>IF('EDC-A9'!Q27=0,"    -",ROUND('EDC-A9'!Q56/'EDC-A9'!Q27*100,1))</f>
        <v>47</v>
      </c>
    </row>
    <row r="64" spans="2:17" ht="16.5" customHeight="1">
      <c r="B64" s="672" t="s">
        <v>316</v>
      </c>
      <c r="C64" s="673"/>
      <c r="D64" s="57">
        <f>IF('EDC-A9'!D28=0,"    -",ROUND('EDC-A9'!D57/'EDC-A9'!D28*100,1))</f>
        <v>90</v>
      </c>
      <c r="E64" s="58">
        <f>IF('EDC-A9'!E28=0,"    -",ROUND('EDC-A9'!E57/'EDC-A9'!E28*100,1))</f>
        <v>90</v>
      </c>
      <c r="F64" s="58">
        <f>IF('EDC-A9'!F28=0,"    -",ROUND('EDC-A9'!F57/'EDC-A9'!F28*100,1))</f>
        <v>90</v>
      </c>
      <c r="G64" s="58">
        <f>IF('EDC-A9'!G28=0,"    -",ROUND('EDC-A9'!G57/'EDC-A9'!G28*100,1))</f>
        <v>90</v>
      </c>
      <c r="H64" s="58">
        <f>IF('EDC-A9'!H28=0,"    -",ROUND('EDC-A9'!H57/'EDC-A9'!H28*100,1))</f>
        <v>88.9</v>
      </c>
      <c r="I64" s="58">
        <f>IF('EDC-A9'!I28=0,"    -",ROUND('EDC-A9'!I57/'EDC-A9'!I28*100,1))</f>
        <v>88.7</v>
      </c>
      <c r="J64" s="58">
        <f>IF('EDC-A9'!J28=0,"    -",ROUND('EDC-A9'!J57/'EDC-A9'!J28*100,1))</f>
        <v>85.2</v>
      </c>
      <c r="K64" s="59">
        <f>IF('EDC-A9'!K28=0,"    -",ROUND('EDC-A9'!K57/'EDC-A9'!K28*100,1))</f>
        <v>90</v>
      </c>
      <c r="L64" s="60">
        <f>IF('EDC-A9'!L28=0,"    -",ROUND('EDC-A9'!L57/'EDC-A9'!L28*100,1))</f>
        <v>89.8</v>
      </c>
      <c r="M64" s="58">
        <f>IF('EDC-A9'!M28=0,"    -",ROUND('EDC-A9'!M57/'EDC-A9'!M28*100,1))</f>
        <v>89.8</v>
      </c>
      <c r="N64" s="58">
        <f>IF('EDC-A9'!N28=0,"    -",ROUND('EDC-A9'!N57/'EDC-A9'!N28*100,1))</f>
        <v>89.8</v>
      </c>
      <c r="O64" s="58">
        <f>IF('EDC-A9'!O28=0,"    -",ROUND('EDC-A9'!O57/'EDC-A9'!O28*100,1))</f>
        <v>90</v>
      </c>
      <c r="P64" s="58">
        <f>IF('EDC-A9'!P28=0,"    -",ROUND('EDC-A9'!P57/'EDC-A9'!P28*100,1))</f>
        <v>90</v>
      </c>
      <c r="Q64" s="61">
        <f>IF('EDC-A9'!Q28=0,"    -",ROUND('EDC-A9'!Q57/'EDC-A9'!Q28*100,1))</f>
        <v>90</v>
      </c>
    </row>
    <row r="65" spans="2:17" ht="16.5" customHeight="1">
      <c r="B65" s="670" t="s">
        <v>317</v>
      </c>
      <c r="C65" s="671"/>
      <c r="D65" s="57" t="str">
        <f>IF('EDC-A9'!D29=0,"    -",ROUND('EDC-A9'!D58/'EDC-A9'!D29*100,1))</f>
        <v xml:space="preserve">    -</v>
      </c>
      <c r="E65" s="58" t="str">
        <f>IF('EDC-A9'!E29=0,"    -",ROUND('EDC-A9'!E58/'EDC-A9'!E29*100,1))</f>
        <v xml:space="preserve">    -</v>
      </c>
      <c r="F65" s="58" t="str">
        <f>IF('EDC-A9'!F29=0,"    -",ROUND('EDC-A9'!F58/'EDC-A9'!F29*100,1))</f>
        <v xml:space="preserve">    -</v>
      </c>
      <c r="G65" s="58" t="str">
        <f>IF('EDC-A9'!G29=0,"    -",ROUND('EDC-A9'!G58/'EDC-A9'!G29*100,1))</f>
        <v xml:space="preserve">    -</v>
      </c>
      <c r="H65" s="58" t="str">
        <f>IF('EDC-A9'!H29=0,"    -",ROUND('EDC-A9'!H58/'EDC-A9'!H29*100,1))</f>
        <v xml:space="preserve">    -</v>
      </c>
      <c r="I65" s="58" t="str">
        <f>IF('EDC-A9'!I29=0,"    -",ROUND('EDC-A9'!I58/'EDC-A9'!I29*100,1))</f>
        <v xml:space="preserve">    -</v>
      </c>
      <c r="J65" s="58" t="str">
        <f>IF('EDC-A9'!J29=0,"    -",ROUND('EDC-A9'!J58/'EDC-A9'!J29*100,1))</f>
        <v xml:space="preserve">    -</v>
      </c>
      <c r="K65" s="59" t="str">
        <f>IF('EDC-A9'!K29=0,"    -",ROUND('EDC-A9'!K58/'EDC-A9'!K29*100,1))</f>
        <v xml:space="preserve">    -</v>
      </c>
      <c r="L65" s="60" t="str">
        <f>IF('EDC-A9'!L29=0,"    -",ROUND('EDC-A9'!L58/'EDC-A9'!L29*100,1))</f>
        <v xml:space="preserve">    -</v>
      </c>
      <c r="M65" s="58" t="str">
        <f>IF('EDC-A9'!M29=0,"    -",ROUND('EDC-A9'!M58/'EDC-A9'!M29*100,1))</f>
        <v xml:space="preserve">    -</v>
      </c>
      <c r="N65" s="58" t="str">
        <f>IF('EDC-A9'!N29=0,"    -",ROUND('EDC-A9'!N58/'EDC-A9'!N29*100,1))</f>
        <v xml:space="preserve">    -</v>
      </c>
      <c r="O65" s="58" t="str">
        <f>IF('EDC-A9'!O29=0,"    -",ROUND('EDC-A9'!O58/'EDC-A9'!O29*100,1))</f>
        <v xml:space="preserve">    -</v>
      </c>
      <c r="P65" s="58" t="str">
        <f>IF('EDC-A9'!P29=0,"    -",ROUND('EDC-A9'!P58/'EDC-A9'!P29*100,1))</f>
        <v xml:space="preserve">    -</v>
      </c>
      <c r="Q65" s="61" t="str">
        <f>IF('EDC-A9'!Q29=0,"    -",ROUND('EDC-A9'!Q58/'EDC-A9'!Q29*100,1))</f>
        <v xml:space="preserve">    -</v>
      </c>
    </row>
    <row r="66" spans="2:17" ht="17.25" customHeight="1">
      <c r="B66" s="674" t="s">
        <v>318</v>
      </c>
      <c r="C66" s="675"/>
      <c r="D66" s="74">
        <f>IF('EDC-A9'!D30=0,"    -",ROUND('EDC-A9'!D59/'EDC-A9'!D30*100,1))</f>
        <v>90</v>
      </c>
      <c r="E66" s="75">
        <f>IF('EDC-A9'!E30=0,"    -",ROUND('EDC-A9'!E59/'EDC-A9'!E30*100,1))</f>
        <v>90</v>
      </c>
      <c r="F66" s="75">
        <f>IF('EDC-A9'!F30=0,"    -",ROUND('EDC-A9'!F59/'EDC-A9'!F30*100,1))</f>
        <v>90</v>
      </c>
      <c r="G66" s="75">
        <f>IF('EDC-A9'!G30=0,"    -",ROUND('EDC-A9'!G59/'EDC-A9'!G30*100,1))</f>
        <v>90</v>
      </c>
      <c r="H66" s="75">
        <f>IF('EDC-A9'!H30=0,"    -",ROUND('EDC-A9'!H59/'EDC-A9'!H30*100,1))</f>
        <v>88.9</v>
      </c>
      <c r="I66" s="75">
        <f>IF('EDC-A9'!I30=0,"    -",ROUND('EDC-A9'!I59/'EDC-A9'!I30*100,1))</f>
        <v>88.7</v>
      </c>
      <c r="J66" s="75">
        <f>IF('EDC-A9'!J30=0,"    -",ROUND('EDC-A9'!J59/'EDC-A9'!J30*100,1))</f>
        <v>85.2</v>
      </c>
      <c r="K66" s="76">
        <f>IF('EDC-A9'!K30=0,"    -",ROUND('EDC-A9'!K59/'EDC-A9'!K30*100,1))</f>
        <v>90</v>
      </c>
      <c r="L66" s="77">
        <f>IF('EDC-A9'!L30=0,"    -",ROUND('EDC-A9'!L59/'EDC-A9'!L30*100,1))</f>
        <v>89.8</v>
      </c>
      <c r="M66" s="75">
        <f>IF('EDC-A9'!M30=0,"    -",ROUND('EDC-A9'!M59/'EDC-A9'!M30*100,1))</f>
        <v>89.8</v>
      </c>
      <c r="N66" s="75">
        <f>IF('EDC-A9'!N30=0,"    -",ROUND('EDC-A9'!N59/'EDC-A9'!N30*100,1))</f>
        <v>89.8</v>
      </c>
      <c r="O66" s="75">
        <f>IF('EDC-A9'!O30=0,"    -",ROUND('EDC-A9'!O59/'EDC-A9'!O30*100,1))</f>
        <v>90</v>
      </c>
      <c r="P66" s="75">
        <f>IF('EDC-A9'!P30=0,"    -",ROUND('EDC-A9'!P59/'EDC-A9'!P30*100,1))</f>
        <v>90</v>
      </c>
      <c r="Q66" s="78">
        <f>IF('EDC-A9'!Q30=0,"    -",ROUND('EDC-A9'!Q59/'EDC-A9'!Q30*100,1))</f>
        <v>90</v>
      </c>
    </row>
    <row r="67" spans="2:17" ht="16.5" customHeight="1">
      <c r="B67" s="672" t="s">
        <v>319</v>
      </c>
      <c r="C67" s="673"/>
      <c r="D67" s="57">
        <f>IF('EDC-A9'!D31=0,"    -",ROUND('EDC-A9'!D60/'EDC-A9'!D31*100,1))</f>
        <v>85.1</v>
      </c>
      <c r="E67" s="58">
        <f>IF('EDC-A9'!E31=0,"    -",ROUND('EDC-A9'!E60/'EDC-A9'!E31*100,1))</f>
        <v>85.1</v>
      </c>
      <c r="F67" s="58">
        <f>IF('EDC-A9'!F31=0,"    -",ROUND('EDC-A9'!F60/'EDC-A9'!F31*100,1))</f>
        <v>85.1</v>
      </c>
      <c r="G67" s="58">
        <f>IF('EDC-A9'!G31=0,"    -",ROUND('EDC-A9'!G60/'EDC-A9'!G31*100,1))</f>
        <v>85.1</v>
      </c>
      <c r="H67" s="58">
        <f>IF('EDC-A9'!H31=0,"    -",ROUND('EDC-A9'!H60/'EDC-A9'!H31*100,1))</f>
        <v>85.1</v>
      </c>
      <c r="I67" s="58">
        <f>IF('EDC-A9'!I31=0,"    -",ROUND('EDC-A9'!I60/'EDC-A9'!I31*100,1))</f>
        <v>85.1</v>
      </c>
      <c r="J67" s="58">
        <f>IF('EDC-A9'!J31=0,"    -",ROUND('EDC-A9'!J60/'EDC-A9'!J31*100,1))</f>
        <v>85.1</v>
      </c>
      <c r="K67" s="59" t="str">
        <f>IF('EDC-A9'!K31=0,"    -",ROUND('EDC-A9'!K60/'EDC-A9'!K31*100,1))</f>
        <v xml:space="preserve">    -</v>
      </c>
      <c r="L67" s="60" t="str">
        <f>IF('EDC-A9'!L31=0,"    -",ROUND('EDC-A9'!L60/'EDC-A9'!L31*100,1))</f>
        <v xml:space="preserve">    -</v>
      </c>
      <c r="M67" s="58" t="str">
        <f>IF('EDC-A9'!M31=0,"    -",ROUND('EDC-A9'!M60/'EDC-A9'!M31*100,1))</f>
        <v xml:space="preserve">    -</v>
      </c>
      <c r="N67" s="58" t="str">
        <f>IF('EDC-A9'!N31=0,"    -",ROUND('EDC-A9'!N60/'EDC-A9'!N31*100,1))</f>
        <v xml:space="preserve">    -</v>
      </c>
      <c r="O67" s="58" t="str">
        <f>IF('EDC-A9'!O31=0,"    -",ROUND('EDC-A9'!O60/'EDC-A9'!O31*100,1))</f>
        <v xml:space="preserve">    -</v>
      </c>
      <c r="P67" s="58" t="str">
        <f>IF('EDC-A9'!P31=0,"    -",ROUND('EDC-A9'!P60/'EDC-A9'!P31*100,1))</f>
        <v xml:space="preserve">    -</v>
      </c>
      <c r="Q67" s="61" t="str">
        <f>IF('EDC-A9'!Q31=0,"    -",ROUND('EDC-A9'!Q60/'EDC-A9'!Q31*100,1))</f>
        <v xml:space="preserve">    -</v>
      </c>
    </row>
    <row r="68" spans="2:17" ht="16.5" customHeight="1">
      <c r="B68" s="668" t="s">
        <v>320</v>
      </c>
      <c r="C68" s="669"/>
      <c r="D68" s="57">
        <f>IF('EDC-A9'!D32=0,"    -",ROUND('EDC-A9'!D61/'EDC-A9'!D32*100,1))</f>
        <v>45.5</v>
      </c>
      <c r="E68" s="58">
        <f>IF('EDC-A9'!E32=0,"    -",ROUND('EDC-A9'!E61/'EDC-A9'!E32*100,1))</f>
        <v>40.200000000000003</v>
      </c>
      <c r="F68" s="58">
        <f>IF('EDC-A9'!F32=0,"    -",ROUND('EDC-A9'!F61/'EDC-A9'!F32*100,1))</f>
        <v>43</v>
      </c>
      <c r="G68" s="58">
        <f>IF('EDC-A9'!G32=0,"    -",ROUND('EDC-A9'!G61/'EDC-A9'!G32*100,1))</f>
        <v>46.6</v>
      </c>
      <c r="H68" s="58">
        <f>IF('EDC-A9'!H32=0,"    -",ROUND('EDC-A9'!H61/'EDC-A9'!H32*100,1))</f>
        <v>49</v>
      </c>
      <c r="I68" s="58">
        <f>IF('EDC-A9'!I32=0,"    -",ROUND('EDC-A9'!I61/'EDC-A9'!I32*100,1))</f>
        <v>51.2</v>
      </c>
      <c r="J68" s="58">
        <f>IF('EDC-A9'!J32=0,"    -",ROUND('EDC-A9'!J61/'EDC-A9'!J32*100,1))</f>
        <v>56.1</v>
      </c>
      <c r="K68" s="59">
        <f>IF('EDC-A9'!K32=0,"    -",ROUND('EDC-A9'!K61/'EDC-A9'!K32*100,1))</f>
        <v>56.1</v>
      </c>
      <c r="L68" s="60">
        <f>IF('EDC-A9'!L32=0,"    -",ROUND('EDC-A9'!L61/'EDC-A9'!L32*100,1))</f>
        <v>56</v>
      </c>
      <c r="M68" s="58">
        <f>IF('EDC-A9'!M32=0,"    -",ROUND('EDC-A9'!M61/'EDC-A9'!M32*100,1))</f>
        <v>56</v>
      </c>
      <c r="N68" s="58">
        <f>IF('EDC-A9'!N32=0,"    -",ROUND('EDC-A9'!N61/'EDC-A9'!N32*100,1))</f>
        <v>56</v>
      </c>
      <c r="O68" s="58">
        <f>IF('EDC-A9'!O32=0,"    -",ROUND('EDC-A9'!O61/'EDC-A9'!O32*100,1))</f>
        <v>56</v>
      </c>
      <c r="P68" s="58">
        <f>IF('EDC-A9'!P32=0,"    -",ROUND('EDC-A9'!P61/'EDC-A9'!P32*100,1))</f>
        <v>56</v>
      </c>
      <c r="Q68" s="61">
        <f>IF('EDC-A9'!Q32=0,"    -",ROUND('EDC-A9'!Q61/'EDC-A9'!Q32*100,1))</f>
        <v>56</v>
      </c>
    </row>
    <row r="69" spans="2:17" ht="16.5" customHeight="1">
      <c r="B69" s="670" t="s">
        <v>321</v>
      </c>
      <c r="C69" s="671"/>
      <c r="D69" s="57">
        <f>IF('EDC-A9'!D33=0,"    -",ROUND('EDC-A9'!D62/'EDC-A9'!D33*100,1))</f>
        <v>47</v>
      </c>
      <c r="E69" s="58">
        <f>IF('EDC-A9'!E33=0,"    -",ROUND('EDC-A9'!E62/'EDC-A9'!E33*100,1))</f>
        <v>75</v>
      </c>
      <c r="F69" s="58">
        <f>IF('EDC-A9'!F33=0,"    -",ROUND('EDC-A9'!F62/'EDC-A9'!F33*100,1))</f>
        <v>78</v>
      </c>
      <c r="G69" s="58">
        <f>IF('EDC-A9'!G33=0,"    -",ROUND('EDC-A9'!G62/'EDC-A9'!G33*100,1))</f>
        <v>79.8</v>
      </c>
      <c r="H69" s="58">
        <f>IF('EDC-A9'!H33=0,"    -",ROUND('EDC-A9'!H62/'EDC-A9'!H33*100,1))</f>
        <v>50.3</v>
      </c>
      <c r="I69" s="58">
        <f>IF('EDC-A9'!I33=0,"    -",ROUND('EDC-A9'!I62/'EDC-A9'!I33*100,1))</f>
        <v>92.9</v>
      </c>
      <c r="J69" s="58">
        <f>IF('EDC-A9'!J33=0,"    -",ROUND('EDC-A9'!J62/'EDC-A9'!J33*100,1))</f>
        <v>92.9</v>
      </c>
      <c r="K69" s="59">
        <f>IF('EDC-A9'!K33=0,"    -",ROUND('EDC-A9'!K62/'EDC-A9'!K33*100,1))</f>
        <v>92.9</v>
      </c>
      <c r="L69" s="60">
        <f>IF('EDC-A9'!L33=0,"    -",ROUND('EDC-A9'!L62/'EDC-A9'!L33*100,1))</f>
        <v>92.9</v>
      </c>
      <c r="M69" s="58">
        <f>IF('EDC-A9'!M33=0,"    -",ROUND('EDC-A9'!M62/'EDC-A9'!M33*100,1))</f>
        <v>92.9</v>
      </c>
      <c r="N69" s="58">
        <f>IF('EDC-A9'!N33=0,"    -",ROUND('EDC-A9'!N62/'EDC-A9'!N33*100,1))</f>
        <v>92.9</v>
      </c>
      <c r="O69" s="58">
        <f>IF('EDC-A9'!O33=0,"    -",ROUND('EDC-A9'!O62/'EDC-A9'!O33*100,1))</f>
        <v>92.9</v>
      </c>
      <c r="P69" s="58">
        <f>IF('EDC-A9'!P33=0,"    -",ROUND('EDC-A9'!P62/'EDC-A9'!P33*100,1))</f>
        <v>92.9</v>
      </c>
      <c r="Q69" s="61">
        <f>IF('EDC-A9'!Q33=0,"    -",ROUND('EDC-A9'!Q62/'EDC-A9'!Q33*100,1))</f>
        <v>92.9</v>
      </c>
    </row>
    <row r="70" spans="2:17" ht="17.25" customHeight="1" thickBot="1">
      <c r="B70" s="678" t="s">
        <v>322</v>
      </c>
      <c r="C70" s="679"/>
      <c r="D70" s="111">
        <f>IF('EDC-A9'!D34=0,"    -",ROUND('EDC-A9'!D63/'EDC-A9'!D34*100,1))</f>
        <v>49.2</v>
      </c>
      <c r="E70" s="112">
        <f>IF('EDC-A9'!E34=0,"    -",ROUND('EDC-A9'!E63/'EDC-A9'!E34*100,1))</f>
        <v>50.3</v>
      </c>
      <c r="F70" s="112">
        <f>IF('EDC-A9'!F34=0,"    -",ROUND('EDC-A9'!F63/'EDC-A9'!F34*100,1))</f>
        <v>52.8</v>
      </c>
      <c r="G70" s="112">
        <f>IF('EDC-A9'!G34=0,"    -",ROUND('EDC-A9'!G63/'EDC-A9'!G34*100,1))</f>
        <v>55.9</v>
      </c>
      <c r="H70" s="112">
        <f>IF('EDC-A9'!H34=0,"    -",ROUND('EDC-A9'!H63/'EDC-A9'!H34*100,1))</f>
        <v>52.2</v>
      </c>
      <c r="I70" s="112">
        <f>IF('EDC-A9'!I34=0,"    -",ROUND('EDC-A9'!I63/'EDC-A9'!I34*100,1))</f>
        <v>64.7</v>
      </c>
      <c r="J70" s="112">
        <f>IF('EDC-A9'!J34=0,"    -",ROUND('EDC-A9'!J63/'EDC-A9'!J34*100,1))</f>
        <v>67.900000000000006</v>
      </c>
      <c r="K70" s="113">
        <f>IF('EDC-A9'!K34=0,"    -",ROUND('EDC-A9'!K63/'EDC-A9'!K34*100,1))</f>
        <v>66.400000000000006</v>
      </c>
      <c r="L70" s="114">
        <f>IF('EDC-A9'!L34=0,"    -",ROUND('EDC-A9'!L63/'EDC-A9'!L34*100,1))</f>
        <v>66.400000000000006</v>
      </c>
      <c r="M70" s="112">
        <f>IF('EDC-A9'!M34=0,"    -",ROUND('EDC-A9'!M63/'EDC-A9'!M34*100,1))</f>
        <v>66.400000000000006</v>
      </c>
      <c r="N70" s="112">
        <f>IF('EDC-A9'!N34=0,"    -",ROUND('EDC-A9'!N63/'EDC-A9'!N34*100,1))</f>
        <v>66.400000000000006</v>
      </c>
      <c r="O70" s="112">
        <f>IF('EDC-A9'!O34=0,"    -",ROUND('EDC-A9'!O63/'EDC-A9'!O34*100,1))</f>
        <v>66.400000000000006</v>
      </c>
      <c r="P70" s="112">
        <f>IF('EDC-A9'!P34=0,"    -",ROUND('EDC-A9'!P63/'EDC-A9'!P34*100,1))</f>
        <v>66.400000000000006</v>
      </c>
      <c r="Q70" s="115">
        <f>IF('EDC-A9'!Q34=0,"    -",ROUND('EDC-A9'!Q63/'EDC-A9'!Q34*100,1))</f>
        <v>66.400000000000006</v>
      </c>
    </row>
    <row r="71" spans="2:17" ht="18" customHeight="1" thickTop="1" thickBot="1">
      <c r="B71" s="21"/>
      <c r="C71" s="619" t="s">
        <v>337</v>
      </c>
      <c r="D71" s="122">
        <f>IF('EDC-A9'!D35=0,"    -",ROUND('EDC-A9'!D64/'EDC-A9'!D35*100,1))</f>
        <v>82.5</v>
      </c>
      <c r="E71" s="123">
        <f>IF('EDC-A9'!E35=0,"    -",ROUND('EDC-A9'!E64/'EDC-A9'!E35*100,1))</f>
        <v>81</v>
      </c>
      <c r="F71" s="123">
        <f>IF('EDC-A9'!F35=0,"    -",ROUND('EDC-A9'!F64/'EDC-A9'!F35*100,1))</f>
        <v>78.900000000000006</v>
      </c>
      <c r="G71" s="123">
        <f>IF('EDC-A9'!G35=0,"    -",ROUND('EDC-A9'!G64/'EDC-A9'!G35*100,1))</f>
        <v>80.400000000000006</v>
      </c>
      <c r="H71" s="123">
        <f>IF('EDC-A9'!H35=0,"    -",ROUND('EDC-A9'!H64/'EDC-A9'!H35*100,1))</f>
        <v>79.599999999999994</v>
      </c>
      <c r="I71" s="123">
        <f>IF('EDC-A9'!I35=0,"    -",ROUND('EDC-A9'!I64/'EDC-A9'!I35*100,1))</f>
        <v>80.3</v>
      </c>
      <c r="J71" s="123">
        <f>IF('EDC-A9'!J35=0,"    -",ROUND('EDC-A9'!J64/'EDC-A9'!J35*100,1))</f>
        <v>79.900000000000006</v>
      </c>
      <c r="K71" s="124">
        <f>IF('EDC-A9'!K35=0,"    -",ROUND('EDC-A9'!K64/'EDC-A9'!K35*100,1))</f>
        <v>82.5</v>
      </c>
      <c r="L71" s="125">
        <f>IF('EDC-A9'!L35=0,"    -",ROUND('EDC-A9'!L64/'EDC-A9'!L35*100,1))</f>
        <v>83.1</v>
      </c>
      <c r="M71" s="123">
        <f>IF('EDC-A9'!M35=0,"    -",ROUND('EDC-A9'!M64/'EDC-A9'!M35*100,1))</f>
        <v>84.1</v>
      </c>
      <c r="N71" s="123">
        <f>IF('EDC-A9'!N35=0,"    -",ROUND('EDC-A9'!N64/'EDC-A9'!N35*100,1))</f>
        <v>84</v>
      </c>
      <c r="O71" s="123">
        <f>IF('EDC-A9'!O35=0,"    -",ROUND('EDC-A9'!O64/'EDC-A9'!O35*100,1))</f>
        <v>83.6</v>
      </c>
      <c r="P71" s="123">
        <f>IF('EDC-A9'!P35=0,"    -",ROUND('EDC-A9'!P64/'EDC-A9'!P35*100,1))</f>
        <v>83.9</v>
      </c>
      <c r="Q71" s="126">
        <f>IF('EDC-A9'!Q35=0,"    -",ROUND('EDC-A9'!Q64/'EDC-A9'!Q35*100,1))</f>
        <v>84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79" priority="5">
      <formula>CELL("protect",C75)=0</formula>
    </cfRule>
    <cfRule type="expression" dxfId="178" priority="6">
      <formula>CELL("protect",C75)=0</formula>
    </cfRule>
  </conditionalFormatting>
  <conditionalFormatting sqref="C73">
    <cfRule type="expression" dxfId="177" priority="3">
      <formula>CELL("protect",C73)=0</formula>
    </cfRule>
    <cfRule type="expression" dxfId="176" priority="4">
      <formula>CELL("protect",C73)=0</formula>
    </cfRule>
  </conditionalFormatting>
  <conditionalFormatting sqref="C75">
    <cfRule type="expression" dxfId="175" priority="1">
      <formula>CELL("protect",C75)=0</formula>
    </cfRule>
    <cfRule type="expression" dxfId="174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&amp;C171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8" sqref="R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9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'EG-A10'!D36-'EG-A10'!D65</f>
        <v>-5</v>
      </c>
      <c r="E7" s="240">
        <f>'EG-A10'!E36-'EG-A10'!E65</f>
        <v>-55</v>
      </c>
      <c r="F7" s="240">
        <f>'EG-A10'!F36-'EG-A10'!F65</f>
        <v>-14</v>
      </c>
      <c r="G7" s="240">
        <f>'EG-A10'!G36-'EG-A10'!G65</f>
        <v>2</v>
      </c>
      <c r="H7" s="240">
        <f>'EG-A10'!H36-'EG-A10'!H65</f>
        <v>130</v>
      </c>
      <c r="I7" s="240">
        <f>'EG-A10'!I36-'EG-A10'!I65</f>
        <v>164</v>
      </c>
      <c r="J7" s="240">
        <f>'EG-A10'!J36-'EG-A10'!J65</f>
        <v>205</v>
      </c>
      <c r="K7" s="241">
        <f>'EG-A10'!K36-'EG-A10'!K65</f>
        <v>202</v>
      </c>
      <c r="L7" s="242">
        <f>'EG-A10'!L36-'EG-A10'!L65</f>
        <v>190</v>
      </c>
      <c r="M7" s="240">
        <f>'EG-A10'!M36-'EG-A10'!M65</f>
        <v>190</v>
      </c>
      <c r="N7" s="240">
        <f>'EG-A10'!N36-'EG-A10'!N65</f>
        <v>190</v>
      </c>
      <c r="O7" s="240">
        <f>'EG-A10'!O36-'EG-A10'!O65</f>
        <v>200</v>
      </c>
      <c r="P7" s="240">
        <f>'EG-A10'!P36-'EG-A10'!P65</f>
        <v>200</v>
      </c>
      <c r="Q7" s="243">
        <f>'EG-A10'!Q36-'EG-A10'!Q65</f>
        <v>200</v>
      </c>
    </row>
    <row r="8" spans="2:19" ht="16.5" customHeight="1">
      <c r="B8" s="605" t="s">
        <v>434</v>
      </c>
      <c r="C8" s="606"/>
      <c r="D8" s="239">
        <f>'EG-A10'!D37-'EG-A10'!D66</f>
        <v>1009</v>
      </c>
      <c r="E8" s="240">
        <f>'EG-A10'!E37-'EG-A10'!E66</f>
        <v>955</v>
      </c>
      <c r="F8" s="240">
        <f>'EG-A10'!F37-'EG-A10'!F66</f>
        <v>1010</v>
      </c>
      <c r="G8" s="240">
        <f>'EG-A10'!G37-'EG-A10'!G66</f>
        <v>1012</v>
      </c>
      <c r="H8" s="240">
        <f>'EG-A10'!H37-'EG-A10'!H66</f>
        <v>1268</v>
      </c>
      <c r="I8" s="240">
        <f>'EG-A10'!I37-'EG-A10'!I66</f>
        <v>1246</v>
      </c>
      <c r="J8" s="240">
        <f>'EG-A10'!J37-'EG-A10'!J66</f>
        <v>1153</v>
      </c>
      <c r="K8" s="241">
        <f>'EG-A10'!K37-'EG-A10'!K66</f>
        <v>1363</v>
      </c>
      <c r="L8" s="242">
        <f>'EG-A10'!L37-'EG-A10'!L66</f>
        <v>1200</v>
      </c>
      <c r="M8" s="240">
        <f>'EG-A10'!M37-'EG-A10'!M66</f>
        <v>1200</v>
      </c>
      <c r="N8" s="240">
        <f>'EG-A10'!N37-'EG-A10'!N66</f>
        <v>1150</v>
      </c>
      <c r="O8" s="240">
        <f>'EG-A10'!O37-'EG-A10'!O66</f>
        <v>1150</v>
      </c>
      <c r="P8" s="240">
        <f>'EG-A10'!P37-'EG-A10'!P66</f>
        <v>1150</v>
      </c>
      <c r="Q8" s="243">
        <f>'EG-A10'!Q37-'EG-A10'!Q66</f>
        <v>1150</v>
      </c>
    </row>
    <row r="9" spans="2:19" ht="16.5" customHeight="1">
      <c r="B9" s="605" t="s">
        <v>435</v>
      </c>
      <c r="C9" s="606"/>
      <c r="D9" s="239">
        <f>'EG-A10'!D38-'EG-A10'!D67</f>
        <v>807</v>
      </c>
      <c r="E9" s="240">
        <f>'EG-A10'!E38-'EG-A10'!E67</f>
        <v>811.17099999999994</v>
      </c>
      <c r="F9" s="240">
        <f>'EG-A10'!F38-'EG-A10'!F67</f>
        <v>773.94702299999994</v>
      </c>
      <c r="G9" s="240">
        <f>'EG-A10'!G38-'EG-A10'!G67</f>
        <v>836.44380987399995</v>
      </c>
      <c r="H9" s="240">
        <f>'EG-A10'!H38-'EG-A10'!H67</f>
        <v>655.64885131925007</v>
      </c>
      <c r="I9" s="240">
        <f>'EG-A10'!I38-'EG-A10'!I67</f>
        <v>750.01060916755284</v>
      </c>
      <c r="J9" s="240">
        <f>'EG-A10'!J38-'EG-A10'!J67</f>
        <v>444</v>
      </c>
      <c r="K9" s="241">
        <f>'EG-A10'!K38-'EG-A10'!K67</f>
        <v>852</v>
      </c>
      <c r="L9" s="242">
        <f>'EG-A10'!L38-'EG-A10'!L67</f>
        <v>796</v>
      </c>
      <c r="M9" s="240">
        <f>'EG-A10'!M38-'EG-A10'!M67</f>
        <v>739</v>
      </c>
      <c r="N9" s="240">
        <f>'EG-A10'!N38-'EG-A10'!N67</f>
        <v>806</v>
      </c>
      <c r="O9" s="240">
        <f>'EG-A10'!O38-'EG-A10'!O67</f>
        <v>806</v>
      </c>
      <c r="P9" s="240">
        <f>'EG-A10'!P38-'EG-A10'!P67</f>
        <v>805</v>
      </c>
      <c r="Q9" s="243">
        <f>'EG-A10'!Q38-'EG-A10'!Q67</f>
        <v>794</v>
      </c>
    </row>
    <row r="10" spans="2:19" ht="16.5" customHeight="1">
      <c r="B10" s="605" t="s">
        <v>436</v>
      </c>
      <c r="C10" s="606"/>
      <c r="D10" s="239">
        <f>'EG-A10'!D39-'EG-A10'!D68</f>
        <v>-6549</v>
      </c>
      <c r="E10" s="240">
        <f>'EG-A10'!E39-'EG-A10'!E68</f>
        <v>-7210</v>
      </c>
      <c r="F10" s="240">
        <f>'EG-A10'!F39-'EG-A10'!F68</f>
        <v>-7791</v>
      </c>
      <c r="G10" s="240">
        <f>'EG-A10'!G39-'EG-A10'!G68</f>
        <v>-8165</v>
      </c>
      <c r="H10" s="240">
        <f>'EG-A10'!H39-'EG-A10'!H68</f>
        <v>-8574</v>
      </c>
      <c r="I10" s="240">
        <f>'EG-A10'!I39-'EG-A10'!I68</f>
        <v>-8522</v>
      </c>
      <c r="J10" s="240">
        <f>'EG-A10'!J39-'EG-A10'!J68</f>
        <v>-7926</v>
      </c>
      <c r="K10" s="241">
        <f>'EG-A10'!K39-'EG-A10'!K68</f>
        <v>-8727</v>
      </c>
      <c r="L10" s="242">
        <f>'EG-A10'!L39-'EG-A10'!L68</f>
        <v>-8280</v>
      </c>
      <c r="M10" s="240">
        <f>'EG-A10'!M39-'EG-A10'!M68</f>
        <v>-8208</v>
      </c>
      <c r="N10" s="240">
        <f>'EG-A10'!N39-'EG-A10'!N68</f>
        <v>-8485</v>
      </c>
      <c r="O10" s="240">
        <f>'EG-A10'!O39-'EG-A10'!O68</f>
        <v>-8353</v>
      </c>
      <c r="P10" s="240">
        <f>'EG-A10'!P39-'EG-A10'!P68</f>
        <v>-8127</v>
      </c>
      <c r="Q10" s="243">
        <f>'EG-A10'!Q39-'EG-A10'!Q68</f>
        <v>-7876</v>
      </c>
    </row>
    <row r="11" spans="2:19" ht="16.5" customHeight="1">
      <c r="B11" s="605" t="s">
        <v>437</v>
      </c>
      <c r="C11" s="606"/>
      <c r="D11" s="239">
        <f>'EG-A10'!D40-'EG-A10'!D69</f>
        <v>-224</v>
      </c>
      <c r="E11" s="240">
        <f>'EG-A10'!E40-'EG-A10'!E69</f>
        <v>-231</v>
      </c>
      <c r="F11" s="240">
        <f>'EG-A10'!F40-'EG-A10'!F69</f>
        <v>-90</v>
      </c>
      <c r="G11" s="240">
        <f>'EG-A10'!G40-'EG-A10'!G69</f>
        <v>-90</v>
      </c>
      <c r="H11" s="240">
        <f>'EG-A10'!H40-'EG-A10'!H69</f>
        <v>-120.81400000000002</v>
      </c>
      <c r="I11" s="240">
        <f>'EG-A10'!I40-'EG-A10'!I69</f>
        <v>-118.28499999999997</v>
      </c>
      <c r="J11" s="240">
        <f>'EG-A10'!J40-'EG-A10'!J69</f>
        <v>-117.33600000000001</v>
      </c>
      <c r="K11" s="241">
        <f>'EG-A10'!K40-'EG-A10'!K69</f>
        <v>-112</v>
      </c>
      <c r="L11" s="242">
        <f>'EG-A10'!L40-'EG-A10'!L69</f>
        <v>-104</v>
      </c>
      <c r="M11" s="240">
        <f>'EG-A10'!M40-'EG-A10'!M69</f>
        <v>-123.84039999999993</v>
      </c>
      <c r="N11" s="240">
        <f>'EG-A10'!N40-'EG-A10'!N69</f>
        <v>-143.53911075999986</v>
      </c>
      <c r="O11" s="240">
        <f>'EG-A10'!O40-'EG-A10'!O69</f>
        <v>-163.1897491919799</v>
      </c>
      <c r="P11" s="240">
        <f>'EG-A10'!P40-'EG-A10'!P69</f>
        <v>-183.25139041369914</v>
      </c>
      <c r="Q11" s="243">
        <f>'EG-A10'!Q40-'EG-A10'!Q69</f>
        <v>-204.37113991242688</v>
      </c>
    </row>
    <row r="12" spans="2:19" ht="16.5" customHeight="1">
      <c r="B12" s="605" t="s">
        <v>438</v>
      </c>
      <c r="C12" s="606"/>
      <c r="D12" s="239">
        <f>'EG-A10'!D41-'EG-A10'!D70</f>
        <v>-365.74022402249932</v>
      </c>
      <c r="E12" s="240">
        <f>'EG-A10'!E41-'EG-A10'!E70</f>
        <v>-363.80375835993931</v>
      </c>
      <c r="F12" s="240">
        <f>'EG-A10'!F41-'EG-A10'!F70</f>
        <v>-372</v>
      </c>
      <c r="G12" s="240">
        <f>'EG-A10'!G41-'EG-A10'!G70</f>
        <v>-379</v>
      </c>
      <c r="H12" s="240">
        <f>'EG-A10'!H41-'EG-A10'!H70</f>
        <v>-471</v>
      </c>
      <c r="I12" s="240">
        <f>'EG-A10'!I41-'EG-A10'!I70</f>
        <v>-383</v>
      </c>
      <c r="J12" s="240">
        <f>'EG-A10'!J41-'EG-A10'!J70</f>
        <v>-383</v>
      </c>
      <c r="K12" s="241">
        <f>'EG-A10'!K41-'EG-A10'!K70</f>
        <v>-352</v>
      </c>
      <c r="L12" s="242">
        <f>'EG-A10'!L41-'EG-A10'!L70</f>
        <v>-442</v>
      </c>
      <c r="M12" s="240">
        <f>'EG-A10'!M41-'EG-A10'!M70</f>
        <v>-472</v>
      </c>
      <c r="N12" s="240">
        <f>'EG-A10'!N41-'EG-A10'!N70</f>
        <v>-502</v>
      </c>
      <c r="O12" s="240">
        <f>'EG-A10'!O41-'EG-A10'!O70</f>
        <v>-335</v>
      </c>
      <c r="P12" s="240">
        <f>'EG-A10'!P41-'EG-A10'!P70</f>
        <v>-370</v>
      </c>
      <c r="Q12" s="243">
        <f>'EG-A10'!Q41-'EG-A10'!Q70</f>
        <v>-405</v>
      </c>
    </row>
    <row r="13" spans="2:19" ht="16.5" customHeight="1">
      <c r="B13" s="605" t="s">
        <v>439</v>
      </c>
      <c r="C13" s="606"/>
      <c r="D13" s="239">
        <f>'EG-A10'!D42-'EG-A10'!D71</f>
        <v>-722</v>
      </c>
      <c r="E13" s="240">
        <f>'EG-A10'!E42-'EG-A10'!E71</f>
        <v>-572</v>
      </c>
      <c r="F13" s="240">
        <f>'EG-A10'!F42-'EG-A10'!F71</f>
        <v>-597</v>
      </c>
      <c r="G13" s="240">
        <f>'EG-A10'!G42-'EG-A10'!G71</f>
        <v>-800</v>
      </c>
      <c r="H13" s="240">
        <f>'EG-A10'!H42-'EG-A10'!H71</f>
        <v>-700</v>
      </c>
      <c r="I13" s="240">
        <f>'EG-A10'!I42-'EG-A10'!I71</f>
        <v>-1028</v>
      </c>
      <c r="J13" s="240">
        <f>'EG-A10'!J42-'EG-A10'!J71</f>
        <v>-1039</v>
      </c>
      <c r="K13" s="241">
        <f>'EG-A10'!K42-'EG-A10'!K71</f>
        <v>-1000</v>
      </c>
      <c r="L13" s="242">
        <f>'EG-A10'!L42-'EG-A10'!L71</f>
        <v>-1150</v>
      </c>
      <c r="M13" s="240">
        <f>'EG-A10'!M42-'EG-A10'!M71</f>
        <v>-1000</v>
      </c>
      <c r="N13" s="240">
        <f>'EG-A10'!N42-'EG-A10'!N71</f>
        <v>-900</v>
      </c>
      <c r="O13" s="240">
        <f>'EG-A10'!O42-'EG-A10'!O71</f>
        <v>-1000</v>
      </c>
      <c r="P13" s="240">
        <f>'EG-A10'!P42-'EG-A10'!P71</f>
        <v>-1000</v>
      </c>
      <c r="Q13" s="243">
        <f>'EG-A10'!Q42-'EG-A10'!Q71</f>
        <v>-1000</v>
      </c>
    </row>
    <row r="14" spans="2:19" ht="18" hidden="1" customHeight="1">
      <c r="B14" s="16"/>
      <c r="C14" s="90" t="s">
        <v>306</v>
      </c>
      <c r="D14" s="239">
        <f>'EG-A10'!D43-'EG-A10'!D72</f>
        <v>0</v>
      </c>
      <c r="E14" s="240">
        <f>'EG-A10'!E43-'EG-A10'!E72</f>
        <v>0</v>
      </c>
      <c r="F14" s="240">
        <f>'EG-A10'!F43-'EG-A10'!F72</f>
        <v>0</v>
      </c>
      <c r="G14" s="240">
        <f>'EG-A10'!G43-'EG-A10'!G72</f>
        <v>0</v>
      </c>
      <c r="H14" s="240">
        <f>'EG-A10'!H43-'EG-A10'!H72</f>
        <v>0</v>
      </c>
      <c r="I14" s="240">
        <f>'EG-A10'!I43-'EG-A10'!I72</f>
        <v>0</v>
      </c>
      <c r="J14" s="240">
        <f>'EG-A10'!J43-'EG-A10'!J72</f>
        <v>0</v>
      </c>
      <c r="K14" s="241">
        <f>'EG-A10'!K43-'EG-A10'!K72</f>
        <v>0</v>
      </c>
      <c r="L14" s="242">
        <f>'EG-A10'!L43-'EG-A10'!L72</f>
        <v>0</v>
      </c>
      <c r="M14" s="240">
        <f>'EG-A10'!M43-'EG-A10'!M72</f>
        <v>0</v>
      </c>
      <c r="N14" s="240">
        <f>'EG-A10'!N43-'EG-A10'!N72</f>
        <v>0</v>
      </c>
      <c r="O14" s="240">
        <f>'EG-A10'!O43-'EG-A10'!O72</f>
        <v>0</v>
      </c>
      <c r="P14" s="240">
        <f>'EG-A10'!P43-'EG-A10'!P72</f>
        <v>0</v>
      </c>
      <c r="Q14" s="243">
        <f>'EG-A10'!Q43-'EG-A10'!Q72</f>
        <v>0</v>
      </c>
    </row>
    <row r="15" spans="2:19" ht="16.5" customHeight="1">
      <c r="B15" s="605" t="s">
        <v>440</v>
      </c>
      <c r="C15" s="606"/>
      <c r="D15" s="239">
        <f>'EG-A10'!D44-'EG-A10'!D73</f>
        <v>-2</v>
      </c>
      <c r="E15" s="240">
        <f>'EG-A10'!E44-'EG-A10'!E73</f>
        <v>-2</v>
      </c>
      <c r="F15" s="240">
        <f>'EG-A10'!F44-'EG-A10'!F73</f>
        <v>-2</v>
      </c>
      <c r="G15" s="240">
        <f>'EG-A10'!G44-'EG-A10'!G73</f>
        <v>-2</v>
      </c>
      <c r="H15" s="240">
        <f>'EG-A10'!H44-'EG-A10'!H73</f>
        <v>-2</v>
      </c>
      <c r="I15" s="240">
        <f>'EG-A10'!I44-'EG-A10'!I73</f>
        <v>-2</v>
      </c>
      <c r="J15" s="240">
        <f>'EG-A10'!J44-'EG-A10'!J73</f>
        <v>-2</v>
      </c>
      <c r="K15" s="241">
        <f>'EG-A10'!K44-'EG-A10'!K73</f>
        <v>-2</v>
      </c>
      <c r="L15" s="242">
        <f>'EG-A10'!L44-'EG-A10'!L73</f>
        <v>-2</v>
      </c>
      <c r="M15" s="240">
        <f>'EG-A10'!M44-'EG-A10'!M73</f>
        <v>-2</v>
      </c>
      <c r="N15" s="240">
        <f>'EG-A10'!N44-'EG-A10'!N73</f>
        <v>-2</v>
      </c>
      <c r="O15" s="240">
        <f>'EG-A10'!O44-'EG-A10'!O73</f>
        <v>-2</v>
      </c>
      <c r="P15" s="240">
        <f>'EG-A10'!P44-'EG-A10'!P73</f>
        <v>-2</v>
      </c>
      <c r="Q15" s="243">
        <f>'EG-A10'!Q44-'EG-A10'!Q73</f>
        <v>-2</v>
      </c>
    </row>
    <row r="16" spans="2:19" ht="16.5" customHeight="1">
      <c r="B16" s="605" t="s">
        <v>441</v>
      </c>
      <c r="C16" s="606"/>
      <c r="D16" s="239">
        <f>'EG-A10'!D45-'EG-A10'!D74</f>
        <v>90.719485096165727</v>
      </c>
      <c r="E16" s="240">
        <f>'EG-A10'!E45-'EG-A10'!E74</f>
        <v>149.9297270324513</v>
      </c>
      <c r="F16" s="240">
        <f>'EG-A10'!F45-'EG-A10'!F74</f>
        <v>150</v>
      </c>
      <c r="G16" s="240">
        <f>'EG-A10'!G45-'EG-A10'!G74</f>
        <v>130</v>
      </c>
      <c r="H16" s="240">
        <f>'EG-A10'!H45-'EG-A10'!H74</f>
        <v>133.04600000000002</v>
      </c>
      <c r="I16" s="240">
        <f>'EG-A10'!I45-'EG-A10'!I74</f>
        <v>136.41</v>
      </c>
      <c r="J16" s="240">
        <f>'EG-A10'!J45-'EG-A10'!J74</f>
        <v>210.309</v>
      </c>
      <c r="K16" s="241">
        <f>'EG-A10'!K45-'EG-A10'!K74</f>
        <v>104.57500000000002</v>
      </c>
      <c r="L16" s="242">
        <f>'EG-A10'!L45-'EG-A10'!L74</f>
        <v>104.57500000000002</v>
      </c>
      <c r="M16" s="240">
        <f>'EG-A10'!M45-'EG-A10'!M74</f>
        <v>104.57500000000002</v>
      </c>
      <c r="N16" s="240">
        <f>'EG-A10'!N45-'EG-A10'!N74</f>
        <v>641.40833333333342</v>
      </c>
      <c r="O16" s="240">
        <f>'EG-A10'!O45-'EG-A10'!O74</f>
        <v>715.07499999999993</v>
      </c>
      <c r="P16" s="240">
        <f>'EG-A10'!P45-'EG-A10'!P74</f>
        <v>758.99166666666656</v>
      </c>
      <c r="Q16" s="243">
        <f>'EG-A10'!Q45-'EG-A10'!Q74</f>
        <v>821.32499999999982</v>
      </c>
    </row>
    <row r="17" spans="2:17" ht="16.5" customHeight="1">
      <c r="B17" s="605" t="s">
        <v>442</v>
      </c>
      <c r="C17" s="606"/>
      <c r="D17" s="239">
        <f>'EG-A10'!D46-'EG-A10'!D75</f>
        <v>-117</v>
      </c>
      <c r="E17" s="240">
        <f>'EG-A10'!E46-'EG-A10'!E75</f>
        <v>-125</v>
      </c>
      <c r="F17" s="240">
        <f>'EG-A10'!F46-'EG-A10'!F75</f>
        <v>-185</v>
      </c>
      <c r="G17" s="240">
        <f>'EG-A10'!G46-'EG-A10'!G75</f>
        <v>-198</v>
      </c>
      <c r="H17" s="240">
        <f>'EG-A10'!H46-'EG-A10'!H75</f>
        <v>-211</v>
      </c>
      <c r="I17" s="240">
        <f>'EG-A10'!I46-'EG-A10'!I75</f>
        <v>-225</v>
      </c>
      <c r="J17" s="240">
        <f>'EG-A10'!J46-'EG-A10'!J75</f>
        <v>-103</v>
      </c>
      <c r="K17" s="241">
        <f>'EG-A10'!K46-'EG-A10'!K75</f>
        <v>-187</v>
      </c>
      <c r="L17" s="242">
        <f>'EG-A10'!L46-'EG-A10'!L75</f>
        <v>-198</v>
      </c>
      <c r="M17" s="240">
        <f>'EG-A10'!M46-'EG-A10'!M75</f>
        <v>-210</v>
      </c>
      <c r="N17" s="240">
        <f>'EG-A10'!N46-'EG-A10'!N75</f>
        <v>-223</v>
      </c>
      <c r="O17" s="240">
        <f>'EG-A10'!O46-'EG-A10'!O75</f>
        <v>-236</v>
      </c>
      <c r="P17" s="240">
        <f>'EG-A10'!P46-'EG-A10'!P75</f>
        <v>-250</v>
      </c>
      <c r="Q17" s="243">
        <f>'EG-A10'!Q46-'EG-A10'!Q75</f>
        <v>-265</v>
      </c>
    </row>
    <row r="18" spans="2:17" ht="16.5" customHeight="1">
      <c r="B18" s="607" t="s">
        <v>443</v>
      </c>
      <c r="C18" s="608"/>
      <c r="D18" s="239">
        <f>'EG-A10'!D47-'EG-A10'!D76</f>
        <v>65.900000000000091</v>
      </c>
      <c r="E18" s="240">
        <f>'EG-A10'!E47-'EG-A10'!E76</f>
        <v>100.19999999999999</v>
      </c>
      <c r="F18" s="240">
        <f>'EG-A10'!F47-'EG-A10'!F76</f>
        <v>190.79999999999995</v>
      </c>
      <c r="G18" s="240">
        <f>'EG-A10'!G47-'EG-A10'!G76</f>
        <v>269.3</v>
      </c>
      <c r="H18" s="240">
        <f>'EG-A10'!H47-'EG-A10'!H76</f>
        <v>240.3</v>
      </c>
      <c r="I18" s="240">
        <f>'EG-A10'!I47-'EG-A10'!I76</f>
        <v>334.1</v>
      </c>
      <c r="J18" s="240">
        <f>'EG-A10'!J47-'EG-A10'!J76</f>
        <v>260.3</v>
      </c>
      <c r="K18" s="241">
        <f>'EG-A10'!K47-'EG-A10'!K76</f>
        <v>314.8</v>
      </c>
      <c r="L18" s="242">
        <f>'EG-A10'!L47-'EG-A10'!L76</f>
        <v>263.39999999999998</v>
      </c>
      <c r="M18" s="240">
        <f>'EG-A10'!M47-'EG-A10'!M76</f>
        <v>288</v>
      </c>
      <c r="N18" s="240">
        <f>'EG-A10'!N47-'EG-A10'!N76</f>
        <v>230</v>
      </c>
      <c r="O18" s="240">
        <f>'EG-A10'!O47-'EG-A10'!O76</f>
        <v>283</v>
      </c>
      <c r="P18" s="240">
        <f>'EG-A10'!P47-'EG-A10'!P76</f>
        <v>226</v>
      </c>
      <c r="Q18" s="243">
        <f>'EG-A10'!Q47-'EG-A10'!Q76</f>
        <v>278</v>
      </c>
    </row>
    <row r="19" spans="2:17" ht="17.25" customHeight="1">
      <c r="B19" s="620" t="s">
        <v>307</v>
      </c>
      <c r="C19" s="621"/>
      <c r="D19" s="244">
        <f t="shared" ref="D19:K19" si="0">SUM(D7:D18)</f>
        <v>-6012.1207389263327</v>
      </c>
      <c r="E19" s="245">
        <f t="shared" si="0"/>
        <v>-6542.5030313274874</v>
      </c>
      <c r="F19" s="245">
        <f t="shared" si="0"/>
        <v>-6926.2529770000001</v>
      </c>
      <c r="G19" s="245">
        <f t="shared" si="0"/>
        <v>-7384.2561901259996</v>
      </c>
      <c r="H19" s="245">
        <f t="shared" si="0"/>
        <v>-7651.81914868075</v>
      </c>
      <c r="I19" s="245">
        <f t="shared" si="0"/>
        <v>-7647.7643908324462</v>
      </c>
      <c r="J19" s="245">
        <f t="shared" si="0"/>
        <v>-7297.7269999999999</v>
      </c>
      <c r="K19" s="246">
        <f t="shared" si="0"/>
        <v>-7543.625</v>
      </c>
      <c r="L19" s="247">
        <f t="shared" ref="L19:Q19" si="1">SUM(L7:L18)</f>
        <v>-7622.0250000000005</v>
      </c>
      <c r="M19" s="245">
        <f t="shared" si="1"/>
        <v>-7494.2654000000002</v>
      </c>
      <c r="N19" s="245">
        <f t="shared" si="1"/>
        <v>-7238.1307774266661</v>
      </c>
      <c r="O19" s="245">
        <f t="shared" si="1"/>
        <v>-6935.1147491919801</v>
      </c>
      <c r="P19" s="245">
        <f t="shared" si="1"/>
        <v>-6792.2597237470327</v>
      </c>
      <c r="Q19" s="248">
        <f t="shared" si="1"/>
        <v>-6509.046139912427</v>
      </c>
    </row>
    <row r="20" spans="2:17" ht="17.25" customHeight="1">
      <c r="B20" s="609" t="s">
        <v>308</v>
      </c>
      <c r="C20" s="610"/>
      <c r="D20" s="244">
        <f>'EG-A10'!D49-'EG-A10'!D78</f>
        <v>-33.853000000000002</v>
      </c>
      <c r="E20" s="245">
        <f>'EG-A10'!E49-'EG-A10'!E78</f>
        <v>-33.784999999999997</v>
      </c>
      <c r="F20" s="245">
        <f>'EG-A10'!F49-'EG-A10'!F78</f>
        <v>-4</v>
      </c>
      <c r="G20" s="245">
        <f>'EG-A10'!G49-'EG-A10'!G78</f>
        <v>-2</v>
      </c>
      <c r="H20" s="245">
        <f>'EG-A10'!H49-'EG-A10'!H78</f>
        <v>-8</v>
      </c>
      <c r="I20" s="245">
        <f>'EG-A10'!I49-'EG-A10'!I78</f>
        <v>-20</v>
      </c>
      <c r="J20" s="245">
        <f>'EG-A10'!J49-'EG-A10'!J78</f>
        <v>-25</v>
      </c>
      <c r="K20" s="246">
        <f>'EG-A10'!K49-'EG-A10'!K78</f>
        <v>-14</v>
      </c>
      <c r="L20" s="247">
        <f>'EG-A10'!L49-'EG-A10'!L78</f>
        <v>-14</v>
      </c>
      <c r="M20" s="245">
        <f>'EG-A10'!M49-'EG-A10'!M78</f>
        <v>-14</v>
      </c>
      <c r="N20" s="245">
        <f>'EG-A10'!N49-'EG-A10'!N78</f>
        <v>-15</v>
      </c>
      <c r="O20" s="245">
        <f>'EG-A10'!O49-'EG-A10'!O78</f>
        <v>-15</v>
      </c>
      <c r="P20" s="245">
        <f>'EG-A10'!P49-'EG-A10'!P78</f>
        <v>-15</v>
      </c>
      <c r="Q20" s="248">
        <f>'EG-A10'!Q49-'EG-A10'!Q78</f>
        <v>-15</v>
      </c>
    </row>
    <row r="21" spans="2:17" ht="16.5" customHeight="1">
      <c r="B21" s="105"/>
      <c r="C21" s="97" t="s">
        <v>309</v>
      </c>
      <c r="D21" s="244">
        <f>'EG-A10'!D50-'EG-A10'!D79</f>
        <v>-33.853000000000002</v>
      </c>
      <c r="E21" s="245">
        <f>'EG-A10'!E50-'EG-A10'!E79</f>
        <v>-33.784999999999997</v>
      </c>
      <c r="F21" s="245">
        <f>'EG-A10'!F50-'EG-A10'!F79</f>
        <v>-4</v>
      </c>
      <c r="G21" s="245">
        <f>'EG-A10'!G50-'EG-A10'!G79</f>
        <v>-2</v>
      </c>
      <c r="H21" s="245">
        <f>'EG-A10'!H50-'EG-A10'!H79</f>
        <v>-8</v>
      </c>
      <c r="I21" s="245">
        <f>'EG-A10'!I50-'EG-A10'!I79</f>
        <v>-20</v>
      </c>
      <c r="J21" s="245">
        <f>'EG-A10'!J50-'EG-A10'!J79</f>
        <v>-25</v>
      </c>
      <c r="K21" s="246">
        <f>'EG-A10'!K50-'EG-A10'!K79</f>
        <v>-14</v>
      </c>
      <c r="L21" s="247">
        <f>'EG-A10'!L50-'EG-A10'!L79</f>
        <v>-14</v>
      </c>
      <c r="M21" s="245">
        <f>'EG-A10'!M50-'EG-A10'!M79</f>
        <v>-14</v>
      </c>
      <c r="N21" s="245">
        <f>'EG-A10'!N50-'EG-A10'!N79</f>
        <v>-15</v>
      </c>
      <c r="O21" s="245">
        <f>'EG-A10'!O50-'EG-A10'!O79</f>
        <v>-15</v>
      </c>
      <c r="P21" s="245">
        <f>'EG-A10'!P50-'EG-A10'!P79</f>
        <v>-15</v>
      </c>
      <c r="Q21" s="248">
        <f>'EG-A10'!Q50-'EG-A10'!Q79</f>
        <v>-15</v>
      </c>
    </row>
    <row r="22" spans="2:17" ht="17.25" customHeight="1">
      <c r="B22" s="609" t="s">
        <v>310</v>
      </c>
      <c r="C22" s="610"/>
      <c r="D22" s="239">
        <f>'EG-A10'!D51-'EG-A10'!D80</f>
        <v>-742.37500000000023</v>
      </c>
      <c r="E22" s="240">
        <f>'EG-A10'!E51-'EG-A10'!E80</f>
        <v>-836.12400000000025</v>
      </c>
      <c r="F22" s="240">
        <f>'EG-A10'!F51-'EG-A10'!F80</f>
        <v>-756.12099999999998</v>
      </c>
      <c r="G22" s="240">
        <f>'EG-A10'!G51-'EG-A10'!G80</f>
        <v>-596.80600000000004</v>
      </c>
      <c r="H22" s="240">
        <f>'EG-A10'!H51-'EG-A10'!H80</f>
        <v>-675.14600000000019</v>
      </c>
      <c r="I22" s="240">
        <f>'EG-A10'!I51-'EG-A10'!I80</f>
        <v>-736.37000000000012</v>
      </c>
      <c r="J22" s="240">
        <f>'EG-A10'!J51-'EG-A10'!J80</f>
        <v>-689.80299999999966</v>
      </c>
      <c r="K22" s="241">
        <f>'EG-A10'!K51-'EG-A10'!K80</f>
        <v>-720.96800000000007</v>
      </c>
      <c r="L22" s="242">
        <f>'EG-A10'!L51-'EG-A10'!L80</f>
        <v>-727.91999999999985</v>
      </c>
      <c r="M22" s="240">
        <f>'EG-A10'!M51-'EG-A10'!M80</f>
        <v>-857.24900000000002</v>
      </c>
      <c r="N22" s="240">
        <f>'EG-A10'!N51-'EG-A10'!N80</f>
        <v>-857.01499999999987</v>
      </c>
      <c r="O22" s="240">
        <f>'EG-A10'!O51-'EG-A10'!O80</f>
        <v>-818.79399999999987</v>
      </c>
      <c r="P22" s="240">
        <f>'EG-A10'!P51-'EG-A10'!P80</f>
        <v>-848.51499999999987</v>
      </c>
      <c r="Q22" s="243">
        <f>'EG-A10'!Q51-'EG-A10'!Q80</f>
        <v>-965.72200000000021</v>
      </c>
    </row>
    <row r="23" spans="2:17" ht="16.5" customHeight="1">
      <c r="B23" s="105"/>
      <c r="C23" s="615" t="s">
        <v>311</v>
      </c>
      <c r="D23" s="244">
        <f>'EG-A10'!D52-'EG-A10'!D81</f>
        <v>-726.79200000000014</v>
      </c>
      <c r="E23" s="245">
        <f>'EG-A10'!E52-'EG-A10'!E81</f>
        <v>-789.66800000000012</v>
      </c>
      <c r="F23" s="245">
        <f>'EG-A10'!F52-'EG-A10'!F81</f>
        <v>-701.2660000000003</v>
      </c>
      <c r="G23" s="245">
        <f>'EG-A10'!G52-'EG-A10'!G81</f>
        <v>-534.54200000000026</v>
      </c>
      <c r="H23" s="245">
        <f>'EG-A10'!H52-'EG-A10'!H81</f>
        <v>-596.70500000000004</v>
      </c>
      <c r="I23" s="245">
        <f>'EG-A10'!I52-'EG-A10'!I81</f>
        <v>-653.77399999999966</v>
      </c>
      <c r="J23" s="245">
        <f>'EG-A10'!J52-'EG-A10'!J81</f>
        <v>-591.84099999999967</v>
      </c>
      <c r="K23" s="246">
        <f>'EG-A10'!K52-'EG-A10'!K81</f>
        <v>-633.09400000000051</v>
      </c>
      <c r="L23" s="247">
        <f>'EG-A10'!L52-'EG-A10'!L81</f>
        <v>-634.32799999999997</v>
      </c>
      <c r="M23" s="245">
        <f>'EG-A10'!M52-'EG-A10'!M81</f>
        <v>-766.77200000000039</v>
      </c>
      <c r="N23" s="245">
        <f>'EG-A10'!N52-'EG-A10'!N81</f>
        <v>-768.82000000000039</v>
      </c>
      <c r="O23" s="245">
        <f>'EG-A10'!O52-'EG-A10'!O81</f>
        <v>-738.27099999999973</v>
      </c>
      <c r="P23" s="245">
        <f>'EG-A10'!P52-'EG-A10'!P81</f>
        <v>-763.64600000000019</v>
      </c>
      <c r="Q23" s="248">
        <f>'EG-A10'!Q52-'EG-A10'!Q81</f>
        <v>-883.85000000000014</v>
      </c>
    </row>
    <row r="24" spans="2:17" ht="17.25" customHeight="1">
      <c r="B24" s="609" t="s">
        <v>312</v>
      </c>
      <c r="C24" s="610"/>
      <c r="D24" s="239">
        <f>'EG-A10'!D53-'EG-A10'!D82</f>
        <v>6438</v>
      </c>
      <c r="E24" s="240">
        <f>'EG-A10'!E53-'EG-A10'!E82</f>
        <v>6558</v>
      </c>
      <c r="F24" s="240">
        <f>'EG-A10'!F53-'EG-A10'!F82</f>
        <v>7219.4</v>
      </c>
      <c r="G24" s="240">
        <f>'EG-A10'!G53-'EG-A10'!G82</f>
        <v>7162.84</v>
      </c>
      <c r="H24" s="240">
        <f>'EG-A10'!H53-'EG-A10'!H82</f>
        <v>7299.482</v>
      </c>
      <c r="I24" s="240">
        <f>'EG-A10'!I53-'EG-A10'!I82</f>
        <v>7908</v>
      </c>
      <c r="J24" s="240">
        <f>'EG-A10'!J53-'EG-A10'!J82</f>
        <v>8120</v>
      </c>
      <c r="K24" s="241">
        <f>'EG-A10'!K53-'EG-A10'!K82</f>
        <v>8066</v>
      </c>
      <c r="L24" s="242">
        <f>'EG-A10'!L53-'EG-A10'!L82</f>
        <v>8052</v>
      </c>
      <c r="M24" s="240">
        <f>'EG-A10'!M53-'EG-A10'!M82</f>
        <v>8178</v>
      </c>
      <c r="N24" s="240">
        <f>'EG-A10'!N53-'EG-A10'!N82</f>
        <v>8214</v>
      </c>
      <c r="O24" s="240">
        <f>'EG-A10'!O53-'EG-A10'!O82</f>
        <v>8279</v>
      </c>
      <c r="P24" s="240">
        <f>'EG-A10'!P53-'EG-A10'!P82</f>
        <v>8568</v>
      </c>
      <c r="Q24" s="243">
        <f>'EG-A10'!Q53-'EG-A10'!Q82</f>
        <v>8722</v>
      </c>
    </row>
    <row r="25" spans="2:17" ht="16.5" customHeight="1">
      <c r="B25" s="16"/>
      <c r="C25" s="615" t="s">
        <v>313</v>
      </c>
      <c r="D25" s="244">
        <f>'EG-A10'!D54-'EG-A10'!D83</f>
        <v>0</v>
      </c>
      <c r="E25" s="245">
        <f>'EG-A10'!E54-'EG-A10'!E83</f>
        <v>6202</v>
      </c>
      <c r="F25" s="245">
        <f>'EG-A10'!F54-'EG-A10'!F83</f>
        <v>6203.1</v>
      </c>
      <c r="G25" s="245">
        <f>'EG-A10'!G54-'EG-A10'!G83</f>
        <v>6256</v>
      </c>
      <c r="H25" s="245">
        <f>'EG-A10'!H54-'EG-A10'!H83</f>
        <v>6269.8149999999996</v>
      </c>
      <c r="I25" s="245">
        <f>'EG-A10'!I54-'EG-A10'!I83</f>
        <v>6198.2393797447912</v>
      </c>
      <c r="J25" s="245">
        <f>'EG-A10'!J54-'EG-A10'!J83</f>
        <v>6652.2774995961881</v>
      </c>
      <c r="K25" s="246">
        <f>'EG-A10'!K54-'EG-A10'!K83</f>
        <v>6667.7421423989736</v>
      </c>
      <c r="L25" s="247">
        <f>'EG-A10'!L54-'EG-A10'!L83</f>
        <v>6673.4054742202416</v>
      </c>
      <c r="M25" s="245">
        <f>'EG-A10'!M54-'EG-A10'!M83</f>
        <v>6723.4054742202416</v>
      </c>
      <c r="N25" s="245">
        <f>'EG-A10'!N54-'EG-A10'!N83</f>
        <v>6743.1667727562062</v>
      </c>
      <c r="O25" s="245">
        <f>'EG-A10'!O54-'EG-A10'!O83</f>
        <v>6761.9732654360278</v>
      </c>
      <c r="P25" s="245">
        <f>'EG-A10'!P54-'EG-A10'!P83</f>
        <v>7061.3367281985993</v>
      </c>
      <c r="Q25" s="248">
        <f>'EG-A10'!Q54-'EG-A10'!Q83</f>
        <v>7160</v>
      </c>
    </row>
    <row r="26" spans="2:17" ht="17.25" customHeight="1">
      <c r="B26" s="620" t="s">
        <v>314</v>
      </c>
      <c r="C26" s="621"/>
      <c r="D26" s="244">
        <f>'EG-A10'!D55-'EG-A10'!D84</f>
        <v>-95</v>
      </c>
      <c r="E26" s="245">
        <f>'EG-A10'!E55-'EG-A10'!E84</f>
        <v>-102</v>
      </c>
      <c r="F26" s="245">
        <f>'EG-A10'!F55-'EG-A10'!F84</f>
        <v>-115.25999999999999</v>
      </c>
      <c r="G26" s="245">
        <f>'EG-A10'!G55-'EG-A10'!G84</f>
        <v>-115.25999999999999</v>
      </c>
      <c r="H26" s="245">
        <f>'EG-A10'!H55-'EG-A10'!H84</f>
        <v>-130.24379999999996</v>
      </c>
      <c r="I26" s="245">
        <f>'EG-A10'!I55-'EG-A10'!I84</f>
        <v>-80</v>
      </c>
      <c r="J26" s="245">
        <f>'EG-A10'!J55-'EG-A10'!J84</f>
        <v>-68</v>
      </c>
      <c r="K26" s="246">
        <f>'EG-A10'!K55-'EG-A10'!K84</f>
        <v>-122</v>
      </c>
      <c r="L26" s="247">
        <f>'EG-A10'!L55-'EG-A10'!L84</f>
        <v>-173</v>
      </c>
      <c r="M26" s="245">
        <f>'EG-A10'!M55-'EG-A10'!M84</f>
        <v>-207</v>
      </c>
      <c r="N26" s="245">
        <f>'EG-A10'!N55-'EG-A10'!N84</f>
        <v>-223</v>
      </c>
      <c r="O26" s="245">
        <f>'EG-A10'!O55-'EG-A10'!O84</f>
        <v>-228</v>
      </c>
      <c r="P26" s="245">
        <f>'EG-A10'!P55-'EG-A10'!P84</f>
        <v>-235</v>
      </c>
      <c r="Q26" s="248">
        <f>'EG-A10'!Q55-'EG-A10'!Q84</f>
        <v>-239</v>
      </c>
    </row>
    <row r="27" spans="2:17" ht="17.25" customHeight="1">
      <c r="B27" s="620" t="s">
        <v>315</v>
      </c>
      <c r="C27" s="621"/>
      <c r="D27" s="244">
        <f>'EG-A10'!D56-'EG-A10'!D85</f>
        <v>52</v>
      </c>
      <c r="E27" s="245">
        <f>'EG-A10'!E56-'EG-A10'!E85</f>
        <v>-48</v>
      </c>
      <c r="F27" s="245">
        <f>'EG-A10'!F56-'EG-A10'!F85</f>
        <v>-37.806000000000012</v>
      </c>
      <c r="G27" s="245">
        <f>'EG-A10'!G56-'EG-A10'!G85</f>
        <v>-32.199999999999989</v>
      </c>
      <c r="H27" s="245">
        <f>'EG-A10'!H56-'EG-A10'!H85</f>
        <v>-19</v>
      </c>
      <c r="I27" s="245">
        <f>'EG-A10'!I56-'EG-A10'!I85</f>
        <v>20</v>
      </c>
      <c r="J27" s="245">
        <f>'EG-A10'!J56-'EG-A10'!J85</f>
        <v>19.860000000000014</v>
      </c>
      <c r="K27" s="246">
        <f>'EG-A10'!K56-'EG-A10'!K85</f>
        <v>-11.103419999999971</v>
      </c>
      <c r="L27" s="247">
        <f>'EG-A10'!L56-'EG-A10'!L85</f>
        <v>-8.1930747199999701</v>
      </c>
      <c r="M27" s="245">
        <f>'EG-A10'!M56-'EG-A10'!M85</f>
        <v>-6.139584691360028</v>
      </c>
      <c r="N27" s="245">
        <f>'EG-A10'!N56-'EG-A10'!N85</f>
        <v>-4.4016784617304552</v>
      </c>
      <c r="O27" s="245">
        <f>'EG-A10'!O56-'EG-A10'!O85</f>
        <v>-1.5927036386564168</v>
      </c>
      <c r="P27" s="245">
        <f>'EG-A10'!P56-'EG-A10'!P85</f>
        <v>1.2884058067637056</v>
      </c>
      <c r="Q27" s="248">
        <f>'EG-A10'!Q56-'EG-A10'!Q85</f>
        <v>5.242731893865141</v>
      </c>
    </row>
    <row r="28" spans="2:17" ht="16.5" customHeight="1">
      <c r="B28" s="609" t="s">
        <v>316</v>
      </c>
      <c r="C28" s="610"/>
      <c r="D28" s="239">
        <f>'EG-A10'!D57-'EG-A10'!D86</f>
        <v>-368</v>
      </c>
      <c r="E28" s="240">
        <f>'EG-A10'!E57-'EG-A10'!E86</f>
        <v>-340</v>
      </c>
      <c r="F28" s="240">
        <f>'EG-A10'!F57-'EG-A10'!F86</f>
        <v>-404</v>
      </c>
      <c r="G28" s="240">
        <f>'EG-A10'!G57-'EG-A10'!G86</f>
        <v>-428</v>
      </c>
      <c r="H28" s="240">
        <f>'EG-A10'!H57-'EG-A10'!H86</f>
        <v>-452</v>
      </c>
      <c r="I28" s="240">
        <f>'EG-A10'!I57-'EG-A10'!I86</f>
        <v>-485</v>
      </c>
      <c r="J28" s="240">
        <f>'EG-A10'!J57-'EG-A10'!J86</f>
        <v>-524</v>
      </c>
      <c r="K28" s="241">
        <f>'EG-A10'!K57-'EG-A10'!K86</f>
        <v>-513</v>
      </c>
      <c r="L28" s="242">
        <f>'EG-A10'!L57-'EG-A10'!L86</f>
        <v>-587</v>
      </c>
      <c r="M28" s="240">
        <f>'EG-A10'!M57-'EG-A10'!M86</f>
        <v>-105</v>
      </c>
      <c r="N28" s="240">
        <f>'EG-A10'!N57-'EG-A10'!N86</f>
        <v>1151</v>
      </c>
      <c r="O28" s="240">
        <f>'EG-A10'!O57-'EG-A10'!O86</f>
        <v>1221</v>
      </c>
      <c r="P28" s="240">
        <f>'EG-A10'!P57-'EG-A10'!P86</f>
        <v>1180</v>
      </c>
      <c r="Q28" s="243">
        <f>'EG-A10'!Q57-'EG-A10'!Q86</f>
        <v>1141</v>
      </c>
    </row>
    <row r="29" spans="2:17" ht="16.5" customHeight="1">
      <c r="B29" s="607" t="s">
        <v>317</v>
      </c>
      <c r="C29" s="608"/>
      <c r="D29" s="239">
        <f>'EG-A10'!D58-'EG-A10'!D87</f>
        <v>1072</v>
      </c>
      <c r="E29" s="240">
        <f>'EG-A10'!E58-'EG-A10'!E87</f>
        <v>1106</v>
      </c>
      <c r="F29" s="240">
        <f>'EG-A10'!F58-'EG-A10'!F87</f>
        <v>1330</v>
      </c>
      <c r="G29" s="240">
        <f>'EG-A10'!G58-'EG-A10'!G87</f>
        <v>1350</v>
      </c>
      <c r="H29" s="240">
        <f>'EG-A10'!H58-'EG-A10'!H87</f>
        <v>1350</v>
      </c>
      <c r="I29" s="240">
        <f>'EG-A10'!I58-'EG-A10'!I87</f>
        <v>1350</v>
      </c>
      <c r="J29" s="240">
        <f>'EG-A10'!J58-'EG-A10'!J87</f>
        <v>1350</v>
      </c>
      <c r="K29" s="241">
        <f>'EG-A10'!K58-'EG-A10'!K87</f>
        <v>1505</v>
      </c>
      <c r="L29" s="242">
        <f>'EG-A10'!L58-'EG-A10'!L87</f>
        <v>1505</v>
      </c>
      <c r="M29" s="240">
        <f>'EG-A10'!M58-'EG-A10'!M87</f>
        <v>1505</v>
      </c>
      <c r="N29" s="240">
        <f>'EG-A10'!N58-'EG-A10'!N87</f>
        <v>1505</v>
      </c>
      <c r="O29" s="240">
        <f>'EG-A10'!O58-'EG-A10'!O87</f>
        <v>1505</v>
      </c>
      <c r="P29" s="240">
        <f>'EG-A10'!P58-'EG-A10'!P87</f>
        <v>1505</v>
      </c>
      <c r="Q29" s="243">
        <f>'EG-A10'!Q58-'EG-A10'!Q87</f>
        <v>1505</v>
      </c>
    </row>
    <row r="30" spans="2:17" ht="17.25" customHeight="1">
      <c r="B30" s="620" t="s">
        <v>318</v>
      </c>
      <c r="C30" s="621"/>
      <c r="D30" s="244">
        <f t="shared" ref="D30:K30" si="2">SUM(D28:D29)</f>
        <v>704</v>
      </c>
      <c r="E30" s="245">
        <f t="shared" si="2"/>
        <v>766</v>
      </c>
      <c r="F30" s="245">
        <f t="shared" si="2"/>
        <v>926</v>
      </c>
      <c r="G30" s="245">
        <f t="shared" si="2"/>
        <v>922</v>
      </c>
      <c r="H30" s="245">
        <f t="shared" si="2"/>
        <v>898</v>
      </c>
      <c r="I30" s="245">
        <f t="shared" si="2"/>
        <v>865</v>
      </c>
      <c r="J30" s="245">
        <f t="shared" si="2"/>
        <v>826</v>
      </c>
      <c r="K30" s="246">
        <f t="shared" si="2"/>
        <v>992</v>
      </c>
      <c r="L30" s="247">
        <f t="shared" ref="L30:Q30" si="3">SUM(L28:L29)</f>
        <v>918</v>
      </c>
      <c r="M30" s="245">
        <f t="shared" si="3"/>
        <v>1400</v>
      </c>
      <c r="N30" s="245">
        <f t="shared" si="3"/>
        <v>2656</v>
      </c>
      <c r="O30" s="245">
        <f t="shared" si="3"/>
        <v>2726</v>
      </c>
      <c r="P30" s="245">
        <f t="shared" si="3"/>
        <v>2685</v>
      </c>
      <c r="Q30" s="248">
        <f t="shared" si="3"/>
        <v>2646</v>
      </c>
    </row>
    <row r="31" spans="2:17" ht="16.5" customHeight="1">
      <c r="B31" s="609" t="s">
        <v>319</v>
      </c>
      <c r="C31" s="610"/>
      <c r="D31" s="239">
        <f>'EG-A10'!D60-'EG-A10'!D89</f>
        <v>-177</v>
      </c>
      <c r="E31" s="240">
        <f>'EG-A10'!E60-'EG-A10'!E89</f>
        <v>-277</v>
      </c>
      <c r="F31" s="240">
        <f>'EG-A10'!F60-'EG-A10'!F89</f>
        <v>-252</v>
      </c>
      <c r="G31" s="240">
        <f>'EG-A10'!G60-'EG-A10'!G89</f>
        <v>-257</v>
      </c>
      <c r="H31" s="240">
        <f>'EG-A10'!H60-'EG-A10'!H89</f>
        <v>-159</v>
      </c>
      <c r="I31" s="240">
        <f>'EG-A10'!I60-'EG-A10'!I89</f>
        <v>-171</v>
      </c>
      <c r="J31" s="240">
        <f>'EG-A10'!J60-'EG-A10'!J89</f>
        <v>-181</v>
      </c>
      <c r="K31" s="241">
        <f>'EG-A10'!K60-'EG-A10'!K89</f>
        <v>-191</v>
      </c>
      <c r="L31" s="242">
        <f>'EG-A10'!L60-'EG-A10'!L89</f>
        <v>-202</v>
      </c>
      <c r="M31" s="240">
        <f>'EG-A10'!M60-'EG-A10'!M89</f>
        <v>-215</v>
      </c>
      <c r="N31" s="240">
        <f>'EG-A10'!N60-'EG-A10'!N89</f>
        <v>-230</v>
      </c>
      <c r="O31" s="240">
        <f>'EG-A10'!O60-'EG-A10'!O89</f>
        <v>-246</v>
      </c>
      <c r="P31" s="240">
        <f>'EG-A10'!P60-'EG-A10'!P89</f>
        <v>-263</v>
      </c>
      <c r="Q31" s="243">
        <f>'EG-A10'!Q60-'EG-A10'!Q89</f>
        <v>-280</v>
      </c>
    </row>
    <row r="32" spans="2:17" ht="16.5" customHeight="1">
      <c r="B32" s="605" t="s">
        <v>320</v>
      </c>
      <c r="C32" s="606"/>
      <c r="D32" s="239">
        <f>'EG-A10'!D61-'EG-A10'!D90</f>
        <v>-209</v>
      </c>
      <c r="E32" s="240">
        <f>'EG-A10'!E61-'EG-A10'!E90</f>
        <v>-222</v>
      </c>
      <c r="F32" s="240">
        <f>'EG-A10'!F61-'EG-A10'!F90</f>
        <v>-152</v>
      </c>
      <c r="G32" s="240">
        <f>'EG-A10'!G61-'EG-A10'!G90</f>
        <v>-182</v>
      </c>
      <c r="H32" s="240">
        <f>'EG-A10'!H61-'EG-A10'!H90</f>
        <v>-175</v>
      </c>
      <c r="I32" s="240">
        <f>'EG-A10'!I61-'EG-A10'!I90</f>
        <v>-134</v>
      </c>
      <c r="J32" s="240">
        <f>'EG-A10'!J61-'EG-A10'!J90</f>
        <v>-120</v>
      </c>
      <c r="K32" s="241">
        <f>'EG-A10'!K61-'EG-A10'!K90</f>
        <v>-125</v>
      </c>
      <c r="L32" s="242">
        <f>'EG-A10'!L61-'EG-A10'!L90</f>
        <v>-131</v>
      </c>
      <c r="M32" s="240">
        <f>'EG-A10'!M61-'EG-A10'!M90</f>
        <v>-141</v>
      </c>
      <c r="N32" s="240">
        <f>'EG-A10'!N61-'EG-A10'!N90</f>
        <v>-151</v>
      </c>
      <c r="O32" s="240">
        <f>'EG-A10'!O61-'EG-A10'!O90</f>
        <v>-161</v>
      </c>
      <c r="P32" s="240">
        <f>'EG-A10'!P61-'EG-A10'!P90</f>
        <v>-171</v>
      </c>
      <c r="Q32" s="243">
        <f>'EG-A10'!Q61-'EG-A10'!Q90</f>
        <v>-181</v>
      </c>
    </row>
    <row r="33" spans="2:17" ht="16.5" customHeight="1">
      <c r="B33" s="607" t="s">
        <v>321</v>
      </c>
      <c r="C33" s="608"/>
      <c r="D33" s="239">
        <f>'EG-A10'!D62-'EG-A10'!D91</f>
        <v>-82</v>
      </c>
      <c r="E33" s="240">
        <f>'EG-A10'!E62-'EG-A10'!E91</f>
        <v>-84</v>
      </c>
      <c r="F33" s="240">
        <f>'EG-A10'!F62-'EG-A10'!F91</f>
        <v>-85</v>
      </c>
      <c r="G33" s="240">
        <f>'EG-A10'!G62-'EG-A10'!G91</f>
        <v>-87</v>
      </c>
      <c r="H33" s="240">
        <f>'EG-A10'!H62-'EG-A10'!H91</f>
        <v>-82</v>
      </c>
      <c r="I33" s="240">
        <f>'EG-A10'!I62-'EG-A10'!I91</f>
        <v>-82</v>
      </c>
      <c r="J33" s="240">
        <f>'EG-A10'!J62-'EG-A10'!J91</f>
        <v>-81</v>
      </c>
      <c r="K33" s="241">
        <f>'EG-A10'!K62-'EG-A10'!K91</f>
        <v>-83</v>
      </c>
      <c r="L33" s="242">
        <f>'EG-A10'!L62-'EG-A10'!L91</f>
        <v>-85</v>
      </c>
      <c r="M33" s="240">
        <f>'EG-A10'!M62-'EG-A10'!M91</f>
        <v>-88</v>
      </c>
      <c r="N33" s="240">
        <f>'EG-A10'!N62-'EG-A10'!N91</f>
        <v>-92</v>
      </c>
      <c r="O33" s="240">
        <f>'EG-A10'!O62-'EG-A10'!O91</f>
        <v>-96</v>
      </c>
      <c r="P33" s="240">
        <f>'EG-A10'!P62-'EG-A10'!P91</f>
        <v>-101</v>
      </c>
      <c r="Q33" s="243">
        <f>'EG-A10'!Q62-'EG-A10'!Q91</f>
        <v>-106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-468</v>
      </c>
      <c r="E34" s="250">
        <f t="shared" si="4"/>
        <v>-583</v>
      </c>
      <c r="F34" s="250">
        <f t="shared" si="4"/>
        <v>-489</v>
      </c>
      <c r="G34" s="250">
        <f t="shared" si="4"/>
        <v>-526</v>
      </c>
      <c r="H34" s="250">
        <f t="shared" si="4"/>
        <v>-416</v>
      </c>
      <c r="I34" s="250">
        <f t="shared" si="4"/>
        <v>-387</v>
      </c>
      <c r="J34" s="250">
        <f t="shared" si="4"/>
        <v>-382</v>
      </c>
      <c r="K34" s="251">
        <f t="shared" si="4"/>
        <v>-399</v>
      </c>
      <c r="L34" s="252">
        <f t="shared" ref="L34:Q34" si="5">SUM(L31:L33)</f>
        <v>-418</v>
      </c>
      <c r="M34" s="250">
        <f t="shared" si="5"/>
        <v>-444</v>
      </c>
      <c r="N34" s="250">
        <f t="shared" si="5"/>
        <v>-473</v>
      </c>
      <c r="O34" s="250">
        <f t="shared" si="5"/>
        <v>-503</v>
      </c>
      <c r="P34" s="250">
        <f t="shared" si="5"/>
        <v>-535</v>
      </c>
      <c r="Q34" s="253">
        <f t="shared" si="5"/>
        <v>-567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-157.34873892633277</v>
      </c>
      <c r="E35" s="171">
        <f t="shared" ref="E35:Q35" si="6">SUM(E19+E20+E22+E24+E26+E27+E30+E34)</f>
        <v>-821.41203132748706</v>
      </c>
      <c r="F35" s="171">
        <f t="shared" si="6"/>
        <v>-183.03997700000059</v>
      </c>
      <c r="G35" s="171">
        <f t="shared" si="6"/>
        <v>-571.68219012600002</v>
      </c>
      <c r="H35" s="171">
        <f t="shared" si="6"/>
        <v>-702.72694868075064</v>
      </c>
      <c r="I35" s="171">
        <f t="shared" si="6"/>
        <v>-78.134390832447025</v>
      </c>
      <c r="J35" s="171">
        <f t="shared" si="6"/>
        <v>503.33000000000027</v>
      </c>
      <c r="K35" s="173">
        <f t="shared" si="6"/>
        <v>247.30357999999933</v>
      </c>
      <c r="L35" s="172">
        <f t="shared" si="6"/>
        <v>6.861925280000321</v>
      </c>
      <c r="M35" s="171">
        <f t="shared" si="6"/>
        <v>555.34601530863995</v>
      </c>
      <c r="N35" s="171">
        <f t="shared" si="6"/>
        <v>2059.4525441116039</v>
      </c>
      <c r="O35" s="171">
        <f t="shared" si="6"/>
        <v>2503.4985471693635</v>
      </c>
      <c r="P35" s="171">
        <f t="shared" si="6"/>
        <v>2828.5136820597318</v>
      </c>
      <c r="Q35" s="174">
        <f t="shared" si="6"/>
        <v>3077.4745919814386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9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7.2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7.2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IF('EG-A10'!D7=0,"    -",ROUND('EG-A10'!D36/'EG-A10'!D7*100,1))</f>
        <v>85.3</v>
      </c>
      <c r="E43" s="58">
        <f>IF('EG-A10'!E7=0,"    -",ROUND('EG-A10'!E36/'EG-A10'!E7*100,1))</f>
        <v>85.4</v>
      </c>
      <c r="F43" s="58">
        <f>IF('EG-A10'!F7=0,"    -",ROUND('EG-A10'!F36/'EG-A10'!F7*100,1))</f>
        <v>86.1</v>
      </c>
      <c r="G43" s="58">
        <f>IF('EG-A10'!G7=0,"    -",ROUND('EG-A10'!G36/'EG-A10'!G7*100,1))</f>
        <v>86.2</v>
      </c>
      <c r="H43" s="58">
        <f>IF('EG-A10'!H7=0,"    -",ROUND('EG-A10'!H36/'EG-A10'!H7*100,1))</f>
        <v>73.5</v>
      </c>
      <c r="I43" s="58">
        <f>IF('EG-A10'!I7=0,"    -",ROUND('EG-A10'!I36/'EG-A10'!I7*100,1))</f>
        <v>73.5</v>
      </c>
      <c r="J43" s="58">
        <f>IF('EG-A10'!J7=0,"    -",ROUND('EG-A10'!J36/'EG-A10'!J7*100,1))</f>
        <v>76.099999999999994</v>
      </c>
      <c r="K43" s="59">
        <f>IF('EG-A10'!K7=0,"    -",ROUND('EG-A10'!K36/'EG-A10'!K7*100,1))</f>
        <v>77.5</v>
      </c>
      <c r="L43" s="60">
        <f>IF('EG-A10'!L7=0,"    -",ROUND('EG-A10'!L36/'EG-A10'!L7*100,1))</f>
        <v>77.3</v>
      </c>
      <c r="M43" s="58">
        <f>IF('EG-A10'!M7=0,"    -",ROUND('EG-A10'!M36/'EG-A10'!M7*100,1))</f>
        <v>77.3</v>
      </c>
      <c r="N43" s="58">
        <f>IF('EG-A10'!N7=0,"    -",ROUND('EG-A10'!N36/'EG-A10'!N7*100,1))</f>
        <v>77.3</v>
      </c>
      <c r="O43" s="58">
        <f>IF('EG-A10'!O7=0,"    -",ROUND('EG-A10'!O36/'EG-A10'!O7*100,1))</f>
        <v>77.900000000000006</v>
      </c>
      <c r="P43" s="58">
        <f>IF('EG-A10'!P7=0,"    -",ROUND('EG-A10'!P36/'EG-A10'!P7*100,1))</f>
        <v>77.900000000000006</v>
      </c>
      <c r="Q43" s="61">
        <f>IF('EG-A10'!Q7=0,"    -",ROUND('EG-A10'!Q36/'EG-A10'!Q7*100,1))</f>
        <v>77.900000000000006</v>
      </c>
    </row>
    <row r="44" spans="2:17" ht="16.5" customHeight="1">
      <c r="B44" s="605" t="s">
        <v>434</v>
      </c>
      <c r="C44" s="606"/>
      <c r="D44" s="57">
        <f>IF('EG-A10'!D8=0,"    -",ROUND('EG-A10'!D37/'EG-A10'!D8*100,1))</f>
        <v>93</v>
      </c>
      <c r="E44" s="58">
        <f>IF('EG-A10'!E8=0,"    -",ROUND('EG-A10'!E37/'EG-A10'!E8*100,1))</f>
        <v>86.7</v>
      </c>
      <c r="F44" s="58">
        <f>IF('EG-A10'!F8=0,"    -",ROUND('EG-A10'!F37/'EG-A10'!F8*100,1))</f>
        <v>86.5</v>
      </c>
      <c r="G44" s="58">
        <f>IF('EG-A10'!G8=0,"    -",ROUND('EG-A10'!G37/'EG-A10'!G8*100,1))</f>
        <v>91.8</v>
      </c>
      <c r="H44" s="58">
        <f>IF('EG-A10'!H8=0,"    -",ROUND('EG-A10'!H37/'EG-A10'!H8*100,1))</f>
        <v>88.4</v>
      </c>
      <c r="I44" s="58">
        <f>IF('EG-A10'!I8=0,"    -",ROUND('EG-A10'!I37/'EG-A10'!I8*100,1))</f>
        <v>90.3</v>
      </c>
      <c r="J44" s="58">
        <f>IF('EG-A10'!J8=0,"    -",ROUND('EG-A10'!J37/'EG-A10'!J8*100,1))</f>
        <v>90.7</v>
      </c>
      <c r="K44" s="59">
        <f>IF('EG-A10'!K8=0,"    -",ROUND('EG-A10'!K37/'EG-A10'!K8*100,1))</f>
        <v>91</v>
      </c>
      <c r="L44" s="60">
        <f>IF('EG-A10'!L8=0,"    -",ROUND('EG-A10'!L37/'EG-A10'!L8*100,1))</f>
        <v>90.4</v>
      </c>
      <c r="M44" s="58">
        <f>IF('EG-A10'!M8=0,"    -",ROUND('EG-A10'!M37/'EG-A10'!M8*100,1))</f>
        <v>90.4</v>
      </c>
      <c r="N44" s="58">
        <f>IF('EG-A10'!N8=0,"    -",ROUND('EG-A10'!N37/'EG-A10'!N8*100,1))</f>
        <v>90.4</v>
      </c>
      <c r="O44" s="58">
        <f>IF('EG-A10'!O8=0,"    -",ROUND('EG-A10'!O37/'EG-A10'!O8*100,1))</f>
        <v>92.3</v>
      </c>
      <c r="P44" s="58">
        <f>IF('EG-A10'!P8=0,"    -",ROUND('EG-A10'!P37/'EG-A10'!P8*100,1))</f>
        <v>92.3</v>
      </c>
      <c r="Q44" s="61">
        <f>IF('EG-A10'!Q8=0,"    -",ROUND('EG-A10'!Q37/'EG-A10'!Q8*100,1))</f>
        <v>92.3</v>
      </c>
    </row>
    <row r="45" spans="2:17" ht="16.5" customHeight="1">
      <c r="B45" s="605" t="s">
        <v>435</v>
      </c>
      <c r="C45" s="606"/>
      <c r="D45" s="57">
        <f>IF('EG-A10'!D9=0,"    -",ROUND('EG-A10'!D38/'EG-A10'!D9*100,1))</f>
        <v>95</v>
      </c>
      <c r="E45" s="58">
        <f>IF('EG-A10'!E9=0,"    -",ROUND('EG-A10'!E38/'EG-A10'!E9*100,1))</f>
        <v>95</v>
      </c>
      <c r="F45" s="58">
        <f>IF('EG-A10'!F9=0,"    -",ROUND('EG-A10'!F38/'EG-A10'!F9*100,1))</f>
        <v>90.8</v>
      </c>
      <c r="G45" s="58">
        <f>IF('EG-A10'!G9=0,"    -",ROUND('EG-A10'!G38/'EG-A10'!G9*100,1))</f>
        <v>98</v>
      </c>
      <c r="H45" s="58">
        <f>IF('EG-A10'!H9=0,"    -",ROUND('EG-A10'!H38/'EG-A10'!H9*100,1))</f>
        <v>77.3</v>
      </c>
      <c r="I45" s="58">
        <f>IF('EG-A10'!I9=0,"    -",ROUND('EG-A10'!I38/'EG-A10'!I9*100,1))</f>
        <v>88.2</v>
      </c>
      <c r="J45" s="58">
        <f>IF('EG-A10'!J9=0,"    -",ROUND('EG-A10'!J38/'EG-A10'!J9*100,1))</f>
        <v>53.1</v>
      </c>
      <c r="K45" s="59">
        <f>IF('EG-A10'!K9=0,"    -",ROUND('EG-A10'!K38/'EG-A10'!K9*100,1))</f>
        <v>100</v>
      </c>
      <c r="L45" s="60">
        <f>IF('EG-A10'!L9=0,"    -",ROUND('EG-A10'!L38/'EG-A10'!L9*100,1))</f>
        <v>93.7</v>
      </c>
      <c r="M45" s="58">
        <f>IF('EG-A10'!M9=0,"    -",ROUND('EG-A10'!M38/'EG-A10'!M9*100,1))</f>
        <v>87.2</v>
      </c>
      <c r="N45" s="58">
        <f>IF('EG-A10'!N9=0,"    -",ROUND('EG-A10'!N38/'EG-A10'!N9*100,1))</f>
        <v>95</v>
      </c>
      <c r="O45" s="58">
        <f>IF('EG-A10'!O9=0,"    -",ROUND('EG-A10'!O38/'EG-A10'!O9*100,1))</f>
        <v>95</v>
      </c>
      <c r="P45" s="58">
        <f>IF('EG-A10'!P9=0,"    -",ROUND('EG-A10'!P38/'EG-A10'!P9*100,1))</f>
        <v>95</v>
      </c>
      <c r="Q45" s="61">
        <f>IF('EG-A10'!Q9=0,"    -",ROUND('EG-A10'!Q38/'EG-A10'!Q9*100,1))</f>
        <v>93.7</v>
      </c>
    </row>
    <row r="46" spans="2:17" ht="16.5" customHeight="1">
      <c r="B46" s="605" t="s">
        <v>436</v>
      </c>
      <c r="C46" s="606"/>
      <c r="D46" s="57">
        <f>IF('EG-A10'!D10=0,"    -",ROUND('EG-A10'!D39/'EG-A10'!D10*100,1))</f>
        <v>80.3</v>
      </c>
      <c r="E46" s="58">
        <f>IF('EG-A10'!E10=0,"    -",ROUND('EG-A10'!E39/'EG-A10'!E10*100,1))</f>
        <v>82.1</v>
      </c>
      <c r="F46" s="58">
        <f>IF('EG-A10'!F10=0,"    -",ROUND('EG-A10'!F39/'EG-A10'!F10*100,1))</f>
        <v>78.400000000000006</v>
      </c>
      <c r="G46" s="58">
        <f>IF('EG-A10'!G10=0,"    -",ROUND('EG-A10'!G39/'EG-A10'!G10*100,1))</f>
        <v>70.3</v>
      </c>
      <c r="H46" s="58">
        <f>IF('EG-A10'!H10=0,"    -",ROUND('EG-A10'!H39/'EG-A10'!H10*100,1))</f>
        <v>64.2</v>
      </c>
      <c r="I46" s="58">
        <f>IF('EG-A10'!I10=0,"    -",ROUND('EG-A10'!I39/'EG-A10'!I10*100,1))</f>
        <v>66.5</v>
      </c>
      <c r="J46" s="58">
        <f>IF('EG-A10'!J10=0,"    -",ROUND('EG-A10'!J39/'EG-A10'!J10*100,1))</f>
        <v>66.599999999999994</v>
      </c>
      <c r="K46" s="59">
        <f>IF('EG-A10'!K10=0,"    -",ROUND('EG-A10'!K39/'EG-A10'!K10*100,1))</f>
        <v>77.599999999999994</v>
      </c>
      <c r="L46" s="60">
        <f>IF('EG-A10'!L10=0,"    -",ROUND('EG-A10'!L39/'EG-A10'!L10*100,1))</f>
        <v>74.7</v>
      </c>
      <c r="M46" s="58">
        <f>IF('EG-A10'!M10=0,"    -",ROUND('EG-A10'!M39/'EG-A10'!M10*100,1))</f>
        <v>67.599999999999994</v>
      </c>
      <c r="N46" s="58">
        <f>IF('EG-A10'!N10=0,"    -",ROUND('EG-A10'!N39/'EG-A10'!N10*100,1))</f>
        <v>62.8</v>
      </c>
      <c r="O46" s="58">
        <f>IF('EG-A10'!O10=0,"    -",ROUND('EG-A10'!O39/'EG-A10'!O10*100,1))</f>
        <v>65.8</v>
      </c>
      <c r="P46" s="58">
        <f>IF('EG-A10'!P10=0,"    -",ROUND('EG-A10'!P39/'EG-A10'!P10*100,1))</f>
        <v>69.599999999999994</v>
      </c>
      <c r="Q46" s="61">
        <f>IF('EG-A10'!Q10=0,"    -",ROUND('EG-A10'!Q39/'EG-A10'!Q10*100,1))</f>
        <v>71.599999999999994</v>
      </c>
    </row>
    <row r="47" spans="2:17" ht="16.5" customHeight="1">
      <c r="B47" s="605" t="s">
        <v>437</v>
      </c>
      <c r="C47" s="606"/>
      <c r="D47" s="57">
        <f>IF('EG-A10'!D11=0,"    -",ROUND('EG-A10'!D40/'EG-A10'!D11*100,1))</f>
        <v>78.5</v>
      </c>
      <c r="E47" s="58">
        <f>IF('EG-A10'!E11=0,"    -",ROUND('EG-A10'!E40/'EG-A10'!E11*100,1))</f>
        <v>67.900000000000006</v>
      </c>
      <c r="F47" s="58">
        <f>IF('EG-A10'!F11=0,"    -",ROUND('EG-A10'!F40/'EG-A10'!F11*100,1))</f>
        <v>85</v>
      </c>
      <c r="G47" s="58">
        <f>IF('EG-A10'!G11=0,"    -",ROUND('EG-A10'!G40/'EG-A10'!G11*100,1))</f>
        <v>85</v>
      </c>
      <c r="H47" s="58">
        <f>IF('EG-A10'!H11=0,"    -",ROUND('EG-A10'!H40/'EG-A10'!H11*100,1))</f>
        <v>85</v>
      </c>
      <c r="I47" s="58">
        <f>IF('EG-A10'!I11=0,"    -",ROUND('EG-A10'!I40/'EG-A10'!I11*100,1))</f>
        <v>87.2</v>
      </c>
      <c r="J47" s="58">
        <f>IF('EG-A10'!J11=0,"    -",ROUND('EG-A10'!J40/'EG-A10'!J11*100,1))</f>
        <v>88.7</v>
      </c>
      <c r="K47" s="59">
        <f>IF('EG-A10'!K11=0,"    -",ROUND('EG-A10'!K40/'EG-A10'!K11*100,1))</f>
        <v>93.6</v>
      </c>
      <c r="L47" s="60">
        <f>IF('EG-A10'!L11=0,"    -",ROUND('EG-A10'!L40/'EG-A10'!L11*100,1))</f>
        <v>97.6</v>
      </c>
      <c r="M47" s="58">
        <f>IF('EG-A10'!M11=0,"    -",ROUND('EG-A10'!M40/'EG-A10'!M11*100,1))</f>
        <v>97.6</v>
      </c>
      <c r="N47" s="58">
        <f>IF('EG-A10'!N11=0,"    -",ROUND('EG-A10'!N40/'EG-A10'!N11*100,1))</f>
        <v>97.6</v>
      </c>
      <c r="O47" s="58">
        <f>IF('EG-A10'!O11=0,"    -",ROUND('EG-A10'!O40/'EG-A10'!O11*100,1))</f>
        <v>97.6</v>
      </c>
      <c r="P47" s="58">
        <f>IF('EG-A10'!P11=0,"    -",ROUND('EG-A10'!P40/'EG-A10'!P11*100,1))</f>
        <v>97.6</v>
      </c>
      <c r="Q47" s="61">
        <f>IF('EG-A10'!Q11=0,"    -",ROUND('EG-A10'!Q40/'EG-A10'!Q11*100,1))</f>
        <v>97.6</v>
      </c>
    </row>
    <row r="48" spans="2:17" ht="16.5" customHeight="1">
      <c r="B48" s="605" t="s">
        <v>438</v>
      </c>
      <c r="C48" s="606"/>
      <c r="D48" s="57">
        <f>IF('EG-A10'!D12=0,"    -",ROUND('EG-A10'!D41/'EG-A10'!D12*100,1))</f>
        <v>47.7</v>
      </c>
      <c r="E48" s="58">
        <f>IF('EG-A10'!E12=0,"    -",ROUND('EG-A10'!E41/'EG-A10'!E12*100,1))</f>
        <v>62.3</v>
      </c>
      <c r="F48" s="58">
        <f>IF('EG-A10'!F12=0,"    -",ROUND('EG-A10'!F41/'EG-A10'!F12*100,1))</f>
        <v>90</v>
      </c>
      <c r="G48" s="58">
        <f>IF('EG-A10'!G12=0,"    -",ROUND('EG-A10'!G41/'EG-A10'!G12*100,1))</f>
        <v>90</v>
      </c>
      <c r="H48" s="58">
        <f>IF('EG-A10'!H12=0,"    -",ROUND('EG-A10'!H41/'EG-A10'!H12*100,1))</f>
        <v>50</v>
      </c>
      <c r="I48" s="58">
        <f>IF('EG-A10'!I12=0,"    -",ROUND('EG-A10'!I41/'EG-A10'!I12*100,1))</f>
        <v>90</v>
      </c>
      <c r="J48" s="58">
        <f>IF('EG-A10'!J12=0,"    -",ROUND('EG-A10'!J41/'EG-A10'!J12*100,1))</f>
        <v>90</v>
      </c>
      <c r="K48" s="59">
        <f>IF('EG-A10'!K12=0,"    -",ROUND('EG-A10'!K41/'EG-A10'!K12*100,1))</f>
        <v>90</v>
      </c>
      <c r="L48" s="60">
        <f>IF('EG-A10'!L12=0,"    -",ROUND('EG-A10'!L41/'EG-A10'!L12*100,1))</f>
        <v>90</v>
      </c>
      <c r="M48" s="58">
        <f>IF('EG-A10'!M12=0,"    -",ROUND('EG-A10'!M41/'EG-A10'!M12*100,1))</f>
        <v>90</v>
      </c>
      <c r="N48" s="58">
        <f>IF('EG-A10'!N12=0,"    -",ROUND('EG-A10'!N41/'EG-A10'!N12*100,1))</f>
        <v>90</v>
      </c>
      <c r="O48" s="58">
        <f>IF('EG-A10'!O12=0,"    -",ROUND('EG-A10'!O41/'EG-A10'!O12*100,1))</f>
        <v>181.8</v>
      </c>
      <c r="P48" s="58">
        <f>IF('EG-A10'!P12=0,"    -",ROUND('EG-A10'!P41/'EG-A10'!P12*100,1))</f>
        <v>181.8</v>
      </c>
      <c r="Q48" s="61">
        <f>IF('EG-A10'!Q12=0,"    -",ROUND('EG-A10'!Q41/'EG-A10'!Q12*100,1))</f>
        <v>70.2</v>
      </c>
    </row>
    <row r="49" spans="2:17" ht="16.5" customHeight="1">
      <c r="B49" s="605" t="s">
        <v>439</v>
      </c>
      <c r="C49" s="606"/>
      <c r="D49" s="57">
        <f>IF('EG-A10'!D13=0,"    -",ROUND('EG-A10'!D42/'EG-A10'!D13*100,1))</f>
        <v>50.3</v>
      </c>
      <c r="E49" s="58">
        <f>IF('EG-A10'!E13=0,"    -",ROUND('EG-A10'!E42/'EG-A10'!E13*100,1))</f>
        <v>59.2</v>
      </c>
      <c r="F49" s="58">
        <f>IF('EG-A10'!F13=0,"    -",ROUND('EG-A10'!F42/'EG-A10'!F13*100,1))</f>
        <v>61.9</v>
      </c>
      <c r="G49" s="58">
        <f>IF('EG-A10'!G13=0,"    -",ROUND('EG-A10'!G42/'EG-A10'!G13*100,1))</f>
        <v>62.3</v>
      </c>
      <c r="H49" s="58">
        <f>IF('EG-A10'!H13=0,"    -",ROUND('EG-A10'!H42/'EG-A10'!H13*100,1))</f>
        <v>70.2</v>
      </c>
      <c r="I49" s="58">
        <f>IF('EG-A10'!I13=0,"    -",ROUND('EG-A10'!I42/'EG-A10'!I13*100,1))</f>
        <v>100</v>
      </c>
      <c r="J49" s="58">
        <f>IF('EG-A10'!J13=0,"    -",ROUND('EG-A10'!J42/'EG-A10'!J13*100,1))</f>
        <v>46</v>
      </c>
      <c r="K49" s="59">
        <f>IF('EG-A10'!K13=0,"    -",ROUND('EG-A10'!K42/'EG-A10'!K13*100,1))</f>
        <v>51.6</v>
      </c>
      <c r="L49" s="60">
        <f>IF('EG-A10'!L13=0,"    -",ROUND('EG-A10'!L42/'EG-A10'!L13*100,1))</f>
        <v>71.400000000000006</v>
      </c>
      <c r="M49" s="58">
        <f>IF('EG-A10'!M13=0,"    -",ROUND('EG-A10'!M42/'EG-A10'!M13*100,1))</f>
        <v>79.400000000000006</v>
      </c>
      <c r="N49" s="58">
        <f>IF('EG-A10'!N13=0,"    -",ROUND('EG-A10'!N42/'EG-A10'!N13*100,1))</f>
        <v>87.3</v>
      </c>
      <c r="O49" s="58">
        <f>IF('EG-A10'!O13=0,"    -",ROUND('EG-A10'!O42/'EG-A10'!O13*100,1))</f>
        <v>87.3</v>
      </c>
      <c r="P49" s="58">
        <f>IF('EG-A10'!P13=0,"    -",ROUND('EG-A10'!P42/'EG-A10'!P13*100,1))</f>
        <v>91.3</v>
      </c>
      <c r="Q49" s="61">
        <f>IF('EG-A10'!Q13=0,"    -",ROUND('EG-A10'!Q42/'EG-A10'!Q13*100,1))</f>
        <v>91.3</v>
      </c>
    </row>
    <row r="50" spans="2:17" ht="18" hidden="1" customHeight="1">
      <c r="B50" s="16"/>
      <c r="C50" s="90" t="s">
        <v>306</v>
      </c>
      <c r="D50" s="57" t="str">
        <f>IF('EG-A10'!D14=0,"    -",ROUND('EG-A10'!D43/'EG-A10'!D14*100,1))</f>
        <v xml:space="preserve">    -</v>
      </c>
      <c r="E50" s="58" t="str">
        <f>IF('EG-A10'!E14=0,"    -",ROUND('EG-A10'!E43/'EG-A10'!E14*100,1))</f>
        <v xml:space="preserve">    -</v>
      </c>
      <c r="F50" s="58" t="str">
        <f>IF('EG-A10'!F14=0,"    -",ROUND('EG-A10'!F43/'EG-A10'!F14*100,1))</f>
        <v xml:space="preserve">    -</v>
      </c>
      <c r="G50" s="58" t="str">
        <f>IF('EG-A10'!G14=0,"    -",ROUND('EG-A10'!G43/'EG-A10'!G14*100,1))</f>
        <v xml:space="preserve">    -</v>
      </c>
      <c r="H50" s="58" t="str">
        <f>IF('EG-A10'!H14=0,"    -",ROUND('EG-A10'!H43/'EG-A10'!H14*100,1))</f>
        <v xml:space="preserve">    -</v>
      </c>
      <c r="I50" s="58" t="str">
        <f>IF('EG-A10'!I14=0,"    -",ROUND('EG-A10'!I43/'EG-A10'!I14*100,1))</f>
        <v xml:space="preserve">    -</v>
      </c>
      <c r="J50" s="58" t="str">
        <f>IF('EG-A10'!J14=0,"    -",ROUND('EG-A10'!J43/'EG-A10'!J14*100,1))</f>
        <v xml:space="preserve">    -</v>
      </c>
      <c r="K50" s="59" t="str">
        <f>IF('EG-A10'!K14=0,"    -",ROUND('EG-A10'!K43/'EG-A10'!K14*100,1))</f>
        <v xml:space="preserve">    -</v>
      </c>
      <c r="L50" s="60" t="str">
        <f>IF('EG-A10'!L14=0,"    -",ROUND('EG-A10'!L43/'EG-A10'!L14*100,1))</f>
        <v xml:space="preserve">    -</v>
      </c>
      <c r="M50" s="58" t="str">
        <f>IF('EG-A10'!M14=0,"    -",ROUND('EG-A10'!M43/'EG-A10'!M14*100,1))</f>
        <v xml:space="preserve">    -</v>
      </c>
      <c r="N50" s="58" t="str">
        <f>IF('EG-A10'!N14=0,"    -",ROUND('EG-A10'!N43/'EG-A10'!N14*100,1))</f>
        <v xml:space="preserve">    -</v>
      </c>
      <c r="O50" s="58" t="str">
        <f>IF('EG-A10'!O14=0,"    -",ROUND('EG-A10'!O43/'EG-A10'!O14*100,1))</f>
        <v xml:space="preserve">    -</v>
      </c>
      <c r="P50" s="58" t="str">
        <f>IF('EG-A10'!P14=0,"    -",ROUND('EG-A10'!P43/'EG-A10'!P14*100,1))</f>
        <v xml:space="preserve">    -</v>
      </c>
      <c r="Q50" s="61" t="str">
        <f>IF('EG-A10'!Q14=0,"    -",ROUND('EG-A10'!Q43/'EG-A10'!Q14*100,1))</f>
        <v xml:space="preserve">    -</v>
      </c>
    </row>
    <row r="51" spans="2:17" ht="16.5" customHeight="1">
      <c r="B51" s="605" t="s">
        <v>440</v>
      </c>
      <c r="C51" s="606"/>
      <c r="D51" s="57" t="str">
        <f>IF('EG-A10'!D15=0,"    -",ROUND('EG-A10'!D44/'EG-A10'!D15*100,1))</f>
        <v xml:space="preserve">    -</v>
      </c>
      <c r="E51" s="58" t="str">
        <f>IF('EG-A10'!E15=0,"    -",ROUND('EG-A10'!E44/'EG-A10'!E15*100,1))</f>
        <v xml:space="preserve">    -</v>
      </c>
      <c r="F51" s="58" t="str">
        <f>IF('EG-A10'!F15=0,"    -",ROUND('EG-A10'!F44/'EG-A10'!F15*100,1))</f>
        <v xml:space="preserve">    -</v>
      </c>
      <c r="G51" s="58" t="str">
        <f>IF('EG-A10'!G15=0,"    -",ROUND('EG-A10'!G44/'EG-A10'!G15*100,1))</f>
        <v xml:space="preserve">    -</v>
      </c>
      <c r="H51" s="58" t="str">
        <f>IF('EG-A10'!H15=0,"    -",ROUND('EG-A10'!H44/'EG-A10'!H15*100,1))</f>
        <v xml:space="preserve">    -</v>
      </c>
      <c r="I51" s="58" t="str">
        <f>IF('EG-A10'!I15=0,"    -",ROUND('EG-A10'!I44/'EG-A10'!I15*100,1))</f>
        <v xml:space="preserve">    -</v>
      </c>
      <c r="J51" s="58" t="str">
        <f>IF('EG-A10'!J15=0,"    -",ROUND('EG-A10'!J44/'EG-A10'!J15*100,1))</f>
        <v xml:space="preserve">    -</v>
      </c>
      <c r="K51" s="59" t="str">
        <f>IF('EG-A10'!K15=0,"    -",ROUND('EG-A10'!K44/'EG-A10'!K15*100,1))</f>
        <v xml:space="preserve">    -</v>
      </c>
      <c r="L51" s="60" t="str">
        <f>IF('EG-A10'!L15=0,"    -",ROUND('EG-A10'!L44/'EG-A10'!L15*100,1))</f>
        <v xml:space="preserve">    -</v>
      </c>
      <c r="M51" s="58" t="str">
        <f>IF('EG-A10'!M15=0,"    -",ROUND('EG-A10'!M44/'EG-A10'!M15*100,1))</f>
        <v xml:space="preserve">    -</v>
      </c>
      <c r="N51" s="58" t="str">
        <f>IF('EG-A10'!N15=0,"    -",ROUND('EG-A10'!N44/'EG-A10'!N15*100,1))</f>
        <v xml:space="preserve">    -</v>
      </c>
      <c r="O51" s="58" t="str">
        <f>IF('EG-A10'!O15=0,"    -",ROUND('EG-A10'!O44/'EG-A10'!O15*100,1))</f>
        <v xml:space="preserve">    -</v>
      </c>
      <c r="P51" s="58" t="str">
        <f>IF('EG-A10'!P15=0,"    -",ROUND('EG-A10'!P44/'EG-A10'!P15*100,1))</f>
        <v xml:space="preserve">    -</v>
      </c>
      <c r="Q51" s="61" t="str">
        <f>IF('EG-A10'!Q15=0,"    -",ROUND('EG-A10'!Q44/'EG-A10'!Q15*100,1))</f>
        <v xml:space="preserve">    -</v>
      </c>
    </row>
    <row r="52" spans="2:17" ht="16.5" customHeight="1">
      <c r="B52" s="605" t="s">
        <v>441</v>
      </c>
      <c r="C52" s="606"/>
      <c r="D52" s="57">
        <f>IF('EG-A10'!D16=0,"    -",ROUND('EG-A10'!D45/'EG-A10'!D16*100,1))</f>
        <v>92.3</v>
      </c>
      <c r="E52" s="58">
        <f>IF('EG-A10'!E16=0,"    -",ROUND('EG-A10'!E45/'EG-A10'!E16*100,1))</f>
        <v>95.9</v>
      </c>
      <c r="F52" s="58">
        <f>IF('EG-A10'!F16=0,"    -",ROUND('EG-A10'!F45/'EG-A10'!F16*100,1))</f>
        <v>95.9</v>
      </c>
      <c r="G52" s="58">
        <f>IF('EG-A10'!G16=0,"    -",ROUND('EG-A10'!G45/'EG-A10'!G16*100,1))</f>
        <v>95.9</v>
      </c>
      <c r="H52" s="58">
        <f>IF('EG-A10'!H16=0,"    -",ROUND('EG-A10'!H45/'EG-A10'!H16*100,1))</f>
        <v>95.9</v>
      </c>
      <c r="I52" s="58">
        <f>IF('EG-A10'!I16=0,"    -",ROUND('EG-A10'!I45/'EG-A10'!I16*100,1))</f>
        <v>95.9</v>
      </c>
      <c r="J52" s="58">
        <f>IF('EG-A10'!J16=0,"    -",ROUND('EG-A10'!J45/'EG-A10'!J16*100,1))</f>
        <v>95.9</v>
      </c>
      <c r="K52" s="59">
        <f>IF('EG-A10'!K16=0,"    -",ROUND('EG-A10'!K45/'EG-A10'!K16*100,1))</f>
        <v>95.9</v>
      </c>
      <c r="L52" s="60">
        <f>IF('EG-A10'!L16=0,"    -",ROUND('EG-A10'!L45/'EG-A10'!L16*100,1))</f>
        <v>95.9</v>
      </c>
      <c r="M52" s="58">
        <f>IF('EG-A10'!M16=0,"    -",ROUND('EG-A10'!M45/'EG-A10'!M16*100,1))</f>
        <v>95.9</v>
      </c>
      <c r="N52" s="58">
        <f>IF('EG-A10'!N16=0,"    -",ROUND('EG-A10'!N45/'EG-A10'!N16*100,1))</f>
        <v>79.5</v>
      </c>
      <c r="O52" s="58">
        <f>IF('EG-A10'!O16=0,"    -",ROUND('EG-A10'!O45/'EG-A10'!O16*100,1))</f>
        <v>86.1</v>
      </c>
      <c r="P52" s="58">
        <f>IF('EG-A10'!P16=0,"    -",ROUND('EG-A10'!P45/'EG-A10'!P16*100,1))</f>
        <v>90.1</v>
      </c>
      <c r="Q52" s="61">
        <f>IF('EG-A10'!Q16=0,"    -",ROUND('EG-A10'!Q45/'EG-A10'!Q16*100,1))</f>
        <v>95.7</v>
      </c>
    </row>
    <row r="53" spans="2:17" ht="16.5" customHeight="1">
      <c r="B53" s="605" t="s">
        <v>442</v>
      </c>
      <c r="C53" s="606"/>
      <c r="D53" s="57" t="str">
        <f>IF('EG-A10'!D17=0,"    -",ROUND('EG-A10'!D46/'EG-A10'!D17*100,1))</f>
        <v xml:space="preserve">    -</v>
      </c>
      <c r="E53" s="58" t="str">
        <f>IF('EG-A10'!E17=0,"    -",ROUND('EG-A10'!E46/'EG-A10'!E17*100,1))</f>
        <v xml:space="preserve">    -</v>
      </c>
      <c r="F53" s="58" t="str">
        <f>IF('EG-A10'!F17=0,"    -",ROUND('EG-A10'!F46/'EG-A10'!F17*100,1))</f>
        <v xml:space="preserve">    -</v>
      </c>
      <c r="G53" s="58" t="str">
        <f>IF('EG-A10'!G17=0,"    -",ROUND('EG-A10'!G46/'EG-A10'!G17*100,1))</f>
        <v xml:space="preserve">    -</v>
      </c>
      <c r="H53" s="58" t="str">
        <f>IF('EG-A10'!H17=0,"    -",ROUND('EG-A10'!H46/'EG-A10'!H17*100,1))</f>
        <v xml:space="preserve">    -</v>
      </c>
      <c r="I53" s="58" t="str">
        <f>IF('EG-A10'!I17=0,"    -",ROUND('EG-A10'!I46/'EG-A10'!I17*100,1))</f>
        <v xml:space="preserve">    -</v>
      </c>
      <c r="J53" s="58" t="str">
        <f>IF('EG-A10'!J17=0,"    -",ROUND('EG-A10'!J46/'EG-A10'!J17*100,1))</f>
        <v xml:space="preserve">    -</v>
      </c>
      <c r="K53" s="59" t="str">
        <f>IF('EG-A10'!K17=0,"    -",ROUND('EG-A10'!K46/'EG-A10'!K17*100,1))</f>
        <v xml:space="preserve">    -</v>
      </c>
      <c r="L53" s="60" t="str">
        <f>IF('EG-A10'!L17=0,"    -",ROUND('EG-A10'!L46/'EG-A10'!L17*100,1))</f>
        <v xml:space="preserve">    -</v>
      </c>
      <c r="M53" s="58" t="str">
        <f>IF('EG-A10'!M17=0,"    -",ROUND('EG-A10'!M46/'EG-A10'!M17*100,1))</f>
        <v xml:space="preserve">    -</v>
      </c>
      <c r="N53" s="58" t="str">
        <f>IF('EG-A10'!N17=0,"    -",ROUND('EG-A10'!N46/'EG-A10'!N17*100,1))</f>
        <v xml:space="preserve">    -</v>
      </c>
      <c r="O53" s="58" t="str">
        <f>IF('EG-A10'!O17=0,"    -",ROUND('EG-A10'!O46/'EG-A10'!O17*100,1))</f>
        <v xml:space="preserve">    -</v>
      </c>
      <c r="P53" s="58" t="str">
        <f>IF('EG-A10'!P17=0,"    -",ROUND('EG-A10'!P46/'EG-A10'!P17*100,1))</f>
        <v xml:space="preserve">    -</v>
      </c>
      <c r="Q53" s="61" t="str">
        <f>IF('EG-A10'!Q17=0,"    -",ROUND('EG-A10'!Q46/'EG-A10'!Q17*100,1))</f>
        <v xml:space="preserve">    -</v>
      </c>
    </row>
    <row r="54" spans="2:17" ht="16.5" customHeight="1">
      <c r="B54" s="607" t="s">
        <v>443</v>
      </c>
      <c r="C54" s="608"/>
      <c r="D54" s="57">
        <f>IF('EG-A10'!D18=0,"    -",ROUND('EG-A10'!D47/'EG-A10'!D18*100,1))</f>
        <v>68.099999999999994</v>
      </c>
      <c r="E54" s="58">
        <f>IF('EG-A10'!E18=0,"    -",ROUND('EG-A10'!E47/'EG-A10'!E18*100,1))</f>
        <v>66.400000000000006</v>
      </c>
      <c r="F54" s="58">
        <f>IF('EG-A10'!F18=0,"    -",ROUND('EG-A10'!F47/'EG-A10'!F18*100,1))</f>
        <v>73</v>
      </c>
      <c r="G54" s="58">
        <f>IF('EG-A10'!G18=0,"    -",ROUND('EG-A10'!G47/'EG-A10'!G18*100,1))</f>
        <v>82.3</v>
      </c>
      <c r="H54" s="58">
        <f>IF('EG-A10'!H18=0,"    -",ROUND('EG-A10'!H47/'EG-A10'!H18*100,1))</f>
        <v>75</v>
      </c>
      <c r="I54" s="58">
        <f>IF('EG-A10'!I18=0,"    -",ROUND('EG-A10'!I47/'EG-A10'!I18*100,1))</f>
        <v>88.9</v>
      </c>
      <c r="J54" s="58">
        <f>IF('EG-A10'!J18=0,"    -",ROUND('EG-A10'!J47/'EG-A10'!J18*100,1))</f>
        <v>77.3</v>
      </c>
      <c r="K54" s="59">
        <f>IF('EG-A10'!K18=0,"    -",ROUND('EG-A10'!K47/'EG-A10'!K18*100,1))</f>
        <v>84.9</v>
      </c>
      <c r="L54" s="60">
        <f>IF('EG-A10'!L18=0,"    -",ROUND('EG-A10'!L47/'EG-A10'!L18*100,1))</f>
        <v>76.2</v>
      </c>
      <c r="M54" s="58">
        <f>IF('EG-A10'!M18=0,"    -",ROUND('EG-A10'!M47/'EG-A10'!M18*100,1))</f>
        <v>80.8</v>
      </c>
      <c r="N54" s="58">
        <f>IF('EG-A10'!N18=0,"    -",ROUND('EG-A10'!N47/'EG-A10'!N18*100,1))</f>
        <v>74.099999999999994</v>
      </c>
      <c r="O54" s="58">
        <f>IF('EG-A10'!O18=0,"    -",ROUND('EG-A10'!O47/'EG-A10'!O18*100,1))</f>
        <v>80.5</v>
      </c>
      <c r="P54" s="58">
        <f>IF('EG-A10'!P18=0,"    -",ROUND('EG-A10'!P47/'EG-A10'!P18*100,1))</f>
        <v>73.8</v>
      </c>
      <c r="Q54" s="61">
        <f>IF('EG-A10'!Q18=0,"    -",ROUND('EG-A10'!Q47/'EG-A10'!Q18*100,1))</f>
        <v>80.099999999999994</v>
      </c>
    </row>
    <row r="55" spans="2:17" ht="17.25" customHeight="1">
      <c r="B55" s="674" t="s">
        <v>307</v>
      </c>
      <c r="C55" s="675"/>
      <c r="D55" s="74">
        <f>IF('EG-A10'!D19=0,"    -",ROUND('EG-A10'!D48/'EG-A10'!D19*100,1))</f>
        <v>78.900000000000006</v>
      </c>
      <c r="E55" s="75">
        <f>IF('EG-A10'!E19=0,"    -",ROUND('EG-A10'!E48/'EG-A10'!E19*100,1))</f>
        <v>79.400000000000006</v>
      </c>
      <c r="F55" s="75">
        <f>IF('EG-A10'!F19=0,"    -",ROUND('EG-A10'!F48/'EG-A10'!F19*100,1))</f>
        <v>80.099999999999994</v>
      </c>
      <c r="G55" s="75">
        <f>IF('EG-A10'!G19=0,"    -",ROUND('EG-A10'!G48/'EG-A10'!G19*100,1))</f>
        <v>78.900000000000006</v>
      </c>
      <c r="H55" s="75">
        <f>IF('EG-A10'!H19=0,"    -",ROUND('EG-A10'!H48/'EG-A10'!H19*100,1))</f>
        <v>73.2</v>
      </c>
      <c r="I55" s="75">
        <f>IF('EG-A10'!I19=0,"    -",ROUND('EG-A10'!I48/'EG-A10'!I19*100,1))</f>
        <v>79.099999999999994</v>
      </c>
      <c r="J55" s="75">
        <f>IF('EG-A10'!J19=0,"    -",ROUND('EG-A10'!J48/'EG-A10'!J19*100,1))</f>
        <v>69.400000000000006</v>
      </c>
      <c r="K55" s="76">
        <f>IF('EG-A10'!K19=0,"    -",ROUND('EG-A10'!K48/'EG-A10'!K19*100,1))</f>
        <v>78.3</v>
      </c>
      <c r="L55" s="77">
        <f>IF('EG-A10'!L19=0,"    -",ROUND('EG-A10'!L48/'EG-A10'!L19*100,1))</f>
        <v>78.400000000000006</v>
      </c>
      <c r="M55" s="75">
        <f>IF('EG-A10'!M19=0,"    -",ROUND('EG-A10'!M48/'EG-A10'!M19*100,1))</f>
        <v>74.5</v>
      </c>
      <c r="N55" s="75">
        <f>IF('EG-A10'!N19=0,"    -",ROUND('EG-A10'!N48/'EG-A10'!N19*100,1))</f>
        <v>71.7</v>
      </c>
      <c r="O55" s="75">
        <f>IF('EG-A10'!O19=0,"    -",ROUND('EG-A10'!O48/'EG-A10'!O19*100,1))</f>
        <v>74.599999999999994</v>
      </c>
      <c r="P55" s="75">
        <f>IF('EG-A10'!P19=0,"    -",ROUND('EG-A10'!P48/'EG-A10'!P19*100,1))</f>
        <v>77.099999999999994</v>
      </c>
      <c r="Q55" s="78">
        <f>IF('EG-A10'!Q19=0,"    -",ROUND('EG-A10'!Q48/'EG-A10'!Q19*100,1))</f>
        <v>77.5</v>
      </c>
    </row>
    <row r="56" spans="2:17" ht="17.25" customHeight="1">
      <c r="B56" s="672" t="s">
        <v>308</v>
      </c>
      <c r="C56" s="673"/>
      <c r="D56" s="135">
        <f>IF('EG-A10'!D20=0,"    -",ROUND('EG-A10'!D49/'EG-A10'!D20*100,1))</f>
        <v>45.6</v>
      </c>
      <c r="E56" s="136">
        <f>IF('EG-A10'!E20=0,"    -",ROUND('EG-A10'!E49/'EG-A10'!E20*100,1))</f>
        <v>14.8</v>
      </c>
      <c r="F56" s="136">
        <f>IF('EG-A10'!F20=0,"    -",ROUND('EG-A10'!F49/'EG-A10'!F20*100,1))</f>
        <v>0</v>
      </c>
      <c r="G56" s="136">
        <f>IF('EG-A10'!G20=0,"    -",ROUND('EG-A10'!G49/'EG-A10'!G20*100,1))</f>
        <v>83.3</v>
      </c>
      <c r="H56" s="136">
        <f>IF('EG-A10'!H20=0,"    -",ROUND('EG-A10'!H49/'EG-A10'!H20*100,1))</f>
        <v>100</v>
      </c>
      <c r="I56" s="136">
        <f>IF('EG-A10'!I20=0,"    -",ROUND('EG-A10'!I49/'EG-A10'!I20*100,1))</f>
        <v>100</v>
      </c>
      <c r="J56" s="136">
        <f>IF('EG-A10'!J20=0,"    -",ROUND('EG-A10'!J49/'EG-A10'!J20*100,1))</f>
        <v>100</v>
      </c>
      <c r="K56" s="137">
        <f>IF('EG-A10'!K20=0,"    -",ROUND('EG-A10'!K49/'EG-A10'!K20*100,1))</f>
        <v>100</v>
      </c>
      <c r="L56" s="135">
        <f>IF('EG-A10'!L20=0,"    -",ROUND('EG-A10'!L49/'EG-A10'!L20*100,1))</f>
        <v>100</v>
      </c>
      <c r="M56" s="136">
        <f>IF('EG-A10'!M20=0,"    -",ROUND('EG-A10'!M49/'EG-A10'!M20*100,1))</f>
        <v>100</v>
      </c>
      <c r="N56" s="136">
        <f>IF('EG-A10'!N20=0,"    -",ROUND('EG-A10'!N49/'EG-A10'!N20*100,1))</f>
        <v>100</v>
      </c>
      <c r="O56" s="136">
        <f>IF('EG-A10'!O20=0,"    -",ROUND('EG-A10'!O49/'EG-A10'!O20*100,1))</f>
        <v>100</v>
      </c>
      <c r="P56" s="136">
        <f>IF('EG-A10'!P20=0,"    -",ROUND('EG-A10'!P49/'EG-A10'!P20*100,1))</f>
        <v>100</v>
      </c>
      <c r="Q56" s="137">
        <f>IF('EG-A10'!Q20=0,"    -",ROUND('EG-A10'!Q49/'EG-A10'!Q20*100,1))</f>
        <v>100</v>
      </c>
    </row>
    <row r="57" spans="2:17" ht="16.5" customHeight="1">
      <c r="B57" s="105"/>
      <c r="C57" s="97" t="s">
        <v>309</v>
      </c>
      <c r="D57" s="135">
        <f>IF('EG-A10'!D21=0,"    -",ROUND('EG-A10'!D50/'EG-A10'!D21*100,1))</f>
        <v>45.6</v>
      </c>
      <c r="E57" s="136">
        <f>IF('EG-A10'!E21=0,"    -",ROUND('EG-A10'!E50/'EG-A10'!E21*100,1))</f>
        <v>14.8</v>
      </c>
      <c r="F57" s="136">
        <f>IF('EG-A10'!F21=0,"    -",ROUND('EG-A10'!F50/'EG-A10'!F21*100,1))</f>
        <v>0</v>
      </c>
      <c r="G57" s="136">
        <f>IF('EG-A10'!G21=0,"    -",ROUND('EG-A10'!G50/'EG-A10'!G21*100,1))</f>
        <v>83.3</v>
      </c>
      <c r="H57" s="136">
        <f>IF('EG-A10'!H21=0,"    -",ROUND('EG-A10'!H50/'EG-A10'!H21*100,1))</f>
        <v>100</v>
      </c>
      <c r="I57" s="136">
        <f>IF('EG-A10'!I21=0,"    -",ROUND('EG-A10'!I50/'EG-A10'!I21*100,1))</f>
        <v>100</v>
      </c>
      <c r="J57" s="136">
        <f>IF('EG-A10'!J21=0,"    -",ROUND('EG-A10'!J50/'EG-A10'!J21*100,1))</f>
        <v>100</v>
      </c>
      <c r="K57" s="137">
        <f>IF('EG-A10'!K21=0,"    -",ROUND('EG-A10'!K50/'EG-A10'!K21*100,1))</f>
        <v>100</v>
      </c>
      <c r="L57" s="135">
        <f>IF('EG-A10'!L21=0,"    -",ROUND('EG-A10'!L50/'EG-A10'!L21*100,1))</f>
        <v>100</v>
      </c>
      <c r="M57" s="136">
        <f>IF('EG-A10'!M21=0,"    -",ROUND('EG-A10'!M50/'EG-A10'!M21*100,1))</f>
        <v>100</v>
      </c>
      <c r="N57" s="136">
        <f>IF('EG-A10'!N21=0,"    -",ROUND('EG-A10'!N50/'EG-A10'!N21*100,1))</f>
        <v>100</v>
      </c>
      <c r="O57" s="136">
        <f>IF('EG-A10'!O21=0,"    -",ROUND('EG-A10'!O50/'EG-A10'!O21*100,1))</f>
        <v>100</v>
      </c>
      <c r="P57" s="136">
        <f>IF('EG-A10'!P21=0,"    -",ROUND('EG-A10'!P50/'EG-A10'!P21*100,1))</f>
        <v>100</v>
      </c>
      <c r="Q57" s="137">
        <f>IF('EG-A10'!Q21=0,"    -",ROUND('EG-A10'!Q50/'EG-A10'!Q21*100,1))</f>
        <v>100</v>
      </c>
    </row>
    <row r="58" spans="2:17" ht="17.25" customHeight="1">
      <c r="B58" s="672" t="s">
        <v>310</v>
      </c>
      <c r="C58" s="673"/>
      <c r="D58" s="57">
        <f>IF('EG-A10'!D22=0,"    -",ROUND('EG-A10'!D51/'EG-A10'!D22*100,1))</f>
        <v>71.2</v>
      </c>
      <c r="E58" s="58">
        <f>IF('EG-A10'!E22=0,"    -",ROUND('EG-A10'!E51/'EG-A10'!E22*100,1))</f>
        <v>70.900000000000006</v>
      </c>
      <c r="F58" s="58">
        <f>IF('EG-A10'!F22=0,"    -",ROUND('EG-A10'!F51/'EG-A10'!F22*100,1))</f>
        <v>71.7</v>
      </c>
      <c r="G58" s="58">
        <f>IF('EG-A10'!G22=0,"    -",ROUND('EG-A10'!G51/'EG-A10'!G22*100,1))</f>
        <v>78.400000000000006</v>
      </c>
      <c r="H58" s="58">
        <f>IF('EG-A10'!H22=0,"    -",ROUND('EG-A10'!H51/'EG-A10'!H22*100,1))</f>
        <v>74.099999999999994</v>
      </c>
      <c r="I58" s="58">
        <f>IF('EG-A10'!I22=0,"    -",ROUND('EG-A10'!I51/'EG-A10'!I22*100,1))</f>
        <v>78.2</v>
      </c>
      <c r="J58" s="58">
        <f>IF('EG-A10'!J22=0,"    -",ROUND('EG-A10'!J51/'EG-A10'!J22*100,1))</f>
        <v>86.1</v>
      </c>
      <c r="K58" s="59">
        <f>IF('EG-A10'!K22=0,"    -",ROUND('EG-A10'!K51/'EG-A10'!K22*100,1))</f>
        <v>85.4</v>
      </c>
      <c r="L58" s="57">
        <f>IF('EG-A10'!L22=0,"    -",ROUND('EG-A10'!L51/'EG-A10'!L22*100,1))</f>
        <v>86</v>
      </c>
      <c r="M58" s="58">
        <f>IF('EG-A10'!M22=0,"    -",ROUND('EG-A10'!M51/'EG-A10'!M22*100,1))</f>
        <v>81</v>
      </c>
      <c r="N58" s="58">
        <f>IF('EG-A10'!N22=0,"    -",ROUND('EG-A10'!N51/'EG-A10'!N22*100,1))</f>
        <v>82.4</v>
      </c>
      <c r="O58" s="58">
        <f>IF('EG-A10'!O22=0,"    -",ROUND('EG-A10'!O51/'EG-A10'!O22*100,1))</f>
        <v>85</v>
      </c>
      <c r="P58" s="58">
        <f>IF('EG-A10'!P22=0,"    -",ROUND('EG-A10'!P51/'EG-A10'!P22*100,1))</f>
        <v>83.2</v>
      </c>
      <c r="Q58" s="59">
        <f>IF('EG-A10'!Q22=0,"    -",ROUND('EG-A10'!Q51/'EG-A10'!Q22*100,1))</f>
        <v>82.1</v>
      </c>
    </row>
    <row r="59" spans="2:17" ht="16.5" customHeight="1">
      <c r="B59" s="105"/>
      <c r="C59" s="615" t="s">
        <v>311</v>
      </c>
      <c r="D59" s="74">
        <f>IF('EG-A10'!D23=0,"    -",ROUND('EG-A10'!D52/'EG-A10'!D23*100,1))</f>
        <v>68.900000000000006</v>
      </c>
      <c r="E59" s="75">
        <f>IF('EG-A10'!E23=0,"    -",ROUND('EG-A10'!E52/'EG-A10'!E23*100,1))</f>
        <v>70.3</v>
      </c>
      <c r="F59" s="75">
        <f>IF('EG-A10'!F23=0,"    -",ROUND('EG-A10'!F52/'EG-A10'!F23*100,1))</f>
        <v>73.099999999999994</v>
      </c>
      <c r="G59" s="75">
        <f>IF('EG-A10'!G23=0,"    -",ROUND('EG-A10'!G52/'EG-A10'!G23*100,1))</f>
        <v>77.400000000000006</v>
      </c>
      <c r="H59" s="75">
        <f>IF('EG-A10'!H23=0,"    -",ROUND('EG-A10'!H52/'EG-A10'!H23*100,1))</f>
        <v>74</v>
      </c>
      <c r="I59" s="75">
        <f>IF('EG-A10'!I23=0,"    -",ROUND('EG-A10'!I52/'EG-A10'!I23*100,1))</f>
        <v>77.900000000000006</v>
      </c>
      <c r="J59" s="75">
        <f>IF('EG-A10'!J23=0,"    -",ROUND('EG-A10'!J52/'EG-A10'!J23*100,1))</f>
        <v>86.3</v>
      </c>
      <c r="K59" s="76">
        <f>IF('EG-A10'!K23=0,"    -",ROUND('EG-A10'!K52/'EG-A10'!K23*100,1))</f>
        <v>83.5</v>
      </c>
      <c r="L59" s="74">
        <f>IF('EG-A10'!L23=0,"    -",ROUND('EG-A10'!L52/'EG-A10'!L23*100,1))</f>
        <v>84.9</v>
      </c>
      <c r="M59" s="75">
        <f>IF('EG-A10'!M23=0,"    -",ROUND('EG-A10'!M52/'EG-A10'!M23*100,1))</f>
        <v>79.2</v>
      </c>
      <c r="N59" s="75">
        <f>IF('EG-A10'!N23=0,"    -",ROUND('EG-A10'!N52/'EG-A10'!N23*100,1))</f>
        <v>79.7</v>
      </c>
      <c r="O59" s="75">
        <f>IF('EG-A10'!O23=0,"    -",ROUND('EG-A10'!O52/'EG-A10'!O23*100,1))</f>
        <v>82</v>
      </c>
      <c r="P59" s="75">
        <f>IF('EG-A10'!P23=0,"    -",ROUND('EG-A10'!P52/'EG-A10'!P23*100,1))</f>
        <v>80.2</v>
      </c>
      <c r="Q59" s="76">
        <f>IF('EG-A10'!Q23=0,"    -",ROUND('EG-A10'!Q52/'EG-A10'!Q23*100,1))</f>
        <v>79</v>
      </c>
    </row>
    <row r="60" spans="2:17" ht="17.25" customHeight="1">
      <c r="B60" s="672" t="s">
        <v>312</v>
      </c>
      <c r="C60" s="673"/>
      <c r="D60" s="57">
        <f>IF('EG-A10'!D24=0,"    -",ROUND('EG-A10'!D53/'EG-A10'!D24*100,1))</f>
        <v>78.7</v>
      </c>
      <c r="E60" s="58">
        <f>IF('EG-A10'!E24=0,"    -",ROUND('EG-A10'!E53/'EG-A10'!E24*100,1))</f>
        <v>78</v>
      </c>
      <c r="F60" s="58">
        <f>IF('EG-A10'!F24=0,"    -",ROUND('EG-A10'!F53/'EG-A10'!F24*100,1))</f>
        <v>86.1</v>
      </c>
      <c r="G60" s="58">
        <f>IF('EG-A10'!G24=0,"    -",ROUND('EG-A10'!G53/'EG-A10'!G24*100,1))</f>
        <v>88</v>
      </c>
      <c r="H60" s="58">
        <f>IF('EG-A10'!H24=0,"    -",ROUND('EG-A10'!H53/'EG-A10'!H24*100,1))</f>
        <v>88.1</v>
      </c>
      <c r="I60" s="58">
        <f>IF('EG-A10'!I24=0,"    -",ROUND('EG-A10'!I53/'EG-A10'!I24*100,1))</f>
        <v>92</v>
      </c>
      <c r="J60" s="58">
        <f>IF('EG-A10'!J24=0,"    -",ROUND('EG-A10'!J53/'EG-A10'!J24*100,1))</f>
        <v>90.2</v>
      </c>
      <c r="K60" s="59">
        <f>IF('EG-A10'!K24=0,"    -",ROUND('EG-A10'!K53/'EG-A10'!K24*100,1))</f>
        <v>90.3</v>
      </c>
      <c r="L60" s="57">
        <f>IF('EG-A10'!L24=0,"    -",ROUND('EG-A10'!L53/'EG-A10'!L24*100,1))</f>
        <v>90.4</v>
      </c>
      <c r="M60" s="58">
        <f>IF('EG-A10'!M24=0,"    -",ROUND('EG-A10'!M53/'EG-A10'!M24*100,1))</f>
        <v>91.2</v>
      </c>
      <c r="N60" s="58">
        <f>IF('EG-A10'!N24=0,"    -",ROUND('EG-A10'!N53/'EG-A10'!N24*100,1))</f>
        <v>91.9</v>
      </c>
      <c r="O60" s="58">
        <f>IF('EG-A10'!O24=0,"    -",ROUND('EG-A10'!O53/'EG-A10'!O24*100,1))</f>
        <v>93.1</v>
      </c>
      <c r="P60" s="58">
        <f>IF('EG-A10'!P24=0,"    -",ROUND('EG-A10'!P53/'EG-A10'!P24*100,1))</f>
        <v>91.7</v>
      </c>
      <c r="Q60" s="59">
        <f>IF('EG-A10'!Q24=0,"    -",ROUND('EG-A10'!Q53/'EG-A10'!Q24*100,1))</f>
        <v>93.2</v>
      </c>
    </row>
    <row r="61" spans="2:17" ht="16.5" customHeight="1">
      <c r="B61" s="16"/>
      <c r="C61" s="615" t="s">
        <v>313</v>
      </c>
      <c r="D61" s="74" t="str">
        <f>IF('EG-A10'!D25=0,"    -",ROUND('EG-A10'!D54/'EG-A10'!D25*100,1))</f>
        <v xml:space="preserve">    -</v>
      </c>
      <c r="E61" s="75">
        <f>IF('EG-A10'!E25=0,"    -",ROUND('EG-A10'!E54/'EG-A10'!E25*100,1))</f>
        <v>89.7</v>
      </c>
      <c r="F61" s="75">
        <f>IF('EG-A10'!F25=0,"    -",ROUND('EG-A10'!F54/'EG-A10'!F25*100,1))</f>
        <v>90</v>
      </c>
      <c r="G61" s="75">
        <f>IF('EG-A10'!G25=0,"    -",ROUND('EG-A10'!G54/'EG-A10'!G25*100,1))</f>
        <v>90.9</v>
      </c>
      <c r="H61" s="75">
        <f>IF('EG-A10'!H25=0,"    -",ROUND('EG-A10'!H54/'EG-A10'!H25*100,1))</f>
        <v>88.7</v>
      </c>
      <c r="I61" s="75">
        <f>IF('EG-A10'!I25=0,"    -",ROUND('EG-A10'!I54/'EG-A10'!I25*100,1))</f>
        <v>87.1</v>
      </c>
      <c r="J61" s="75">
        <f>IF('EG-A10'!J25=0,"    -",ROUND('EG-A10'!J54/'EG-A10'!J25*100,1))</f>
        <v>88.5</v>
      </c>
      <c r="K61" s="76">
        <f>IF('EG-A10'!K25=0,"    -",ROUND('EG-A10'!K54/'EG-A10'!K25*100,1))</f>
        <v>88.7</v>
      </c>
      <c r="L61" s="74">
        <f>IF('EG-A10'!L25=0,"    -",ROUND('EG-A10'!L54/'EG-A10'!L25*100,1))</f>
        <v>88.7</v>
      </c>
      <c r="M61" s="75">
        <f>IF('EG-A10'!M25=0,"    -",ROUND('EG-A10'!M54/'EG-A10'!M25*100,1))</f>
        <v>88.5</v>
      </c>
      <c r="N61" s="75">
        <f>IF('EG-A10'!N25=0,"    -",ROUND('EG-A10'!N54/'EG-A10'!N25*100,1))</f>
        <v>88.7</v>
      </c>
      <c r="O61" s="75">
        <f>IF('EG-A10'!O25=0,"    -",ROUND('EG-A10'!O54/'EG-A10'!O25*100,1))</f>
        <v>89</v>
      </c>
      <c r="P61" s="75">
        <f>IF('EG-A10'!P25=0,"    -",ROUND('EG-A10'!P54/'EG-A10'!P25*100,1))</f>
        <v>87.2</v>
      </c>
      <c r="Q61" s="76">
        <f>IF('EG-A10'!Q25=0,"    -",ROUND('EG-A10'!Q54/'EG-A10'!Q25*100,1))</f>
        <v>88.4</v>
      </c>
    </row>
    <row r="62" spans="2:17" ht="17.25" customHeight="1">
      <c r="B62" s="674" t="s">
        <v>314</v>
      </c>
      <c r="C62" s="675"/>
      <c r="D62" s="57" t="str">
        <f>IF('EG-A10'!D26=0,"    -",ROUND('EG-A10'!D55/'EG-A10'!D26*100,1))</f>
        <v xml:space="preserve">    -</v>
      </c>
      <c r="E62" s="58" t="str">
        <f>IF('EG-A10'!E26=0,"    -",ROUND('EG-A10'!E55/'EG-A10'!E26*100,1))</f>
        <v xml:space="preserve">    -</v>
      </c>
      <c r="F62" s="58" t="str">
        <f>IF('EG-A10'!F26=0,"    -",ROUND('EG-A10'!F55/'EG-A10'!F26*100,1))</f>
        <v xml:space="preserve">    -</v>
      </c>
      <c r="G62" s="58" t="str">
        <f>IF('EG-A10'!G26=0,"    -",ROUND('EG-A10'!G55/'EG-A10'!G26*100,1))</f>
        <v xml:space="preserve">    -</v>
      </c>
      <c r="H62" s="58" t="str">
        <f>IF('EG-A10'!H26=0,"    -",ROUND('EG-A10'!H55/'EG-A10'!H26*100,1))</f>
        <v xml:space="preserve">    -</v>
      </c>
      <c r="I62" s="58" t="str">
        <f>IF('EG-A10'!I26=0,"    -",ROUND('EG-A10'!I55/'EG-A10'!I26*100,1))</f>
        <v xml:space="preserve">    -</v>
      </c>
      <c r="J62" s="58" t="str">
        <f>IF('EG-A10'!J26=0,"    -",ROUND('EG-A10'!J55/'EG-A10'!J26*100,1))</f>
        <v xml:space="preserve">    -</v>
      </c>
      <c r="K62" s="59" t="str">
        <f>IF('EG-A10'!K26=0,"    -",ROUND('EG-A10'!K55/'EG-A10'!K26*100,1))</f>
        <v xml:space="preserve">    -</v>
      </c>
      <c r="L62" s="57" t="str">
        <f>IF('EG-A10'!L26=0,"    -",ROUND('EG-A10'!L55/'EG-A10'!L26*100,1))</f>
        <v xml:space="preserve">    -</v>
      </c>
      <c r="M62" s="58" t="str">
        <f>IF('EG-A10'!M26=0,"    -",ROUND('EG-A10'!M55/'EG-A10'!M26*100,1))</f>
        <v xml:space="preserve">    -</v>
      </c>
      <c r="N62" s="58" t="str">
        <f>IF('EG-A10'!N26=0,"    -",ROUND('EG-A10'!N55/'EG-A10'!N26*100,1))</f>
        <v xml:space="preserve">    -</v>
      </c>
      <c r="O62" s="58" t="str">
        <f>IF('EG-A10'!O26=0,"    -",ROUND('EG-A10'!O55/'EG-A10'!O26*100,1))</f>
        <v xml:space="preserve">    -</v>
      </c>
      <c r="P62" s="58" t="str">
        <f>IF('EG-A10'!P26=0,"    -",ROUND('EG-A10'!P55/'EG-A10'!P26*100,1))</f>
        <v xml:space="preserve">    -</v>
      </c>
      <c r="Q62" s="59" t="str">
        <f>IF('EG-A10'!Q26=0,"    -",ROUND('EG-A10'!Q55/'EG-A10'!Q26*100,1))</f>
        <v xml:space="preserve">    -</v>
      </c>
    </row>
    <row r="63" spans="2:17" ht="17.25" customHeight="1">
      <c r="B63" s="674" t="s">
        <v>315</v>
      </c>
      <c r="C63" s="675"/>
      <c r="D63" s="74">
        <f>IF('EG-A10'!D27=0,"    -",ROUND('EG-A10'!D56/'EG-A10'!D27*100,1))</f>
        <v>66.7</v>
      </c>
      <c r="E63" s="75">
        <f>IF('EG-A10'!E27=0,"    -",ROUND('EG-A10'!E56/'EG-A10'!E27*100,1))</f>
        <v>37.4</v>
      </c>
      <c r="F63" s="75">
        <f>IF('EG-A10'!F27=0,"    -",ROUND('EG-A10'!F56/'EG-A10'!F27*100,1))</f>
        <v>38.6</v>
      </c>
      <c r="G63" s="75">
        <f>IF('EG-A10'!G27=0,"    -",ROUND('EG-A10'!G56/'EG-A10'!G27*100,1))</f>
        <v>39.200000000000003</v>
      </c>
      <c r="H63" s="75">
        <f>IF('EG-A10'!H27=0,"    -",ROUND('EG-A10'!H56/'EG-A10'!H27*100,1))</f>
        <v>60.5</v>
      </c>
      <c r="I63" s="75">
        <f>IF('EG-A10'!I27=0,"    -",ROUND('EG-A10'!I56/'EG-A10'!I27*100,1))</f>
        <v>59.3</v>
      </c>
      <c r="J63" s="75">
        <f>IF('EG-A10'!J27=0,"    -",ROUND('EG-A10'!J56/'EG-A10'!J27*100,1))</f>
        <v>43</v>
      </c>
      <c r="K63" s="76">
        <f>IF('EG-A10'!K27=0,"    -",ROUND('EG-A10'!K56/'EG-A10'!K27*100,1))</f>
        <v>43.8</v>
      </c>
      <c r="L63" s="77">
        <f>IF('EG-A10'!L27=0,"    -",ROUND('EG-A10'!L56/'EG-A10'!L27*100,1))</f>
        <v>44.5</v>
      </c>
      <c r="M63" s="75">
        <f>IF('EG-A10'!M27=0,"    -",ROUND('EG-A10'!M56/'EG-A10'!M27*100,1))</f>
        <v>45.1</v>
      </c>
      <c r="N63" s="75">
        <f>IF('EG-A10'!N27=0,"    -",ROUND('EG-A10'!N56/'EG-A10'!N27*100,1))</f>
        <v>45.8</v>
      </c>
      <c r="O63" s="75">
        <f>IF('EG-A10'!O27=0,"    -",ROUND('EG-A10'!O56/'EG-A10'!O27*100,1))</f>
        <v>46.5</v>
      </c>
      <c r="P63" s="75">
        <f>IF('EG-A10'!P27=0,"    -",ROUND('EG-A10'!P56/'EG-A10'!P27*100,1))</f>
        <v>47.2</v>
      </c>
      <c r="Q63" s="78">
        <f>IF('EG-A10'!Q27=0,"    -",ROUND('EG-A10'!Q56/'EG-A10'!Q27*100,1))</f>
        <v>47.9</v>
      </c>
    </row>
    <row r="64" spans="2:17" ht="16.5" customHeight="1">
      <c r="B64" s="672" t="s">
        <v>316</v>
      </c>
      <c r="C64" s="673"/>
      <c r="D64" s="57">
        <f>IF('EG-A10'!D28=0,"    -",ROUND('EG-A10'!D57/'EG-A10'!D28*100,1))</f>
        <v>72.400000000000006</v>
      </c>
      <c r="E64" s="58">
        <f>IF('EG-A10'!E28=0,"    -",ROUND('EG-A10'!E57/'EG-A10'!E28*100,1))</f>
        <v>90</v>
      </c>
      <c r="F64" s="58">
        <f>IF('EG-A10'!F28=0,"    -",ROUND('EG-A10'!F57/'EG-A10'!F28*100,1))</f>
        <v>90</v>
      </c>
      <c r="G64" s="58">
        <f>IF('EG-A10'!G28=0,"    -",ROUND('EG-A10'!G57/'EG-A10'!G28*100,1))</f>
        <v>90</v>
      </c>
      <c r="H64" s="58">
        <f>IF('EG-A10'!H28=0,"    -",ROUND('EG-A10'!H57/'EG-A10'!H28*100,1))</f>
        <v>90</v>
      </c>
      <c r="I64" s="58">
        <f>IF('EG-A10'!I28=0,"    -",ROUND('EG-A10'!I57/'EG-A10'!I28*100,1))</f>
        <v>90</v>
      </c>
      <c r="J64" s="58">
        <f>IF('EG-A10'!J28=0,"    -",ROUND('EG-A10'!J57/'EG-A10'!J28*100,1))</f>
        <v>90</v>
      </c>
      <c r="K64" s="59">
        <f>IF('EG-A10'!K28=0,"    -",ROUND('EG-A10'!K57/'EG-A10'!K28*100,1))</f>
        <v>90</v>
      </c>
      <c r="L64" s="60">
        <f>IF('EG-A10'!L28=0,"    -",ROUND('EG-A10'!L57/'EG-A10'!L28*100,1))</f>
        <v>90</v>
      </c>
      <c r="M64" s="58">
        <f>IF('EG-A10'!M28=0,"    -",ROUND('EG-A10'!M57/'EG-A10'!M28*100,1))</f>
        <v>90</v>
      </c>
      <c r="N64" s="58">
        <f>IF('EG-A10'!N28=0,"    -",ROUND('EG-A10'!N57/'EG-A10'!N28*100,1))</f>
        <v>90</v>
      </c>
      <c r="O64" s="58">
        <f>IF('EG-A10'!O28=0,"    -",ROUND('EG-A10'!O57/'EG-A10'!O28*100,1))</f>
        <v>90</v>
      </c>
      <c r="P64" s="58">
        <f>IF('EG-A10'!P28=0,"    -",ROUND('EG-A10'!P57/'EG-A10'!P28*100,1))</f>
        <v>90</v>
      </c>
      <c r="Q64" s="61">
        <f>IF('EG-A10'!Q28=0,"    -",ROUND('EG-A10'!Q57/'EG-A10'!Q28*100,1))</f>
        <v>90</v>
      </c>
    </row>
    <row r="65" spans="2:17" ht="16.5" customHeight="1">
      <c r="B65" s="670" t="s">
        <v>317</v>
      </c>
      <c r="C65" s="671"/>
      <c r="D65" s="57">
        <f>IF('EG-A10'!D29=0,"    -",ROUND('EG-A10'!D58/'EG-A10'!D29*100,1))</f>
        <v>73.2</v>
      </c>
      <c r="E65" s="58">
        <f>IF('EG-A10'!E29=0,"    -",ROUND('EG-A10'!E58/'EG-A10'!E29*100,1))</f>
        <v>75.5</v>
      </c>
      <c r="F65" s="58">
        <f>IF('EG-A10'!F29=0,"    -",ROUND('EG-A10'!F58/'EG-A10'!F29*100,1))</f>
        <v>91.7</v>
      </c>
      <c r="G65" s="58">
        <f>IF('EG-A10'!G29=0,"    -",ROUND('EG-A10'!G58/'EG-A10'!G29*100,1))</f>
        <v>90</v>
      </c>
      <c r="H65" s="58">
        <f>IF('EG-A10'!H29=0,"    -",ROUND('EG-A10'!H58/'EG-A10'!H29*100,1))</f>
        <v>90</v>
      </c>
      <c r="I65" s="58">
        <f>IF('EG-A10'!I29=0,"    -",ROUND('EG-A10'!I58/'EG-A10'!I29*100,1))</f>
        <v>90</v>
      </c>
      <c r="J65" s="58">
        <f>IF('EG-A10'!J29=0,"    -",ROUND('EG-A10'!J58/'EG-A10'!J29*100,1))</f>
        <v>88.2</v>
      </c>
      <c r="K65" s="59">
        <f>IF('EG-A10'!K29=0,"    -",ROUND('EG-A10'!K58/'EG-A10'!K29*100,1))</f>
        <v>85</v>
      </c>
      <c r="L65" s="60">
        <f>IF('EG-A10'!L29=0,"    -",ROUND('EG-A10'!L58/'EG-A10'!L29*100,1))</f>
        <v>85</v>
      </c>
      <c r="M65" s="58">
        <f>IF('EG-A10'!M29=0,"    -",ROUND('EG-A10'!M58/'EG-A10'!M29*100,1))</f>
        <v>85</v>
      </c>
      <c r="N65" s="58">
        <f>IF('EG-A10'!N29=0,"    -",ROUND('EG-A10'!N58/'EG-A10'!N29*100,1))</f>
        <v>85</v>
      </c>
      <c r="O65" s="58">
        <f>IF('EG-A10'!O29=0,"    -",ROUND('EG-A10'!O58/'EG-A10'!O29*100,1))</f>
        <v>85</v>
      </c>
      <c r="P65" s="58">
        <f>IF('EG-A10'!P29=0,"    -",ROUND('EG-A10'!P58/'EG-A10'!P29*100,1))</f>
        <v>85</v>
      </c>
      <c r="Q65" s="61">
        <f>IF('EG-A10'!Q29=0,"    -",ROUND('EG-A10'!Q58/'EG-A10'!Q29*100,1))</f>
        <v>85</v>
      </c>
    </row>
    <row r="66" spans="2:17" ht="17.25" customHeight="1">
      <c r="B66" s="674" t="s">
        <v>318</v>
      </c>
      <c r="C66" s="675"/>
      <c r="D66" s="74">
        <f>IF('EG-A10'!D30=0,"    -",ROUND('EG-A10'!D59/'EG-A10'!D30*100,1))</f>
        <v>72.7</v>
      </c>
      <c r="E66" s="75">
        <f>IF('EG-A10'!E30=0,"    -",ROUND('EG-A10'!E59/'EG-A10'!E30*100,1))</f>
        <v>84.2</v>
      </c>
      <c r="F66" s="75">
        <f>IF('EG-A10'!F30=0,"    -",ROUND('EG-A10'!F59/'EG-A10'!F30*100,1))</f>
        <v>90.7</v>
      </c>
      <c r="G66" s="75">
        <f>IF('EG-A10'!G30=0,"    -",ROUND('EG-A10'!G59/'EG-A10'!G30*100,1))</f>
        <v>90</v>
      </c>
      <c r="H66" s="75">
        <f>IF('EG-A10'!H30=0,"    -",ROUND('EG-A10'!H59/'EG-A10'!H30*100,1))</f>
        <v>90</v>
      </c>
      <c r="I66" s="75">
        <f>IF('EG-A10'!I30=0,"    -",ROUND('EG-A10'!I59/'EG-A10'!I30*100,1))</f>
        <v>90</v>
      </c>
      <c r="J66" s="75">
        <f>IF('EG-A10'!J30=0,"    -",ROUND('EG-A10'!J59/'EG-A10'!J30*100,1))</f>
        <v>89.3</v>
      </c>
      <c r="K66" s="76">
        <f>IF('EG-A10'!K30=0,"    -",ROUND('EG-A10'!K59/'EG-A10'!K30*100,1))</f>
        <v>87.8</v>
      </c>
      <c r="L66" s="77">
        <f>IF('EG-A10'!L30=0,"    -",ROUND('EG-A10'!L59/'EG-A10'!L30*100,1))</f>
        <v>87.8</v>
      </c>
      <c r="M66" s="75">
        <f>IF('EG-A10'!M30=0,"    -",ROUND('EG-A10'!M59/'EG-A10'!M30*100,1))</f>
        <v>88.1</v>
      </c>
      <c r="N66" s="75">
        <f>IF('EG-A10'!N30=0,"    -",ROUND('EG-A10'!N59/'EG-A10'!N30*100,1))</f>
        <v>88.6</v>
      </c>
      <c r="O66" s="75">
        <f>IF('EG-A10'!O30=0,"    -",ROUND('EG-A10'!O59/'EG-A10'!O30*100,1))</f>
        <v>88.6</v>
      </c>
      <c r="P66" s="75">
        <f>IF('EG-A10'!P30=0,"    -",ROUND('EG-A10'!P59/'EG-A10'!P30*100,1))</f>
        <v>88.6</v>
      </c>
      <c r="Q66" s="78">
        <f>IF('EG-A10'!Q30=0,"    -",ROUND('EG-A10'!Q59/'EG-A10'!Q30*100,1))</f>
        <v>88.6</v>
      </c>
    </row>
    <row r="67" spans="2:17" ht="16.5" customHeight="1">
      <c r="B67" s="672" t="s">
        <v>319</v>
      </c>
      <c r="C67" s="673"/>
      <c r="D67" s="57">
        <f>IF('EG-A10'!D31=0,"    -",ROUND('EG-A10'!D60/'EG-A10'!D31*100,1))</f>
        <v>73.3</v>
      </c>
      <c r="E67" s="58">
        <f>IF('EG-A10'!E31=0,"    -",ROUND('EG-A10'!E60/'EG-A10'!E31*100,1))</f>
        <v>48</v>
      </c>
      <c r="F67" s="58">
        <f>IF('EG-A10'!F31=0,"    -",ROUND('EG-A10'!F60/'EG-A10'!F31*100,1))</f>
        <v>56</v>
      </c>
      <c r="G67" s="58">
        <f>IF('EG-A10'!G31=0,"    -",ROUND('EG-A10'!G60/'EG-A10'!G31*100,1))</f>
        <v>56</v>
      </c>
      <c r="H67" s="58">
        <f>IF('EG-A10'!H31=0,"    -",ROUND('EG-A10'!H60/'EG-A10'!H31*100,1))</f>
        <v>85.1</v>
      </c>
      <c r="I67" s="58">
        <f>IF('EG-A10'!I31=0,"    -",ROUND('EG-A10'!I60/'EG-A10'!I31*100,1))</f>
        <v>85.1</v>
      </c>
      <c r="J67" s="58">
        <f>IF('EG-A10'!J31=0,"    -",ROUND('EG-A10'!J60/'EG-A10'!J31*100,1))</f>
        <v>85.1</v>
      </c>
      <c r="K67" s="59">
        <f>IF('EG-A10'!K31=0,"    -",ROUND('EG-A10'!K60/'EG-A10'!K31*100,1))</f>
        <v>64.400000000000006</v>
      </c>
      <c r="L67" s="60">
        <f>IF('EG-A10'!L31=0,"    -",ROUND('EG-A10'!L60/'EG-A10'!L31*100,1))</f>
        <v>64.400000000000006</v>
      </c>
      <c r="M67" s="58">
        <f>IF('EG-A10'!M31=0,"    -",ROUND('EG-A10'!M60/'EG-A10'!M31*100,1))</f>
        <v>64.400000000000006</v>
      </c>
      <c r="N67" s="58">
        <f>IF('EG-A10'!N31=0,"    -",ROUND('EG-A10'!N60/'EG-A10'!N31*100,1))</f>
        <v>64.400000000000006</v>
      </c>
      <c r="O67" s="58">
        <f>IF('EG-A10'!O31=0,"    -",ROUND('EG-A10'!O60/'EG-A10'!O31*100,1))</f>
        <v>64.400000000000006</v>
      </c>
      <c r="P67" s="58">
        <f>IF('EG-A10'!P31=0,"    -",ROUND('EG-A10'!P60/'EG-A10'!P31*100,1))</f>
        <v>64.400000000000006</v>
      </c>
      <c r="Q67" s="61">
        <f>IF('EG-A10'!Q31=0,"    -",ROUND('EG-A10'!Q60/'EG-A10'!Q31*100,1))</f>
        <v>64.400000000000006</v>
      </c>
    </row>
    <row r="68" spans="2:17" ht="16.5" customHeight="1">
      <c r="B68" s="668" t="s">
        <v>320</v>
      </c>
      <c r="C68" s="669"/>
      <c r="D68" s="57">
        <f>IF('EG-A10'!D32=0,"    -",ROUND('EG-A10'!D61/'EG-A10'!D32*100,1))</f>
        <v>72.900000000000006</v>
      </c>
      <c r="E68" s="58">
        <f>IF('EG-A10'!E32=0,"    -",ROUND('EG-A10'!E61/'EG-A10'!E32*100,1))</f>
        <v>69.8</v>
      </c>
      <c r="F68" s="58">
        <f>IF('EG-A10'!F32=0,"    -",ROUND('EG-A10'!F61/'EG-A10'!F32*100,1))</f>
        <v>94.9</v>
      </c>
      <c r="G68" s="58">
        <f>IF('EG-A10'!G32=0,"    -",ROUND('EG-A10'!G61/'EG-A10'!G32*100,1))</f>
        <v>86.1</v>
      </c>
      <c r="H68" s="58">
        <f>IF('EG-A10'!H32=0,"    -",ROUND('EG-A10'!H61/'EG-A10'!H32*100,1))</f>
        <v>89.8</v>
      </c>
      <c r="I68" s="58">
        <f>IF('EG-A10'!I32=0,"    -",ROUND('EG-A10'!I61/'EG-A10'!I32*100,1))</f>
        <v>103.7</v>
      </c>
      <c r="J68" s="58">
        <f>IF('EG-A10'!J32=0,"    -",ROUND('EG-A10'!J61/'EG-A10'!J32*100,1))</f>
        <v>103.7</v>
      </c>
      <c r="K68" s="59">
        <f>IF('EG-A10'!K32=0,"    -",ROUND('EG-A10'!K61/'EG-A10'!K32*100,1))</f>
        <v>103.7</v>
      </c>
      <c r="L68" s="60">
        <f>IF('EG-A10'!L32=0,"    -",ROUND('EG-A10'!L61/'EG-A10'!L32*100,1))</f>
        <v>103.7</v>
      </c>
      <c r="M68" s="58">
        <f>IF('EG-A10'!M32=0,"    -",ROUND('EG-A10'!M61/'EG-A10'!M32*100,1))</f>
        <v>103.7</v>
      </c>
      <c r="N68" s="58">
        <f>IF('EG-A10'!N32=0,"    -",ROUND('EG-A10'!N61/'EG-A10'!N32*100,1))</f>
        <v>103.7</v>
      </c>
      <c r="O68" s="58">
        <f>IF('EG-A10'!O32=0,"    -",ROUND('EG-A10'!O61/'EG-A10'!O32*100,1))</f>
        <v>103.7</v>
      </c>
      <c r="P68" s="58">
        <f>IF('EG-A10'!P32=0,"    -",ROUND('EG-A10'!P61/'EG-A10'!P32*100,1))</f>
        <v>103.7</v>
      </c>
      <c r="Q68" s="61">
        <f>IF('EG-A10'!Q32=0,"    -",ROUND('EG-A10'!Q61/'EG-A10'!Q32*100,1))</f>
        <v>103.7</v>
      </c>
    </row>
    <row r="69" spans="2:17" ht="16.5" customHeight="1">
      <c r="B69" s="670" t="s">
        <v>321</v>
      </c>
      <c r="C69" s="671"/>
      <c r="D69" s="57">
        <f>IF('EG-A10'!D33=0,"    -",ROUND('EG-A10'!D62/'EG-A10'!D33*100,1))</f>
        <v>69</v>
      </c>
      <c r="E69" s="58">
        <f>IF('EG-A10'!E33=0,"    -",ROUND('EG-A10'!E62/'EG-A10'!E33*100,1))</f>
        <v>67.900000000000006</v>
      </c>
      <c r="F69" s="58">
        <f>IF('EG-A10'!F33=0,"    -",ROUND('EG-A10'!F62/'EG-A10'!F33*100,1))</f>
        <v>71.400000000000006</v>
      </c>
      <c r="G69" s="58">
        <f>IF('EG-A10'!G33=0,"    -",ROUND('EG-A10'!G62/'EG-A10'!G33*100,1))</f>
        <v>73.8</v>
      </c>
      <c r="H69" s="58">
        <f>IF('EG-A10'!H33=0,"    -",ROUND('EG-A10'!H62/'EG-A10'!H33*100,1))</f>
        <v>84.5</v>
      </c>
      <c r="I69" s="58">
        <f>IF('EG-A10'!I33=0,"    -",ROUND('EG-A10'!I62/'EG-A10'!I33*100,1))</f>
        <v>84.5</v>
      </c>
      <c r="J69" s="58">
        <f>IF('EG-A10'!J33=0,"    -",ROUND('EG-A10'!J62/'EG-A10'!J33*100,1))</f>
        <v>84.5</v>
      </c>
      <c r="K69" s="59">
        <f>IF('EG-A10'!K33=0,"    -",ROUND('EG-A10'!K62/'EG-A10'!K33*100,1))</f>
        <v>84.5</v>
      </c>
      <c r="L69" s="60">
        <f>IF('EG-A10'!L33=0,"    -",ROUND('EG-A10'!L62/'EG-A10'!L33*100,1))</f>
        <v>84.5</v>
      </c>
      <c r="M69" s="58">
        <f>IF('EG-A10'!M33=0,"    -",ROUND('EG-A10'!M62/'EG-A10'!M33*100,1))</f>
        <v>84.5</v>
      </c>
      <c r="N69" s="58">
        <f>IF('EG-A10'!N33=0,"    -",ROUND('EG-A10'!N62/'EG-A10'!N33*100,1))</f>
        <v>84.5</v>
      </c>
      <c r="O69" s="58">
        <f>IF('EG-A10'!O33=0,"    -",ROUND('EG-A10'!O62/'EG-A10'!O33*100,1))</f>
        <v>84.5</v>
      </c>
      <c r="P69" s="58">
        <f>IF('EG-A10'!P33=0,"    -",ROUND('EG-A10'!P62/'EG-A10'!P33*100,1))</f>
        <v>84.5</v>
      </c>
      <c r="Q69" s="61">
        <f>IF('EG-A10'!Q33=0,"    -",ROUND('EG-A10'!Q62/'EG-A10'!Q33*100,1))</f>
        <v>84.5</v>
      </c>
    </row>
    <row r="70" spans="2:17" ht="18" customHeight="1" thickBot="1">
      <c r="B70" s="678" t="s">
        <v>322</v>
      </c>
      <c r="C70" s="679"/>
      <c r="D70" s="111">
        <f>IF('EG-A10'!D34=0,"    -",ROUND('EG-A10'!D63/'EG-A10'!D34*100,1))</f>
        <v>72.7</v>
      </c>
      <c r="E70" s="112">
        <f>IF('EG-A10'!E34=0,"    -",ROUND('EG-A10'!E63/'EG-A10'!E34*100,1))</f>
        <v>58.8</v>
      </c>
      <c r="F70" s="112">
        <f>IF('EG-A10'!F34=0,"    -",ROUND('EG-A10'!F63/'EG-A10'!F34*100,1))</f>
        <v>72.900000000000006</v>
      </c>
      <c r="G70" s="112">
        <f>IF('EG-A10'!G34=0,"    -",ROUND('EG-A10'!G63/'EG-A10'!G34*100,1))</f>
        <v>69.8</v>
      </c>
      <c r="H70" s="112">
        <f>IF('EG-A10'!H34=0,"    -",ROUND('EG-A10'!H63/'EG-A10'!H34*100,1))</f>
        <v>86.9</v>
      </c>
      <c r="I70" s="112">
        <f>IF('EG-A10'!I34=0,"    -",ROUND('EG-A10'!I63/'EG-A10'!I34*100,1))</f>
        <v>92.3</v>
      </c>
      <c r="J70" s="112">
        <f>IF('EG-A10'!J34=0,"    -",ROUND('EG-A10'!J63/'EG-A10'!J34*100,1))</f>
        <v>92.3</v>
      </c>
      <c r="K70" s="113">
        <f>IF('EG-A10'!K34=0,"    -",ROUND('EG-A10'!K63/'EG-A10'!K34*100,1))</f>
        <v>79.599999999999994</v>
      </c>
      <c r="L70" s="114">
        <f>IF('EG-A10'!L34=0,"    -",ROUND('EG-A10'!L63/'EG-A10'!L34*100,1))</f>
        <v>79.599999999999994</v>
      </c>
      <c r="M70" s="112">
        <f>IF('EG-A10'!M34=0,"    -",ROUND('EG-A10'!M63/'EG-A10'!M34*100,1))</f>
        <v>79.599999999999994</v>
      </c>
      <c r="N70" s="112">
        <f>IF('EG-A10'!N34=0,"    -",ROUND('EG-A10'!N63/'EG-A10'!N34*100,1))</f>
        <v>79.599999999999994</v>
      </c>
      <c r="O70" s="112">
        <f>IF('EG-A10'!O34=0,"    -",ROUND('EG-A10'!O63/'EG-A10'!O34*100,1))</f>
        <v>79.599999999999994</v>
      </c>
      <c r="P70" s="112">
        <f>IF('EG-A10'!P34=0,"    -",ROUND('EG-A10'!P63/'EG-A10'!P34*100,1))</f>
        <v>79.599999999999994</v>
      </c>
      <c r="Q70" s="115">
        <f>IF('EG-A10'!Q34=0,"    -",ROUND('EG-A10'!Q63/'EG-A10'!Q34*100,1))</f>
        <v>79.599999999999994</v>
      </c>
    </row>
    <row r="71" spans="2:17" ht="18" customHeight="1" thickTop="1" thickBot="1">
      <c r="B71" s="21"/>
      <c r="C71" s="619" t="s">
        <v>337</v>
      </c>
      <c r="D71" s="122">
        <f>IF('EG-A10'!D35=0,"    -",ROUND('EG-A10'!D64/'EG-A10'!D35*100,1))</f>
        <v>77.2</v>
      </c>
      <c r="E71" s="123">
        <f>IF('EG-A10'!E35=0,"    -",ROUND('EG-A10'!E64/'EG-A10'!E35*100,1))</f>
        <v>77.8</v>
      </c>
      <c r="F71" s="123">
        <f>IF('EG-A10'!F35=0,"    -",ROUND('EG-A10'!F64/'EG-A10'!F35*100,1))</f>
        <v>82.1</v>
      </c>
      <c r="G71" s="123">
        <f>IF('EG-A10'!G35=0,"    -",ROUND('EG-A10'!G64/'EG-A10'!G35*100,1))</f>
        <v>82.3</v>
      </c>
      <c r="H71" s="123">
        <f>IF('EG-A10'!H35=0,"    -",ROUND('EG-A10'!H64/'EG-A10'!H35*100,1))</f>
        <v>80.099999999999994</v>
      </c>
      <c r="I71" s="123">
        <f>IF('EG-A10'!I35=0,"    -",ROUND('EG-A10'!I64/'EG-A10'!I35*100,1))</f>
        <v>84.3</v>
      </c>
      <c r="J71" s="123">
        <f>IF('EG-A10'!J35=0,"    -",ROUND('EG-A10'!J64/'EG-A10'!J35*100,1))</f>
        <v>78.3</v>
      </c>
      <c r="K71" s="124">
        <f>IF('EG-A10'!K35=0,"    -",ROUND('EG-A10'!K64/'EG-A10'!K35*100,1))</f>
        <v>82.4</v>
      </c>
      <c r="L71" s="125">
        <f>IF('EG-A10'!L35=0,"    -",ROUND('EG-A10'!L64/'EG-A10'!L35*100,1))</f>
        <v>82.3</v>
      </c>
      <c r="M71" s="123">
        <f>IF('EG-A10'!M35=0,"    -",ROUND('EG-A10'!M64/'EG-A10'!M35*100,1))</f>
        <v>79.900000000000006</v>
      </c>
      <c r="N71" s="123">
        <f>IF('EG-A10'!N35=0,"    -",ROUND('EG-A10'!N64/'EG-A10'!N35*100,1))</f>
        <v>78.400000000000006</v>
      </c>
      <c r="O71" s="123">
        <f>IF('EG-A10'!O35=0,"    -",ROUND('EG-A10'!O64/'EG-A10'!O35*100,1))</f>
        <v>80.400000000000006</v>
      </c>
      <c r="P71" s="123">
        <f>IF('EG-A10'!P35=0,"    -",ROUND('EG-A10'!P64/'EG-A10'!P35*100,1))</f>
        <v>81.5</v>
      </c>
      <c r="Q71" s="126">
        <f>IF('EG-A10'!Q35=0,"    -",ROUND('EG-A10'!Q64/'EG-A10'!Q35*100,1))</f>
        <v>81.900000000000006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73" priority="5">
      <formula>CELL("protect",C75)=0</formula>
    </cfRule>
    <cfRule type="expression" dxfId="172" priority="6">
      <formula>CELL("protect",C75)=0</formula>
    </cfRule>
  </conditionalFormatting>
  <conditionalFormatting sqref="C73">
    <cfRule type="expression" dxfId="171" priority="3">
      <formula>CELL("protect",C73)=0</formula>
    </cfRule>
    <cfRule type="expression" dxfId="170" priority="4">
      <formula>CELL("protect",C73)=0</formula>
    </cfRule>
  </conditionalFormatting>
  <conditionalFormatting sqref="C75">
    <cfRule type="expression" dxfId="169" priority="1">
      <formula>CELL("protect",C75)=0</formula>
    </cfRule>
    <cfRule type="expression" dxfId="168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&amp;C172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8" sqref="R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51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'OTHER(C2)-A11'!D36-'OTHER(C2)-A11'!D65</f>
        <v>0</v>
      </c>
      <c r="E7" s="240">
        <f>'OTHER(C2)-A11'!E36-'OTHER(C2)-A11'!E65</f>
        <v>0</v>
      </c>
      <c r="F7" s="240">
        <f>'OTHER(C2)-A11'!F36-'OTHER(C2)-A11'!F65</f>
        <v>100</v>
      </c>
      <c r="G7" s="240">
        <f>'OTHER(C2)-A11'!G36-'OTHER(C2)-A11'!G65</f>
        <v>100</v>
      </c>
      <c r="H7" s="240">
        <f>'OTHER(C2)-A11'!H36-'OTHER(C2)-A11'!H65</f>
        <v>100</v>
      </c>
      <c r="I7" s="240">
        <f>'OTHER(C2)-A11'!I36-'OTHER(C2)-A11'!I65</f>
        <v>0</v>
      </c>
      <c r="J7" s="240">
        <f>'OTHER(C2)-A11'!J36-'OTHER(C2)-A11'!J65</f>
        <v>0</v>
      </c>
      <c r="K7" s="241">
        <f>'OTHER(C2)-A11'!K36-'OTHER(C2)-A11'!K65</f>
        <v>0</v>
      </c>
      <c r="L7" s="242">
        <f>'OTHER(C2)-A11'!L36-'OTHER(C2)-A11'!L65</f>
        <v>0</v>
      </c>
      <c r="M7" s="240">
        <f>'OTHER(C2)-A11'!M36-'OTHER(C2)-A11'!M65</f>
        <v>0</v>
      </c>
      <c r="N7" s="240">
        <f>'OTHER(C2)-A11'!N36-'OTHER(C2)-A11'!N65</f>
        <v>0</v>
      </c>
      <c r="O7" s="240">
        <f>'OTHER(C2)-A11'!O36-'OTHER(C2)-A11'!O65</f>
        <v>0</v>
      </c>
      <c r="P7" s="240">
        <f>'OTHER(C2)-A11'!P36-'OTHER(C2)-A11'!P65</f>
        <v>200</v>
      </c>
      <c r="Q7" s="243">
        <f>'OTHER(C2)-A11'!Q36-'OTHER(C2)-A11'!Q65</f>
        <v>200</v>
      </c>
    </row>
    <row r="8" spans="2:19" ht="16.5" customHeight="1">
      <c r="B8" s="605" t="s">
        <v>434</v>
      </c>
      <c r="C8" s="606"/>
      <c r="D8" s="239">
        <f>'OTHER(C2)-A11'!D37-'OTHER(C2)-A11'!D66</f>
        <v>0</v>
      </c>
      <c r="E8" s="240">
        <f>'OTHER(C2)-A11'!E37-'OTHER(C2)-A11'!E66</f>
        <v>0</v>
      </c>
      <c r="F8" s="240">
        <f>'OTHER(C2)-A11'!F37-'OTHER(C2)-A11'!F66</f>
        <v>0</v>
      </c>
      <c r="G8" s="240">
        <f>'OTHER(C2)-A11'!G37-'OTHER(C2)-A11'!G66</f>
        <v>0</v>
      </c>
      <c r="H8" s="240">
        <f>'OTHER(C2)-A11'!H37-'OTHER(C2)-A11'!H66</f>
        <v>0</v>
      </c>
      <c r="I8" s="240">
        <f>'OTHER(C2)-A11'!I37-'OTHER(C2)-A11'!I66</f>
        <v>0</v>
      </c>
      <c r="J8" s="240">
        <f>'OTHER(C2)-A11'!J37-'OTHER(C2)-A11'!J66</f>
        <v>0</v>
      </c>
      <c r="K8" s="241">
        <f>'OTHER(C2)-A11'!K37-'OTHER(C2)-A11'!K66</f>
        <v>30</v>
      </c>
      <c r="L8" s="242">
        <f>'OTHER(C2)-A11'!L37-'OTHER(C2)-A11'!L66</f>
        <v>0</v>
      </c>
      <c r="M8" s="240">
        <f>'OTHER(C2)-A11'!M37-'OTHER(C2)-A11'!M66</f>
        <v>0</v>
      </c>
      <c r="N8" s="240">
        <f>'OTHER(C2)-A11'!N37-'OTHER(C2)-A11'!N66</f>
        <v>0</v>
      </c>
      <c r="O8" s="240">
        <f>'OTHER(C2)-A11'!O37-'OTHER(C2)-A11'!O66</f>
        <v>0</v>
      </c>
      <c r="P8" s="240">
        <f>'OTHER(C2)-A11'!P37-'OTHER(C2)-A11'!P66</f>
        <v>0</v>
      </c>
      <c r="Q8" s="243">
        <f>'OTHER(C2)-A11'!Q37-'OTHER(C2)-A11'!Q66</f>
        <v>0</v>
      </c>
    </row>
    <row r="9" spans="2:19" ht="16.5" customHeight="1">
      <c r="B9" s="605" t="s">
        <v>435</v>
      </c>
      <c r="C9" s="606"/>
      <c r="D9" s="239">
        <f>'OTHER(C2)-A11'!D38-'OTHER(C2)-A11'!D67</f>
        <v>142</v>
      </c>
      <c r="E9" s="240">
        <f>'OTHER(C2)-A11'!E38-'OTHER(C2)-A11'!E67</f>
        <v>223.93796000000003</v>
      </c>
      <c r="F9" s="240">
        <f>'OTHER(C2)-A11'!F38-'OTHER(C2)-A11'!F67</f>
        <v>218.29474847999995</v>
      </c>
      <c r="G9" s="240">
        <f>'OTHER(C2)-A11'!G38-'OTHER(C2)-A11'!G67</f>
        <v>442.11608892224001</v>
      </c>
      <c r="H9" s="240">
        <f>'OTHER(C2)-A11'!H38-'OTHER(C2)-A11'!H67</f>
        <v>533.90862050098497</v>
      </c>
      <c r="I9" s="240">
        <f>'OTHER(C2)-A11'!I38-'OTHER(C2)-A11'!I67</f>
        <v>530.15324666666663</v>
      </c>
      <c r="J9" s="240">
        <f>'OTHER(C2)-A11'!J38-'OTHER(C2)-A11'!J67</f>
        <v>479</v>
      </c>
      <c r="K9" s="241">
        <f>'OTHER(C2)-A11'!K38-'OTHER(C2)-A11'!K67</f>
        <v>540</v>
      </c>
      <c r="L9" s="242">
        <f>'OTHER(C2)-A11'!L38-'OTHER(C2)-A11'!L67</f>
        <v>558</v>
      </c>
      <c r="M9" s="240">
        <f>'OTHER(C2)-A11'!M38-'OTHER(C2)-A11'!M67</f>
        <v>559</v>
      </c>
      <c r="N9" s="240">
        <f>'OTHER(C2)-A11'!N38-'OTHER(C2)-A11'!N67</f>
        <v>581</v>
      </c>
      <c r="O9" s="240">
        <f>'OTHER(C2)-A11'!O38-'OTHER(C2)-A11'!O67</f>
        <v>579</v>
      </c>
      <c r="P9" s="240">
        <f>'OTHER(C2)-A11'!P38-'OTHER(C2)-A11'!P67</f>
        <v>588</v>
      </c>
      <c r="Q9" s="243">
        <f>'OTHER(C2)-A11'!Q38-'OTHER(C2)-A11'!Q67</f>
        <v>588</v>
      </c>
    </row>
    <row r="10" spans="2:19" ht="16.5" customHeight="1">
      <c r="B10" s="605" t="s">
        <v>436</v>
      </c>
      <c r="C10" s="606"/>
      <c r="D10" s="239">
        <f>'OTHER(C2)-A11'!D39-'OTHER(C2)-A11'!D68</f>
        <v>0</v>
      </c>
      <c r="E10" s="240">
        <f>'OTHER(C2)-A11'!E39-'OTHER(C2)-A11'!E68</f>
        <v>0</v>
      </c>
      <c r="F10" s="240">
        <f>'OTHER(C2)-A11'!F39-'OTHER(C2)-A11'!F68</f>
        <v>0</v>
      </c>
      <c r="G10" s="240">
        <f>'OTHER(C2)-A11'!G39-'OTHER(C2)-A11'!G68</f>
        <v>0</v>
      </c>
      <c r="H10" s="240">
        <f>'OTHER(C2)-A11'!H39-'OTHER(C2)-A11'!H68</f>
        <v>0</v>
      </c>
      <c r="I10" s="240">
        <f>'OTHER(C2)-A11'!I39-'OTHER(C2)-A11'!I68</f>
        <v>0</v>
      </c>
      <c r="J10" s="240">
        <f>'OTHER(C2)-A11'!J39-'OTHER(C2)-A11'!J68</f>
        <v>0</v>
      </c>
      <c r="K10" s="241">
        <f>'OTHER(C2)-A11'!K39-'OTHER(C2)-A11'!K68</f>
        <v>0</v>
      </c>
      <c r="L10" s="242">
        <f>'OTHER(C2)-A11'!L39-'OTHER(C2)-A11'!L68</f>
        <v>0</v>
      </c>
      <c r="M10" s="240">
        <f>'OTHER(C2)-A11'!M39-'OTHER(C2)-A11'!M68</f>
        <v>0</v>
      </c>
      <c r="N10" s="240">
        <f>'OTHER(C2)-A11'!N39-'OTHER(C2)-A11'!N68</f>
        <v>0</v>
      </c>
      <c r="O10" s="240">
        <f>'OTHER(C2)-A11'!O39-'OTHER(C2)-A11'!O68</f>
        <v>0</v>
      </c>
      <c r="P10" s="240">
        <f>'OTHER(C2)-A11'!P39-'OTHER(C2)-A11'!P68</f>
        <v>0</v>
      </c>
      <c r="Q10" s="243">
        <f>'OTHER(C2)-A11'!Q39-'OTHER(C2)-A11'!Q68</f>
        <v>0</v>
      </c>
    </row>
    <row r="11" spans="2:19" ht="16.5" customHeight="1">
      <c r="B11" s="605" t="s">
        <v>437</v>
      </c>
      <c r="C11" s="606"/>
      <c r="D11" s="239">
        <f>'OTHER(C2)-A11'!D40-'OTHER(C2)-A11'!D69</f>
        <v>0</v>
      </c>
      <c r="E11" s="240">
        <f>'OTHER(C2)-A11'!E40-'OTHER(C2)-A11'!E69</f>
        <v>0</v>
      </c>
      <c r="F11" s="240">
        <f>'OTHER(C2)-A11'!F40-'OTHER(C2)-A11'!F69</f>
        <v>0</v>
      </c>
      <c r="G11" s="240">
        <f>'OTHER(C2)-A11'!G40-'OTHER(C2)-A11'!G69</f>
        <v>0</v>
      </c>
      <c r="H11" s="240">
        <f>'OTHER(C2)-A11'!H40-'OTHER(C2)-A11'!H69</f>
        <v>0</v>
      </c>
      <c r="I11" s="240">
        <f>'OTHER(C2)-A11'!I40-'OTHER(C2)-A11'!I69</f>
        <v>0</v>
      </c>
      <c r="J11" s="240">
        <f>'OTHER(C2)-A11'!J40-'OTHER(C2)-A11'!J69</f>
        <v>0</v>
      </c>
      <c r="K11" s="241">
        <f>'OTHER(C2)-A11'!K40-'OTHER(C2)-A11'!K69</f>
        <v>0</v>
      </c>
      <c r="L11" s="242">
        <f>'OTHER(C2)-A11'!L40-'OTHER(C2)-A11'!L69</f>
        <v>0</v>
      </c>
      <c r="M11" s="240">
        <f>'OTHER(C2)-A11'!M40-'OTHER(C2)-A11'!M69</f>
        <v>0</v>
      </c>
      <c r="N11" s="240">
        <f>'OTHER(C2)-A11'!N40-'OTHER(C2)-A11'!N69</f>
        <v>0</v>
      </c>
      <c r="O11" s="240">
        <f>'OTHER(C2)-A11'!O40-'OTHER(C2)-A11'!O69</f>
        <v>0</v>
      </c>
      <c r="P11" s="240">
        <f>'OTHER(C2)-A11'!P40-'OTHER(C2)-A11'!P69</f>
        <v>0</v>
      </c>
      <c r="Q11" s="243">
        <f>'OTHER(C2)-A11'!Q40-'OTHER(C2)-A11'!Q69</f>
        <v>0</v>
      </c>
    </row>
    <row r="12" spans="2:19" ht="16.5" customHeight="1">
      <c r="B12" s="605" t="s">
        <v>438</v>
      </c>
      <c r="C12" s="606"/>
      <c r="D12" s="239">
        <f>'OTHER(C2)-A11'!D41-'OTHER(C2)-A11'!D70</f>
        <v>0</v>
      </c>
      <c r="E12" s="240">
        <f>'OTHER(C2)-A11'!E41-'OTHER(C2)-A11'!E70</f>
        <v>0</v>
      </c>
      <c r="F12" s="240">
        <f>'OTHER(C2)-A11'!F41-'OTHER(C2)-A11'!F70</f>
        <v>0</v>
      </c>
      <c r="G12" s="240">
        <f>'OTHER(C2)-A11'!G41-'OTHER(C2)-A11'!G70</f>
        <v>0</v>
      </c>
      <c r="H12" s="240">
        <f>'OTHER(C2)-A11'!H41-'OTHER(C2)-A11'!H70</f>
        <v>0</v>
      </c>
      <c r="I12" s="240">
        <f>'OTHER(C2)-A11'!I41-'OTHER(C2)-A11'!I70</f>
        <v>0</v>
      </c>
      <c r="J12" s="240">
        <f>'OTHER(C2)-A11'!J41-'OTHER(C2)-A11'!J70</f>
        <v>0</v>
      </c>
      <c r="K12" s="241">
        <f>'OTHER(C2)-A11'!K41-'OTHER(C2)-A11'!K70</f>
        <v>0</v>
      </c>
      <c r="L12" s="242">
        <f>'OTHER(C2)-A11'!L41-'OTHER(C2)-A11'!L70</f>
        <v>0</v>
      </c>
      <c r="M12" s="240">
        <f>'OTHER(C2)-A11'!M41-'OTHER(C2)-A11'!M70</f>
        <v>0</v>
      </c>
      <c r="N12" s="240">
        <f>'OTHER(C2)-A11'!N41-'OTHER(C2)-A11'!N70</f>
        <v>0</v>
      </c>
      <c r="O12" s="240">
        <f>'OTHER(C2)-A11'!O41-'OTHER(C2)-A11'!O70</f>
        <v>0</v>
      </c>
      <c r="P12" s="240">
        <f>'OTHER(C2)-A11'!P41-'OTHER(C2)-A11'!P70</f>
        <v>0</v>
      </c>
      <c r="Q12" s="243">
        <f>'OTHER(C2)-A11'!Q41-'OTHER(C2)-A11'!Q70</f>
        <v>0</v>
      </c>
    </row>
    <row r="13" spans="2:19" ht="16.5" customHeight="1">
      <c r="B13" s="605" t="s">
        <v>439</v>
      </c>
      <c r="C13" s="606"/>
      <c r="D13" s="239">
        <f>'OTHER(C2)-A11'!D42-'OTHER(C2)-A11'!D71</f>
        <v>0</v>
      </c>
      <c r="E13" s="240">
        <f>'OTHER(C2)-A11'!E42-'OTHER(C2)-A11'!E71</f>
        <v>0</v>
      </c>
      <c r="F13" s="240">
        <f>'OTHER(C2)-A11'!F42-'OTHER(C2)-A11'!F71</f>
        <v>0</v>
      </c>
      <c r="G13" s="240">
        <f>'OTHER(C2)-A11'!G42-'OTHER(C2)-A11'!G71</f>
        <v>0</v>
      </c>
      <c r="H13" s="240">
        <f>'OTHER(C2)-A11'!H42-'OTHER(C2)-A11'!H71</f>
        <v>0</v>
      </c>
      <c r="I13" s="240">
        <f>'OTHER(C2)-A11'!I42-'OTHER(C2)-A11'!I71</f>
        <v>0</v>
      </c>
      <c r="J13" s="240">
        <f>'OTHER(C2)-A11'!J42-'OTHER(C2)-A11'!J71</f>
        <v>0</v>
      </c>
      <c r="K13" s="241">
        <f>'OTHER(C2)-A11'!K42-'OTHER(C2)-A11'!K71</f>
        <v>0</v>
      </c>
      <c r="L13" s="242">
        <f>'OTHER(C2)-A11'!L42-'OTHER(C2)-A11'!L71</f>
        <v>0</v>
      </c>
      <c r="M13" s="240">
        <f>'OTHER(C2)-A11'!M42-'OTHER(C2)-A11'!M71</f>
        <v>0</v>
      </c>
      <c r="N13" s="240">
        <f>'OTHER(C2)-A11'!N42-'OTHER(C2)-A11'!N71</f>
        <v>0</v>
      </c>
      <c r="O13" s="240">
        <f>'OTHER(C2)-A11'!O42-'OTHER(C2)-A11'!O71</f>
        <v>0</v>
      </c>
      <c r="P13" s="240">
        <f>'OTHER(C2)-A11'!P42-'OTHER(C2)-A11'!P71</f>
        <v>0</v>
      </c>
      <c r="Q13" s="243">
        <f>'OTHER(C2)-A11'!Q42-'OTHER(C2)-A11'!Q71</f>
        <v>0</v>
      </c>
    </row>
    <row r="14" spans="2:19" ht="18" hidden="1" customHeight="1">
      <c r="B14" s="16"/>
      <c r="C14" s="90" t="s">
        <v>306</v>
      </c>
      <c r="D14" s="239">
        <f>'OTHER(C2)-A11'!D43-'OTHER(C2)-A11'!D72</f>
        <v>0</v>
      </c>
      <c r="E14" s="240">
        <f>'OTHER(C2)-A11'!E43-'OTHER(C2)-A11'!E72</f>
        <v>0</v>
      </c>
      <c r="F14" s="240">
        <f>'OTHER(C2)-A11'!F43-'OTHER(C2)-A11'!F72</f>
        <v>0</v>
      </c>
      <c r="G14" s="240">
        <f>'OTHER(C2)-A11'!G43-'OTHER(C2)-A11'!G72</f>
        <v>0</v>
      </c>
      <c r="H14" s="240">
        <f>'OTHER(C2)-A11'!H43-'OTHER(C2)-A11'!H72</f>
        <v>0</v>
      </c>
      <c r="I14" s="240">
        <f>'OTHER(C2)-A11'!I43-'OTHER(C2)-A11'!I72</f>
        <v>0</v>
      </c>
      <c r="J14" s="240">
        <f>'OTHER(C2)-A11'!J43-'OTHER(C2)-A11'!J72</f>
        <v>0</v>
      </c>
      <c r="K14" s="241">
        <f>'OTHER(C2)-A11'!K43-'OTHER(C2)-A11'!K72</f>
        <v>0</v>
      </c>
      <c r="L14" s="242">
        <f>'OTHER(C2)-A11'!L43-'OTHER(C2)-A11'!L72</f>
        <v>0</v>
      </c>
      <c r="M14" s="240">
        <f>'OTHER(C2)-A11'!M43-'OTHER(C2)-A11'!M72</f>
        <v>0</v>
      </c>
      <c r="N14" s="240">
        <f>'OTHER(C2)-A11'!N43-'OTHER(C2)-A11'!N72</f>
        <v>0</v>
      </c>
      <c r="O14" s="240">
        <f>'OTHER(C2)-A11'!O43-'OTHER(C2)-A11'!O72</f>
        <v>0</v>
      </c>
      <c r="P14" s="240">
        <f>'OTHER(C2)-A11'!P43-'OTHER(C2)-A11'!P72</f>
        <v>0</v>
      </c>
      <c r="Q14" s="243">
        <f>'OTHER(C2)-A11'!Q43-'OTHER(C2)-A11'!Q72</f>
        <v>0</v>
      </c>
    </row>
    <row r="15" spans="2:19" ht="16.5" customHeight="1">
      <c r="B15" s="605" t="s">
        <v>440</v>
      </c>
      <c r="C15" s="606"/>
      <c r="D15" s="239">
        <f>'OTHER(C2)-A11'!D44-'OTHER(C2)-A11'!D73</f>
        <v>0</v>
      </c>
      <c r="E15" s="240">
        <f>'OTHER(C2)-A11'!E44-'OTHER(C2)-A11'!E73</f>
        <v>0</v>
      </c>
      <c r="F15" s="240">
        <f>'OTHER(C2)-A11'!F44-'OTHER(C2)-A11'!F73</f>
        <v>0</v>
      </c>
      <c r="G15" s="240">
        <f>'OTHER(C2)-A11'!G44-'OTHER(C2)-A11'!G73</f>
        <v>0</v>
      </c>
      <c r="H15" s="240">
        <f>'OTHER(C2)-A11'!H44-'OTHER(C2)-A11'!H73</f>
        <v>0</v>
      </c>
      <c r="I15" s="240">
        <f>'OTHER(C2)-A11'!I44-'OTHER(C2)-A11'!I73</f>
        <v>0</v>
      </c>
      <c r="J15" s="240">
        <f>'OTHER(C2)-A11'!J44-'OTHER(C2)-A11'!J73</f>
        <v>0</v>
      </c>
      <c r="K15" s="241">
        <f>'OTHER(C2)-A11'!K44-'OTHER(C2)-A11'!K73</f>
        <v>0</v>
      </c>
      <c r="L15" s="242">
        <f>'OTHER(C2)-A11'!L44-'OTHER(C2)-A11'!L73</f>
        <v>0</v>
      </c>
      <c r="M15" s="240">
        <f>'OTHER(C2)-A11'!M44-'OTHER(C2)-A11'!M73</f>
        <v>0</v>
      </c>
      <c r="N15" s="240">
        <f>'OTHER(C2)-A11'!N44-'OTHER(C2)-A11'!N73</f>
        <v>0</v>
      </c>
      <c r="O15" s="240">
        <f>'OTHER(C2)-A11'!O44-'OTHER(C2)-A11'!O73</f>
        <v>0</v>
      </c>
      <c r="P15" s="240">
        <f>'OTHER(C2)-A11'!P44-'OTHER(C2)-A11'!P73</f>
        <v>0</v>
      </c>
      <c r="Q15" s="243">
        <f>'OTHER(C2)-A11'!Q44-'OTHER(C2)-A11'!Q73</f>
        <v>0</v>
      </c>
    </row>
    <row r="16" spans="2:19" ht="16.5" customHeight="1">
      <c r="B16" s="605" t="s">
        <v>441</v>
      </c>
      <c r="C16" s="606"/>
      <c r="D16" s="239">
        <f>'OTHER(C2)-A11'!D45-'OTHER(C2)-A11'!D74</f>
        <v>0</v>
      </c>
      <c r="E16" s="240">
        <f>'OTHER(C2)-A11'!E45-'OTHER(C2)-A11'!E74</f>
        <v>0</v>
      </c>
      <c r="F16" s="240">
        <f>'OTHER(C2)-A11'!F45-'OTHER(C2)-A11'!F74</f>
        <v>0</v>
      </c>
      <c r="G16" s="240">
        <f>'OTHER(C2)-A11'!G45-'OTHER(C2)-A11'!G74</f>
        <v>0</v>
      </c>
      <c r="H16" s="240">
        <f>'OTHER(C2)-A11'!H45-'OTHER(C2)-A11'!H74</f>
        <v>0</v>
      </c>
      <c r="I16" s="240">
        <f>'OTHER(C2)-A11'!I45-'OTHER(C2)-A11'!I74</f>
        <v>0</v>
      </c>
      <c r="J16" s="240">
        <f>'OTHER(C2)-A11'!J45-'OTHER(C2)-A11'!J74</f>
        <v>0</v>
      </c>
      <c r="K16" s="241">
        <f>'OTHER(C2)-A11'!K45-'OTHER(C2)-A11'!K74</f>
        <v>0</v>
      </c>
      <c r="L16" s="242">
        <f>'OTHER(C2)-A11'!L45-'OTHER(C2)-A11'!L74</f>
        <v>0</v>
      </c>
      <c r="M16" s="240">
        <f>'OTHER(C2)-A11'!M45-'OTHER(C2)-A11'!M74</f>
        <v>0</v>
      </c>
      <c r="N16" s="240">
        <f>'OTHER(C2)-A11'!N45-'OTHER(C2)-A11'!N74</f>
        <v>0</v>
      </c>
      <c r="O16" s="240">
        <f>'OTHER(C2)-A11'!O45-'OTHER(C2)-A11'!O74</f>
        <v>0</v>
      </c>
      <c r="P16" s="240">
        <f>'OTHER(C2)-A11'!P45-'OTHER(C2)-A11'!P74</f>
        <v>0</v>
      </c>
      <c r="Q16" s="243">
        <f>'OTHER(C2)-A11'!Q45-'OTHER(C2)-A11'!Q74</f>
        <v>0</v>
      </c>
    </row>
    <row r="17" spans="2:17" ht="16.5" customHeight="1">
      <c r="B17" s="605" t="s">
        <v>442</v>
      </c>
      <c r="C17" s="606"/>
      <c r="D17" s="239">
        <f>'OTHER(C2)-A11'!D46-'OTHER(C2)-A11'!D75</f>
        <v>-134</v>
      </c>
      <c r="E17" s="240">
        <f>'OTHER(C2)-A11'!E46-'OTHER(C2)-A11'!E75</f>
        <v>-143</v>
      </c>
      <c r="F17" s="240">
        <f>'OTHER(C2)-A11'!F46-'OTHER(C2)-A11'!F75</f>
        <v>-152</v>
      </c>
      <c r="G17" s="240">
        <f>'OTHER(C2)-A11'!G46-'OTHER(C2)-A11'!G75</f>
        <v>-163</v>
      </c>
      <c r="H17" s="240">
        <f>'OTHER(C2)-A11'!H46-'OTHER(C2)-A11'!H75</f>
        <v>-174</v>
      </c>
      <c r="I17" s="240">
        <f>'OTHER(C2)-A11'!I46-'OTHER(C2)-A11'!I75</f>
        <v>-185</v>
      </c>
      <c r="J17" s="240">
        <f>'OTHER(C2)-A11'!J46-'OTHER(C2)-A11'!J75</f>
        <v>-196</v>
      </c>
      <c r="K17" s="241">
        <f>'OTHER(C2)-A11'!K46-'OTHER(C2)-A11'!K75</f>
        <v>-208</v>
      </c>
      <c r="L17" s="242">
        <f>'OTHER(C2)-A11'!L46-'OTHER(C2)-A11'!L75</f>
        <v>-220</v>
      </c>
      <c r="M17" s="240">
        <f>'OTHER(C2)-A11'!M46-'OTHER(C2)-A11'!M75</f>
        <v>-233</v>
      </c>
      <c r="N17" s="240">
        <f>'OTHER(C2)-A11'!N46-'OTHER(C2)-A11'!N75</f>
        <v>-247</v>
      </c>
      <c r="O17" s="240">
        <f>'OTHER(C2)-A11'!O46-'OTHER(C2)-A11'!O75</f>
        <v>-262</v>
      </c>
      <c r="P17" s="240">
        <f>'OTHER(C2)-A11'!P46-'OTHER(C2)-A11'!P75</f>
        <v>-280</v>
      </c>
      <c r="Q17" s="243">
        <f>'OTHER(C2)-A11'!Q46-'OTHER(C2)-A11'!Q75</f>
        <v>-296</v>
      </c>
    </row>
    <row r="18" spans="2:17" ht="16.5" customHeight="1">
      <c r="B18" s="607" t="s">
        <v>443</v>
      </c>
      <c r="C18" s="608"/>
      <c r="D18" s="239">
        <f>'OTHER(C2)-A11'!D47-'OTHER(C2)-A11'!D76</f>
        <v>135.13599999999974</v>
      </c>
      <c r="E18" s="240">
        <f>'OTHER(C2)-A11'!E47-'OTHER(C2)-A11'!E76</f>
        <v>26.709000000000515</v>
      </c>
      <c r="F18" s="240">
        <f>'OTHER(C2)-A11'!F47-'OTHER(C2)-A11'!F76</f>
        <v>55.540999999999258</v>
      </c>
      <c r="G18" s="240">
        <f>'OTHER(C2)-A11'!G47-'OTHER(C2)-A11'!G76</f>
        <v>5.1920000000000073</v>
      </c>
      <c r="H18" s="240">
        <f>'OTHER(C2)-A11'!H47-'OTHER(C2)-A11'!H76</f>
        <v>110.51433333333171</v>
      </c>
      <c r="I18" s="240">
        <f>'OTHER(C2)-A11'!I47-'OTHER(C2)-A11'!I76</f>
        <v>123.24600000000009</v>
      </c>
      <c r="J18" s="240">
        <f>'OTHER(C2)-A11'!J47-'OTHER(C2)-A11'!J76</f>
        <v>95.846000000000458</v>
      </c>
      <c r="K18" s="241">
        <f>'OTHER(C2)-A11'!K47-'OTHER(C2)-A11'!K76</f>
        <v>88.570999999999913</v>
      </c>
      <c r="L18" s="242">
        <f>'OTHER(C2)-A11'!L47-'OTHER(C2)-A11'!L76</f>
        <v>72.590000000000146</v>
      </c>
      <c r="M18" s="240">
        <f>'OTHER(C2)-A11'!M47-'OTHER(C2)-A11'!M76</f>
        <v>85.66900000000021</v>
      </c>
      <c r="N18" s="240">
        <f>'OTHER(C2)-A11'!N47-'OTHER(C2)-A11'!N76</f>
        <v>85.669000000000096</v>
      </c>
      <c r="O18" s="240">
        <f>'OTHER(C2)-A11'!O47-'OTHER(C2)-A11'!O76</f>
        <v>85.669000000000096</v>
      </c>
      <c r="P18" s="240">
        <f>'OTHER(C2)-A11'!P47-'OTHER(C2)-A11'!P76</f>
        <v>85.66900000000021</v>
      </c>
      <c r="Q18" s="243">
        <f>'OTHER(C2)-A11'!Q47-'OTHER(C2)-A11'!Q76</f>
        <v>85.669000000000096</v>
      </c>
    </row>
    <row r="19" spans="2:17" ht="17.25" customHeight="1">
      <c r="B19" s="620" t="s">
        <v>307</v>
      </c>
      <c r="C19" s="621"/>
      <c r="D19" s="244">
        <f t="shared" ref="D19:K19" si="0">SUM(D7:D18)</f>
        <v>143.13599999999974</v>
      </c>
      <c r="E19" s="245">
        <f t="shared" si="0"/>
        <v>107.64696000000055</v>
      </c>
      <c r="F19" s="245">
        <f t="shared" si="0"/>
        <v>221.83574847999921</v>
      </c>
      <c r="G19" s="245">
        <f t="shared" si="0"/>
        <v>384.30808892224002</v>
      </c>
      <c r="H19" s="245">
        <f t="shared" si="0"/>
        <v>570.42295383431667</v>
      </c>
      <c r="I19" s="245">
        <f t="shared" si="0"/>
        <v>468.39924666666673</v>
      </c>
      <c r="J19" s="245">
        <f t="shared" si="0"/>
        <v>378.84600000000046</v>
      </c>
      <c r="K19" s="246">
        <f t="shared" si="0"/>
        <v>450.57099999999991</v>
      </c>
      <c r="L19" s="247">
        <f t="shared" ref="L19:Q19" si="1">SUM(L7:L18)</f>
        <v>410.59000000000015</v>
      </c>
      <c r="M19" s="245">
        <f t="shared" si="1"/>
        <v>411.66900000000021</v>
      </c>
      <c r="N19" s="245">
        <f t="shared" si="1"/>
        <v>419.6690000000001</v>
      </c>
      <c r="O19" s="245">
        <f t="shared" si="1"/>
        <v>402.6690000000001</v>
      </c>
      <c r="P19" s="245">
        <f t="shared" si="1"/>
        <v>593.66900000000021</v>
      </c>
      <c r="Q19" s="248">
        <f t="shared" si="1"/>
        <v>577.6690000000001</v>
      </c>
    </row>
    <row r="20" spans="2:17" ht="17.25" customHeight="1">
      <c r="B20" s="609" t="s">
        <v>308</v>
      </c>
      <c r="C20" s="610"/>
      <c r="D20" s="244">
        <f>'OTHER(C2)-A11'!D49-'OTHER(C2)-A11'!D78</f>
        <v>-65.863</v>
      </c>
      <c r="E20" s="245">
        <f>'OTHER(C2)-A11'!E49-'OTHER(C2)-A11'!E78</f>
        <v>-37.635999999999996</v>
      </c>
      <c r="F20" s="245">
        <f>'OTHER(C2)-A11'!F49-'OTHER(C2)-A11'!F78</f>
        <v>-38</v>
      </c>
      <c r="G20" s="245">
        <f>'OTHER(C2)-A11'!G49-'OTHER(C2)-A11'!G78</f>
        <v>-37.635999999999996</v>
      </c>
      <c r="H20" s="245">
        <f>'OTHER(C2)-A11'!H49-'OTHER(C2)-A11'!H78</f>
        <v>-37.635999999999996</v>
      </c>
      <c r="I20" s="245">
        <f>'OTHER(C2)-A11'!I49-'OTHER(C2)-A11'!I78</f>
        <v>-38</v>
      </c>
      <c r="J20" s="245">
        <f>'OTHER(C2)-A11'!J49-'OTHER(C2)-A11'!J78</f>
        <v>-34</v>
      </c>
      <c r="K20" s="246">
        <f>'OTHER(C2)-A11'!K49-'OTHER(C2)-A11'!K78</f>
        <v>-35</v>
      </c>
      <c r="L20" s="247">
        <f>'OTHER(C2)-A11'!L49-'OTHER(C2)-A11'!L78</f>
        <v>-36</v>
      </c>
      <c r="M20" s="245">
        <f>'OTHER(C2)-A11'!M49-'OTHER(C2)-A11'!M78</f>
        <v>-37</v>
      </c>
      <c r="N20" s="245">
        <f>'OTHER(C2)-A11'!N49-'OTHER(C2)-A11'!N78</f>
        <v>-38</v>
      </c>
      <c r="O20" s="245">
        <f>'OTHER(C2)-A11'!O49-'OTHER(C2)-A11'!O78</f>
        <v>-39</v>
      </c>
      <c r="P20" s="245">
        <f>'OTHER(C2)-A11'!P49-'OTHER(C2)-A11'!P78</f>
        <v>-40</v>
      </c>
      <c r="Q20" s="248">
        <f>'OTHER(C2)-A11'!Q49-'OTHER(C2)-A11'!Q78</f>
        <v>-41</v>
      </c>
    </row>
    <row r="21" spans="2:17" ht="16.5" customHeight="1">
      <c r="B21" s="105"/>
      <c r="C21" s="97" t="s">
        <v>309</v>
      </c>
      <c r="D21" s="244">
        <f>'OTHER(C2)-A11'!D50-'OTHER(C2)-A11'!D79</f>
        <v>-37.635999999999996</v>
      </c>
      <c r="E21" s="245">
        <f>'OTHER(C2)-A11'!E50-'OTHER(C2)-A11'!E79</f>
        <v>-37.635999999999996</v>
      </c>
      <c r="F21" s="245">
        <f>'OTHER(C2)-A11'!F50-'OTHER(C2)-A11'!F79</f>
        <v>-37.635999999999996</v>
      </c>
      <c r="G21" s="245">
        <f>'OTHER(C2)-A11'!G50-'OTHER(C2)-A11'!G79</f>
        <v>-37.635999999999996</v>
      </c>
      <c r="H21" s="245">
        <f>'OTHER(C2)-A11'!H50-'OTHER(C2)-A11'!H79</f>
        <v>-37.635999999999996</v>
      </c>
      <c r="I21" s="245">
        <f>'OTHER(C2)-A11'!I50-'OTHER(C2)-A11'!I79</f>
        <v>-38</v>
      </c>
      <c r="J21" s="245">
        <f>'OTHER(C2)-A11'!J50-'OTHER(C2)-A11'!J79</f>
        <v>-34</v>
      </c>
      <c r="K21" s="246">
        <f>'OTHER(C2)-A11'!K50-'OTHER(C2)-A11'!K79</f>
        <v>-35</v>
      </c>
      <c r="L21" s="247">
        <f>'OTHER(C2)-A11'!L50-'OTHER(C2)-A11'!L79</f>
        <v>-36</v>
      </c>
      <c r="M21" s="245">
        <f>'OTHER(C2)-A11'!M50-'OTHER(C2)-A11'!M79</f>
        <v>-37</v>
      </c>
      <c r="N21" s="245">
        <f>'OTHER(C2)-A11'!N50-'OTHER(C2)-A11'!N79</f>
        <v>-38</v>
      </c>
      <c r="O21" s="245">
        <f>'OTHER(C2)-A11'!O50-'OTHER(C2)-A11'!O79</f>
        <v>-39</v>
      </c>
      <c r="P21" s="245">
        <f>'OTHER(C2)-A11'!P50-'OTHER(C2)-A11'!P79</f>
        <v>-40</v>
      </c>
      <c r="Q21" s="248">
        <f>'OTHER(C2)-A11'!Q50-'OTHER(C2)-A11'!Q79</f>
        <v>-41</v>
      </c>
    </row>
    <row r="22" spans="2:17" ht="17.25" customHeight="1">
      <c r="B22" s="609" t="s">
        <v>310</v>
      </c>
      <c r="C22" s="610"/>
      <c r="D22" s="239">
        <f>'OTHER(C2)-A11'!D51-'OTHER(C2)-A11'!D80</f>
        <v>-10</v>
      </c>
      <c r="E22" s="240">
        <f>'OTHER(C2)-A11'!E51-'OTHER(C2)-A11'!E80</f>
        <v>23</v>
      </c>
      <c r="F22" s="240">
        <f>'OTHER(C2)-A11'!F51-'OTHER(C2)-A11'!F80</f>
        <v>10</v>
      </c>
      <c r="G22" s="240">
        <f>'OTHER(C2)-A11'!G51-'OTHER(C2)-A11'!G80</f>
        <v>18</v>
      </c>
      <c r="H22" s="240">
        <f>'OTHER(C2)-A11'!H51-'OTHER(C2)-A11'!H80</f>
        <v>9</v>
      </c>
      <c r="I22" s="240">
        <f>'OTHER(C2)-A11'!I51-'OTHER(C2)-A11'!I80</f>
        <v>-28</v>
      </c>
      <c r="J22" s="240">
        <f>'OTHER(C2)-A11'!J51-'OTHER(C2)-A11'!J80</f>
        <v>-21</v>
      </c>
      <c r="K22" s="241">
        <f>'OTHER(C2)-A11'!K51-'OTHER(C2)-A11'!K80</f>
        <v>-5</v>
      </c>
      <c r="L22" s="242">
        <f>'OTHER(C2)-A11'!L51-'OTHER(C2)-A11'!L80</f>
        <v>-9</v>
      </c>
      <c r="M22" s="240">
        <f>'OTHER(C2)-A11'!M51-'OTHER(C2)-A11'!M80</f>
        <v>-17</v>
      </c>
      <c r="N22" s="240">
        <f>'OTHER(C2)-A11'!N51-'OTHER(C2)-A11'!N80</f>
        <v>-17</v>
      </c>
      <c r="O22" s="240">
        <f>'OTHER(C2)-A11'!O51-'OTHER(C2)-A11'!O80</f>
        <v>-17</v>
      </c>
      <c r="P22" s="240">
        <f>'OTHER(C2)-A11'!P51-'OTHER(C2)-A11'!P80</f>
        <v>-17</v>
      </c>
      <c r="Q22" s="243">
        <f>'OTHER(C2)-A11'!Q51-'OTHER(C2)-A11'!Q80</f>
        <v>-17</v>
      </c>
    </row>
    <row r="23" spans="2:17" ht="16.5" customHeight="1">
      <c r="B23" s="105"/>
      <c r="C23" s="615" t="s">
        <v>311</v>
      </c>
      <c r="D23" s="244">
        <f>'OTHER(C2)-A11'!D52-'OTHER(C2)-A11'!D81</f>
        <v>0</v>
      </c>
      <c r="E23" s="245">
        <f>'OTHER(C2)-A11'!E52-'OTHER(C2)-A11'!E81</f>
        <v>36</v>
      </c>
      <c r="F23" s="245">
        <f>'OTHER(C2)-A11'!F52-'OTHER(C2)-A11'!F81</f>
        <v>54</v>
      </c>
      <c r="G23" s="245">
        <f>'OTHER(C2)-A11'!G52-'OTHER(C2)-A11'!G81</f>
        <v>26</v>
      </c>
      <c r="H23" s="245">
        <f>'OTHER(C2)-A11'!H52-'OTHER(C2)-A11'!H81</f>
        <v>35</v>
      </c>
      <c r="I23" s="245">
        <f>'OTHER(C2)-A11'!I52-'OTHER(C2)-A11'!I81</f>
        <v>-3</v>
      </c>
      <c r="J23" s="245">
        <f>'OTHER(C2)-A11'!J52-'OTHER(C2)-A11'!J81</f>
        <v>1</v>
      </c>
      <c r="K23" s="246">
        <f>'OTHER(C2)-A11'!K52-'OTHER(C2)-A11'!K81</f>
        <v>16</v>
      </c>
      <c r="L23" s="247">
        <f>'OTHER(C2)-A11'!L52-'OTHER(C2)-A11'!L81</f>
        <v>12</v>
      </c>
      <c r="M23" s="245">
        <f>'OTHER(C2)-A11'!M52-'OTHER(C2)-A11'!M81</f>
        <v>5</v>
      </c>
      <c r="N23" s="245">
        <f>'OTHER(C2)-A11'!N52-'OTHER(C2)-A11'!N81</f>
        <v>5</v>
      </c>
      <c r="O23" s="245">
        <f>'OTHER(C2)-A11'!O52-'OTHER(C2)-A11'!O81</f>
        <v>5</v>
      </c>
      <c r="P23" s="245">
        <f>'OTHER(C2)-A11'!P52-'OTHER(C2)-A11'!P81</f>
        <v>5</v>
      </c>
      <c r="Q23" s="248">
        <f>'OTHER(C2)-A11'!Q52-'OTHER(C2)-A11'!Q81</f>
        <v>5</v>
      </c>
    </row>
    <row r="24" spans="2:17" ht="17.25" customHeight="1">
      <c r="B24" s="609" t="s">
        <v>312</v>
      </c>
      <c r="C24" s="610"/>
      <c r="D24" s="239">
        <f>'OTHER(C2)-A11'!D53-'OTHER(C2)-A11'!D82</f>
        <v>0</v>
      </c>
      <c r="E24" s="240">
        <f>'OTHER(C2)-A11'!E53-'OTHER(C2)-A11'!E82</f>
        <v>0</v>
      </c>
      <c r="F24" s="240">
        <f>'OTHER(C2)-A11'!F53-'OTHER(C2)-A11'!F82</f>
        <v>0</v>
      </c>
      <c r="G24" s="240">
        <f>'OTHER(C2)-A11'!G53-'OTHER(C2)-A11'!G82</f>
        <v>0</v>
      </c>
      <c r="H24" s="240">
        <f>'OTHER(C2)-A11'!H53-'OTHER(C2)-A11'!H82</f>
        <v>0</v>
      </c>
      <c r="I24" s="240">
        <f>'OTHER(C2)-A11'!I53-'OTHER(C2)-A11'!I82</f>
        <v>0</v>
      </c>
      <c r="J24" s="240">
        <f>'OTHER(C2)-A11'!J53-'OTHER(C2)-A11'!J82</f>
        <v>0</v>
      </c>
      <c r="K24" s="241">
        <f>'OTHER(C2)-A11'!K53-'OTHER(C2)-A11'!K82</f>
        <v>0</v>
      </c>
      <c r="L24" s="242">
        <f>'OTHER(C2)-A11'!L53-'OTHER(C2)-A11'!L82</f>
        <v>0</v>
      </c>
      <c r="M24" s="240">
        <f>'OTHER(C2)-A11'!M53-'OTHER(C2)-A11'!M82</f>
        <v>0</v>
      </c>
      <c r="N24" s="240">
        <f>'OTHER(C2)-A11'!N53-'OTHER(C2)-A11'!N82</f>
        <v>0</v>
      </c>
      <c r="O24" s="240">
        <f>'OTHER(C2)-A11'!O53-'OTHER(C2)-A11'!O82</f>
        <v>0</v>
      </c>
      <c r="P24" s="240">
        <f>'OTHER(C2)-A11'!P53-'OTHER(C2)-A11'!P82</f>
        <v>0</v>
      </c>
      <c r="Q24" s="243">
        <f>'OTHER(C2)-A11'!Q53-'OTHER(C2)-A11'!Q82</f>
        <v>0</v>
      </c>
    </row>
    <row r="25" spans="2:17" ht="16.5" customHeight="1">
      <c r="B25" s="16"/>
      <c r="C25" s="615" t="s">
        <v>313</v>
      </c>
      <c r="D25" s="244">
        <f>'OTHER(C2)-A11'!D54-'OTHER(C2)-A11'!D83</f>
        <v>0</v>
      </c>
      <c r="E25" s="245">
        <f>'OTHER(C2)-A11'!E54-'OTHER(C2)-A11'!E83</f>
        <v>0</v>
      </c>
      <c r="F25" s="245">
        <f>'OTHER(C2)-A11'!F54-'OTHER(C2)-A11'!F83</f>
        <v>0</v>
      </c>
      <c r="G25" s="245">
        <f>'OTHER(C2)-A11'!G54-'OTHER(C2)-A11'!G83</f>
        <v>0</v>
      </c>
      <c r="H25" s="245">
        <f>'OTHER(C2)-A11'!H54-'OTHER(C2)-A11'!H83</f>
        <v>0</v>
      </c>
      <c r="I25" s="245">
        <f>'OTHER(C2)-A11'!I54-'OTHER(C2)-A11'!I83</f>
        <v>0</v>
      </c>
      <c r="J25" s="245">
        <f>'OTHER(C2)-A11'!J54-'OTHER(C2)-A11'!J83</f>
        <v>0</v>
      </c>
      <c r="K25" s="246">
        <f>'OTHER(C2)-A11'!K54-'OTHER(C2)-A11'!K83</f>
        <v>0</v>
      </c>
      <c r="L25" s="247">
        <f>'OTHER(C2)-A11'!L54-'OTHER(C2)-A11'!L83</f>
        <v>0</v>
      </c>
      <c r="M25" s="245">
        <f>'OTHER(C2)-A11'!M54-'OTHER(C2)-A11'!M83</f>
        <v>0</v>
      </c>
      <c r="N25" s="245">
        <f>'OTHER(C2)-A11'!N54-'OTHER(C2)-A11'!N83</f>
        <v>0</v>
      </c>
      <c r="O25" s="245">
        <f>'OTHER(C2)-A11'!O54-'OTHER(C2)-A11'!O83</f>
        <v>0</v>
      </c>
      <c r="P25" s="245">
        <f>'OTHER(C2)-A11'!P54-'OTHER(C2)-A11'!P83</f>
        <v>0</v>
      </c>
      <c r="Q25" s="248">
        <f>'OTHER(C2)-A11'!Q54-'OTHER(C2)-A11'!Q83</f>
        <v>0</v>
      </c>
    </row>
    <row r="26" spans="2:17" ht="17.25" customHeight="1">
      <c r="B26" s="620" t="s">
        <v>314</v>
      </c>
      <c r="C26" s="621"/>
      <c r="D26" s="244">
        <f>'OTHER(C2)-A11'!D55-'OTHER(C2)-A11'!D84</f>
        <v>0</v>
      </c>
      <c r="E26" s="245">
        <f>'OTHER(C2)-A11'!E55-'OTHER(C2)-A11'!E84</f>
        <v>0</v>
      </c>
      <c r="F26" s="245">
        <f>'OTHER(C2)-A11'!F55-'OTHER(C2)-A11'!F84</f>
        <v>-20</v>
      </c>
      <c r="G26" s="245">
        <f>'OTHER(C2)-A11'!G55-'OTHER(C2)-A11'!G84</f>
        <v>0</v>
      </c>
      <c r="H26" s="245">
        <f>'OTHER(C2)-A11'!H55-'OTHER(C2)-A11'!H84</f>
        <v>0</v>
      </c>
      <c r="I26" s="245">
        <f>'OTHER(C2)-A11'!I55-'OTHER(C2)-A11'!I84</f>
        <v>0</v>
      </c>
      <c r="J26" s="245">
        <f>'OTHER(C2)-A11'!J55-'OTHER(C2)-A11'!J84</f>
        <v>0</v>
      </c>
      <c r="K26" s="246">
        <f>'OTHER(C2)-A11'!K55-'OTHER(C2)-A11'!K84</f>
        <v>0</v>
      </c>
      <c r="L26" s="247">
        <f>'OTHER(C2)-A11'!L55-'OTHER(C2)-A11'!L84</f>
        <v>0</v>
      </c>
      <c r="M26" s="245">
        <f>'OTHER(C2)-A11'!M55-'OTHER(C2)-A11'!M84</f>
        <v>0</v>
      </c>
      <c r="N26" s="245">
        <f>'OTHER(C2)-A11'!N55-'OTHER(C2)-A11'!N84</f>
        <v>0</v>
      </c>
      <c r="O26" s="245">
        <f>'OTHER(C2)-A11'!O55-'OTHER(C2)-A11'!O84</f>
        <v>0</v>
      </c>
      <c r="P26" s="245">
        <f>'OTHER(C2)-A11'!P55-'OTHER(C2)-A11'!P84</f>
        <v>0</v>
      </c>
      <c r="Q26" s="248">
        <f>'OTHER(C2)-A11'!Q55-'OTHER(C2)-A11'!Q84</f>
        <v>0</v>
      </c>
    </row>
    <row r="27" spans="2:17" ht="17.25" customHeight="1">
      <c r="B27" s="620" t="s">
        <v>315</v>
      </c>
      <c r="C27" s="621"/>
      <c r="D27" s="244">
        <f>'OTHER(C2)-A11'!D56-'OTHER(C2)-A11'!D85</f>
        <v>0</v>
      </c>
      <c r="E27" s="245">
        <f>'OTHER(C2)-A11'!E56-'OTHER(C2)-A11'!E85</f>
        <v>0</v>
      </c>
      <c r="F27" s="245">
        <f>'OTHER(C2)-A11'!F56-'OTHER(C2)-A11'!F85</f>
        <v>0</v>
      </c>
      <c r="G27" s="245">
        <f>'OTHER(C2)-A11'!G56-'OTHER(C2)-A11'!G85</f>
        <v>0</v>
      </c>
      <c r="H27" s="245">
        <f>'OTHER(C2)-A11'!H56-'OTHER(C2)-A11'!H85</f>
        <v>0</v>
      </c>
      <c r="I27" s="245">
        <f>'OTHER(C2)-A11'!I56-'OTHER(C2)-A11'!I85</f>
        <v>0</v>
      </c>
      <c r="J27" s="245">
        <f>'OTHER(C2)-A11'!J56-'OTHER(C2)-A11'!J85</f>
        <v>0</v>
      </c>
      <c r="K27" s="246">
        <f>'OTHER(C2)-A11'!K56-'OTHER(C2)-A11'!K85</f>
        <v>29</v>
      </c>
      <c r="L27" s="247">
        <f>'OTHER(C2)-A11'!L56-'OTHER(C2)-A11'!L85</f>
        <v>29</v>
      </c>
      <c r="M27" s="245">
        <f>'OTHER(C2)-A11'!M56-'OTHER(C2)-A11'!M85</f>
        <v>30</v>
      </c>
      <c r="N27" s="245">
        <f>'OTHER(C2)-A11'!N56-'OTHER(C2)-A11'!N85</f>
        <v>30</v>
      </c>
      <c r="O27" s="245">
        <f>'OTHER(C2)-A11'!O56-'OTHER(C2)-A11'!O85</f>
        <v>31</v>
      </c>
      <c r="P27" s="245">
        <f>'OTHER(C2)-A11'!P56-'OTHER(C2)-A11'!P85</f>
        <v>32</v>
      </c>
      <c r="Q27" s="248">
        <f>'OTHER(C2)-A11'!Q56-'OTHER(C2)-A11'!Q85</f>
        <v>32</v>
      </c>
    </row>
    <row r="28" spans="2:17" ht="16.5" customHeight="1">
      <c r="B28" s="609" t="s">
        <v>316</v>
      </c>
      <c r="C28" s="610"/>
      <c r="D28" s="239">
        <f>'OTHER(C2)-A11'!D57-'OTHER(C2)-A11'!D86</f>
        <v>0</v>
      </c>
      <c r="E28" s="240">
        <f>'OTHER(C2)-A11'!E57-'OTHER(C2)-A11'!E86</f>
        <v>0</v>
      </c>
      <c r="F28" s="240">
        <f>'OTHER(C2)-A11'!F57-'OTHER(C2)-A11'!F86</f>
        <v>0</v>
      </c>
      <c r="G28" s="240">
        <f>'OTHER(C2)-A11'!G57-'OTHER(C2)-A11'!G86</f>
        <v>415</v>
      </c>
      <c r="H28" s="240">
        <f>'OTHER(C2)-A11'!H57-'OTHER(C2)-A11'!H86</f>
        <v>370</v>
      </c>
      <c r="I28" s="240">
        <f>'OTHER(C2)-A11'!I57-'OTHER(C2)-A11'!I86</f>
        <v>324</v>
      </c>
      <c r="J28" s="240">
        <f>'OTHER(C2)-A11'!J57-'OTHER(C2)-A11'!J86</f>
        <v>278</v>
      </c>
      <c r="K28" s="241">
        <f>'OTHER(C2)-A11'!K57-'OTHER(C2)-A11'!K86</f>
        <v>179</v>
      </c>
      <c r="L28" s="242">
        <f>'OTHER(C2)-A11'!L57-'OTHER(C2)-A11'!L86</f>
        <v>60</v>
      </c>
      <c r="M28" s="240">
        <f>'OTHER(C2)-A11'!M57-'OTHER(C2)-A11'!M86</f>
        <v>-54</v>
      </c>
      <c r="N28" s="240">
        <f>'OTHER(C2)-A11'!N57-'OTHER(C2)-A11'!N86</f>
        <v>-136</v>
      </c>
      <c r="O28" s="240">
        <f>'OTHER(C2)-A11'!O57-'OTHER(C2)-A11'!O86</f>
        <v>-217</v>
      </c>
      <c r="P28" s="240">
        <f>'OTHER(C2)-A11'!P57-'OTHER(C2)-A11'!P86</f>
        <v>-298</v>
      </c>
      <c r="Q28" s="243">
        <f>'OTHER(C2)-A11'!Q57-'OTHER(C2)-A11'!Q86</f>
        <v>-365</v>
      </c>
    </row>
    <row r="29" spans="2:17" ht="16.5" customHeight="1">
      <c r="B29" s="607" t="s">
        <v>317</v>
      </c>
      <c r="C29" s="608"/>
      <c r="D29" s="239">
        <f>'OTHER(C2)-A11'!D58-'OTHER(C2)-A11'!D87</f>
        <v>0</v>
      </c>
      <c r="E29" s="240">
        <f>'OTHER(C2)-A11'!E58-'OTHER(C2)-A11'!E87</f>
        <v>0.51362802459525625</v>
      </c>
      <c r="F29" s="240">
        <f>'OTHER(C2)-A11'!F58-'OTHER(C2)-A11'!F87</f>
        <v>-4</v>
      </c>
      <c r="G29" s="240">
        <f>'OTHER(C2)-A11'!G58-'OTHER(C2)-A11'!G87</f>
        <v>1.5568024316386371</v>
      </c>
      <c r="H29" s="240">
        <f>'OTHER(C2)-A11'!H58-'OTHER(C2)-A11'!H87</f>
        <v>2.0901544681132123</v>
      </c>
      <c r="I29" s="240">
        <f>'OTHER(C2)-A11'!I58-'OTHER(C2)-A11'!I87</f>
        <v>0</v>
      </c>
      <c r="J29" s="240">
        <f>'OTHER(C2)-A11'!J58-'OTHER(C2)-A11'!J87</f>
        <v>-0.79999999999999716</v>
      </c>
      <c r="K29" s="241">
        <f>'OTHER(C2)-A11'!K58-'OTHER(C2)-A11'!K87</f>
        <v>-1.7999999999999972</v>
      </c>
      <c r="L29" s="242">
        <f>'OTHER(C2)-A11'!L58-'OTHER(C2)-A11'!L87</f>
        <v>-2.7999999999999972</v>
      </c>
      <c r="M29" s="240">
        <f>'OTHER(C2)-A11'!M58-'OTHER(C2)-A11'!M87</f>
        <v>-3.7999999999999972</v>
      </c>
      <c r="N29" s="240">
        <f>'OTHER(C2)-A11'!N58-'OTHER(C2)-A11'!N87</f>
        <v>-4.7999999999999972</v>
      </c>
      <c r="O29" s="240">
        <f>'OTHER(C2)-A11'!O58-'OTHER(C2)-A11'!O87</f>
        <v>-5.7999999999999972</v>
      </c>
      <c r="P29" s="240">
        <f>'OTHER(C2)-A11'!P58-'OTHER(C2)-A11'!P87</f>
        <v>-7</v>
      </c>
      <c r="Q29" s="243">
        <f>'OTHER(C2)-A11'!Q58-'OTHER(C2)-A11'!Q87</f>
        <v>-8</v>
      </c>
    </row>
    <row r="30" spans="2:17" ht="17.25" customHeight="1">
      <c r="B30" s="620" t="s">
        <v>318</v>
      </c>
      <c r="C30" s="621"/>
      <c r="D30" s="244">
        <f t="shared" ref="D30:K30" si="2">SUM(D28:D29)</f>
        <v>0</v>
      </c>
      <c r="E30" s="245">
        <f t="shared" si="2"/>
        <v>0.51362802459525625</v>
      </c>
      <c r="F30" s="245">
        <f t="shared" si="2"/>
        <v>-4</v>
      </c>
      <c r="G30" s="245">
        <f t="shared" si="2"/>
        <v>416.55680243163863</v>
      </c>
      <c r="H30" s="245">
        <f t="shared" si="2"/>
        <v>372.09015446811321</v>
      </c>
      <c r="I30" s="245">
        <f t="shared" si="2"/>
        <v>324</v>
      </c>
      <c r="J30" s="245">
        <f t="shared" si="2"/>
        <v>277.2</v>
      </c>
      <c r="K30" s="246">
        <f t="shared" si="2"/>
        <v>177.2</v>
      </c>
      <c r="L30" s="247">
        <f t="shared" ref="L30:Q30" si="3">SUM(L28:L29)</f>
        <v>57.2</v>
      </c>
      <c r="M30" s="245">
        <f t="shared" si="3"/>
        <v>-57.8</v>
      </c>
      <c r="N30" s="245">
        <f t="shared" si="3"/>
        <v>-140.80000000000001</v>
      </c>
      <c r="O30" s="245">
        <f t="shared" si="3"/>
        <v>-222.8</v>
      </c>
      <c r="P30" s="245">
        <f t="shared" si="3"/>
        <v>-305</v>
      </c>
      <c r="Q30" s="248">
        <f t="shared" si="3"/>
        <v>-373</v>
      </c>
    </row>
    <row r="31" spans="2:17" ht="16.5" customHeight="1">
      <c r="B31" s="609" t="s">
        <v>319</v>
      </c>
      <c r="C31" s="610"/>
      <c r="D31" s="239">
        <f>'OTHER(C2)-A11'!D60-'OTHER(C2)-A11'!D89</f>
        <v>219.55614999999995</v>
      </c>
      <c r="E31" s="240">
        <f>'OTHER(C2)-A11'!E60-'OTHER(C2)-A11'!E89</f>
        <v>228.84283449999992</v>
      </c>
      <c r="F31" s="240">
        <f>'OTHER(C2)-A11'!F60-'OTHER(C2)-A11'!F89</f>
        <v>0</v>
      </c>
      <c r="G31" s="240">
        <f>'OTHER(C2)-A11'!G60-'OTHER(C2)-A11'!G89</f>
        <v>2</v>
      </c>
      <c r="H31" s="240">
        <f>'OTHER(C2)-A11'!H60-'OTHER(C2)-A11'!H89</f>
        <v>4</v>
      </c>
      <c r="I31" s="240">
        <f>'OTHER(C2)-A11'!I60-'OTHER(C2)-A11'!I89</f>
        <v>0</v>
      </c>
      <c r="J31" s="240">
        <f>'OTHER(C2)-A11'!J60-'OTHER(C2)-A11'!J89</f>
        <v>0</v>
      </c>
      <c r="K31" s="241">
        <f>'OTHER(C2)-A11'!K60-'OTHER(C2)-A11'!K89</f>
        <v>-1</v>
      </c>
      <c r="L31" s="242">
        <f>'OTHER(C2)-A11'!L60-'OTHER(C2)-A11'!L89</f>
        <v>-3</v>
      </c>
      <c r="M31" s="240">
        <f>'OTHER(C2)-A11'!M60-'OTHER(C2)-A11'!M89</f>
        <v>-5</v>
      </c>
      <c r="N31" s="240">
        <f>'OTHER(C2)-A11'!N60-'OTHER(C2)-A11'!N89</f>
        <v>-7</v>
      </c>
      <c r="O31" s="240">
        <f>'OTHER(C2)-A11'!O60-'OTHER(C2)-A11'!O89</f>
        <v>-9</v>
      </c>
      <c r="P31" s="240">
        <f>'OTHER(C2)-A11'!P60-'OTHER(C2)-A11'!P89</f>
        <v>-11</v>
      </c>
      <c r="Q31" s="243">
        <f>'OTHER(C2)-A11'!Q60-'OTHER(C2)-A11'!Q89</f>
        <v>-14</v>
      </c>
    </row>
    <row r="32" spans="2:17" ht="16.5" customHeight="1">
      <c r="B32" s="605" t="s">
        <v>320</v>
      </c>
      <c r="C32" s="606"/>
      <c r="D32" s="239">
        <f>'OTHER(C2)-A11'!D61-'OTHER(C2)-A11'!D90</f>
        <v>0</v>
      </c>
      <c r="E32" s="240">
        <f>'OTHER(C2)-A11'!E61-'OTHER(C2)-A11'!E90</f>
        <v>0</v>
      </c>
      <c r="F32" s="240">
        <f>'OTHER(C2)-A11'!F61-'OTHER(C2)-A11'!F90</f>
        <v>0</v>
      </c>
      <c r="G32" s="240">
        <f>'OTHER(C2)-A11'!G61-'OTHER(C2)-A11'!G90</f>
        <v>0</v>
      </c>
      <c r="H32" s="240">
        <f>'OTHER(C2)-A11'!H61-'OTHER(C2)-A11'!H90</f>
        <v>0</v>
      </c>
      <c r="I32" s="240">
        <f>'OTHER(C2)-A11'!I61-'OTHER(C2)-A11'!I90</f>
        <v>0</v>
      </c>
      <c r="J32" s="240">
        <f>'OTHER(C2)-A11'!J61-'OTHER(C2)-A11'!J90</f>
        <v>0</v>
      </c>
      <c r="K32" s="241">
        <f>'OTHER(C2)-A11'!K61-'OTHER(C2)-A11'!K90</f>
        <v>-1</v>
      </c>
      <c r="L32" s="242">
        <f>'OTHER(C2)-A11'!L61-'OTHER(C2)-A11'!L90</f>
        <v>-3</v>
      </c>
      <c r="M32" s="240">
        <f>'OTHER(C2)-A11'!M61-'OTHER(C2)-A11'!M90</f>
        <v>-5</v>
      </c>
      <c r="N32" s="240">
        <f>'OTHER(C2)-A11'!N61-'OTHER(C2)-A11'!N90</f>
        <v>-7</v>
      </c>
      <c r="O32" s="240">
        <f>'OTHER(C2)-A11'!O61-'OTHER(C2)-A11'!O90</f>
        <v>-9</v>
      </c>
      <c r="P32" s="240">
        <f>'OTHER(C2)-A11'!P61-'OTHER(C2)-A11'!P90</f>
        <v>-11</v>
      </c>
      <c r="Q32" s="243">
        <f>'OTHER(C2)-A11'!Q61-'OTHER(C2)-A11'!Q90</f>
        <v>-13</v>
      </c>
    </row>
    <row r="33" spans="2:17" ht="16.5" customHeight="1">
      <c r="B33" s="607" t="s">
        <v>321</v>
      </c>
      <c r="C33" s="608"/>
      <c r="D33" s="239">
        <f>'OTHER(C2)-A11'!D62-'OTHER(C2)-A11'!D91</f>
        <v>0</v>
      </c>
      <c r="E33" s="240">
        <f>'OTHER(C2)-A11'!E62-'OTHER(C2)-A11'!E91</f>
        <v>0</v>
      </c>
      <c r="F33" s="240">
        <f>'OTHER(C2)-A11'!F62-'OTHER(C2)-A11'!F91</f>
        <v>0</v>
      </c>
      <c r="G33" s="240">
        <f>'OTHER(C2)-A11'!G62-'OTHER(C2)-A11'!G91</f>
        <v>0</v>
      </c>
      <c r="H33" s="240">
        <f>'OTHER(C2)-A11'!H62-'OTHER(C2)-A11'!H91</f>
        <v>0</v>
      </c>
      <c r="I33" s="240">
        <f>'OTHER(C2)-A11'!I62-'OTHER(C2)-A11'!I91</f>
        <v>0</v>
      </c>
      <c r="J33" s="240">
        <f>'OTHER(C2)-A11'!J62-'OTHER(C2)-A11'!J91</f>
        <v>-9.0602009368836889</v>
      </c>
      <c r="K33" s="241">
        <f>'OTHER(C2)-A11'!K62-'OTHER(C2)-A11'!K91</f>
        <v>-11</v>
      </c>
      <c r="L33" s="242">
        <f>'OTHER(C2)-A11'!L62-'OTHER(C2)-A11'!L91</f>
        <v>-14</v>
      </c>
      <c r="M33" s="240">
        <f>'OTHER(C2)-A11'!M62-'OTHER(C2)-A11'!M91</f>
        <v>-18</v>
      </c>
      <c r="N33" s="240">
        <f>'OTHER(C2)-A11'!N62-'OTHER(C2)-A11'!N91</f>
        <v>-23</v>
      </c>
      <c r="O33" s="240">
        <f>'OTHER(C2)-A11'!O62-'OTHER(C2)-A11'!O91</f>
        <v>-28</v>
      </c>
      <c r="P33" s="240">
        <f>'OTHER(C2)-A11'!P62-'OTHER(C2)-A11'!P91</f>
        <v>-33</v>
      </c>
      <c r="Q33" s="243">
        <f>'OTHER(C2)-A11'!Q62-'OTHER(C2)-A11'!Q91</f>
        <v>-39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219.55614999999995</v>
      </c>
      <c r="E34" s="250">
        <f t="shared" si="4"/>
        <v>228.84283449999992</v>
      </c>
      <c r="F34" s="250">
        <f t="shared" si="4"/>
        <v>0</v>
      </c>
      <c r="G34" s="250">
        <f t="shared" si="4"/>
        <v>2</v>
      </c>
      <c r="H34" s="250">
        <f t="shared" si="4"/>
        <v>4</v>
      </c>
      <c r="I34" s="250">
        <f t="shared" si="4"/>
        <v>0</v>
      </c>
      <c r="J34" s="250">
        <f t="shared" si="4"/>
        <v>-9.0602009368836889</v>
      </c>
      <c r="K34" s="251">
        <f t="shared" si="4"/>
        <v>-13</v>
      </c>
      <c r="L34" s="252">
        <f t="shared" ref="L34:Q34" si="5">SUM(L31:L33)</f>
        <v>-20</v>
      </c>
      <c r="M34" s="250">
        <f t="shared" si="5"/>
        <v>-28</v>
      </c>
      <c r="N34" s="250">
        <f t="shared" si="5"/>
        <v>-37</v>
      </c>
      <c r="O34" s="250">
        <f t="shared" si="5"/>
        <v>-46</v>
      </c>
      <c r="P34" s="250">
        <f t="shared" si="5"/>
        <v>-55</v>
      </c>
      <c r="Q34" s="253">
        <f t="shared" si="5"/>
        <v>-66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286.82914999999969</v>
      </c>
      <c r="E35" s="171">
        <f t="shared" ref="E35:Q35" si="6">SUM(E19+E20+E22+E24+E26+E27+E30+E34)</f>
        <v>322.36742252459572</v>
      </c>
      <c r="F35" s="171">
        <f t="shared" si="6"/>
        <v>169.83574847999921</v>
      </c>
      <c r="G35" s="171">
        <f t="shared" si="6"/>
        <v>783.22889135387868</v>
      </c>
      <c r="H35" s="171">
        <f t="shared" si="6"/>
        <v>917.87710830242986</v>
      </c>
      <c r="I35" s="171">
        <f t="shared" si="6"/>
        <v>726.39924666666673</v>
      </c>
      <c r="J35" s="171">
        <f t="shared" si="6"/>
        <v>591.98579906311681</v>
      </c>
      <c r="K35" s="173">
        <f t="shared" si="6"/>
        <v>603.77099999999996</v>
      </c>
      <c r="L35" s="172">
        <f t="shared" si="6"/>
        <v>431.79000000000013</v>
      </c>
      <c r="M35" s="171">
        <f t="shared" si="6"/>
        <v>301.8690000000002</v>
      </c>
      <c r="N35" s="171">
        <f t="shared" si="6"/>
        <v>216.86900000000009</v>
      </c>
      <c r="O35" s="171">
        <f t="shared" si="6"/>
        <v>108.86900000000009</v>
      </c>
      <c r="P35" s="171">
        <f t="shared" si="6"/>
        <v>208.66900000000021</v>
      </c>
      <c r="Q35" s="174">
        <f t="shared" si="6"/>
        <v>112.6690000000001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10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IF('OTHER(C2)-A11'!D7=0,"    -",ROUND('OTHER(C2)-A11'!D36/'OTHER(C2)-A11'!D7*100,1))</f>
        <v>100</v>
      </c>
      <c r="E43" s="58">
        <f>IF('OTHER(C2)-A11'!E7=0,"    -",ROUND('OTHER(C2)-A11'!E36/'OTHER(C2)-A11'!E7*100,1))</f>
        <v>100</v>
      </c>
      <c r="F43" s="58">
        <f>IF('OTHER(C2)-A11'!F7=0,"    -",ROUND('OTHER(C2)-A11'!F36/'OTHER(C2)-A11'!F7*100,1))</f>
        <v>100</v>
      </c>
      <c r="G43" s="58">
        <f>IF('OTHER(C2)-A11'!G7=0,"    -",ROUND('OTHER(C2)-A11'!G36/'OTHER(C2)-A11'!G7*100,1))</f>
        <v>100</v>
      </c>
      <c r="H43" s="58">
        <f>IF('OTHER(C2)-A11'!H7=0,"    -",ROUND('OTHER(C2)-A11'!H36/'OTHER(C2)-A11'!H7*100,1))</f>
        <v>100</v>
      </c>
      <c r="I43" s="58">
        <f>IF('OTHER(C2)-A11'!I7=0,"    -",ROUND('OTHER(C2)-A11'!I36/'OTHER(C2)-A11'!I7*100,1))</f>
        <v>100</v>
      </c>
      <c r="J43" s="58">
        <f>IF('OTHER(C2)-A11'!J7=0,"    -",ROUND('OTHER(C2)-A11'!J36/'OTHER(C2)-A11'!J7*100,1))</f>
        <v>100</v>
      </c>
      <c r="K43" s="59">
        <f>IF('OTHER(C2)-A11'!K7=0,"    -",ROUND('OTHER(C2)-A11'!K36/'OTHER(C2)-A11'!K7*100,1))</f>
        <v>83.3</v>
      </c>
      <c r="L43" s="60">
        <f>IF('OTHER(C2)-A11'!L7=0,"    -",ROUND('OTHER(C2)-A11'!L36/'OTHER(C2)-A11'!L7*100,1))</f>
        <v>83.3</v>
      </c>
      <c r="M43" s="58">
        <f>IF('OTHER(C2)-A11'!M7=0,"    -",ROUND('OTHER(C2)-A11'!M36/'OTHER(C2)-A11'!M7*100,1))</f>
        <v>83.3</v>
      </c>
      <c r="N43" s="58">
        <f>IF('OTHER(C2)-A11'!N7=0,"    -",ROUND('OTHER(C2)-A11'!N36/'OTHER(C2)-A11'!N7*100,1))</f>
        <v>71.400000000000006</v>
      </c>
      <c r="O43" s="58">
        <f>IF('OTHER(C2)-A11'!O7=0,"    -",ROUND('OTHER(C2)-A11'!O36/'OTHER(C2)-A11'!O7*100,1))</f>
        <v>85.7</v>
      </c>
      <c r="P43" s="58">
        <f>IF('OTHER(C2)-A11'!P7=0,"    -",ROUND('OTHER(C2)-A11'!P36/'OTHER(C2)-A11'!P7*100,1))</f>
        <v>90</v>
      </c>
      <c r="Q43" s="61">
        <f>IF('OTHER(C2)-A11'!Q7=0,"    -",ROUND('OTHER(C2)-A11'!Q36/'OTHER(C2)-A11'!Q7*100,1))</f>
        <v>90</v>
      </c>
    </row>
    <row r="44" spans="2:17" ht="16.5" customHeight="1">
      <c r="B44" s="605" t="s">
        <v>434</v>
      </c>
      <c r="C44" s="606"/>
      <c r="D44" s="57">
        <f>IF('OTHER(C2)-A11'!D8=0,"    -",ROUND('OTHER(C2)-A11'!D37/'OTHER(C2)-A11'!D8*100,1))</f>
        <v>38.4</v>
      </c>
      <c r="E44" s="58">
        <f>IF('OTHER(C2)-A11'!E8=0,"    -",ROUND('OTHER(C2)-A11'!E37/'OTHER(C2)-A11'!E8*100,1))</f>
        <v>38.4</v>
      </c>
      <c r="F44" s="58">
        <f>IF('OTHER(C2)-A11'!F8=0,"    -",ROUND('OTHER(C2)-A11'!F37/'OTHER(C2)-A11'!F8*100,1))</f>
        <v>40</v>
      </c>
      <c r="G44" s="58">
        <f>IF('OTHER(C2)-A11'!G8=0,"    -",ROUND('OTHER(C2)-A11'!G37/'OTHER(C2)-A11'!G8*100,1))</f>
        <v>40</v>
      </c>
      <c r="H44" s="58">
        <f>IF('OTHER(C2)-A11'!H8=0,"    -",ROUND('OTHER(C2)-A11'!H37/'OTHER(C2)-A11'!H8*100,1))</f>
        <v>40</v>
      </c>
      <c r="I44" s="58">
        <f>IF('OTHER(C2)-A11'!I8=0,"    -",ROUND('OTHER(C2)-A11'!I37/'OTHER(C2)-A11'!I8*100,1))</f>
        <v>40</v>
      </c>
      <c r="J44" s="58">
        <f>IF('OTHER(C2)-A11'!J8=0,"    -",ROUND('OTHER(C2)-A11'!J37/'OTHER(C2)-A11'!J8*100,1))</f>
        <v>40</v>
      </c>
      <c r="K44" s="59">
        <f>IF('OTHER(C2)-A11'!K8=0,"    -",ROUND('OTHER(C2)-A11'!K37/'OTHER(C2)-A11'!K8*100,1))</f>
        <v>37.5</v>
      </c>
      <c r="L44" s="60">
        <f>IF('OTHER(C2)-A11'!L8=0,"    -",ROUND('OTHER(C2)-A11'!L37/'OTHER(C2)-A11'!L8*100,1))</f>
        <v>37.5</v>
      </c>
      <c r="M44" s="58">
        <f>IF('OTHER(C2)-A11'!M8=0,"    -",ROUND('OTHER(C2)-A11'!M37/'OTHER(C2)-A11'!M8*100,1))</f>
        <v>37.5</v>
      </c>
      <c r="N44" s="58">
        <f>IF('OTHER(C2)-A11'!N8=0,"    -",ROUND('OTHER(C2)-A11'!N37/'OTHER(C2)-A11'!N8*100,1))</f>
        <v>37.5</v>
      </c>
      <c r="O44" s="58">
        <f>IF('OTHER(C2)-A11'!O8=0,"    -",ROUND('OTHER(C2)-A11'!O37/'OTHER(C2)-A11'!O8*100,1))</f>
        <v>37.5</v>
      </c>
      <c r="P44" s="58">
        <f>IF('OTHER(C2)-A11'!P8=0,"    -",ROUND('OTHER(C2)-A11'!P37/'OTHER(C2)-A11'!P8*100,1))</f>
        <v>37.5</v>
      </c>
      <c r="Q44" s="61">
        <f>IF('OTHER(C2)-A11'!Q8=0,"    -",ROUND('OTHER(C2)-A11'!Q37/'OTHER(C2)-A11'!Q8*100,1))</f>
        <v>37.5</v>
      </c>
    </row>
    <row r="45" spans="2:17" ht="16.5" customHeight="1">
      <c r="B45" s="605" t="s">
        <v>435</v>
      </c>
      <c r="C45" s="606"/>
      <c r="D45" s="57">
        <f>IF('OTHER(C2)-A11'!D9=0,"    -",ROUND('OTHER(C2)-A11'!D38/'OTHER(C2)-A11'!D9*100,1))</f>
        <v>91.5</v>
      </c>
      <c r="E45" s="58">
        <f>IF('OTHER(C2)-A11'!E9=0,"    -",ROUND('OTHER(C2)-A11'!E38/'OTHER(C2)-A11'!E9*100,1))</f>
        <v>89.8</v>
      </c>
      <c r="F45" s="58">
        <f>IF('OTHER(C2)-A11'!F9=0,"    -",ROUND('OTHER(C2)-A11'!F38/'OTHER(C2)-A11'!F9*100,1))</f>
        <v>86.6</v>
      </c>
      <c r="G45" s="58">
        <f>IF('OTHER(C2)-A11'!G9=0,"    -",ROUND('OTHER(C2)-A11'!G38/'OTHER(C2)-A11'!G9*100,1))</f>
        <v>73.400000000000006</v>
      </c>
      <c r="H45" s="58">
        <f>IF('OTHER(C2)-A11'!H9=0,"    -",ROUND('OTHER(C2)-A11'!H38/'OTHER(C2)-A11'!H9*100,1))</f>
        <v>86.5</v>
      </c>
      <c r="I45" s="58">
        <f>IF('OTHER(C2)-A11'!I9=0,"    -",ROUND('OTHER(C2)-A11'!I38/'OTHER(C2)-A11'!I9*100,1))</f>
        <v>78.400000000000006</v>
      </c>
      <c r="J45" s="58">
        <f>IF('OTHER(C2)-A11'!J9=0,"    -",ROUND('OTHER(C2)-A11'!J38/'OTHER(C2)-A11'!J9*100,1))</f>
        <v>71.400000000000006</v>
      </c>
      <c r="K45" s="59">
        <f>IF('OTHER(C2)-A11'!K9=0,"    -",ROUND('OTHER(C2)-A11'!K38/'OTHER(C2)-A11'!K9*100,1))</f>
        <v>73.900000000000006</v>
      </c>
      <c r="L45" s="60">
        <f>IF('OTHER(C2)-A11'!L9=0,"    -",ROUND('OTHER(C2)-A11'!L38/'OTHER(C2)-A11'!L9*100,1))</f>
        <v>76</v>
      </c>
      <c r="M45" s="58">
        <f>IF('OTHER(C2)-A11'!M9=0,"    -",ROUND('OTHER(C2)-A11'!M38/'OTHER(C2)-A11'!M9*100,1))</f>
        <v>76.3</v>
      </c>
      <c r="N45" s="58">
        <f>IF('OTHER(C2)-A11'!N9=0,"    -",ROUND('OTHER(C2)-A11'!N38/'OTHER(C2)-A11'!N9*100,1))</f>
        <v>77.099999999999994</v>
      </c>
      <c r="O45" s="58">
        <f>IF('OTHER(C2)-A11'!O9=0,"    -",ROUND('OTHER(C2)-A11'!O38/'OTHER(C2)-A11'!O9*100,1))</f>
        <v>76.5</v>
      </c>
      <c r="P45" s="58">
        <f>IF('OTHER(C2)-A11'!P9=0,"    -",ROUND('OTHER(C2)-A11'!P38/'OTHER(C2)-A11'!P9*100,1))</f>
        <v>78.099999999999994</v>
      </c>
      <c r="Q45" s="61">
        <f>IF('OTHER(C2)-A11'!Q9=0,"    -",ROUND('OTHER(C2)-A11'!Q38/'OTHER(C2)-A11'!Q9*100,1))</f>
        <v>78.099999999999994</v>
      </c>
    </row>
    <row r="46" spans="2:17" ht="16.5" customHeight="1">
      <c r="B46" s="605" t="s">
        <v>436</v>
      </c>
      <c r="C46" s="606"/>
      <c r="D46" s="57">
        <f>IF('OTHER(C2)-A11'!D10=0,"    -",ROUND('OTHER(C2)-A11'!D39/'OTHER(C2)-A11'!D10*100,1))</f>
        <v>85</v>
      </c>
      <c r="E46" s="58">
        <f>IF('OTHER(C2)-A11'!E10=0,"    -",ROUND('OTHER(C2)-A11'!E39/'OTHER(C2)-A11'!E10*100,1))</f>
        <v>85</v>
      </c>
      <c r="F46" s="58">
        <f>IF('OTHER(C2)-A11'!F10=0,"    -",ROUND('OTHER(C2)-A11'!F39/'OTHER(C2)-A11'!F10*100,1))</f>
        <v>85</v>
      </c>
      <c r="G46" s="58">
        <f>IF('OTHER(C2)-A11'!G10=0,"    -",ROUND('OTHER(C2)-A11'!G39/'OTHER(C2)-A11'!G10*100,1))</f>
        <v>85</v>
      </c>
      <c r="H46" s="58">
        <f>IF('OTHER(C2)-A11'!H10=0,"    -",ROUND('OTHER(C2)-A11'!H39/'OTHER(C2)-A11'!H10*100,1))</f>
        <v>85</v>
      </c>
      <c r="I46" s="58">
        <f>IF('OTHER(C2)-A11'!I10=0,"    -",ROUND('OTHER(C2)-A11'!I39/'OTHER(C2)-A11'!I10*100,1))</f>
        <v>85</v>
      </c>
      <c r="J46" s="58">
        <f>IF('OTHER(C2)-A11'!J10=0,"    -",ROUND('OTHER(C2)-A11'!J39/'OTHER(C2)-A11'!J10*100,1))</f>
        <v>85</v>
      </c>
      <c r="K46" s="59">
        <f>IF('OTHER(C2)-A11'!K10=0,"    -",ROUND('OTHER(C2)-A11'!K39/'OTHER(C2)-A11'!K10*100,1))</f>
        <v>85</v>
      </c>
      <c r="L46" s="60">
        <f>IF('OTHER(C2)-A11'!L10=0,"    -",ROUND('OTHER(C2)-A11'!L39/'OTHER(C2)-A11'!L10*100,1))</f>
        <v>85</v>
      </c>
      <c r="M46" s="58">
        <f>IF('OTHER(C2)-A11'!M10=0,"    -",ROUND('OTHER(C2)-A11'!M39/'OTHER(C2)-A11'!M10*100,1))</f>
        <v>85</v>
      </c>
      <c r="N46" s="58">
        <f>IF('OTHER(C2)-A11'!N10=0,"    -",ROUND('OTHER(C2)-A11'!N39/'OTHER(C2)-A11'!N10*100,1))</f>
        <v>85</v>
      </c>
      <c r="O46" s="58">
        <f>IF('OTHER(C2)-A11'!O10=0,"    -",ROUND('OTHER(C2)-A11'!O39/'OTHER(C2)-A11'!O10*100,1))</f>
        <v>85</v>
      </c>
      <c r="P46" s="58">
        <f>IF('OTHER(C2)-A11'!P10=0,"    -",ROUND('OTHER(C2)-A11'!P39/'OTHER(C2)-A11'!P10*100,1))</f>
        <v>85</v>
      </c>
      <c r="Q46" s="61">
        <f>IF('OTHER(C2)-A11'!Q10=0,"    -",ROUND('OTHER(C2)-A11'!Q39/'OTHER(C2)-A11'!Q10*100,1))</f>
        <v>85</v>
      </c>
    </row>
    <row r="47" spans="2:17" ht="16.5" customHeight="1">
      <c r="B47" s="605" t="s">
        <v>437</v>
      </c>
      <c r="C47" s="606"/>
      <c r="D47" s="57" t="str">
        <f>IF('OTHER(C2)-A11'!D11=0,"    -",ROUND('OTHER(C2)-A11'!D40/'OTHER(C2)-A11'!D11*100,1))</f>
        <v xml:space="preserve">    -</v>
      </c>
      <c r="E47" s="58" t="str">
        <f>IF('OTHER(C2)-A11'!E11=0,"    -",ROUND('OTHER(C2)-A11'!E40/'OTHER(C2)-A11'!E11*100,1))</f>
        <v xml:space="preserve">    -</v>
      </c>
      <c r="F47" s="58" t="str">
        <f>IF('OTHER(C2)-A11'!F11=0,"    -",ROUND('OTHER(C2)-A11'!F40/'OTHER(C2)-A11'!F11*100,1))</f>
        <v xml:space="preserve">    -</v>
      </c>
      <c r="G47" s="58" t="str">
        <f>IF('OTHER(C2)-A11'!G11=0,"    -",ROUND('OTHER(C2)-A11'!G40/'OTHER(C2)-A11'!G11*100,1))</f>
        <v xml:space="preserve">    -</v>
      </c>
      <c r="H47" s="58" t="str">
        <f>IF('OTHER(C2)-A11'!H11=0,"    -",ROUND('OTHER(C2)-A11'!H40/'OTHER(C2)-A11'!H11*100,1))</f>
        <v xml:space="preserve">    -</v>
      </c>
      <c r="I47" s="58" t="str">
        <f>IF('OTHER(C2)-A11'!I11=0,"    -",ROUND('OTHER(C2)-A11'!I40/'OTHER(C2)-A11'!I11*100,1))</f>
        <v xml:space="preserve">    -</v>
      </c>
      <c r="J47" s="58" t="str">
        <f>IF('OTHER(C2)-A11'!J11=0,"    -",ROUND('OTHER(C2)-A11'!J40/'OTHER(C2)-A11'!J11*100,1))</f>
        <v xml:space="preserve">    -</v>
      </c>
      <c r="K47" s="59" t="str">
        <f>IF('OTHER(C2)-A11'!K11=0,"    -",ROUND('OTHER(C2)-A11'!K40/'OTHER(C2)-A11'!K11*100,1))</f>
        <v xml:space="preserve">    -</v>
      </c>
      <c r="L47" s="60" t="str">
        <f>IF('OTHER(C2)-A11'!L11=0,"    -",ROUND('OTHER(C2)-A11'!L40/'OTHER(C2)-A11'!L11*100,1))</f>
        <v xml:space="preserve">    -</v>
      </c>
      <c r="M47" s="58" t="str">
        <f>IF('OTHER(C2)-A11'!M11=0,"    -",ROUND('OTHER(C2)-A11'!M40/'OTHER(C2)-A11'!M11*100,1))</f>
        <v xml:space="preserve">    -</v>
      </c>
      <c r="N47" s="58" t="str">
        <f>IF('OTHER(C2)-A11'!N11=0,"    -",ROUND('OTHER(C2)-A11'!N40/'OTHER(C2)-A11'!N11*100,1))</f>
        <v xml:space="preserve">    -</v>
      </c>
      <c r="O47" s="58" t="str">
        <f>IF('OTHER(C2)-A11'!O11=0,"    -",ROUND('OTHER(C2)-A11'!O40/'OTHER(C2)-A11'!O11*100,1))</f>
        <v xml:space="preserve">    -</v>
      </c>
      <c r="P47" s="58" t="str">
        <f>IF('OTHER(C2)-A11'!P11=0,"    -",ROUND('OTHER(C2)-A11'!P40/'OTHER(C2)-A11'!P11*100,1))</f>
        <v xml:space="preserve">    -</v>
      </c>
      <c r="Q47" s="61" t="str">
        <f>IF('OTHER(C2)-A11'!Q11=0,"    -",ROUND('OTHER(C2)-A11'!Q40/'OTHER(C2)-A11'!Q11*100,1))</f>
        <v xml:space="preserve">    -</v>
      </c>
    </row>
    <row r="48" spans="2:17" ht="16.5" customHeight="1">
      <c r="B48" s="605" t="s">
        <v>438</v>
      </c>
      <c r="C48" s="606"/>
      <c r="D48" s="57" t="str">
        <f>IF('OTHER(C2)-A11'!D12=0,"    -",ROUND('OTHER(C2)-A11'!D41/'OTHER(C2)-A11'!D12*100,1))</f>
        <v xml:space="preserve">    -</v>
      </c>
      <c r="E48" s="58" t="str">
        <f>IF('OTHER(C2)-A11'!E12=0,"    -",ROUND('OTHER(C2)-A11'!E41/'OTHER(C2)-A11'!E12*100,1))</f>
        <v xml:space="preserve">    -</v>
      </c>
      <c r="F48" s="58" t="str">
        <f>IF('OTHER(C2)-A11'!F12=0,"    -",ROUND('OTHER(C2)-A11'!F41/'OTHER(C2)-A11'!F12*100,1))</f>
        <v xml:space="preserve">    -</v>
      </c>
      <c r="G48" s="58" t="str">
        <f>IF('OTHER(C2)-A11'!G12=0,"    -",ROUND('OTHER(C2)-A11'!G41/'OTHER(C2)-A11'!G12*100,1))</f>
        <v xml:space="preserve">    -</v>
      </c>
      <c r="H48" s="58" t="str">
        <f>IF('OTHER(C2)-A11'!H12=0,"    -",ROUND('OTHER(C2)-A11'!H41/'OTHER(C2)-A11'!H12*100,1))</f>
        <v xml:space="preserve">    -</v>
      </c>
      <c r="I48" s="58" t="str">
        <f>IF('OTHER(C2)-A11'!I12=0,"    -",ROUND('OTHER(C2)-A11'!I41/'OTHER(C2)-A11'!I12*100,1))</f>
        <v xml:space="preserve">    -</v>
      </c>
      <c r="J48" s="58" t="str">
        <f>IF('OTHER(C2)-A11'!J12=0,"    -",ROUND('OTHER(C2)-A11'!J41/'OTHER(C2)-A11'!J12*100,1))</f>
        <v xml:space="preserve">    -</v>
      </c>
      <c r="K48" s="59" t="str">
        <f>IF('OTHER(C2)-A11'!K12=0,"    -",ROUND('OTHER(C2)-A11'!K41/'OTHER(C2)-A11'!K12*100,1))</f>
        <v xml:space="preserve">    -</v>
      </c>
      <c r="L48" s="60" t="str">
        <f>IF('OTHER(C2)-A11'!L12=0,"    -",ROUND('OTHER(C2)-A11'!L41/'OTHER(C2)-A11'!L12*100,1))</f>
        <v xml:space="preserve">    -</v>
      </c>
      <c r="M48" s="58" t="str">
        <f>IF('OTHER(C2)-A11'!M12=0,"    -",ROUND('OTHER(C2)-A11'!M41/'OTHER(C2)-A11'!M12*100,1))</f>
        <v xml:space="preserve">    -</v>
      </c>
      <c r="N48" s="58" t="str">
        <f>IF('OTHER(C2)-A11'!N12=0,"    -",ROUND('OTHER(C2)-A11'!N41/'OTHER(C2)-A11'!N12*100,1))</f>
        <v xml:space="preserve">    -</v>
      </c>
      <c r="O48" s="58" t="str">
        <f>IF('OTHER(C2)-A11'!O12=0,"    -",ROUND('OTHER(C2)-A11'!O41/'OTHER(C2)-A11'!O12*100,1))</f>
        <v xml:space="preserve">    -</v>
      </c>
      <c r="P48" s="58" t="str">
        <f>IF('OTHER(C2)-A11'!P12=0,"    -",ROUND('OTHER(C2)-A11'!P41/'OTHER(C2)-A11'!P12*100,1))</f>
        <v xml:space="preserve">    -</v>
      </c>
      <c r="Q48" s="61" t="str">
        <f>IF('OTHER(C2)-A11'!Q12=0,"    -",ROUND('OTHER(C2)-A11'!Q41/'OTHER(C2)-A11'!Q12*100,1))</f>
        <v xml:space="preserve">    -</v>
      </c>
    </row>
    <row r="49" spans="2:17" ht="16.5" customHeight="1">
      <c r="B49" s="605" t="s">
        <v>439</v>
      </c>
      <c r="C49" s="606"/>
      <c r="D49" s="57">
        <f>IF('OTHER(C2)-A11'!D13=0,"    -",ROUND('OTHER(C2)-A11'!D42/'OTHER(C2)-A11'!D13*100,1))</f>
        <v>100</v>
      </c>
      <c r="E49" s="58">
        <f>IF('OTHER(C2)-A11'!E13=0,"    -",ROUND('OTHER(C2)-A11'!E42/'OTHER(C2)-A11'!E13*100,1))</f>
        <v>100</v>
      </c>
      <c r="F49" s="58">
        <f>IF('OTHER(C2)-A11'!F13=0,"    -",ROUND('OTHER(C2)-A11'!F42/'OTHER(C2)-A11'!F13*100,1))</f>
        <v>100</v>
      </c>
      <c r="G49" s="58">
        <f>IF('OTHER(C2)-A11'!G13=0,"    -",ROUND('OTHER(C2)-A11'!G42/'OTHER(C2)-A11'!G13*100,1))</f>
        <v>100</v>
      </c>
      <c r="H49" s="58">
        <f>IF('OTHER(C2)-A11'!H13=0,"    -",ROUND('OTHER(C2)-A11'!H42/'OTHER(C2)-A11'!H13*100,1))</f>
        <v>100</v>
      </c>
      <c r="I49" s="58">
        <f>IF('OTHER(C2)-A11'!I13=0,"    -",ROUND('OTHER(C2)-A11'!I42/'OTHER(C2)-A11'!I13*100,1))</f>
        <v>100</v>
      </c>
      <c r="J49" s="58">
        <f>IF('OTHER(C2)-A11'!J13=0,"    -",ROUND('OTHER(C2)-A11'!J42/'OTHER(C2)-A11'!J13*100,1))</f>
        <v>100</v>
      </c>
      <c r="K49" s="59">
        <f>IF('OTHER(C2)-A11'!K13=0,"    -",ROUND('OTHER(C2)-A11'!K42/'OTHER(C2)-A11'!K13*100,1))</f>
        <v>100</v>
      </c>
      <c r="L49" s="60">
        <f>IF('OTHER(C2)-A11'!L13=0,"    -",ROUND('OTHER(C2)-A11'!L42/'OTHER(C2)-A11'!L13*100,1))</f>
        <v>100</v>
      </c>
      <c r="M49" s="58">
        <f>IF('OTHER(C2)-A11'!M13=0,"    -",ROUND('OTHER(C2)-A11'!M42/'OTHER(C2)-A11'!M13*100,1))</f>
        <v>100</v>
      </c>
      <c r="N49" s="58">
        <f>IF('OTHER(C2)-A11'!N13=0,"    -",ROUND('OTHER(C2)-A11'!N42/'OTHER(C2)-A11'!N13*100,1))</f>
        <v>100</v>
      </c>
      <c r="O49" s="58">
        <f>IF('OTHER(C2)-A11'!O13=0,"    -",ROUND('OTHER(C2)-A11'!O42/'OTHER(C2)-A11'!O13*100,1))</f>
        <v>100</v>
      </c>
      <c r="P49" s="58">
        <f>IF('OTHER(C2)-A11'!P13=0,"    -",ROUND('OTHER(C2)-A11'!P42/'OTHER(C2)-A11'!P13*100,1))</f>
        <v>100</v>
      </c>
      <c r="Q49" s="61">
        <f>IF('OTHER(C2)-A11'!Q13=0,"    -",ROUND('OTHER(C2)-A11'!Q42/'OTHER(C2)-A11'!Q13*100,1))</f>
        <v>100</v>
      </c>
    </row>
    <row r="50" spans="2:17" ht="18" hidden="1" customHeight="1">
      <c r="B50" s="16"/>
      <c r="C50" s="90" t="s">
        <v>306</v>
      </c>
      <c r="D50" s="57" t="str">
        <f>IF('OTHER(C2)-A11'!D14=0,"    -",ROUND('OTHER(C2)-A11'!D43/'OTHER(C2)-A11'!D14*100,1))</f>
        <v xml:space="preserve">    -</v>
      </c>
      <c r="E50" s="58" t="str">
        <f>IF('OTHER(C2)-A11'!E14=0,"    -",ROUND('OTHER(C2)-A11'!E43/'OTHER(C2)-A11'!E14*100,1))</f>
        <v xml:space="preserve">    -</v>
      </c>
      <c r="F50" s="58" t="str">
        <f>IF('OTHER(C2)-A11'!F14=0,"    -",ROUND('OTHER(C2)-A11'!F43/'OTHER(C2)-A11'!F14*100,1))</f>
        <v xml:space="preserve">    -</v>
      </c>
      <c r="G50" s="58" t="str">
        <f>IF('OTHER(C2)-A11'!G14=0,"    -",ROUND('OTHER(C2)-A11'!G43/'OTHER(C2)-A11'!G14*100,1))</f>
        <v xml:space="preserve">    -</v>
      </c>
      <c r="H50" s="58" t="str">
        <f>IF('OTHER(C2)-A11'!H14=0,"    -",ROUND('OTHER(C2)-A11'!H43/'OTHER(C2)-A11'!H14*100,1))</f>
        <v xml:space="preserve">    -</v>
      </c>
      <c r="I50" s="58" t="str">
        <f>IF('OTHER(C2)-A11'!I14=0,"    -",ROUND('OTHER(C2)-A11'!I43/'OTHER(C2)-A11'!I14*100,1))</f>
        <v xml:space="preserve">    -</v>
      </c>
      <c r="J50" s="58" t="str">
        <f>IF('OTHER(C2)-A11'!J14=0,"    -",ROUND('OTHER(C2)-A11'!J43/'OTHER(C2)-A11'!J14*100,1))</f>
        <v xml:space="preserve">    -</v>
      </c>
      <c r="K50" s="59" t="str">
        <f>IF('OTHER(C2)-A11'!K14=0,"    -",ROUND('OTHER(C2)-A11'!K43/'OTHER(C2)-A11'!K14*100,1))</f>
        <v xml:space="preserve">    -</v>
      </c>
      <c r="L50" s="60" t="str">
        <f>IF('OTHER(C2)-A11'!L14=0,"    -",ROUND('OTHER(C2)-A11'!L43/'OTHER(C2)-A11'!L14*100,1))</f>
        <v xml:space="preserve">    -</v>
      </c>
      <c r="M50" s="58" t="str">
        <f>IF('OTHER(C2)-A11'!M14=0,"    -",ROUND('OTHER(C2)-A11'!M43/'OTHER(C2)-A11'!M14*100,1))</f>
        <v xml:space="preserve">    -</v>
      </c>
      <c r="N50" s="58" t="str">
        <f>IF('OTHER(C2)-A11'!N14=0,"    -",ROUND('OTHER(C2)-A11'!N43/'OTHER(C2)-A11'!N14*100,1))</f>
        <v xml:space="preserve">    -</v>
      </c>
      <c r="O50" s="58" t="str">
        <f>IF('OTHER(C2)-A11'!O14=0,"    -",ROUND('OTHER(C2)-A11'!O43/'OTHER(C2)-A11'!O14*100,1))</f>
        <v xml:space="preserve">    -</v>
      </c>
      <c r="P50" s="58" t="str">
        <f>IF('OTHER(C2)-A11'!P14=0,"    -",ROUND('OTHER(C2)-A11'!P43/'OTHER(C2)-A11'!P14*100,1))</f>
        <v xml:space="preserve">    -</v>
      </c>
      <c r="Q50" s="61" t="str">
        <f>IF('OTHER(C2)-A11'!Q14=0,"    -",ROUND('OTHER(C2)-A11'!Q43/'OTHER(C2)-A11'!Q14*100,1))</f>
        <v xml:space="preserve">    -</v>
      </c>
    </row>
    <row r="51" spans="2:17" ht="16.5" customHeight="1">
      <c r="B51" s="605" t="s">
        <v>440</v>
      </c>
      <c r="C51" s="606"/>
      <c r="D51" s="57" t="str">
        <f>IF('OTHER(C2)-A11'!D15=0,"    -",ROUND('OTHER(C2)-A11'!D44/'OTHER(C2)-A11'!D15*100,1))</f>
        <v xml:space="preserve">    -</v>
      </c>
      <c r="E51" s="58" t="str">
        <f>IF('OTHER(C2)-A11'!E15=0,"    -",ROUND('OTHER(C2)-A11'!E44/'OTHER(C2)-A11'!E15*100,1))</f>
        <v xml:space="preserve">    -</v>
      </c>
      <c r="F51" s="58" t="str">
        <f>IF('OTHER(C2)-A11'!F15=0,"    -",ROUND('OTHER(C2)-A11'!F44/'OTHER(C2)-A11'!F15*100,1))</f>
        <v xml:space="preserve">    -</v>
      </c>
      <c r="G51" s="58" t="str">
        <f>IF('OTHER(C2)-A11'!G15=0,"    -",ROUND('OTHER(C2)-A11'!G44/'OTHER(C2)-A11'!G15*100,1))</f>
        <v xml:space="preserve">    -</v>
      </c>
      <c r="H51" s="58" t="str">
        <f>IF('OTHER(C2)-A11'!H15=0,"    -",ROUND('OTHER(C2)-A11'!H44/'OTHER(C2)-A11'!H15*100,1))</f>
        <v xml:space="preserve">    -</v>
      </c>
      <c r="I51" s="58" t="str">
        <f>IF('OTHER(C2)-A11'!I15=0,"    -",ROUND('OTHER(C2)-A11'!I44/'OTHER(C2)-A11'!I15*100,1))</f>
        <v xml:space="preserve">    -</v>
      </c>
      <c r="J51" s="58" t="str">
        <f>IF('OTHER(C2)-A11'!J15=0,"    -",ROUND('OTHER(C2)-A11'!J44/'OTHER(C2)-A11'!J15*100,1))</f>
        <v xml:space="preserve">    -</v>
      </c>
      <c r="K51" s="59" t="str">
        <f>IF('OTHER(C2)-A11'!K15=0,"    -",ROUND('OTHER(C2)-A11'!K44/'OTHER(C2)-A11'!K15*100,1))</f>
        <v xml:space="preserve">    -</v>
      </c>
      <c r="L51" s="60" t="str">
        <f>IF('OTHER(C2)-A11'!L15=0,"    -",ROUND('OTHER(C2)-A11'!L44/'OTHER(C2)-A11'!L15*100,1))</f>
        <v xml:space="preserve">    -</v>
      </c>
      <c r="M51" s="58" t="str">
        <f>IF('OTHER(C2)-A11'!M15=0,"    -",ROUND('OTHER(C2)-A11'!M44/'OTHER(C2)-A11'!M15*100,1))</f>
        <v xml:space="preserve">    -</v>
      </c>
      <c r="N51" s="58" t="str">
        <f>IF('OTHER(C2)-A11'!N15=0,"    -",ROUND('OTHER(C2)-A11'!N44/'OTHER(C2)-A11'!N15*100,1))</f>
        <v xml:space="preserve">    -</v>
      </c>
      <c r="O51" s="58" t="str">
        <f>IF('OTHER(C2)-A11'!O15=0,"    -",ROUND('OTHER(C2)-A11'!O44/'OTHER(C2)-A11'!O15*100,1))</f>
        <v xml:space="preserve">    -</v>
      </c>
      <c r="P51" s="58" t="str">
        <f>IF('OTHER(C2)-A11'!P15=0,"    -",ROUND('OTHER(C2)-A11'!P44/'OTHER(C2)-A11'!P15*100,1))</f>
        <v xml:space="preserve">    -</v>
      </c>
      <c r="Q51" s="61" t="str">
        <f>IF('OTHER(C2)-A11'!Q15=0,"    -",ROUND('OTHER(C2)-A11'!Q44/'OTHER(C2)-A11'!Q15*100,1))</f>
        <v xml:space="preserve">    -</v>
      </c>
    </row>
    <row r="52" spans="2:17" ht="16.5" customHeight="1">
      <c r="B52" s="605" t="s">
        <v>441</v>
      </c>
      <c r="C52" s="606"/>
      <c r="D52" s="57" t="str">
        <f>IF('OTHER(C2)-A11'!D16=0,"    -",ROUND('OTHER(C2)-A11'!D45/'OTHER(C2)-A11'!D16*100,1))</f>
        <v xml:space="preserve">    -</v>
      </c>
      <c r="E52" s="58" t="str">
        <f>IF('OTHER(C2)-A11'!E16=0,"    -",ROUND('OTHER(C2)-A11'!E45/'OTHER(C2)-A11'!E16*100,1))</f>
        <v xml:space="preserve">    -</v>
      </c>
      <c r="F52" s="58" t="str">
        <f>IF('OTHER(C2)-A11'!F16=0,"    -",ROUND('OTHER(C2)-A11'!F45/'OTHER(C2)-A11'!F16*100,1))</f>
        <v xml:space="preserve">    -</v>
      </c>
      <c r="G52" s="58" t="str">
        <f>IF('OTHER(C2)-A11'!G16=0,"    -",ROUND('OTHER(C2)-A11'!G45/'OTHER(C2)-A11'!G16*100,1))</f>
        <v xml:space="preserve">    -</v>
      </c>
      <c r="H52" s="58" t="str">
        <f>IF('OTHER(C2)-A11'!H16=0,"    -",ROUND('OTHER(C2)-A11'!H45/'OTHER(C2)-A11'!H16*100,1))</f>
        <v xml:space="preserve">    -</v>
      </c>
      <c r="I52" s="58" t="str">
        <f>IF('OTHER(C2)-A11'!I16=0,"    -",ROUND('OTHER(C2)-A11'!I45/'OTHER(C2)-A11'!I16*100,1))</f>
        <v xml:space="preserve">    -</v>
      </c>
      <c r="J52" s="58" t="str">
        <f>IF('OTHER(C2)-A11'!J16=0,"    -",ROUND('OTHER(C2)-A11'!J45/'OTHER(C2)-A11'!J16*100,1))</f>
        <v xml:space="preserve">    -</v>
      </c>
      <c r="K52" s="59" t="str">
        <f>IF('OTHER(C2)-A11'!K16=0,"    -",ROUND('OTHER(C2)-A11'!K45/'OTHER(C2)-A11'!K16*100,1))</f>
        <v xml:space="preserve">    -</v>
      </c>
      <c r="L52" s="60" t="str">
        <f>IF('OTHER(C2)-A11'!L16=0,"    -",ROUND('OTHER(C2)-A11'!L45/'OTHER(C2)-A11'!L16*100,1))</f>
        <v xml:space="preserve">    -</v>
      </c>
      <c r="M52" s="58" t="str">
        <f>IF('OTHER(C2)-A11'!M16=0,"    -",ROUND('OTHER(C2)-A11'!M45/'OTHER(C2)-A11'!M16*100,1))</f>
        <v xml:space="preserve">    -</v>
      </c>
      <c r="N52" s="58" t="str">
        <f>IF('OTHER(C2)-A11'!N16=0,"    -",ROUND('OTHER(C2)-A11'!N45/'OTHER(C2)-A11'!N16*100,1))</f>
        <v xml:space="preserve">    -</v>
      </c>
      <c r="O52" s="58" t="str">
        <f>IF('OTHER(C2)-A11'!O16=0,"    -",ROUND('OTHER(C2)-A11'!O45/'OTHER(C2)-A11'!O16*100,1))</f>
        <v xml:space="preserve">    -</v>
      </c>
      <c r="P52" s="58" t="str">
        <f>IF('OTHER(C2)-A11'!P16=0,"    -",ROUND('OTHER(C2)-A11'!P45/'OTHER(C2)-A11'!P16*100,1))</f>
        <v xml:space="preserve">    -</v>
      </c>
      <c r="Q52" s="61" t="str">
        <f>IF('OTHER(C2)-A11'!Q16=0,"    -",ROUND('OTHER(C2)-A11'!Q45/'OTHER(C2)-A11'!Q16*100,1))</f>
        <v xml:space="preserve">    -</v>
      </c>
    </row>
    <row r="53" spans="2:17" ht="16.5" customHeight="1">
      <c r="B53" s="605" t="s">
        <v>442</v>
      </c>
      <c r="C53" s="606"/>
      <c r="D53" s="57" t="str">
        <f>IF('OTHER(C2)-A11'!D17=0,"    -",ROUND('OTHER(C2)-A11'!D46/'OTHER(C2)-A11'!D17*100,1))</f>
        <v xml:space="preserve">    -</v>
      </c>
      <c r="E53" s="58" t="str">
        <f>IF('OTHER(C2)-A11'!E17=0,"    -",ROUND('OTHER(C2)-A11'!E46/'OTHER(C2)-A11'!E17*100,1))</f>
        <v xml:space="preserve">    -</v>
      </c>
      <c r="F53" s="58" t="str">
        <f>IF('OTHER(C2)-A11'!F17=0,"    -",ROUND('OTHER(C2)-A11'!F46/'OTHER(C2)-A11'!F17*100,1))</f>
        <v xml:space="preserve">    -</v>
      </c>
      <c r="G53" s="58" t="str">
        <f>IF('OTHER(C2)-A11'!G17=0,"    -",ROUND('OTHER(C2)-A11'!G46/'OTHER(C2)-A11'!G17*100,1))</f>
        <v xml:space="preserve">    -</v>
      </c>
      <c r="H53" s="58" t="str">
        <f>IF('OTHER(C2)-A11'!H17=0,"    -",ROUND('OTHER(C2)-A11'!H46/'OTHER(C2)-A11'!H17*100,1))</f>
        <v xml:space="preserve">    -</v>
      </c>
      <c r="I53" s="58" t="str">
        <f>IF('OTHER(C2)-A11'!I17=0,"    -",ROUND('OTHER(C2)-A11'!I46/'OTHER(C2)-A11'!I17*100,1))</f>
        <v xml:space="preserve">    -</v>
      </c>
      <c r="J53" s="58" t="str">
        <f>IF('OTHER(C2)-A11'!J17=0,"    -",ROUND('OTHER(C2)-A11'!J46/'OTHER(C2)-A11'!J17*100,1))</f>
        <v xml:space="preserve">    -</v>
      </c>
      <c r="K53" s="59" t="str">
        <f>IF('OTHER(C2)-A11'!K17=0,"    -",ROUND('OTHER(C2)-A11'!K46/'OTHER(C2)-A11'!K17*100,1))</f>
        <v xml:space="preserve">    -</v>
      </c>
      <c r="L53" s="60" t="str">
        <f>IF('OTHER(C2)-A11'!L17=0,"    -",ROUND('OTHER(C2)-A11'!L46/'OTHER(C2)-A11'!L17*100,1))</f>
        <v xml:space="preserve">    -</v>
      </c>
      <c r="M53" s="58" t="str">
        <f>IF('OTHER(C2)-A11'!M17=0,"    -",ROUND('OTHER(C2)-A11'!M46/'OTHER(C2)-A11'!M17*100,1))</f>
        <v xml:space="preserve">    -</v>
      </c>
      <c r="N53" s="58" t="str">
        <f>IF('OTHER(C2)-A11'!N17=0,"    -",ROUND('OTHER(C2)-A11'!N46/'OTHER(C2)-A11'!N17*100,1))</f>
        <v xml:space="preserve">    -</v>
      </c>
      <c r="O53" s="58" t="str">
        <f>IF('OTHER(C2)-A11'!O17=0,"    -",ROUND('OTHER(C2)-A11'!O46/'OTHER(C2)-A11'!O17*100,1))</f>
        <v xml:space="preserve">    -</v>
      </c>
      <c r="P53" s="58" t="str">
        <f>IF('OTHER(C2)-A11'!P17=0,"    -",ROUND('OTHER(C2)-A11'!P46/'OTHER(C2)-A11'!P17*100,1))</f>
        <v xml:space="preserve">    -</v>
      </c>
      <c r="Q53" s="61" t="str">
        <f>IF('OTHER(C2)-A11'!Q17=0,"    -",ROUND('OTHER(C2)-A11'!Q46/'OTHER(C2)-A11'!Q17*100,1))</f>
        <v xml:space="preserve">    -</v>
      </c>
    </row>
    <row r="54" spans="2:17" ht="16.5" customHeight="1">
      <c r="B54" s="607" t="s">
        <v>443</v>
      </c>
      <c r="C54" s="608"/>
      <c r="D54" s="57">
        <f>IF('OTHER(C2)-A11'!D18=0,"    -",ROUND('OTHER(C2)-A11'!D47/'OTHER(C2)-A11'!D18*100,1))</f>
        <v>78.400000000000006</v>
      </c>
      <c r="E54" s="58">
        <f>IF('OTHER(C2)-A11'!E18=0,"    -",ROUND('OTHER(C2)-A11'!E47/'OTHER(C2)-A11'!E18*100,1))</f>
        <v>73.3</v>
      </c>
      <c r="F54" s="58">
        <f>IF('OTHER(C2)-A11'!F18=0,"    -",ROUND('OTHER(C2)-A11'!F47/'OTHER(C2)-A11'!F18*100,1))</f>
        <v>70.3</v>
      </c>
      <c r="G54" s="58">
        <f>IF('OTHER(C2)-A11'!G18=0,"    -",ROUND('OTHER(C2)-A11'!G47/'OTHER(C2)-A11'!G18*100,1))</f>
        <v>66.599999999999994</v>
      </c>
      <c r="H54" s="58">
        <f>IF('OTHER(C2)-A11'!H18=0,"    -",ROUND('OTHER(C2)-A11'!H47/'OTHER(C2)-A11'!H18*100,1))</f>
        <v>75.8</v>
      </c>
      <c r="I54" s="58">
        <f>IF('OTHER(C2)-A11'!I18=0,"    -",ROUND('OTHER(C2)-A11'!I47/'OTHER(C2)-A11'!I18*100,1))</f>
        <v>74.099999999999994</v>
      </c>
      <c r="J54" s="58">
        <f>IF('OTHER(C2)-A11'!J18=0,"    -",ROUND('OTHER(C2)-A11'!J47/'OTHER(C2)-A11'!J18*100,1))</f>
        <v>71.400000000000006</v>
      </c>
      <c r="K54" s="59">
        <f>IF('OTHER(C2)-A11'!K18=0,"    -",ROUND('OTHER(C2)-A11'!K47/'OTHER(C2)-A11'!K18*100,1))</f>
        <v>72.400000000000006</v>
      </c>
      <c r="L54" s="60">
        <f>IF('OTHER(C2)-A11'!L18=0,"    -",ROUND('OTHER(C2)-A11'!L47/'OTHER(C2)-A11'!L18*100,1))</f>
        <v>70.3</v>
      </c>
      <c r="M54" s="58">
        <f>IF('OTHER(C2)-A11'!M18=0,"    -",ROUND('OTHER(C2)-A11'!M47/'OTHER(C2)-A11'!M18*100,1))</f>
        <v>73.400000000000006</v>
      </c>
      <c r="N54" s="58">
        <f>IF('OTHER(C2)-A11'!N18=0,"    -",ROUND('OTHER(C2)-A11'!N47/'OTHER(C2)-A11'!N18*100,1))</f>
        <v>73.099999999999994</v>
      </c>
      <c r="O54" s="58">
        <f>IF('OTHER(C2)-A11'!O18=0,"    -",ROUND('OTHER(C2)-A11'!O47/'OTHER(C2)-A11'!O18*100,1))</f>
        <v>73</v>
      </c>
      <c r="P54" s="58">
        <f>IF('OTHER(C2)-A11'!P18=0,"    -",ROUND('OTHER(C2)-A11'!P47/'OTHER(C2)-A11'!P18*100,1))</f>
        <v>73</v>
      </c>
      <c r="Q54" s="61">
        <f>IF('OTHER(C2)-A11'!Q18=0,"    -",ROUND('OTHER(C2)-A11'!Q47/'OTHER(C2)-A11'!Q18*100,1))</f>
        <v>73</v>
      </c>
    </row>
    <row r="55" spans="2:17" ht="17.25" customHeight="1">
      <c r="B55" s="674" t="s">
        <v>307</v>
      </c>
      <c r="C55" s="675"/>
      <c r="D55" s="74">
        <f>IF('OTHER(C2)-A11'!D19=0,"    -",ROUND('OTHER(C2)-A11'!D48/'OTHER(C2)-A11'!D19*100,1))</f>
        <v>80.599999999999994</v>
      </c>
      <c r="E55" s="75">
        <f>IF('OTHER(C2)-A11'!E19=0,"    -",ROUND('OTHER(C2)-A11'!E48/'OTHER(C2)-A11'!E19*100,1))</f>
        <v>78.5</v>
      </c>
      <c r="F55" s="75">
        <f>IF('OTHER(C2)-A11'!F19=0,"    -",ROUND('OTHER(C2)-A11'!F48/'OTHER(C2)-A11'!F19*100,1))</f>
        <v>78.2</v>
      </c>
      <c r="G55" s="75">
        <f>IF('OTHER(C2)-A11'!G19=0,"    -",ROUND('OTHER(C2)-A11'!G48/'OTHER(C2)-A11'!G19*100,1))</f>
        <v>75.3</v>
      </c>
      <c r="H55" s="75">
        <f>IF('OTHER(C2)-A11'!H19=0,"    -",ROUND('OTHER(C2)-A11'!H48/'OTHER(C2)-A11'!H19*100,1))</f>
        <v>81</v>
      </c>
      <c r="I55" s="75">
        <f>IF('OTHER(C2)-A11'!I19=0,"    -",ROUND('OTHER(C2)-A11'!I48/'OTHER(C2)-A11'!I19*100,1))</f>
        <v>79.2</v>
      </c>
      <c r="J55" s="75">
        <f>IF('OTHER(C2)-A11'!J19=0,"    -",ROUND('OTHER(C2)-A11'!J48/'OTHER(C2)-A11'!J19*100,1))</f>
        <v>77.2</v>
      </c>
      <c r="K55" s="76">
        <f>IF('OTHER(C2)-A11'!K19=0,"    -",ROUND('OTHER(C2)-A11'!K48/'OTHER(C2)-A11'!K19*100,1))</f>
        <v>75.599999999999994</v>
      </c>
      <c r="L55" s="77">
        <f>IF('OTHER(C2)-A11'!L19=0,"    -",ROUND('OTHER(C2)-A11'!L48/'OTHER(C2)-A11'!L19*100,1))</f>
        <v>75.5</v>
      </c>
      <c r="M55" s="75">
        <f>IF('OTHER(C2)-A11'!M19=0,"    -",ROUND('OTHER(C2)-A11'!M48/'OTHER(C2)-A11'!M19*100,1))</f>
        <v>76.5</v>
      </c>
      <c r="N55" s="75">
        <f>IF('OTHER(C2)-A11'!N19=0,"    -",ROUND('OTHER(C2)-A11'!N48/'OTHER(C2)-A11'!N19*100,1))</f>
        <v>75.2</v>
      </c>
      <c r="O55" s="75">
        <f>IF('OTHER(C2)-A11'!O19=0,"    -",ROUND('OTHER(C2)-A11'!O48/'OTHER(C2)-A11'!O19*100,1))</f>
        <v>77.099999999999994</v>
      </c>
      <c r="P55" s="75">
        <f>IF('OTHER(C2)-A11'!P19=0,"    -",ROUND('OTHER(C2)-A11'!P48/'OTHER(C2)-A11'!P19*100,1))</f>
        <v>78.7</v>
      </c>
      <c r="Q55" s="78">
        <f>IF('OTHER(C2)-A11'!Q19=0,"    -",ROUND('OTHER(C2)-A11'!Q48/'OTHER(C2)-A11'!Q19*100,1))</f>
        <v>78.7</v>
      </c>
    </row>
    <row r="56" spans="2:17" ht="17.25" customHeight="1">
      <c r="B56" s="672" t="s">
        <v>308</v>
      </c>
      <c r="C56" s="673"/>
      <c r="D56" s="135" t="str">
        <f>IF('OTHER(C2)-A11'!D20=0,"    -",ROUND('OTHER(C2)-A11'!D49/'OTHER(C2)-A11'!D20*100,1))</f>
        <v xml:space="preserve">    -</v>
      </c>
      <c r="E56" s="136" t="str">
        <f>IF('OTHER(C2)-A11'!E20=0,"    -",ROUND('OTHER(C2)-A11'!E49/'OTHER(C2)-A11'!E20*100,1))</f>
        <v xml:space="preserve">    -</v>
      </c>
      <c r="F56" s="136" t="str">
        <f>IF('OTHER(C2)-A11'!F20=0,"    -",ROUND('OTHER(C2)-A11'!F49/'OTHER(C2)-A11'!F20*100,1))</f>
        <v xml:space="preserve">    -</v>
      </c>
      <c r="G56" s="136" t="str">
        <f>IF('OTHER(C2)-A11'!G20=0,"    -",ROUND('OTHER(C2)-A11'!G49/'OTHER(C2)-A11'!G20*100,1))</f>
        <v xml:space="preserve">    -</v>
      </c>
      <c r="H56" s="136" t="str">
        <f>IF('OTHER(C2)-A11'!H20=0,"    -",ROUND('OTHER(C2)-A11'!H49/'OTHER(C2)-A11'!H20*100,1))</f>
        <v xml:space="preserve">    -</v>
      </c>
      <c r="I56" s="136" t="str">
        <f>IF('OTHER(C2)-A11'!I20=0,"    -",ROUND('OTHER(C2)-A11'!I49/'OTHER(C2)-A11'!I20*100,1))</f>
        <v xml:space="preserve">    -</v>
      </c>
      <c r="J56" s="136" t="str">
        <f>IF('OTHER(C2)-A11'!J20=0,"    -",ROUND('OTHER(C2)-A11'!J49/'OTHER(C2)-A11'!J20*100,1))</f>
        <v xml:space="preserve">    -</v>
      </c>
      <c r="K56" s="137" t="str">
        <f>IF('OTHER(C2)-A11'!K20=0,"    -",ROUND('OTHER(C2)-A11'!K49/'OTHER(C2)-A11'!K20*100,1))</f>
        <v xml:space="preserve">    -</v>
      </c>
      <c r="L56" s="135" t="str">
        <f>IF('OTHER(C2)-A11'!L20=0,"    -",ROUND('OTHER(C2)-A11'!L49/'OTHER(C2)-A11'!L20*100,1))</f>
        <v xml:space="preserve">    -</v>
      </c>
      <c r="M56" s="136" t="str">
        <f>IF('OTHER(C2)-A11'!M20=0,"    -",ROUND('OTHER(C2)-A11'!M49/'OTHER(C2)-A11'!M20*100,1))</f>
        <v xml:space="preserve">    -</v>
      </c>
      <c r="N56" s="136" t="str">
        <f>IF('OTHER(C2)-A11'!N20=0,"    -",ROUND('OTHER(C2)-A11'!N49/'OTHER(C2)-A11'!N20*100,1))</f>
        <v xml:space="preserve">    -</v>
      </c>
      <c r="O56" s="136" t="str">
        <f>IF('OTHER(C2)-A11'!O20=0,"    -",ROUND('OTHER(C2)-A11'!O49/'OTHER(C2)-A11'!O20*100,1))</f>
        <v xml:space="preserve">    -</v>
      </c>
      <c r="P56" s="136" t="str">
        <f>IF('OTHER(C2)-A11'!P20=0,"    -",ROUND('OTHER(C2)-A11'!P49/'OTHER(C2)-A11'!P20*100,1))</f>
        <v xml:space="preserve">    -</v>
      </c>
      <c r="Q56" s="137" t="str">
        <f>IF('OTHER(C2)-A11'!Q20=0,"    -",ROUND('OTHER(C2)-A11'!Q49/'OTHER(C2)-A11'!Q20*100,1))</f>
        <v xml:space="preserve">    -</v>
      </c>
    </row>
    <row r="57" spans="2:17" ht="16.5" customHeight="1">
      <c r="B57" s="105"/>
      <c r="C57" s="97" t="s">
        <v>309</v>
      </c>
      <c r="D57" s="135" t="str">
        <f>IF('OTHER(C2)-A11'!D21=0,"    -",ROUND('OTHER(C2)-A11'!D50/'OTHER(C2)-A11'!D21*100,1))</f>
        <v xml:space="preserve">    -</v>
      </c>
      <c r="E57" s="136" t="str">
        <f>IF('OTHER(C2)-A11'!E21=0,"    -",ROUND('OTHER(C2)-A11'!E50/'OTHER(C2)-A11'!E21*100,1))</f>
        <v xml:space="preserve">    -</v>
      </c>
      <c r="F57" s="136" t="str">
        <f>IF('OTHER(C2)-A11'!F21=0,"    -",ROUND('OTHER(C2)-A11'!F50/'OTHER(C2)-A11'!F21*100,1))</f>
        <v xml:space="preserve">    -</v>
      </c>
      <c r="G57" s="136" t="str">
        <f>IF('OTHER(C2)-A11'!G21=0,"    -",ROUND('OTHER(C2)-A11'!G50/'OTHER(C2)-A11'!G21*100,1))</f>
        <v xml:space="preserve">    -</v>
      </c>
      <c r="H57" s="136" t="str">
        <f>IF('OTHER(C2)-A11'!H21=0,"    -",ROUND('OTHER(C2)-A11'!H50/'OTHER(C2)-A11'!H21*100,1))</f>
        <v xml:space="preserve">    -</v>
      </c>
      <c r="I57" s="136" t="str">
        <f>IF('OTHER(C2)-A11'!I21=0,"    -",ROUND('OTHER(C2)-A11'!I50/'OTHER(C2)-A11'!I21*100,1))</f>
        <v xml:space="preserve">    -</v>
      </c>
      <c r="J57" s="136" t="str">
        <f>IF('OTHER(C2)-A11'!J21=0,"    -",ROUND('OTHER(C2)-A11'!J50/'OTHER(C2)-A11'!J21*100,1))</f>
        <v xml:space="preserve">    -</v>
      </c>
      <c r="K57" s="137" t="str">
        <f>IF('OTHER(C2)-A11'!K21=0,"    -",ROUND('OTHER(C2)-A11'!K50/'OTHER(C2)-A11'!K21*100,1))</f>
        <v xml:space="preserve">    -</v>
      </c>
      <c r="L57" s="135" t="str">
        <f>IF('OTHER(C2)-A11'!L21=0,"    -",ROUND('OTHER(C2)-A11'!L50/'OTHER(C2)-A11'!L21*100,1))</f>
        <v xml:space="preserve">    -</v>
      </c>
      <c r="M57" s="136" t="str">
        <f>IF('OTHER(C2)-A11'!M21=0,"    -",ROUND('OTHER(C2)-A11'!M50/'OTHER(C2)-A11'!M21*100,1))</f>
        <v xml:space="preserve">    -</v>
      </c>
      <c r="N57" s="136" t="str">
        <f>IF('OTHER(C2)-A11'!N21=0,"    -",ROUND('OTHER(C2)-A11'!N50/'OTHER(C2)-A11'!N21*100,1))</f>
        <v xml:space="preserve">    -</v>
      </c>
      <c r="O57" s="136" t="str">
        <f>IF('OTHER(C2)-A11'!O21=0,"    -",ROUND('OTHER(C2)-A11'!O50/'OTHER(C2)-A11'!O21*100,1))</f>
        <v xml:space="preserve">    -</v>
      </c>
      <c r="P57" s="136" t="str">
        <f>IF('OTHER(C2)-A11'!P21=0,"    -",ROUND('OTHER(C2)-A11'!P50/'OTHER(C2)-A11'!P21*100,1))</f>
        <v xml:space="preserve">    -</v>
      </c>
      <c r="Q57" s="137" t="str">
        <f>IF('OTHER(C2)-A11'!Q21=0,"    -",ROUND('OTHER(C2)-A11'!Q50/'OTHER(C2)-A11'!Q21*100,1))</f>
        <v xml:space="preserve">    -</v>
      </c>
    </row>
    <row r="58" spans="2:17" ht="17.25" customHeight="1">
      <c r="B58" s="672" t="s">
        <v>310</v>
      </c>
      <c r="C58" s="673"/>
      <c r="D58" s="57">
        <f>IF('OTHER(C2)-A11'!D22=0,"    -",ROUND('OTHER(C2)-A11'!D51/'OTHER(C2)-A11'!D22*100,1))</f>
        <v>144</v>
      </c>
      <c r="E58" s="58">
        <f>IF('OTHER(C2)-A11'!E22=0,"    -",ROUND('OTHER(C2)-A11'!E51/'OTHER(C2)-A11'!E22*100,1))</f>
        <v>109.8</v>
      </c>
      <c r="F58" s="58">
        <f>IF('OTHER(C2)-A11'!F22=0,"    -",ROUND('OTHER(C2)-A11'!F51/'OTHER(C2)-A11'!F22*100,1))</f>
        <v>87.8</v>
      </c>
      <c r="G58" s="58">
        <f>IF('OTHER(C2)-A11'!G22=0,"    -",ROUND('OTHER(C2)-A11'!G51/'OTHER(C2)-A11'!G22*100,1))</f>
        <v>96.7</v>
      </c>
      <c r="H58" s="58">
        <f>IF('OTHER(C2)-A11'!H22=0,"    -",ROUND('OTHER(C2)-A11'!H51/'OTHER(C2)-A11'!H22*100,1))</f>
        <v>91.6</v>
      </c>
      <c r="I58" s="58">
        <f>IF('OTHER(C2)-A11'!I22=0,"    -",ROUND('OTHER(C2)-A11'!I51/'OTHER(C2)-A11'!I22*100,1))</f>
        <v>92.9</v>
      </c>
      <c r="J58" s="58">
        <f>IF('OTHER(C2)-A11'!J22=0,"    -",ROUND('OTHER(C2)-A11'!J51/'OTHER(C2)-A11'!J22*100,1))</f>
        <v>92.2</v>
      </c>
      <c r="K58" s="59">
        <f>IF('OTHER(C2)-A11'!K22=0,"    -",ROUND('OTHER(C2)-A11'!K51/'OTHER(C2)-A11'!K22*100,1))</f>
        <v>83.2</v>
      </c>
      <c r="L58" s="57">
        <f>IF('OTHER(C2)-A11'!L22=0,"    -",ROUND('OTHER(C2)-A11'!L51/'OTHER(C2)-A11'!L22*100,1))</f>
        <v>80.2</v>
      </c>
      <c r="M58" s="58">
        <f>IF('OTHER(C2)-A11'!M22=0,"    -",ROUND('OTHER(C2)-A11'!M51/'OTHER(C2)-A11'!M22*100,1))</f>
        <v>80.599999999999994</v>
      </c>
      <c r="N58" s="58">
        <f>IF('OTHER(C2)-A11'!N22=0,"    -",ROUND('OTHER(C2)-A11'!N51/'OTHER(C2)-A11'!N22*100,1))</f>
        <v>80.599999999999994</v>
      </c>
      <c r="O58" s="58">
        <f>IF('OTHER(C2)-A11'!O22=0,"    -",ROUND('OTHER(C2)-A11'!O51/'OTHER(C2)-A11'!O22*100,1))</f>
        <v>80.599999999999994</v>
      </c>
      <c r="P58" s="58">
        <f>IF('OTHER(C2)-A11'!P22=0,"    -",ROUND('OTHER(C2)-A11'!P51/'OTHER(C2)-A11'!P22*100,1))</f>
        <v>80.599999999999994</v>
      </c>
      <c r="Q58" s="59">
        <f>IF('OTHER(C2)-A11'!Q22=0,"    -",ROUND('OTHER(C2)-A11'!Q51/'OTHER(C2)-A11'!Q22*100,1))</f>
        <v>80.599999999999994</v>
      </c>
    </row>
    <row r="59" spans="2:17" ht="16.5" customHeight="1">
      <c r="B59" s="105"/>
      <c r="C59" s="615" t="s">
        <v>311</v>
      </c>
      <c r="D59" s="74">
        <f>IF('OTHER(C2)-A11'!D23=0,"    -",ROUND('OTHER(C2)-A11'!D52/'OTHER(C2)-A11'!D23*100,1))</f>
        <v>136.80000000000001</v>
      </c>
      <c r="E59" s="75">
        <f>IF('OTHER(C2)-A11'!E23=0,"    -",ROUND('OTHER(C2)-A11'!E52/'OTHER(C2)-A11'!E23*100,1))</f>
        <v>90</v>
      </c>
      <c r="F59" s="75">
        <f>IF('OTHER(C2)-A11'!F23=0,"    -",ROUND('OTHER(C2)-A11'!F52/'OTHER(C2)-A11'!F23*100,1))</f>
        <v>89</v>
      </c>
      <c r="G59" s="75">
        <f>IF('OTHER(C2)-A11'!G23=0,"    -",ROUND('OTHER(C2)-A11'!G52/'OTHER(C2)-A11'!G23*100,1))</f>
        <v>98.3</v>
      </c>
      <c r="H59" s="75">
        <f>IF('OTHER(C2)-A11'!H23=0,"    -",ROUND('OTHER(C2)-A11'!H52/'OTHER(C2)-A11'!H23*100,1))</f>
        <v>92.9</v>
      </c>
      <c r="I59" s="75">
        <f>IF('OTHER(C2)-A11'!I23=0,"    -",ROUND('OTHER(C2)-A11'!I52/'OTHER(C2)-A11'!I23*100,1))</f>
        <v>94.2</v>
      </c>
      <c r="J59" s="75">
        <f>IF('OTHER(C2)-A11'!J23=0,"    -",ROUND('OTHER(C2)-A11'!J52/'OTHER(C2)-A11'!J23*100,1))</f>
        <v>93.5</v>
      </c>
      <c r="K59" s="76">
        <f>IF('OTHER(C2)-A11'!K23=0,"    -",ROUND('OTHER(C2)-A11'!K52/'OTHER(C2)-A11'!K23*100,1))</f>
        <v>84.4</v>
      </c>
      <c r="L59" s="74">
        <f>IF('OTHER(C2)-A11'!L23=0,"    -",ROUND('OTHER(C2)-A11'!L52/'OTHER(C2)-A11'!L23*100,1))</f>
        <v>81.5</v>
      </c>
      <c r="M59" s="75">
        <f>IF('OTHER(C2)-A11'!M23=0,"    -",ROUND('OTHER(C2)-A11'!M52/'OTHER(C2)-A11'!M23*100,1))</f>
        <v>81.900000000000006</v>
      </c>
      <c r="N59" s="75">
        <f>IF('OTHER(C2)-A11'!N23=0,"    -",ROUND('OTHER(C2)-A11'!N52/'OTHER(C2)-A11'!N23*100,1))</f>
        <v>81.900000000000006</v>
      </c>
      <c r="O59" s="75">
        <f>IF('OTHER(C2)-A11'!O23=0,"    -",ROUND('OTHER(C2)-A11'!O52/'OTHER(C2)-A11'!O23*100,1))</f>
        <v>81.900000000000006</v>
      </c>
      <c r="P59" s="75">
        <f>IF('OTHER(C2)-A11'!P23=0,"    -",ROUND('OTHER(C2)-A11'!P52/'OTHER(C2)-A11'!P23*100,1))</f>
        <v>81.900000000000006</v>
      </c>
      <c r="Q59" s="76">
        <f>IF('OTHER(C2)-A11'!Q23=0,"    -",ROUND('OTHER(C2)-A11'!Q52/'OTHER(C2)-A11'!Q23*100,1))</f>
        <v>81.900000000000006</v>
      </c>
    </row>
    <row r="60" spans="2:17" ht="17.25" customHeight="1">
      <c r="B60" s="672" t="s">
        <v>312</v>
      </c>
      <c r="C60" s="673"/>
      <c r="D60" s="57">
        <f>IF('OTHER(C2)-A11'!D24=0,"    -",ROUND('OTHER(C2)-A11'!D53/'OTHER(C2)-A11'!D24*100,1))</f>
        <v>100</v>
      </c>
      <c r="E60" s="58">
        <f>IF('OTHER(C2)-A11'!E24=0,"    -",ROUND('OTHER(C2)-A11'!E53/'OTHER(C2)-A11'!E24*100,1))</f>
        <v>100</v>
      </c>
      <c r="F60" s="58">
        <f>IF('OTHER(C2)-A11'!F24=0,"    -",ROUND('OTHER(C2)-A11'!F53/'OTHER(C2)-A11'!F24*100,1))</f>
        <v>100</v>
      </c>
      <c r="G60" s="58">
        <f>IF('OTHER(C2)-A11'!G24=0,"    -",ROUND('OTHER(C2)-A11'!G53/'OTHER(C2)-A11'!G24*100,1))</f>
        <v>100</v>
      </c>
      <c r="H60" s="58">
        <f>IF('OTHER(C2)-A11'!H24=0,"    -",ROUND('OTHER(C2)-A11'!H53/'OTHER(C2)-A11'!H24*100,1))</f>
        <v>100</v>
      </c>
      <c r="I60" s="58">
        <f>IF('OTHER(C2)-A11'!I24=0,"    -",ROUND('OTHER(C2)-A11'!I53/'OTHER(C2)-A11'!I24*100,1))</f>
        <v>100</v>
      </c>
      <c r="J60" s="58">
        <f>IF('OTHER(C2)-A11'!J24=0,"    -",ROUND('OTHER(C2)-A11'!J53/'OTHER(C2)-A11'!J24*100,1))</f>
        <v>100</v>
      </c>
      <c r="K60" s="59">
        <f>IF('OTHER(C2)-A11'!K24=0,"    -",ROUND('OTHER(C2)-A11'!K53/'OTHER(C2)-A11'!K24*100,1))</f>
        <v>100</v>
      </c>
      <c r="L60" s="57">
        <f>IF('OTHER(C2)-A11'!L24=0,"    -",ROUND('OTHER(C2)-A11'!L53/'OTHER(C2)-A11'!L24*100,1))</f>
        <v>100</v>
      </c>
      <c r="M60" s="58">
        <f>IF('OTHER(C2)-A11'!M24=0,"    -",ROUND('OTHER(C2)-A11'!M53/'OTHER(C2)-A11'!M24*100,1))</f>
        <v>100</v>
      </c>
      <c r="N60" s="58">
        <f>IF('OTHER(C2)-A11'!N24=0,"    -",ROUND('OTHER(C2)-A11'!N53/'OTHER(C2)-A11'!N24*100,1))</f>
        <v>100</v>
      </c>
      <c r="O60" s="58">
        <f>IF('OTHER(C2)-A11'!O24=0,"    -",ROUND('OTHER(C2)-A11'!O53/'OTHER(C2)-A11'!O24*100,1))</f>
        <v>100</v>
      </c>
      <c r="P60" s="58">
        <f>IF('OTHER(C2)-A11'!P24=0,"    -",ROUND('OTHER(C2)-A11'!P53/'OTHER(C2)-A11'!P24*100,1))</f>
        <v>100</v>
      </c>
      <c r="Q60" s="59">
        <f>IF('OTHER(C2)-A11'!Q24=0,"    -",ROUND('OTHER(C2)-A11'!Q53/'OTHER(C2)-A11'!Q24*100,1))</f>
        <v>100</v>
      </c>
    </row>
    <row r="61" spans="2:17" ht="16.5" customHeight="1">
      <c r="B61" s="16"/>
      <c r="C61" s="615" t="s">
        <v>313</v>
      </c>
      <c r="D61" s="74" t="str">
        <f>IF('OTHER(C2)-A11'!D25=0,"    -",ROUND('OTHER(C2)-A11'!D54/'OTHER(C2)-A11'!D25*100,1))</f>
        <v xml:space="preserve">    -</v>
      </c>
      <c r="E61" s="75" t="str">
        <f>IF('OTHER(C2)-A11'!E25=0,"    -",ROUND('OTHER(C2)-A11'!E54/'OTHER(C2)-A11'!E25*100,1))</f>
        <v xml:space="preserve">    -</v>
      </c>
      <c r="F61" s="75" t="str">
        <f>IF('OTHER(C2)-A11'!F25=0,"    -",ROUND('OTHER(C2)-A11'!F54/'OTHER(C2)-A11'!F25*100,1))</f>
        <v xml:space="preserve">    -</v>
      </c>
      <c r="G61" s="75" t="str">
        <f>IF('OTHER(C2)-A11'!G25=0,"    -",ROUND('OTHER(C2)-A11'!G54/'OTHER(C2)-A11'!G25*100,1))</f>
        <v xml:space="preserve">    -</v>
      </c>
      <c r="H61" s="75" t="str">
        <f>IF('OTHER(C2)-A11'!H25=0,"    -",ROUND('OTHER(C2)-A11'!H54/'OTHER(C2)-A11'!H25*100,1))</f>
        <v xml:space="preserve">    -</v>
      </c>
      <c r="I61" s="75" t="str">
        <f>IF('OTHER(C2)-A11'!I25=0,"    -",ROUND('OTHER(C2)-A11'!I54/'OTHER(C2)-A11'!I25*100,1))</f>
        <v xml:space="preserve">    -</v>
      </c>
      <c r="J61" s="75" t="str">
        <f>IF('OTHER(C2)-A11'!J25=0,"    -",ROUND('OTHER(C2)-A11'!J54/'OTHER(C2)-A11'!J25*100,1))</f>
        <v xml:space="preserve">    -</v>
      </c>
      <c r="K61" s="76" t="str">
        <f>IF('OTHER(C2)-A11'!K25=0,"    -",ROUND('OTHER(C2)-A11'!K54/'OTHER(C2)-A11'!K25*100,1))</f>
        <v xml:space="preserve">    -</v>
      </c>
      <c r="L61" s="74" t="str">
        <f>IF('OTHER(C2)-A11'!L25=0,"    -",ROUND('OTHER(C2)-A11'!L54/'OTHER(C2)-A11'!L25*100,1))</f>
        <v xml:space="preserve">    -</v>
      </c>
      <c r="M61" s="75" t="str">
        <f>IF('OTHER(C2)-A11'!M25=0,"    -",ROUND('OTHER(C2)-A11'!M54/'OTHER(C2)-A11'!M25*100,1))</f>
        <v xml:space="preserve">    -</v>
      </c>
      <c r="N61" s="75" t="str">
        <f>IF('OTHER(C2)-A11'!N25=0,"    -",ROUND('OTHER(C2)-A11'!N54/'OTHER(C2)-A11'!N25*100,1))</f>
        <v xml:space="preserve">    -</v>
      </c>
      <c r="O61" s="75" t="str">
        <f>IF('OTHER(C2)-A11'!O25=0,"    -",ROUND('OTHER(C2)-A11'!O54/'OTHER(C2)-A11'!O25*100,1))</f>
        <v xml:space="preserve">    -</v>
      </c>
      <c r="P61" s="75" t="str">
        <f>IF('OTHER(C2)-A11'!P25=0,"    -",ROUND('OTHER(C2)-A11'!P54/'OTHER(C2)-A11'!P25*100,1))</f>
        <v xml:space="preserve">    -</v>
      </c>
      <c r="Q61" s="76" t="str">
        <f>IF('OTHER(C2)-A11'!Q25=0,"    -",ROUND('OTHER(C2)-A11'!Q54/'OTHER(C2)-A11'!Q25*100,1))</f>
        <v xml:space="preserve">    -</v>
      </c>
    </row>
    <row r="62" spans="2:17" ht="17.25" customHeight="1">
      <c r="B62" s="674" t="s">
        <v>314</v>
      </c>
      <c r="C62" s="675"/>
      <c r="D62" s="57">
        <f>IF('OTHER(C2)-A11'!D26=0,"    -",ROUND('OTHER(C2)-A11'!D55/'OTHER(C2)-A11'!D26*100,1))</f>
        <v>100</v>
      </c>
      <c r="E62" s="58">
        <f>IF('OTHER(C2)-A11'!E26=0,"    -",ROUND('OTHER(C2)-A11'!E55/'OTHER(C2)-A11'!E26*100,1))</f>
        <v>100</v>
      </c>
      <c r="F62" s="58">
        <f>IF('OTHER(C2)-A11'!F26=0,"    -",ROUND('OTHER(C2)-A11'!F55/'OTHER(C2)-A11'!F26*100,1))</f>
        <v>100</v>
      </c>
      <c r="G62" s="58" t="str">
        <f>IF('OTHER(C2)-A11'!G26=0,"    -",ROUND('OTHER(C2)-A11'!G55/'OTHER(C2)-A11'!G26*100,1))</f>
        <v xml:space="preserve">    -</v>
      </c>
      <c r="H62" s="58" t="str">
        <f>IF('OTHER(C2)-A11'!H26=0,"    -",ROUND('OTHER(C2)-A11'!H55/'OTHER(C2)-A11'!H26*100,1))</f>
        <v xml:space="preserve">    -</v>
      </c>
      <c r="I62" s="58" t="str">
        <f>IF('OTHER(C2)-A11'!I26=0,"    -",ROUND('OTHER(C2)-A11'!I55/'OTHER(C2)-A11'!I26*100,1))</f>
        <v xml:space="preserve">    -</v>
      </c>
      <c r="J62" s="58" t="str">
        <f>IF('OTHER(C2)-A11'!J26=0,"    -",ROUND('OTHER(C2)-A11'!J55/'OTHER(C2)-A11'!J26*100,1))</f>
        <v xml:space="preserve">    -</v>
      </c>
      <c r="K62" s="59">
        <f>IF('OTHER(C2)-A11'!K26=0,"    -",ROUND('OTHER(C2)-A11'!K55/'OTHER(C2)-A11'!K26*100,1))</f>
        <v>83.3</v>
      </c>
      <c r="L62" s="57">
        <f>IF('OTHER(C2)-A11'!L26=0,"    -",ROUND('OTHER(C2)-A11'!L55/'OTHER(C2)-A11'!L26*100,1))</f>
        <v>83.3</v>
      </c>
      <c r="M62" s="58">
        <f>IF('OTHER(C2)-A11'!M26=0,"    -",ROUND('OTHER(C2)-A11'!M55/'OTHER(C2)-A11'!M26*100,1))</f>
        <v>83.3</v>
      </c>
      <c r="N62" s="58">
        <f>IF('OTHER(C2)-A11'!N26=0,"    -",ROUND('OTHER(C2)-A11'!N55/'OTHER(C2)-A11'!N26*100,1))</f>
        <v>83.3</v>
      </c>
      <c r="O62" s="58">
        <f>IF('OTHER(C2)-A11'!O26=0,"    -",ROUND('OTHER(C2)-A11'!O55/'OTHER(C2)-A11'!O26*100,1))</f>
        <v>100</v>
      </c>
      <c r="P62" s="58">
        <f>IF('OTHER(C2)-A11'!P26=0,"    -",ROUND('OTHER(C2)-A11'!P55/'OTHER(C2)-A11'!P26*100,1))</f>
        <v>100</v>
      </c>
      <c r="Q62" s="59">
        <f>IF('OTHER(C2)-A11'!Q26=0,"    -",ROUND('OTHER(C2)-A11'!Q55/'OTHER(C2)-A11'!Q26*100,1))</f>
        <v>100</v>
      </c>
    </row>
    <row r="63" spans="2:17" ht="17.25" customHeight="1">
      <c r="B63" s="674" t="s">
        <v>315</v>
      </c>
      <c r="C63" s="675"/>
      <c r="D63" s="74">
        <f>IF('OTHER(C2)-A11'!D27=0,"    -",ROUND('OTHER(C2)-A11'!D56/'OTHER(C2)-A11'!D27*100,1))</f>
        <v>40.799999999999997</v>
      </c>
      <c r="E63" s="75">
        <f>IF('OTHER(C2)-A11'!E27=0,"    -",ROUND('OTHER(C2)-A11'!E56/'OTHER(C2)-A11'!E27*100,1))</f>
        <v>40.799999999999997</v>
      </c>
      <c r="F63" s="75">
        <f>IF('OTHER(C2)-A11'!F27=0,"    -",ROUND('OTHER(C2)-A11'!F56/'OTHER(C2)-A11'!F27*100,1))</f>
        <v>39.5</v>
      </c>
      <c r="G63" s="75">
        <f>IF('OTHER(C2)-A11'!G27=0,"    -",ROUND('OTHER(C2)-A11'!G56/'OTHER(C2)-A11'!G27*100,1))</f>
        <v>41.9</v>
      </c>
      <c r="H63" s="75">
        <f>IF('OTHER(C2)-A11'!H27=0,"    -",ROUND('OTHER(C2)-A11'!H56/'OTHER(C2)-A11'!H27*100,1))</f>
        <v>38.6</v>
      </c>
      <c r="I63" s="75">
        <f>IF('OTHER(C2)-A11'!I27=0,"    -",ROUND('OTHER(C2)-A11'!I56/'OTHER(C2)-A11'!I27*100,1))</f>
        <v>37.5</v>
      </c>
      <c r="J63" s="75">
        <f>IF('OTHER(C2)-A11'!J27=0,"    -",ROUND('OTHER(C2)-A11'!J56/'OTHER(C2)-A11'!J27*100,1))</f>
        <v>37.5</v>
      </c>
      <c r="K63" s="76">
        <f>IF('OTHER(C2)-A11'!K27=0,"    -",ROUND('OTHER(C2)-A11'!K56/'OTHER(C2)-A11'!K27*100,1))</f>
        <v>15.1</v>
      </c>
      <c r="L63" s="77">
        <f>IF('OTHER(C2)-A11'!L27=0,"    -",ROUND('OTHER(C2)-A11'!L56/'OTHER(C2)-A11'!L27*100,1))</f>
        <v>15.2</v>
      </c>
      <c r="M63" s="75">
        <f>IF('OTHER(C2)-A11'!M27=0,"    -",ROUND('OTHER(C2)-A11'!M56/'OTHER(C2)-A11'!M27*100,1))</f>
        <v>15.5</v>
      </c>
      <c r="N63" s="75">
        <f>IF('OTHER(C2)-A11'!N27=0,"    -",ROUND('OTHER(C2)-A11'!N56/'OTHER(C2)-A11'!N27*100,1))</f>
        <v>15.8</v>
      </c>
      <c r="O63" s="75">
        <f>IF('OTHER(C2)-A11'!O27=0,"    -",ROUND('OTHER(C2)-A11'!O56/'OTHER(C2)-A11'!O27*100,1))</f>
        <v>16</v>
      </c>
      <c r="P63" s="75">
        <f>IF('OTHER(C2)-A11'!P27=0,"    -",ROUND('OTHER(C2)-A11'!P56/'OTHER(C2)-A11'!P27*100,1))</f>
        <v>16.3</v>
      </c>
      <c r="Q63" s="78">
        <f>IF('OTHER(C2)-A11'!Q27=0,"    -",ROUND('OTHER(C2)-A11'!Q56/'OTHER(C2)-A11'!Q27*100,1))</f>
        <v>16.600000000000001</v>
      </c>
    </row>
    <row r="64" spans="2:17" ht="16.5" customHeight="1">
      <c r="B64" s="672" t="s">
        <v>316</v>
      </c>
      <c r="C64" s="673"/>
      <c r="D64" s="57">
        <f>IF('OTHER(C2)-A11'!D28=0,"    -",ROUND('OTHER(C2)-A11'!D57/'OTHER(C2)-A11'!D28*100,1))</f>
        <v>69.7</v>
      </c>
      <c r="E64" s="58">
        <f>IF('OTHER(C2)-A11'!E28=0,"    -",ROUND('OTHER(C2)-A11'!E57/'OTHER(C2)-A11'!E28*100,1))</f>
        <v>92.5</v>
      </c>
      <c r="F64" s="58">
        <f>IF('OTHER(C2)-A11'!F28=0,"    -",ROUND('OTHER(C2)-A11'!F57/'OTHER(C2)-A11'!F28*100,1))</f>
        <v>92.5</v>
      </c>
      <c r="G64" s="58">
        <f>IF('OTHER(C2)-A11'!G28=0,"    -",ROUND('OTHER(C2)-A11'!G57/'OTHER(C2)-A11'!G28*100,1))</f>
        <v>93.9</v>
      </c>
      <c r="H64" s="58">
        <f>IF('OTHER(C2)-A11'!H28=0,"    -",ROUND('OTHER(C2)-A11'!H57/'OTHER(C2)-A11'!H28*100,1))</f>
        <v>93.9</v>
      </c>
      <c r="I64" s="58">
        <f>IF('OTHER(C2)-A11'!I28=0,"    -",ROUND('OTHER(C2)-A11'!I57/'OTHER(C2)-A11'!I28*100,1))</f>
        <v>93.9</v>
      </c>
      <c r="J64" s="58">
        <f>IF('OTHER(C2)-A11'!J28=0,"    -",ROUND('OTHER(C2)-A11'!J57/'OTHER(C2)-A11'!J28*100,1))</f>
        <v>93.9</v>
      </c>
      <c r="K64" s="59">
        <f>IF('OTHER(C2)-A11'!K28=0,"    -",ROUND('OTHER(C2)-A11'!K57/'OTHER(C2)-A11'!K28*100,1))</f>
        <v>93.9</v>
      </c>
      <c r="L64" s="60">
        <f>IF('OTHER(C2)-A11'!L28=0,"    -",ROUND('OTHER(C2)-A11'!L57/'OTHER(C2)-A11'!L28*100,1))</f>
        <v>93.9</v>
      </c>
      <c r="M64" s="58">
        <f>IF('OTHER(C2)-A11'!M28=0,"    -",ROUND('OTHER(C2)-A11'!M57/'OTHER(C2)-A11'!M28*100,1))</f>
        <v>93.9</v>
      </c>
      <c r="N64" s="58">
        <f>IF('OTHER(C2)-A11'!N28=0,"    -",ROUND('OTHER(C2)-A11'!N57/'OTHER(C2)-A11'!N28*100,1))</f>
        <v>93.9</v>
      </c>
      <c r="O64" s="58">
        <f>IF('OTHER(C2)-A11'!O28=0,"    -",ROUND('OTHER(C2)-A11'!O57/'OTHER(C2)-A11'!O28*100,1))</f>
        <v>93.9</v>
      </c>
      <c r="P64" s="58">
        <f>IF('OTHER(C2)-A11'!P28=0,"    -",ROUND('OTHER(C2)-A11'!P57/'OTHER(C2)-A11'!P28*100,1))</f>
        <v>93.9</v>
      </c>
      <c r="Q64" s="61">
        <f>IF('OTHER(C2)-A11'!Q28=0,"    -",ROUND('OTHER(C2)-A11'!Q57/'OTHER(C2)-A11'!Q28*100,1))</f>
        <v>93.9</v>
      </c>
    </row>
    <row r="65" spans="2:17" ht="16.5" customHeight="1">
      <c r="B65" s="670" t="s">
        <v>317</v>
      </c>
      <c r="C65" s="671"/>
      <c r="D65" s="57">
        <f>IF('OTHER(C2)-A11'!D29=0,"    -",ROUND('OTHER(C2)-A11'!D58/'OTHER(C2)-A11'!D29*100,1))</f>
        <v>89.5</v>
      </c>
      <c r="E65" s="58">
        <f>IF('OTHER(C2)-A11'!E29=0,"    -",ROUND('OTHER(C2)-A11'!E58/'OTHER(C2)-A11'!E29*100,1))</f>
        <v>90.8</v>
      </c>
      <c r="F65" s="58">
        <f>IF('OTHER(C2)-A11'!F29=0,"    -",ROUND('OTHER(C2)-A11'!F58/'OTHER(C2)-A11'!F29*100,1))</f>
        <v>78.900000000000006</v>
      </c>
      <c r="G65" s="58">
        <f>IF('OTHER(C2)-A11'!G29=0,"    -",ROUND('OTHER(C2)-A11'!G58/'OTHER(C2)-A11'!G29*100,1))</f>
        <v>93.6</v>
      </c>
      <c r="H65" s="58">
        <f>IF('OTHER(C2)-A11'!H29=0,"    -",ROUND('OTHER(C2)-A11'!H58/'OTHER(C2)-A11'!H29*100,1))</f>
        <v>95</v>
      </c>
      <c r="I65" s="58">
        <f>IF('OTHER(C2)-A11'!I29=0,"    -",ROUND('OTHER(C2)-A11'!I58/'OTHER(C2)-A11'!I29*100,1))</f>
        <v>89.5</v>
      </c>
      <c r="J65" s="58">
        <f>IF('OTHER(C2)-A11'!J29=0,"    -",ROUND('OTHER(C2)-A11'!J58/'OTHER(C2)-A11'!J29*100,1))</f>
        <v>90</v>
      </c>
      <c r="K65" s="59">
        <f>IF('OTHER(C2)-A11'!K29=0,"    -",ROUND('OTHER(C2)-A11'!K58/'OTHER(C2)-A11'!K29*100,1))</f>
        <v>90</v>
      </c>
      <c r="L65" s="60">
        <f>IF('OTHER(C2)-A11'!L29=0,"    -",ROUND('OTHER(C2)-A11'!L58/'OTHER(C2)-A11'!L29*100,1))</f>
        <v>90</v>
      </c>
      <c r="M65" s="58">
        <f>IF('OTHER(C2)-A11'!M29=0,"    -",ROUND('OTHER(C2)-A11'!M58/'OTHER(C2)-A11'!M29*100,1))</f>
        <v>90</v>
      </c>
      <c r="N65" s="58">
        <f>IF('OTHER(C2)-A11'!N29=0,"    -",ROUND('OTHER(C2)-A11'!N58/'OTHER(C2)-A11'!N29*100,1))</f>
        <v>90</v>
      </c>
      <c r="O65" s="58">
        <f>IF('OTHER(C2)-A11'!O29=0,"    -",ROUND('OTHER(C2)-A11'!O58/'OTHER(C2)-A11'!O29*100,1))</f>
        <v>90</v>
      </c>
      <c r="P65" s="58">
        <f>IF('OTHER(C2)-A11'!P29=0,"    -",ROUND('OTHER(C2)-A11'!P58/'OTHER(C2)-A11'!P29*100,1))</f>
        <v>89.5</v>
      </c>
      <c r="Q65" s="61">
        <f>IF('OTHER(C2)-A11'!Q29=0,"    -",ROUND('OTHER(C2)-A11'!Q58/'OTHER(C2)-A11'!Q29*100,1))</f>
        <v>89.5</v>
      </c>
    </row>
    <row r="66" spans="2:17" ht="17.25" customHeight="1">
      <c r="B66" s="674" t="s">
        <v>318</v>
      </c>
      <c r="C66" s="675"/>
      <c r="D66" s="74">
        <f>IF('OTHER(C2)-A11'!D30=0,"    -",ROUND('OTHER(C2)-A11'!D59/'OTHER(C2)-A11'!D30*100,1))</f>
        <v>69.8</v>
      </c>
      <c r="E66" s="75">
        <f>IF('OTHER(C2)-A11'!E30=0,"    -",ROUND('OTHER(C2)-A11'!E59/'OTHER(C2)-A11'!E30*100,1))</f>
        <v>92.5</v>
      </c>
      <c r="F66" s="75">
        <f>IF('OTHER(C2)-A11'!F30=0,"    -",ROUND('OTHER(C2)-A11'!F59/'OTHER(C2)-A11'!F30*100,1))</f>
        <v>92.4</v>
      </c>
      <c r="G66" s="75">
        <f>IF('OTHER(C2)-A11'!G30=0,"    -",ROUND('OTHER(C2)-A11'!G59/'OTHER(C2)-A11'!G30*100,1))</f>
        <v>93.9</v>
      </c>
      <c r="H66" s="75">
        <f>IF('OTHER(C2)-A11'!H30=0,"    -",ROUND('OTHER(C2)-A11'!H59/'OTHER(C2)-A11'!H30*100,1))</f>
        <v>93.9</v>
      </c>
      <c r="I66" s="75">
        <f>IF('OTHER(C2)-A11'!I30=0,"    -",ROUND('OTHER(C2)-A11'!I59/'OTHER(C2)-A11'!I30*100,1))</f>
        <v>93.8</v>
      </c>
      <c r="J66" s="75">
        <f>IF('OTHER(C2)-A11'!J30=0,"    -",ROUND('OTHER(C2)-A11'!J59/'OTHER(C2)-A11'!J30*100,1))</f>
        <v>93.8</v>
      </c>
      <c r="K66" s="76">
        <f>IF('OTHER(C2)-A11'!K30=0,"    -",ROUND('OTHER(C2)-A11'!K59/'OTHER(C2)-A11'!K30*100,1))</f>
        <v>93.8</v>
      </c>
      <c r="L66" s="77">
        <f>IF('OTHER(C2)-A11'!L30=0,"    -",ROUND('OTHER(C2)-A11'!L59/'OTHER(C2)-A11'!L30*100,1))</f>
        <v>93.8</v>
      </c>
      <c r="M66" s="75">
        <f>IF('OTHER(C2)-A11'!M30=0,"    -",ROUND('OTHER(C2)-A11'!M59/'OTHER(C2)-A11'!M30*100,1))</f>
        <v>93.8</v>
      </c>
      <c r="N66" s="75">
        <f>IF('OTHER(C2)-A11'!N30=0,"    -",ROUND('OTHER(C2)-A11'!N59/'OTHER(C2)-A11'!N30*100,1))</f>
        <v>93.8</v>
      </c>
      <c r="O66" s="75">
        <f>IF('OTHER(C2)-A11'!O30=0,"    -",ROUND('OTHER(C2)-A11'!O59/'OTHER(C2)-A11'!O30*100,1))</f>
        <v>93.8</v>
      </c>
      <c r="P66" s="75">
        <f>IF('OTHER(C2)-A11'!P30=0,"    -",ROUND('OTHER(C2)-A11'!P59/'OTHER(C2)-A11'!P30*100,1))</f>
        <v>93.8</v>
      </c>
      <c r="Q66" s="78">
        <f>IF('OTHER(C2)-A11'!Q30=0,"    -",ROUND('OTHER(C2)-A11'!Q59/'OTHER(C2)-A11'!Q30*100,1))</f>
        <v>93.8</v>
      </c>
    </row>
    <row r="67" spans="2:17" ht="16.5" customHeight="1">
      <c r="B67" s="672" t="s">
        <v>319</v>
      </c>
      <c r="C67" s="673"/>
      <c r="D67" s="57">
        <f>IF('OTHER(C2)-A11'!D31=0,"    -",ROUND('OTHER(C2)-A11'!D60/'OTHER(C2)-A11'!D31*100,1))</f>
        <v>91</v>
      </c>
      <c r="E67" s="58">
        <f>IF('OTHER(C2)-A11'!E31=0,"    -",ROUND('OTHER(C2)-A11'!E60/'OTHER(C2)-A11'!E31*100,1))</f>
        <v>90</v>
      </c>
      <c r="F67" s="58">
        <f>IF('OTHER(C2)-A11'!F31=0,"    -",ROUND('OTHER(C2)-A11'!F60/'OTHER(C2)-A11'!F31*100,1))</f>
        <v>90</v>
      </c>
      <c r="G67" s="58">
        <f>IF('OTHER(C2)-A11'!G31=0,"    -",ROUND('OTHER(C2)-A11'!G60/'OTHER(C2)-A11'!G31*100,1))</f>
        <v>92</v>
      </c>
      <c r="H67" s="58">
        <f>IF('OTHER(C2)-A11'!H31=0,"    -",ROUND('OTHER(C2)-A11'!H60/'OTHER(C2)-A11'!H31*100,1))</f>
        <v>94</v>
      </c>
      <c r="I67" s="58">
        <f>IF('OTHER(C2)-A11'!I31=0,"    -",ROUND('OTHER(C2)-A11'!I60/'OTHER(C2)-A11'!I31*100,1))</f>
        <v>25.6</v>
      </c>
      <c r="J67" s="58">
        <f>IF('OTHER(C2)-A11'!J31=0,"    -",ROUND('OTHER(C2)-A11'!J60/'OTHER(C2)-A11'!J31*100,1))</f>
        <v>25.6</v>
      </c>
      <c r="K67" s="59">
        <f>IF('OTHER(C2)-A11'!K31=0,"    -",ROUND('OTHER(C2)-A11'!K60/'OTHER(C2)-A11'!K31*100,1))</f>
        <v>25.6</v>
      </c>
      <c r="L67" s="60">
        <f>IF('OTHER(C2)-A11'!L31=0,"    -",ROUND('OTHER(C2)-A11'!L60/'OTHER(C2)-A11'!L31*100,1))</f>
        <v>25.6</v>
      </c>
      <c r="M67" s="58">
        <f>IF('OTHER(C2)-A11'!M31=0,"    -",ROUND('OTHER(C2)-A11'!M60/'OTHER(C2)-A11'!M31*100,1))</f>
        <v>25.6</v>
      </c>
      <c r="N67" s="58">
        <f>IF('OTHER(C2)-A11'!N31=0,"    -",ROUND('OTHER(C2)-A11'!N60/'OTHER(C2)-A11'!N31*100,1))</f>
        <v>25.6</v>
      </c>
      <c r="O67" s="58">
        <f>IF('OTHER(C2)-A11'!O31=0,"    -",ROUND('OTHER(C2)-A11'!O60/'OTHER(C2)-A11'!O31*100,1))</f>
        <v>25.6</v>
      </c>
      <c r="P67" s="58">
        <f>IF('OTHER(C2)-A11'!P31=0,"    -",ROUND('OTHER(C2)-A11'!P60/'OTHER(C2)-A11'!P31*100,1))</f>
        <v>25.6</v>
      </c>
      <c r="Q67" s="61">
        <f>IF('OTHER(C2)-A11'!Q31=0,"    -",ROUND('OTHER(C2)-A11'!Q60/'OTHER(C2)-A11'!Q31*100,1))</f>
        <v>25.6</v>
      </c>
    </row>
    <row r="68" spans="2:17" ht="16.5" customHeight="1">
      <c r="B68" s="668" t="s">
        <v>320</v>
      </c>
      <c r="C68" s="669"/>
      <c r="D68" s="57">
        <f>IF('OTHER(C2)-A11'!D32=0,"    -",ROUND('OTHER(C2)-A11'!D61/'OTHER(C2)-A11'!D32*100,1))</f>
        <v>90</v>
      </c>
      <c r="E68" s="58">
        <f>IF('OTHER(C2)-A11'!E32=0,"    -",ROUND('OTHER(C2)-A11'!E61/'OTHER(C2)-A11'!E32*100,1))</f>
        <v>91.9</v>
      </c>
      <c r="F68" s="58">
        <f>IF('OTHER(C2)-A11'!F32=0,"    -",ROUND('OTHER(C2)-A11'!F61/'OTHER(C2)-A11'!F32*100,1))</f>
        <v>89.1</v>
      </c>
      <c r="G68" s="58">
        <f>IF('OTHER(C2)-A11'!G32=0,"    -",ROUND('OTHER(C2)-A11'!G61/'OTHER(C2)-A11'!G32*100,1))</f>
        <v>85</v>
      </c>
      <c r="H68" s="58">
        <f>IF('OTHER(C2)-A11'!H32=0,"    -",ROUND('OTHER(C2)-A11'!H61/'OTHER(C2)-A11'!H32*100,1))</f>
        <v>85</v>
      </c>
      <c r="I68" s="58">
        <f>IF('OTHER(C2)-A11'!I32=0,"    -",ROUND('OTHER(C2)-A11'!I61/'OTHER(C2)-A11'!I32*100,1))</f>
        <v>85</v>
      </c>
      <c r="J68" s="58">
        <f>IF('OTHER(C2)-A11'!J32=0,"    -",ROUND('OTHER(C2)-A11'!J61/'OTHER(C2)-A11'!J32*100,1))</f>
        <v>85</v>
      </c>
      <c r="K68" s="59">
        <f>IF('OTHER(C2)-A11'!K32=0,"    -",ROUND('OTHER(C2)-A11'!K61/'OTHER(C2)-A11'!K32*100,1))</f>
        <v>85</v>
      </c>
      <c r="L68" s="60">
        <f>IF('OTHER(C2)-A11'!L32=0,"    -",ROUND('OTHER(C2)-A11'!L61/'OTHER(C2)-A11'!L32*100,1))</f>
        <v>77.3</v>
      </c>
      <c r="M68" s="58">
        <f>IF('OTHER(C2)-A11'!M32=0,"    -",ROUND('OTHER(C2)-A11'!M61/'OTHER(C2)-A11'!M32*100,1))</f>
        <v>77.3</v>
      </c>
      <c r="N68" s="58">
        <f>IF('OTHER(C2)-A11'!N32=0,"    -",ROUND('OTHER(C2)-A11'!N61/'OTHER(C2)-A11'!N32*100,1))</f>
        <v>77.3</v>
      </c>
      <c r="O68" s="58">
        <f>IF('OTHER(C2)-A11'!O32=0,"    -",ROUND('OTHER(C2)-A11'!O61/'OTHER(C2)-A11'!O32*100,1))</f>
        <v>77.3</v>
      </c>
      <c r="P68" s="58">
        <f>IF('OTHER(C2)-A11'!P32=0,"    -",ROUND('OTHER(C2)-A11'!P61/'OTHER(C2)-A11'!P32*100,1))</f>
        <v>77.3</v>
      </c>
      <c r="Q68" s="61">
        <f>IF('OTHER(C2)-A11'!Q32=0,"    -",ROUND('OTHER(C2)-A11'!Q61/'OTHER(C2)-A11'!Q32*100,1))</f>
        <v>77.3</v>
      </c>
    </row>
    <row r="69" spans="2:17" ht="16.5" customHeight="1">
      <c r="B69" s="670" t="s">
        <v>321</v>
      </c>
      <c r="C69" s="671"/>
      <c r="D69" s="57">
        <f>IF('OTHER(C2)-A11'!D33=0,"    -",ROUND('OTHER(C2)-A11'!D62/'OTHER(C2)-A11'!D33*100,1))</f>
        <v>82.8</v>
      </c>
      <c r="E69" s="58">
        <f>IF('OTHER(C2)-A11'!E33=0,"    -",ROUND('OTHER(C2)-A11'!E62/'OTHER(C2)-A11'!E33*100,1))</f>
        <v>84.4</v>
      </c>
      <c r="F69" s="58">
        <f>IF('OTHER(C2)-A11'!F33=0,"    -",ROUND('OTHER(C2)-A11'!F62/'OTHER(C2)-A11'!F33*100,1))</f>
        <v>90</v>
      </c>
      <c r="G69" s="58">
        <f>IF('OTHER(C2)-A11'!G33=0,"    -",ROUND('OTHER(C2)-A11'!G62/'OTHER(C2)-A11'!G33*100,1))</f>
        <v>87</v>
      </c>
      <c r="H69" s="58">
        <f>IF('OTHER(C2)-A11'!H33=0,"    -",ROUND('OTHER(C2)-A11'!H62/'OTHER(C2)-A11'!H33*100,1))</f>
        <v>89.8</v>
      </c>
      <c r="I69" s="58">
        <f>IF('OTHER(C2)-A11'!I33=0,"    -",ROUND('OTHER(C2)-A11'!I62/'OTHER(C2)-A11'!I33*100,1))</f>
        <v>90.3</v>
      </c>
      <c r="J69" s="58">
        <f>IF('OTHER(C2)-A11'!J33=0,"    -",ROUND('OTHER(C2)-A11'!J62/'OTHER(C2)-A11'!J33*100,1))</f>
        <v>90</v>
      </c>
      <c r="K69" s="59">
        <f>IF('OTHER(C2)-A11'!K33=0,"    -",ROUND('OTHER(C2)-A11'!K62/'OTHER(C2)-A11'!K33*100,1))</f>
        <v>90</v>
      </c>
      <c r="L69" s="60">
        <f>IF('OTHER(C2)-A11'!L33=0,"    -",ROUND('OTHER(C2)-A11'!L62/'OTHER(C2)-A11'!L33*100,1))</f>
        <v>90</v>
      </c>
      <c r="M69" s="58">
        <f>IF('OTHER(C2)-A11'!M33=0,"    -",ROUND('OTHER(C2)-A11'!M62/'OTHER(C2)-A11'!M33*100,1))</f>
        <v>90</v>
      </c>
      <c r="N69" s="58">
        <f>IF('OTHER(C2)-A11'!N33=0,"    -",ROUND('OTHER(C2)-A11'!N62/'OTHER(C2)-A11'!N33*100,1))</f>
        <v>90</v>
      </c>
      <c r="O69" s="58">
        <f>IF('OTHER(C2)-A11'!O33=0,"    -",ROUND('OTHER(C2)-A11'!O62/'OTHER(C2)-A11'!O33*100,1))</f>
        <v>90</v>
      </c>
      <c r="P69" s="58">
        <f>IF('OTHER(C2)-A11'!P33=0,"    -",ROUND('OTHER(C2)-A11'!P62/'OTHER(C2)-A11'!P33*100,1))</f>
        <v>90</v>
      </c>
      <c r="Q69" s="61">
        <f>IF('OTHER(C2)-A11'!Q33=0,"    -",ROUND('OTHER(C2)-A11'!Q62/'OTHER(C2)-A11'!Q33*100,1))</f>
        <v>90</v>
      </c>
    </row>
    <row r="70" spans="2:17" ht="17.25" customHeight="1" thickBot="1">
      <c r="B70" s="678" t="s">
        <v>322</v>
      </c>
      <c r="C70" s="679"/>
      <c r="D70" s="111">
        <f>IF('OTHER(C2)-A11'!D34=0,"    -",ROUND('OTHER(C2)-A11'!D63/'OTHER(C2)-A11'!D34*100,1))</f>
        <v>88.5</v>
      </c>
      <c r="E70" s="112">
        <f>IF('OTHER(C2)-A11'!E34=0,"    -",ROUND('OTHER(C2)-A11'!E63/'OTHER(C2)-A11'!E34*100,1))</f>
        <v>88.7</v>
      </c>
      <c r="F70" s="112">
        <f>IF('OTHER(C2)-A11'!F34=0,"    -",ROUND('OTHER(C2)-A11'!F63/'OTHER(C2)-A11'!F34*100,1))</f>
        <v>89.8</v>
      </c>
      <c r="G70" s="112">
        <f>IF('OTHER(C2)-A11'!G34=0,"    -",ROUND('OTHER(C2)-A11'!G63/'OTHER(C2)-A11'!G34*100,1))</f>
        <v>87.8</v>
      </c>
      <c r="H70" s="112">
        <f>IF('OTHER(C2)-A11'!H34=0,"    -",ROUND('OTHER(C2)-A11'!H63/'OTHER(C2)-A11'!H34*100,1))</f>
        <v>89.7</v>
      </c>
      <c r="I70" s="112">
        <f>IF('OTHER(C2)-A11'!I34=0,"    -",ROUND('OTHER(C2)-A11'!I63/'OTHER(C2)-A11'!I34*100,1))</f>
        <v>52.4</v>
      </c>
      <c r="J70" s="112">
        <f>IF('OTHER(C2)-A11'!J34=0,"    -",ROUND('OTHER(C2)-A11'!J63/'OTHER(C2)-A11'!J34*100,1))</f>
        <v>52.4</v>
      </c>
      <c r="K70" s="113">
        <f>IF('OTHER(C2)-A11'!K34=0,"    -",ROUND('OTHER(C2)-A11'!K63/'OTHER(C2)-A11'!K34*100,1))</f>
        <v>52.4</v>
      </c>
      <c r="L70" s="114">
        <f>IF('OTHER(C2)-A11'!L34=0,"    -",ROUND('OTHER(C2)-A11'!L63/'OTHER(C2)-A11'!L34*100,1))</f>
        <v>51.6</v>
      </c>
      <c r="M70" s="112">
        <f>IF('OTHER(C2)-A11'!M34=0,"    -",ROUND('OTHER(C2)-A11'!M63/'OTHER(C2)-A11'!M34*100,1))</f>
        <v>51.6</v>
      </c>
      <c r="N70" s="112">
        <f>IF('OTHER(C2)-A11'!N34=0,"    -",ROUND('OTHER(C2)-A11'!N63/'OTHER(C2)-A11'!N34*100,1))</f>
        <v>51.6</v>
      </c>
      <c r="O70" s="112">
        <f>IF('OTHER(C2)-A11'!O34=0,"    -",ROUND('OTHER(C2)-A11'!O63/'OTHER(C2)-A11'!O34*100,1))</f>
        <v>51.6</v>
      </c>
      <c r="P70" s="112">
        <f>IF('OTHER(C2)-A11'!P34=0,"    -",ROUND('OTHER(C2)-A11'!P63/'OTHER(C2)-A11'!P34*100,1))</f>
        <v>51.6</v>
      </c>
      <c r="Q70" s="115">
        <f>IF('OTHER(C2)-A11'!Q34=0,"    -",ROUND('OTHER(C2)-A11'!Q63/'OTHER(C2)-A11'!Q34*100,1))</f>
        <v>51.6</v>
      </c>
    </row>
    <row r="71" spans="2:17" ht="18" customHeight="1" thickTop="1" thickBot="1">
      <c r="B71" s="21"/>
      <c r="C71" s="619" t="s">
        <v>337</v>
      </c>
      <c r="D71" s="122">
        <f>IF('OTHER(C2)-A11'!D35=0,"    -",ROUND('OTHER(C2)-A11'!D64/'OTHER(C2)-A11'!D35*100,1))</f>
        <v>91.3</v>
      </c>
      <c r="E71" s="123">
        <f>IF('OTHER(C2)-A11'!E35=0,"    -",ROUND('OTHER(C2)-A11'!E64/'OTHER(C2)-A11'!E35*100,1))</f>
        <v>90.8</v>
      </c>
      <c r="F71" s="123">
        <f>IF('OTHER(C2)-A11'!F35=0,"    -",ROUND('OTHER(C2)-A11'!F64/'OTHER(C2)-A11'!F35*100,1))</f>
        <v>85.7</v>
      </c>
      <c r="G71" s="123">
        <f>IF('OTHER(C2)-A11'!G35=0,"    -",ROUND('OTHER(C2)-A11'!G64/'OTHER(C2)-A11'!G35*100,1))</f>
        <v>87.4</v>
      </c>
      <c r="H71" s="123">
        <f>IF('OTHER(C2)-A11'!H35=0,"    -",ROUND('OTHER(C2)-A11'!H64/'OTHER(C2)-A11'!H35*100,1))</f>
        <v>88</v>
      </c>
      <c r="I71" s="123">
        <f>IF('OTHER(C2)-A11'!I35=0,"    -",ROUND('OTHER(C2)-A11'!I64/'OTHER(C2)-A11'!I35*100,1))</f>
        <v>85.9</v>
      </c>
      <c r="J71" s="123">
        <f>IF('OTHER(C2)-A11'!J35=0,"    -",ROUND('OTHER(C2)-A11'!J64/'OTHER(C2)-A11'!J35*100,1))</f>
        <v>85.3</v>
      </c>
      <c r="K71" s="124">
        <f>IF('OTHER(C2)-A11'!K35=0,"    -",ROUND('OTHER(C2)-A11'!K64/'OTHER(C2)-A11'!K35*100,1))</f>
        <v>81.8</v>
      </c>
      <c r="L71" s="125">
        <f>IF('OTHER(C2)-A11'!L35=0,"    -",ROUND('OTHER(C2)-A11'!L64/'OTHER(C2)-A11'!L35*100,1))</f>
        <v>81.5</v>
      </c>
      <c r="M71" s="123">
        <f>IF('OTHER(C2)-A11'!M35=0,"    -",ROUND('OTHER(C2)-A11'!M64/'OTHER(C2)-A11'!M35*100,1))</f>
        <v>81.900000000000006</v>
      </c>
      <c r="N71" s="123">
        <f>IF('OTHER(C2)-A11'!N35=0,"    -",ROUND('OTHER(C2)-A11'!N64/'OTHER(C2)-A11'!N35*100,1))</f>
        <v>81.599999999999994</v>
      </c>
      <c r="O71" s="123">
        <f>IF('OTHER(C2)-A11'!O35=0,"    -",ROUND('OTHER(C2)-A11'!O64/'OTHER(C2)-A11'!O35*100,1))</f>
        <v>82.3</v>
      </c>
      <c r="P71" s="123">
        <f>IF('OTHER(C2)-A11'!P35=0,"    -",ROUND('OTHER(C2)-A11'!P64/'OTHER(C2)-A11'!P35*100,1))</f>
        <v>82.8</v>
      </c>
      <c r="Q71" s="126">
        <f>IF('OTHER(C2)-A11'!Q35=0,"    -",ROUND('OTHER(C2)-A11'!Q64/'OTHER(C2)-A11'!Q35*100,1))</f>
        <v>83.1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67" priority="5">
      <formula>CELL("protect",C75)=0</formula>
    </cfRule>
    <cfRule type="expression" dxfId="166" priority="6">
      <formula>CELL("protect",C75)=0</formula>
    </cfRule>
  </conditionalFormatting>
  <conditionalFormatting sqref="C73">
    <cfRule type="expression" dxfId="165" priority="3">
      <formula>CELL("protect",C73)=0</formula>
    </cfRule>
    <cfRule type="expression" dxfId="164" priority="4">
      <formula>CELL("protect",C73)=0</formula>
    </cfRule>
  </conditionalFormatting>
  <conditionalFormatting sqref="C75">
    <cfRule type="expression" dxfId="163" priority="1">
      <formula>CELL("protect",C75)=0</formula>
    </cfRule>
    <cfRule type="expression" dxfId="162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&amp;C173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8" sqref="R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11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'PROPYLENE-A12'!D36-'PROPYLENE-A12'!D65</f>
        <v>279</v>
      </c>
      <c r="E7" s="240">
        <f>'PROPYLENE-A12'!E36-'PROPYLENE-A12'!E65</f>
        <v>640</v>
      </c>
      <c r="F7" s="240">
        <f>'PROPYLENE-A12'!F36-'PROPYLENE-A12'!F65</f>
        <v>962</v>
      </c>
      <c r="G7" s="240">
        <f>'PROPYLENE-A12'!G36-'PROPYLENE-A12'!G65</f>
        <v>774</v>
      </c>
      <c r="H7" s="240">
        <f>'PROPYLENE-A12'!H36-'PROPYLENE-A12'!H65</f>
        <v>862</v>
      </c>
      <c r="I7" s="240">
        <f>'PROPYLENE-A12'!I36-'PROPYLENE-A12'!I65</f>
        <v>809</v>
      </c>
      <c r="J7" s="240">
        <f>'PROPYLENE-A12'!J36-'PROPYLENE-A12'!J65</f>
        <v>1425</v>
      </c>
      <c r="K7" s="241">
        <f>'PROPYLENE-A12'!K36-'PROPYLENE-A12'!K65</f>
        <v>1517</v>
      </c>
      <c r="L7" s="242">
        <f>'PROPYLENE-A12'!L36-'PROPYLENE-A12'!L65</f>
        <v>1460</v>
      </c>
      <c r="M7" s="240">
        <f>'PROPYLENE-A12'!M36-'PROPYLENE-A12'!M65</f>
        <v>1200</v>
      </c>
      <c r="N7" s="240">
        <f>'PROPYLENE-A12'!N36-'PROPYLENE-A12'!N65</f>
        <v>1000</v>
      </c>
      <c r="O7" s="240">
        <f>'PROPYLENE-A12'!O36-'PROPYLENE-A12'!O65</f>
        <v>1400</v>
      </c>
      <c r="P7" s="240">
        <f>'PROPYLENE-A12'!P36-'PROPYLENE-A12'!P65</f>
        <v>1450</v>
      </c>
      <c r="Q7" s="243">
        <f>'PROPYLENE-A12'!Q36-'PROPYLENE-A12'!Q65</f>
        <v>1400</v>
      </c>
    </row>
    <row r="8" spans="2:19" ht="16.5" customHeight="1">
      <c r="B8" s="605" t="s">
        <v>434</v>
      </c>
      <c r="C8" s="606"/>
      <c r="D8" s="239">
        <f>'PROPYLENE-A12'!D37-'PROPYLENE-A12'!D66</f>
        <v>145</v>
      </c>
      <c r="E8" s="240">
        <f>'PROPYLENE-A12'!E37-'PROPYLENE-A12'!E66</f>
        <v>18</v>
      </c>
      <c r="F8" s="240">
        <f>'PROPYLENE-A12'!F37-'PROPYLENE-A12'!F66</f>
        <v>71</v>
      </c>
      <c r="G8" s="240">
        <f>'PROPYLENE-A12'!G37-'PROPYLENE-A12'!G66</f>
        <v>276</v>
      </c>
      <c r="H8" s="240">
        <f>'PROPYLENE-A12'!H37-'PROPYLENE-A12'!H66</f>
        <v>687</v>
      </c>
      <c r="I8" s="240">
        <f>'PROPYLENE-A12'!I37-'PROPYLENE-A12'!I66</f>
        <v>548</v>
      </c>
      <c r="J8" s="240">
        <f>'PROPYLENE-A12'!J37-'PROPYLENE-A12'!J66</f>
        <v>556</v>
      </c>
      <c r="K8" s="241">
        <f>'PROPYLENE-A12'!K37-'PROPYLENE-A12'!K66</f>
        <v>331</v>
      </c>
      <c r="L8" s="242">
        <f>'PROPYLENE-A12'!L37-'PROPYLENE-A12'!L66</f>
        <v>450</v>
      </c>
      <c r="M8" s="240">
        <f>'PROPYLENE-A12'!M37-'PROPYLENE-A12'!M66</f>
        <v>450</v>
      </c>
      <c r="N8" s="240">
        <f>'PROPYLENE-A12'!N37-'PROPYLENE-A12'!N66</f>
        <v>450</v>
      </c>
      <c r="O8" s="240">
        <f>'PROPYLENE-A12'!O37-'PROPYLENE-A12'!O66</f>
        <v>500</v>
      </c>
      <c r="P8" s="240">
        <f>'PROPYLENE-A12'!P37-'PROPYLENE-A12'!P66</f>
        <v>500</v>
      </c>
      <c r="Q8" s="243">
        <f>'PROPYLENE-A12'!Q37-'PROPYLENE-A12'!Q66</f>
        <v>500</v>
      </c>
    </row>
    <row r="9" spans="2:19" ht="16.5" customHeight="1">
      <c r="B9" s="605" t="s">
        <v>435</v>
      </c>
      <c r="C9" s="606"/>
      <c r="D9" s="239">
        <f>'PROPYLENE-A12'!D38-'PROPYLENE-A12'!D67</f>
        <v>-149</v>
      </c>
      <c r="E9" s="240">
        <f>'PROPYLENE-A12'!E38-'PROPYLENE-A12'!E67</f>
        <v>36.300999999999931</v>
      </c>
      <c r="F9" s="240">
        <f>'PROPYLENE-A12'!F38-'PROPYLENE-A12'!F67</f>
        <v>67.377499999999827</v>
      </c>
      <c r="G9" s="240">
        <f>'PROPYLENE-A12'!G38-'PROPYLENE-A12'!G67</f>
        <v>-6.8075000000003456</v>
      </c>
      <c r="H9" s="240">
        <f>'PROPYLENE-A12'!H38-'PROPYLENE-A12'!H67</f>
        <v>-29.025000000000091</v>
      </c>
      <c r="I9" s="240">
        <f>'PROPYLENE-A12'!I38-'PROPYLENE-A12'!I67</f>
        <v>-33.779999999999745</v>
      </c>
      <c r="J9" s="240">
        <f>'PROPYLENE-A12'!J38-'PROPYLENE-A12'!J67</f>
        <v>-229</v>
      </c>
      <c r="K9" s="241">
        <f>'PROPYLENE-A12'!K38-'PROPYLENE-A12'!K67</f>
        <v>-48</v>
      </c>
      <c r="L9" s="242">
        <f>'PROPYLENE-A12'!L38-'PROPYLENE-A12'!L67</f>
        <v>-18</v>
      </c>
      <c r="M9" s="240">
        <f>'PROPYLENE-A12'!M38-'PROPYLENE-A12'!M67</f>
        <v>-97</v>
      </c>
      <c r="N9" s="240">
        <f>'PROPYLENE-A12'!N38-'PROPYLENE-A12'!N67</f>
        <v>-62</v>
      </c>
      <c r="O9" s="240">
        <f>'PROPYLENE-A12'!O38-'PROPYLENE-A12'!O67</f>
        <v>-80</v>
      </c>
      <c r="P9" s="240">
        <f>'PROPYLENE-A12'!P38-'PROPYLENE-A12'!P67</f>
        <v>-65</v>
      </c>
      <c r="Q9" s="243">
        <f>'PROPYLENE-A12'!Q38-'PROPYLENE-A12'!Q67</f>
        <v>-64</v>
      </c>
    </row>
    <row r="10" spans="2:19" ht="16.5" customHeight="1">
      <c r="B10" s="605" t="s">
        <v>436</v>
      </c>
      <c r="C10" s="606"/>
      <c r="D10" s="239">
        <f>'PROPYLENE-A12'!D39-'PROPYLENE-A12'!D68</f>
        <v>-1307</v>
      </c>
      <c r="E10" s="240">
        <f>'PROPYLENE-A12'!E39-'PROPYLENE-A12'!E68</f>
        <v>-1543</v>
      </c>
      <c r="F10" s="240">
        <f>'PROPYLENE-A12'!F39-'PROPYLENE-A12'!F68</f>
        <v>-2039</v>
      </c>
      <c r="G10" s="240">
        <f>'PROPYLENE-A12'!G39-'PROPYLENE-A12'!G68</f>
        <v>-2644</v>
      </c>
      <c r="H10" s="240">
        <f>'PROPYLENE-A12'!H39-'PROPYLENE-A12'!H68</f>
        <v>-2907</v>
      </c>
      <c r="I10" s="240">
        <f>'PROPYLENE-A12'!I39-'PROPYLENE-A12'!I68</f>
        <v>-2779</v>
      </c>
      <c r="J10" s="240">
        <f>'PROPYLENE-A12'!J39-'PROPYLENE-A12'!J68</f>
        <v>-2839</v>
      </c>
      <c r="K10" s="241">
        <f>'PROPYLENE-A12'!K39-'PROPYLENE-A12'!K68</f>
        <v>-3099</v>
      </c>
      <c r="L10" s="242">
        <f>'PROPYLENE-A12'!L39-'PROPYLENE-A12'!L68</f>
        <v>-3775</v>
      </c>
      <c r="M10" s="240">
        <f>'PROPYLENE-A12'!M39-'PROPYLENE-A12'!M68</f>
        <v>-3829</v>
      </c>
      <c r="N10" s="240">
        <f>'PROPYLENE-A12'!N39-'PROPYLENE-A12'!N68</f>
        <v>-3220</v>
      </c>
      <c r="O10" s="240">
        <f>'PROPYLENE-A12'!O39-'PROPYLENE-A12'!O68</f>
        <v>-1750</v>
      </c>
      <c r="P10" s="240">
        <f>'PROPYLENE-A12'!P39-'PROPYLENE-A12'!P68</f>
        <v>-2192</v>
      </c>
      <c r="Q10" s="243">
        <f>'PROPYLENE-A12'!Q39-'PROPYLENE-A12'!Q68</f>
        <v>-2731</v>
      </c>
    </row>
    <row r="11" spans="2:19" ht="16.5" customHeight="1">
      <c r="B11" s="605" t="s">
        <v>437</v>
      </c>
      <c r="C11" s="606"/>
      <c r="D11" s="239">
        <f>'PROPYLENE-A12'!D40-'PROPYLENE-A12'!D69</f>
        <v>141</v>
      </c>
      <c r="E11" s="240">
        <f>'PROPYLENE-A12'!E40-'PROPYLENE-A12'!E69</f>
        <v>230</v>
      </c>
      <c r="F11" s="240">
        <f>'PROPYLENE-A12'!F40-'PROPYLENE-A12'!F69</f>
        <v>134</v>
      </c>
      <c r="G11" s="240">
        <f>'PROPYLENE-A12'!G40-'PROPYLENE-A12'!G69</f>
        <v>191</v>
      </c>
      <c r="H11" s="240">
        <f>'PROPYLENE-A12'!H40-'PROPYLENE-A12'!H69</f>
        <v>219.84299999999985</v>
      </c>
      <c r="I11" s="240">
        <f>'PROPYLENE-A12'!I40-'PROPYLENE-A12'!I69</f>
        <v>159.30999999999995</v>
      </c>
      <c r="J11" s="240">
        <f>'PROPYLENE-A12'!J40-'PROPYLENE-A12'!J69</f>
        <v>209</v>
      </c>
      <c r="K11" s="241">
        <f>'PROPYLENE-A12'!K40-'PROPYLENE-A12'!K69</f>
        <v>220.62400000000025</v>
      </c>
      <c r="L11" s="242">
        <f>'PROPYLENE-A12'!L40-'PROPYLENE-A12'!L69</f>
        <v>182.84413200000017</v>
      </c>
      <c r="M11" s="240">
        <f>'PROPYLENE-A12'!M40-'PROPYLENE-A12'!M69</f>
        <v>177</v>
      </c>
      <c r="N11" s="240">
        <f>'PROPYLENE-A12'!N40-'PROPYLENE-A12'!N69</f>
        <v>115</v>
      </c>
      <c r="O11" s="240">
        <f>'PROPYLENE-A12'!O40-'PROPYLENE-A12'!O69</f>
        <v>310</v>
      </c>
      <c r="P11" s="240">
        <f>'PROPYLENE-A12'!P40-'PROPYLENE-A12'!P69</f>
        <v>315</v>
      </c>
      <c r="Q11" s="243">
        <f>'PROPYLENE-A12'!Q40-'PROPYLENE-A12'!Q69</f>
        <v>295</v>
      </c>
    </row>
    <row r="12" spans="2:19" ht="16.5" customHeight="1">
      <c r="B12" s="605" t="s">
        <v>438</v>
      </c>
      <c r="C12" s="606"/>
      <c r="D12" s="239">
        <f>'PROPYLENE-A12'!D41-'PROPYLENE-A12'!D70</f>
        <v>-241.60500000000013</v>
      </c>
      <c r="E12" s="240">
        <f>'PROPYLENE-A12'!E41-'PROPYLENE-A12'!E70</f>
        <v>-265.47525000000019</v>
      </c>
      <c r="F12" s="240">
        <f>'PROPYLENE-A12'!F41-'PROPYLENE-A12'!F70</f>
        <v>-290.06160750000026</v>
      </c>
      <c r="G12" s="240">
        <f>'PROPYLENE-A12'!G41-'PROPYLENE-A12'!G70</f>
        <v>-315.38555572500024</v>
      </c>
      <c r="H12" s="240">
        <f>'PROPYLENE-A12'!H41-'PROPYLENE-A12'!H70</f>
        <v>-210.06922239675021</v>
      </c>
      <c r="I12" s="240">
        <f>'PROPYLENE-A12'!I41-'PROPYLENE-A12'!I70</f>
        <v>-237.40539906865274</v>
      </c>
      <c r="J12" s="240">
        <f>'PROPYLENE-A12'!J41-'PROPYLENE-A12'!J70</f>
        <v>-265.07756104071234</v>
      </c>
      <c r="K12" s="241">
        <f>'PROPYLENE-A12'!K41-'PROPYLENE-A12'!K70</f>
        <v>-60</v>
      </c>
      <c r="L12" s="242">
        <f>'PROPYLENE-A12'!L41-'PROPYLENE-A12'!L70</f>
        <v>-290</v>
      </c>
      <c r="M12" s="240">
        <f>'PROPYLENE-A12'!M41-'PROPYLENE-A12'!M70</f>
        <v>-340</v>
      </c>
      <c r="N12" s="240">
        <f>'PROPYLENE-A12'!N41-'PROPYLENE-A12'!N70</f>
        <v>-335</v>
      </c>
      <c r="O12" s="240">
        <f>'PROPYLENE-A12'!O41-'PROPYLENE-A12'!O70</f>
        <v>-390</v>
      </c>
      <c r="P12" s="240">
        <f>'PROPYLENE-A12'!P41-'PROPYLENE-A12'!P70</f>
        <v>-450</v>
      </c>
      <c r="Q12" s="243">
        <f>'PROPYLENE-A12'!Q41-'PROPYLENE-A12'!Q70</f>
        <v>-510</v>
      </c>
    </row>
    <row r="13" spans="2:19" ht="16.5" customHeight="1">
      <c r="B13" s="605" t="s">
        <v>439</v>
      </c>
      <c r="C13" s="606"/>
      <c r="D13" s="239">
        <f>'PROPYLENE-A12'!D42-'PROPYLENE-A12'!D71</f>
        <v>-438</v>
      </c>
      <c r="E13" s="240">
        <f>'PROPYLENE-A12'!E42-'PROPYLENE-A12'!E71</f>
        <v>172</v>
      </c>
      <c r="F13" s="240">
        <f>'PROPYLENE-A12'!F42-'PROPYLENE-A12'!F71</f>
        <v>15</v>
      </c>
      <c r="G13" s="240">
        <f>'PROPYLENE-A12'!G42-'PROPYLENE-A12'!G71</f>
        <v>10</v>
      </c>
      <c r="H13" s="240">
        <f>'PROPYLENE-A12'!H42-'PROPYLENE-A12'!H71</f>
        <v>0</v>
      </c>
      <c r="I13" s="240">
        <f>'PROPYLENE-A12'!I42-'PROPYLENE-A12'!I71</f>
        <v>0</v>
      </c>
      <c r="J13" s="240">
        <f>'PROPYLENE-A12'!J42-'PROPYLENE-A12'!J71</f>
        <v>11</v>
      </c>
      <c r="K13" s="241">
        <f>'PROPYLENE-A12'!K42-'PROPYLENE-A12'!K71</f>
        <v>0</v>
      </c>
      <c r="L13" s="242">
        <f>'PROPYLENE-A12'!L42-'PROPYLENE-A12'!L71</f>
        <v>0</v>
      </c>
      <c r="M13" s="240">
        <f>'PROPYLENE-A12'!M42-'PROPYLENE-A12'!M71</f>
        <v>400</v>
      </c>
      <c r="N13" s="240">
        <f>'PROPYLENE-A12'!N42-'PROPYLENE-A12'!N71</f>
        <v>500</v>
      </c>
      <c r="O13" s="240">
        <f>'PROPYLENE-A12'!O42-'PROPYLENE-A12'!O71</f>
        <v>300</v>
      </c>
      <c r="P13" s="240">
        <f>'PROPYLENE-A12'!P42-'PROPYLENE-A12'!P71</f>
        <v>200</v>
      </c>
      <c r="Q13" s="243">
        <f>'PROPYLENE-A12'!Q42-'PROPYLENE-A12'!Q71</f>
        <v>200</v>
      </c>
    </row>
    <row r="14" spans="2:19" ht="18" hidden="1" customHeight="1">
      <c r="B14" s="16"/>
      <c r="C14" s="90" t="s">
        <v>306</v>
      </c>
      <c r="D14" s="239">
        <f>'PROPYLENE-A12'!D43-'PROPYLENE-A12'!D72</f>
        <v>0</v>
      </c>
      <c r="E14" s="240">
        <f>'PROPYLENE-A12'!E43-'PROPYLENE-A12'!E72</f>
        <v>0</v>
      </c>
      <c r="F14" s="240">
        <f>'PROPYLENE-A12'!F43-'PROPYLENE-A12'!F72</f>
        <v>0</v>
      </c>
      <c r="G14" s="240">
        <f>'PROPYLENE-A12'!G43-'PROPYLENE-A12'!G72</f>
        <v>0</v>
      </c>
      <c r="H14" s="240">
        <f>'PROPYLENE-A12'!H43-'PROPYLENE-A12'!H72</f>
        <v>0</v>
      </c>
      <c r="I14" s="240">
        <f>'PROPYLENE-A12'!I43-'PROPYLENE-A12'!I72</f>
        <v>0</v>
      </c>
      <c r="J14" s="240">
        <f>'PROPYLENE-A12'!J43-'PROPYLENE-A12'!J72</f>
        <v>0</v>
      </c>
      <c r="K14" s="241">
        <f>'PROPYLENE-A12'!K43-'PROPYLENE-A12'!K72</f>
        <v>0</v>
      </c>
      <c r="L14" s="242">
        <f>'PROPYLENE-A12'!L43-'PROPYLENE-A12'!L72</f>
        <v>0</v>
      </c>
      <c r="M14" s="240">
        <f>'PROPYLENE-A12'!M43-'PROPYLENE-A12'!M72</f>
        <v>0</v>
      </c>
      <c r="N14" s="240">
        <f>'PROPYLENE-A12'!N43-'PROPYLENE-A12'!N72</f>
        <v>0</v>
      </c>
      <c r="O14" s="240">
        <f>'PROPYLENE-A12'!O43-'PROPYLENE-A12'!O72</f>
        <v>0</v>
      </c>
      <c r="P14" s="240">
        <f>'PROPYLENE-A12'!P43-'PROPYLENE-A12'!P72</f>
        <v>0</v>
      </c>
      <c r="Q14" s="243">
        <f>'PROPYLENE-A12'!Q43-'PROPYLENE-A12'!Q72</f>
        <v>0</v>
      </c>
    </row>
    <row r="15" spans="2:19" ht="16.5" customHeight="1">
      <c r="B15" s="605" t="s">
        <v>440</v>
      </c>
      <c r="C15" s="606"/>
      <c r="D15" s="239">
        <f>'PROPYLENE-A12'!D44-'PROPYLENE-A12'!D73</f>
        <v>-90</v>
      </c>
      <c r="E15" s="240">
        <f>'PROPYLENE-A12'!E44-'PROPYLENE-A12'!E73</f>
        <v>-42</v>
      </c>
      <c r="F15" s="240">
        <f>'PROPYLENE-A12'!F44-'PROPYLENE-A12'!F73</f>
        <v>-13</v>
      </c>
      <c r="G15" s="240">
        <f>'PROPYLENE-A12'!G44-'PROPYLENE-A12'!G73</f>
        <v>-14</v>
      </c>
      <c r="H15" s="240">
        <f>'PROPYLENE-A12'!H44-'PROPYLENE-A12'!H73</f>
        <v>-16.805</v>
      </c>
      <c r="I15" s="240">
        <f>'PROPYLENE-A12'!I44-'PROPYLENE-A12'!I73</f>
        <v>-30.373999999999995</v>
      </c>
      <c r="J15" s="240">
        <f>'PROPYLENE-A12'!J44-'PROPYLENE-A12'!J73</f>
        <v>-31.799999999999983</v>
      </c>
      <c r="K15" s="241">
        <f>'PROPYLENE-A12'!K44-'PROPYLENE-A12'!K73</f>
        <v>-33.700000000000017</v>
      </c>
      <c r="L15" s="242">
        <f>'PROPYLENE-A12'!L44-'PROPYLENE-A12'!L73</f>
        <v>-35.740000000000009</v>
      </c>
      <c r="M15" s="240">
        <f>'PROPYLENE-A12'!M44-'PROPYLENE-A12'!M73</f>
        <v>-37.869999999999976</v>
      </c>
      <c r="N15" s="240">
        <f>'PROPYLENE-A12'!N44-'PROPYLENE-A12'!N73</f>
        <v>-40.150000000000006</v>
      </c>
      <c r="O15" s="240">
        <f>'PROPYLENE-A12'!O44-'PROPYLENE-A12'!O73</f>
        <v>-43</v>
      </c>
      <c r="P15" s="240">
        <f>'PROPYLENE-A12'!P44-'PROPYLENE-A12'!P73</f>
        <v>-46</v>
      </c>
      <c r="Q15" s="243">
        <f>'PROPYLENE-A12'!Q44-'PROPYLENE-A12'!Q73</f>
        <v>-49</v>
      </c>
    </row>
    <row r="16" spans="2:19" ht="16.5" customHeight="1">
      <c r="B16" s="605" t="s">
        <v>441</v>
      </c>
      <c r="C16" s="606"/>
      <c r="D16" s="239">
        <f>'PROPYLENE-A12'!D45-'PROPYLENE-A12'!D74</f>
        <v>27.358936416184861</v>
      </c>
      <c r="E16" s="240">
        <f>'PROPYLENE-A12'!E45-'PROPYLENE-A12'!E74</f>
        <v>-9</v>
      </c>
      <c r="F16" s="240">
        <f>'PROPYLENE-A12'!F45-'PROPYLENE-A12'!F74</f>
        <v>-21</v>
      </c>
      <c r="G16" s="240">
        <f>'PROPYLENE-A12'!G45-'PROPYLENE-A12'!G74</f>
        <v>-34</v>
      </c>
      <c r="H16" s="240">
        <f>'PROPYLENE-A12'!H45-'PROPYLENE-A12'!H74</f>
        <v>-9.6870000000000118</v>
      </c>
      <c r="I16" s="240">
        <f>'PROPYLENE-A12'!I45-'PROPYLENE-A12'!I74</f>
        <v>-11.989000000000033</v>
      </c>
      <c r="J16" s="240">
        <f>'PROPYLENE-A12'!J45-'PROPYLENE-A12'!J74</f>
        <v>-32.254000000000019</v>
      </c>
      <c r="K16" s="241">
        <f>'PROPYLENE-A12'!K45-'PROPYLENE-A12'!K74</f>
        <v>-49.303999999999974</v>
      </c>
      <c r="L16" s="242">
        <f>'PROPYLENE-A12'!L45-'PROPYLENE-A12'!L74</f>
        <v>47.399999999999977</v>
      </c>
      <c r="M16" s="240">
        <f>'PROPYLENE-A12'!M45-'PROPYLENE-A12'!M74</f>
        <v>-18</v>
      </c>
      <c r="N16" s="240">
        <f>'PROPYLENE-A12'!N45-'PROPYLENE-A12'!N74</f>
        <v>296</v>
      </c>
      <c r="O16" s="240">
        <f>'PROPYLENE-A12'!O45-'PROPYLENE-A12'!O74</f>
        <v>260</v>
      </c>
      <c r="P16" s="240">
        <f>'PROPYLENE-A12'!P45-'PROPYLENE-A12'!P74</f>
        <v>230</v>
      </c>
      <c r="Q16" s="243">
        <f>'PROPYLENE-A12'!Q45-'PROPYLENE-A12'!Q74</f>
        <v>227</v>
      </c>
    </row>
    <row r="17" spans="2:17" ht="16.5" customHeight="1">
      <c r="B17" s="605" t="s">
        <v>442</v>
      </c>
      <c r="C17" s="606"/>
      <c r="D17" s="239">
        <f>'PROPYLENE-A12'!D46-'PROPYLENE-A12'!D75</f>
        <v>0</v>
      </c>
      <c r="E17" s="240">
        <f>'PROPYLENE-A12'!E46-'PROPYLENE-A12'!E75</f>
        <v>0</v>
      </c>
      <c r="F17" s="240">
        <f>'PROPYLENE-A12'!F46-'PROPYLENE-A12'!F75</f>
        <v>0</v>
      </c>
      <c r="G17" s="240">
        <f>'PROPYLENE-A12'!G46-'PROPYLENE-A12'!G75</f>
        <v>0</v>
      </c>
      <c r="H17" s="240">
        <f>'PROPYLENE-A12'!H46-'PROPYLENE-A12'!H75</f>
        <v>0</v>
      </c>
      <c r="I17" s="240">
        <f>'PROPYLENE-A12'!I46-'PROPYLENE-A12'!I75</f>
        <v>0</v>
      </c>
      <c r="J17" s="240">
        <f>'PROPYLENE-A12'!J46-'PROPYLENE-A12'!J75</f>
        <v>0</v>
      </c>
      <c r="K17" s="241">
        <f>'PROPYLENE-A12'!K46-'PROPYLENE-A12'!K75</f>
        <v>0</v>
      </c>
      <c r="L17" s="242">
        <f>'PROPYLENE-A12'!L46-'PROPYLENE-A12'!L75</f>
        <v>0</v>
      </c>
      <c r="M17" s="240">
        <f>'PROPYLENE-A12'!M46-'PROPYLENE-A12'!M75</f>
        <v>0</v>
      </c>
      <c r="N17" s="240">
        <f>'PROPYLENE-A12'!N46-'PROPYLENE-A12'!N75</f>
        <v>0</v>
      </c>
      <c r="O17" s="240">
        <f>'PROPYLENE-A12'!O46-'PROPYLENE-A12'!O75</f>
        <v>0</v>
      </c>
      <c r="P17" s="240">
        <f>'PROPYLENE-A12'!P46-'PROPYLENE-A12'!P75</f>
        <v>0</v>
      </c>
      <c r="Q17" s="243">
        <f>'PROPYLENE-A12'!Q46-'PROPYLENE-A12'!Q75</f>
        <v>0</v>
      </c>
    </row>
    <row r="18" spans="2:17" ht="16.5" customHeight="1">
      <c r="B18" s="607" t="s">
        <v>443</v>
      </c>
      <c r="C18" s="608"/>
      <c r="D18" s="239">
        <f>'PROPYLENE-A12'!D47-'PROPYLENE-A12'!D76</f>
        <v>721.5</v>
      </c>
      <c r="E18" s="240">
        <f>'PROPYLENE-A12'!E47-'PROPYLENE-A12'!E76</f>
        <v>705.09999999999945</v>
      </c>
      <c r="F18" s="240">
        <f>'PROPYLENE-A12'!F47-'PROPYLENE-A12'!F76</f>
        <v>779.40000000000055</v>
      </c>
      <c r="G18" s="240">
        <f>'PROPYLENE-A12'!G47-'PROPYLENE-A12'!G76</f>
        <v>1457.1000000000004</v>
      </c>
      <c r="H18" s="240">
        <f>'PROPYLENE-A12'!H47-'PROPYLENE-A12'!H76</f>
        <v>1322.7000000000007</v>
      </c>
      <c r="I18" s="240">
        <f>'PROPYLENE-A12'!I47-'PROPYLENE-A12'!I76</f>
        <v>1314</v>
      </c>
      <c r="J18" s="240">
        <f>'PROPYLENE-A12'!J47-'PROPYLENE-A12'!J76</f>
        <v>829.10000000000036</v>
      </c>
      <c r="K18" s="241">
        <f>'PROPYLENE-A12'!K47-'PROPYLENE-A12'!K76</f>
        <v>729.5</v>
      </c>
      <c r="L18" s="242">
        <f>'PROPYLENE-A12'!L47-'PROPYLENE-A12'!L76</f>
        <v>563</v>
      </c>
      <c r="M18" s="240">
        <f>'PROPYLENE-A12'!M47-'PROPYLENE-A12'!M76</f>
        <v>557</v>
      </c>
      <c r="N18" s="240">
        <f>'PROPYLENE-A12'!N47-'PROPYLENE-A12'!N76</f>
        <v>460</v>
      </c>
      <c r="O18" s="240">
        <f>'PROPYLENE-A12'!O47-'PROPYLENE-A12'!O76</f>
        <v>465</v>
      </c>
      <c r="P18" s="240">
        <f>'PROPYLENE-A12'!P47-'PROPYLENE-A12'!P76</f>
        <v>470</v>
      </c>
      <c r="Q18" s="243">
        <f>'PROPYLENE-A12'!Q47-'PROPYLENE-A12'!Q76</f>
        <v>475</v>
      </c>
    </row>
    <row r="19" spans="2:17" ht="17.25" customHeight="1">
      <c r="B19" s="620" t="s">
        <v>307</v>
      </c>
      <c r="C19" s="621"/>
      <c r="D19" s="244">
        <f t="shared" ref="D19:Q19" si="0">SUM(D7:D18)</f>
        <v>-911.74606358381516</v>
      </c>
      <c r="E19" s="245">
        <f t="shared" si="0"/>
        <v>-58.074250000000802</v>
      </c>
      <c r="F19" s="245">
        <f t="shared" si="0"/>
        <v>-334.28410749999989</v>
      </c>
      <c r="G19" s="245">
        <f t="shared" si="0"/>
        <v>-306.09305572500034</v>
      </c>
      <c r="H19" s="245">
        <f t="shared" si="0"/>
        <v>-81.043222396750025</v>
      </c>
      <c r="I19" s="245">
        <f t="shared" si="0"/>
        <v>-262.2383990686526</v>
      </c>
      <c r="J19" s="245">
        <f t="shared" si="0"/>
        <v>-367.03156104071195</v>
      </c>
      <c r="K19" s="246">
        <f t="shared" si="0"/>
        <v>-491.87999999999965</v>
      </c>
      <c r="L19" s="247">
        <f t="shared" si="0"/>
        <v>-1415.495868</v>
      </c>
      <c r="M19" s="245">
        <f t="shared" si="0"/>
        <v>-1537.87</v>
      </c>
      <c r="N19" s="245">
        <f t="shared" si="0"/>
        <v>-836.15000000000009</v>
      </c>
      <c r="O19" s="245">
        <f t="shared" si="0"/>
        <v>972</v>
      </c>
      <c r="P19" s="245">
        <f t="shared" si="0"/>
        <v>412</v>
      </c>
      <c r="Q19" s="248">
        <f t="shared" si="0"/>
        <v>-257</v>
      </c>
    </row>
    <row r="20" spans="2:17" ht="17.25" customHeight="1">
      <c r="B20" s="609" t="s">
        <v>308</v>
      </c>
      <c r="C20" s="610"/>
      <c r="D20" s="244">
        <f>'PROPYLENE-A12'!D49-'PROPYLENE-A12'!D78</f>
        <v>-14</v>
      </c>
      <c r="E20" s="245">
        <f>'PROPYLENE-A12'!E49-'PROPYLENE-A12'!E78</f>
        <v>-28</v>
      </c>
      <c r="F20" s="245">
        <f>'PROPYLENE-A12'!F49-'PROPYLENE-A12'!F78</f>
        <v>-40</v>
      </c>
      <c r="G20" s="245">
        <f>'PROPYLENE-A12'!G49-'PROPYLENE-A12'!G78</f>
        <v>0</v>
      </c>
      <c r="H20" s="245">
        <f>'PROPYLENE-A12'!H49-'PROPYLENE-A12'!H78</f>
        <v>0</v>
      </c>
      <c r="I20" s="245">
        <f>'PROPYLENE-A12'!I49-'PROPYLENE-A12'!I78</f>
        <v>0</v>
      </c>
      <c r="J20" s="245">
        <f>'PROPYLENE-A12'!J49-'PROPYLENE-A12'!J78</f>
        <v>0</v>
      </c>
      <c r="K20" s="246">
        <f>'PROPYLENE-A12'!K49-'PROPYLENE-A12'!K78</f>
        <v>0</v>
      </c>
      <c r="L20" s="247">
        <f>'PROPYLENE-A12'!L49-'PROPYLENE-A12'!L78</f>
        <v>0</v>
      </c>
      <c r="M20" s="245">
        <f>'PROPYLENE-A12'!M49-'PROPYLENE-A12'!M78</f>
        <v>0</v>
      </c>
      <c r="N20" s="245">
        <f>'PROPYLENE-A12'!N49-'PROPYLENE-A12'!N78</f>
        <v>0</v>
      </c>
      <c r="O20" s="245">
        <f>'PROPYLENE-A12'!O49-'PROPYLENE-A12'!O78</f>
        <v>0</v>
      </c>
      <c r="P20" s="245">
        <f>'PROPYLENE-A12'!P49-'PROPYLENE-A12'!P78</f>
        <v>0</v>
      </c>
      <c r="Q20" s="248">
        <f>'PROPYLENE-A12'!Q49-'PROPYLENE-A12'!Q78</f>
        <v>0</v>
      </c>
    </row>
    <row r="21" spans="2:17" ht="16.5" customHeight="1">
      <c r="B21" s="105"/>
      <c r="C21" s="97" t="s">
        <v>309</v>
      </c>
      <c r="D21" s="244">
        <f>'PROPYLENE-A12'!D50-'PROPYLENE-A12'!D79</f>
        <v>-14</v>
      </c>
      <c r="E21" s="245">
        <f>'PROPYLENE-A12'!E50-'PROPYLENE-A12'!E79</f>
        <v>-28</v>
      </c>
      <c r="F21" s="245">
        <f>'PROPYLENE-A12'!F50-'PROPYLENE-A12'!F79</f>
        <v>-40</v>
      </c>
      <c r="G21" s="245">
        <f>'PROPYLENE-A12'!G50-'PROPYLENE-A12'!G79</f>
        <v>0</v>
      </c>
      <c r="H21" s="245">
        <f>'PROPYLENE-A12'!H50-'PROPYLENE-A12'!H79</f>
        <v>0</v>
      </c>
      <c r="I21" s="245">
        <f>'PROPYLENE-A12'!I50-'PROPYLENE-A12'!I79</f>
        <v>0</v>
      </c>
      <c r="J21" s="245">
        <f>'PROPYLENE-A12'!J50-'PROPYLENE-A12'!J79</f>
        <v>0</v>
      </c>
      <c r="K21" s="246">
        <f>'PROPYLENE-A12'!K50-'PROPYLENE-A12'!K79</f>
        <v>0</v>
      </c>
      <c r="L21" s="247">
        <f>'PROPYLENE-A12'!L50-'PROPYLENE-A12'!L79</f>
        <v>0</v>
      </c>
      <c r="M21" s="245">
        <f>'PROPYLENE-A12'!M50-'PROPYLENE-A12'!M79</f>
        <v>0</v>
      </c>
      <c r="N21" s="245">
        <f>'PROPYLENE-A12'!N50-'PROPYLENE-A12'!N79</f>
        <v>0</v>
      </c>
      <c r="O21" s="245">
        <f>'PROPYLENE-A12'!O50-'PROPYLENE-A12'!O79</f>
        <v>0</v>
      </c>
      <c r="P21" s="245">
        <f>'PROPYLENE-A12'!P50-'PROPYLENE-A12'!P79</f>
        <v>0</v>
      </c>
      <c r="Q21" s="248">
        <f>'PROPYLENE-A12'!Q50-'PROPYLENE-A12'!Q79</f>
        <v>0</v>
      </c>
    </row>
    <row r="22" spans="2:17" ht="17.25" customHeight="1">
      <c r="B22" s="609" t="s">
        <v>310</v>
      </c>
      <c r="C22" s="610"/>
      <c r="D22" s="239">
        <f>'PROPYLENE-A12'!D51-'PROPYLENE-A12'!D80</f>
        <v>90</v>
      </c>
      <c r="E22" s="240">
        <f>'PROPYLENE-A12'!E51-'PROPYLENE-A12'!E80</f>
        <v>-208</v>
      </c>
      <c r="F22" s="240">
        <f>'PROPYLENE-A12'!F51-'PROPYLENE-A12'!F80</f>
        <v>-50</v>
      </c>
      <c r="G22" s="240">
        <f>'PROPYLENE-A12'!G51-'PROPYLENE-A12'!G80</f>
        <v>-127</v>
      </c>
      <c r="H22" s="240">
        <f>'PROPYLENE-A12'!H51-'PROPYLENE-A12'!H80</f>
        <v>-171.8986470000018</v>
      </c>
      <c r="I22" s="240">
        <f>'PROPYLENE-A12'!I51-'PROPYLENE-A12'!I80</f>
        <v>-128.04999999999927</v>
      </c>
      <c r="J22" s="240">
        <f>'PROPYLENE-A12'!J51-'PROPYLENE-A12'!J80</f>
        <v>-161.66064199999892</v>
      </c>
      <c r="K22" s="241">
        <f>'PROPYLENE-A12'!K51-'PROPYLENE-A12'!K80</f>
        <v>-382.22034199999871</v>
      </c>
      <c r="L22" s="242">
        <f>'PROPYLENE-A12'!L51-'PROPYLENE-A12'!L80</f>
        <v>-261.37154299999929</v>
      </c>
      <c r="M22" s="240">
        <f>'PROPYLENE-A12'!M51-'PROPYLENE-A12'!M80</f>
        <v>-292.05854100000033</v>
      </c>
      <c r="N22" s="240">
        <f>'PROPYLENE-A12'!N51-'PROPYLENE-A12'!N80</f>
        <v>-317.74756800000068</v>
      </c>
      <c r="O22" s="240">
        <f>'PROPYLENE-A12'!O51-'PROPYLENE-A12'!O80</f>
        <v>-392.49905100000069</v>
      </c>
      <c r="P22" s="240">
        <f>'PROPYLENE-A12'!P51-'PROPYLENE-A12'!P80</f>
        <v>-384.1121809999986</v>
      </c>
      <c r="Q22" s="243">
        <f>'PROPYLENE-A12'!Q51-'PROPYLENE-A12'!Q80</f>
        <v>-459.66408500000034</v>
      </c>
    </row>
    <row r="23" spans="2:17" ht="16.5" customHeight="1">
      <c r="B23" s="105"/>
      <c r="C23" s="615" t="s">
        <v>311</v>
      </c>
      <c r="D23" s="244">
        <f>'PROPYLENE-A12'!D52-'PROPYLENE-A12'!D81</f>
        <v>112</v>
      </c>
      <c r="E23" s="245">
        <f>'PROPYLENE-A12'!E52-'PROPYLENE-A12'!E81</f>
        <v>-97</v>
      </c>
      <c r="F23" s="245">
        <f>'PROPYLENE-A12'!F52-'PROPYLENE-A12'!F81</f>
        <v>154</v>
      </c>
      <c r="G23" s="245">
        <f>'PROPYLENE-A12'!G52-'PROPYLENE-A12'!G81</f>
        <v>61</v>
      </c>
      <c r="H23" s="245">
        <f>'PROPYLENE-A12'!H52-'PROPYLENE-A12'!H81</f>
        <v>18.45148799999879</v>
      </c>
      <c r="I23" s="245">
        <f>'PROPYLENE-A12'!I52-'PROPYLENE-A12'!I81</f>
        <v>0.27000000000043656</v>
      </c>
      <c r="J23" s="245">
        <f>'PROPYLENE-A12'!J52-'PROPYLENE-A12'!J81</f>
        <v>161.21597400000064</v>
      </c>
      <c r="K23" s="246">
        <f>'PROPYLENE-A12'!K52-'PROPYLENE-A12'!K81</f>
        <v>-283.18298399999912</v>
      </c>
      <c r="L23" s="247">
        <f>'PROPYLENE-A12'!L52-'PROPYLENE-A12'!L81</f>
        <v>-220</v>
      </c>
      <c r="M23" s="245">
        <f>'PROPYLENE-A12'!M52-'PROPYLENE-A12'!M81</f>
        <v>-330</v>
      </c>
      <c r="N23" s="245">
        <f>'PROPYLENE-A12'!N52-'PROPYLENE-A12'!N81</f>
        <v>-380</v>
      </c>
      <c r="O23" s="245">
        <f>'PROPYLENE-A12'!O52-'PROPYLENE-A12'!O81</f>
        <v>-463</v>
      </c>
      <c r="P23" s="245">
        <f>'PROPYLENE-A12'!P52-'PROPYLENE-A12'!P81</f>
        <v>-448</v>
      </c>
      <c r="Q23" s="248">
        <f>'PROPYLENE-A12'!Q52-'PROPYLENE-A12'!Q81</f>
        <v>-520</v>
      </c>
    </row>
    <row r="24" spans="2:17" ht="17.25" customHeight="1">
      <c r="B24" s="609" t="s">
        <v>312</v>
      </c>
      <c r="C24" s="610"/>
      <c r="D24" s="239">
        <f>'PROPYLENE-A12'!D53-'PROPYLENE-A12'!D82</f>
        <v>159</v>
      </c>
      <c r="E24" s="240">
        <f>'PROPYLENE-A12'!E53-'PROPYLENE-A12'!E82</f>
        <v>316</v>
      </c>
      <c r="F24" s="240">
        <f>'PROPYLENE-A12'!F53-'PROPYLENE-A12'!F82</f>
        <v>196</v>
      </c>
      <c r="G24" s="240">
        <f>'PROPYLENE-A12'!G53-'PROPYLENE-A12'!G82</f>
        <v>262</v>
      </c>
      <c r="H24" s="240">
        <f>'PROPYLENE-A12'!H53-'PROPYLENE-A12'!H82</f>
        <v>239</v>
      </c>
      <c r="I24" s="240">
        <f>'PROPYLENE-A12'!I53-'PROPYLENE-A12'!I82</f>
        <v>210</v>
      </c>
      <c r="J24" s="240">
        <f>'PROPYLENE-A12'!J53-'PROPYLENE-A12'!J82</f>
        <v>280</v>
      </c>
      <c r="K24" s="241">
        <f>'PROPYLENE-A12'!K53-'PROPYLENE-A12'!K82</f>
        <v>228</v>
      </c>
      <c r="L24" s="242">
        <f>'PROPYLENE-A12'!L53-'PROPYLENE-A12'!L82</f>
        <v>351</v>
      </c>
      <c r="M24" s="240">
        <f>'PROPYLENE-A12'!M53-'PROPYLENE-A12'!M82</f>
        <v>446</v>
      </c>
      <c r="N24" s="240">
        <f>'PROPYLENE-A12'!N53-'PROPYLENE-A12'!N82</f>
        <v>374</v>
      </c>
      <c r="O24" s="240">
        <f>'PROPYLENE-A12'!O53-'PROPYLENE-A12'!O82</f>
        <v>326</v>
      </c>
      <c r="P24" s="240">
        <f>'PROPYLENE-A12'!P53-'PROPYLENE-A12'!P82</f>
        <v>315</v>
      </c>
      <c r="Q24" s="243">
        <f>'PROPYLENE-A12'!Q53-'PROPYLENE-A12'!Q82</f>
        <v>446</v>
      </c>
    </row>
    <row r="25" spans="2:17" ht="16.5" customHeight="1">
      <c r="B25" s="16"/>
      <c r="C25" s="615" t="s">
        <v>313</v>
      </c>
      <c r="D25" s="244">
        <f>'PROPYLENE-A12'!D54-'PROPYLENE-A12'!D83</f>
        <v>0</v>
      </c>
      <c r="E25" s="245">
        <f>'PROPYLENE-A12'!E54-'PROPYLENE-A12'!E83</f>
        <v>177</v>
      </c>
      <c r="F25" s="245">
        <f>'PROPYLENE-A12'!F54-'PROPYLENE-A12'!F83</f>
        <v>182</v>
      </c>
      <c r="G25" s="245">
        <f>'PROPYLENE-A12'!G54-'PROPYLENE-A12'!G83</f>
        <v>249</v>
      </c>
      <c r="H25" s="245">
        <f>'PROPYLENE-A12'!H54-'PROPYLENE-A12'!H83</f>
        <v>198</v>
      </c>
      <c r="I25" s="245">
        <f>'PROPYLENE-A12'!I54-'PROPYLENE-A12'!I83</f>
        <v>190</v>
      </c>
      <c r="J25" s="245">
        <f>'PROPYLENE-A12'!J54-'PROPYLENE-A12'!J83</f>
        <v>113</v>
      </c>
      <c r="K25" s="246">
        <f>'PROPYLENE-A12'!K54-'PROPYLENE-A12'!K83</f>
        <v>266</v>
      </c>
      <c r="L25" s="247">
        <f>'PROPYLENE-A12'!L54-'PROPYLENE-A12'!L83</f>
        <v>109</v>
      </c>
      <c r="M25" s="245">
        <f>'PROPYLENE-A12'!M54-'PROPYLENE-A12'!M83</f>
        <v>148</v>
      </c>
      <c r="N25" s="245">
        <f>'PROPYLENE-A12'!N54-'PROPYLENE-A12'!N83</f>
        <v>97</v>
      </c>
      <c r="O25" s="245">
        <f>'PROPYLENE-A12'!O54-'PROPYLENE-A12'!O83</f>
        <v>137</v>
      </c>
      <c r="P25" s="245">
        <f>'PROPYLENE-A12'!P54-'PROPYLENE-A12'!P83</f>
        <v>114</v>
      </c>
      <c r="Q25" s="248">
        <f>'PROPYLENE-A12'!Q54-'PROPYLENE-A12'!Q83</f>
        <v>100</v>
      </c>
    </row>
    <row r="26" spans="2:17" ht="17.25" customHeight="1">
      <c r="B26" s="620" t="s">
        <v>314</v>
      </c>
      <c r="C26" s="621"/>
      <c r="D26" s="244">
        <f>'PROPYLENE-A12'!D55-'PROPYLENE-A12'!D84</f>
        <v>-5</v>
      </c>
      <c r="E26" s="245">
        <f>'PROPYLENE-A12'!E55-'PROPYLENE-A12'!E84</f>
        <v>-15</v>
      </c>
      <c r="F26" s="245">
        <f>'PROPYLENE-A12'!F55-'PROPYLENE-A12'!F84</f>
        <v>14</v>
      </c>
      <c r="G26" s="245">
        <f>'PROPYLENE-A12'!G55-'PROPYLENE-A12'!G84</f>
        <v>-36</v>
      </c>
      <c r="H26" s="245">
        <f>'PROPYLENE-A12'!H55-'PROPYLENE-A12'!H84</f>
        <v>-23</v>
      </c>
      <c r="I26" s="245">
        <f>'PROPYLENE-A12'!I55-'PROPYLENE-A12'!I84</f>
        <v>105</v>
      </c>
      <c r="J26" s="245">
        <f>'PROPYLENE-A12'!J55-'PROPYLENE-A12'!J84</f>
        <v>118</v>
      </c>
      <c r="K26" s="246">
        <f>'PROPYLENE-A12'!K55-'PROPYLENE-A12'!K84</f>
        <v>100</v>
      </c>
      <c r="L26" s="247">
        <f>'PROPYLENE-A12'!L55-'PROPYLENE-A12'!L84</f>
        <v>102</v>
      </c>
      <c r="M26" s="245">
        <f>'PROPYLENE-A12'!M55-'PROPYLENE-A12'!M84</f>
        <v>102</v>
      </c>
      <c r="N26" s="245">
        <f>'PROPYLENE-A12'!N55-'PROPYLENE-A12'!N84</f>
        <v>104</v>
      </c>
      <c r="O26" s="245">
        <f>'PROPYLENE-A12'!O55-'PROPYLENE-A12'!O84</f>
        <v>105</v>
      </c>
      <c r="P26" s="245">
        <f>'PROPYLENE-A12'!P55-'PROPYLENE-A12'!P84</f>
        <v>105</v>
      </c>
      <c r="Q26" s="248">
        <f>'PROPYLENE-A12'!Q55-'PROPYLENE-A12'!Q84</f>
        <v>105</v>
      </c>
    </row>
    <row r="27" spans="2:17" ht="17.25" customHeight="1">
      <c r="B27" s="620" t="s">
        <v>315</v>
      </c>
      <c r="C27" s="621"/>
      <c r="D27" s="244">
        <f>'PROPYLENE-A12'!D56-'PROPYLENE-A12'!D85</f>
        <v>-45</v>
      </c>
      <c r="E27" s="245">
        <f>'PROPYLENE-A12'!E56-'PROPYLENE-A12'!E85</f>
        <v>130</v>
      </c>
      <c r="F27" s="245">
        <f>'PROPYLENE-A12'!F56-'PROPYLENE-A12'!F85</f>
        <v>68.800000000000182</v>
      </c>
      <c r="G27" s="245">
        <f>'PROPYLENE-A12'!G56-'PROPYLENE-A12'!G85</f>
        <v>-163.59999999999991</v>
      </c>
      <c r="H27" s="245">
        <f>'PROPYLENE-A12'!H56-'PROPYLENE-A12'!H85</f>
        <v>-417</v>
      </c>
      <c r="I27" s="245">
        <f>'PROPYLENE-A12'!I56-'PROPYLENE-A12'!I85</f>
        <v>-436</v>
      </c>
      <c r="J27" s="245">
        <f>'PROPYLENE-A12'!J56-'PROPYLENE-A12'!J85</f>
        <v>155.92999999999984</v>
      </c>
      <c r="K27" s="246">
        <f>'PROPYLENE-A12'!K56-'PROPYLENE-A12'!K85</f>
        <v>241.55000000000018</v>
      </c>
      <c r="L27" s="247">
        <f>'PROPYLENE-A12'!L56-'PROPYLENE-A12'!L85</f>
        <v>178</v>
      </c>
      <c r="M27" s="245">
        <f>'PROPYLENE-A12'!M56-'PROPYLENE-A12'!M85</f>
        <v>237</v>
      </c>
      <c r="N27" s="245">
        <f>'PROPYLENE-A12'!N56-'PROPYLENE-A12'!N85</f>
        <v>68.879999999999654</v>
      </c>
      <c r="O27" s="245">
        <f>'PROPYLENE-A12'!O56-'PROPYLENE-A12'!O85</f>
        <v>211</v>
      </c>
      <c r="P27" s="245">
        <f>'PROPYLENE-A12'!P56-'PROPYLENE-A12'!P85</f>
        <v>218</v>
      </c>
      <c r="Q27" s="248">
        <f>'PROPYLENE-A12'!Q56-'PROPYLENE-A12'!Q85</f>
        <v>255</v>
      </c>
    </row>
    <row r="28" spans="2:17" ht="16.5" customHeight="1">
      <c r="B28" s="609" t="s">
        <v>316</v>
      </c>
      <c r="C28" s="610"/>
      <c r="D28" s="239">
        <f>'PROPYLENE-A12'!D57-'PROPYLENE-A12'!D86</f>
        <v>3197</v>
      </c>
      <c r="E28" s="240">
        <f>'PROPYLENE-A12'!E57-'PROPYLENE-A12'!E86</f>
        <v>796</v>
      </c>
      <c r="F28" s="240">
        <f>'PROPYLENE-A12'!F57-'PROPYLENE-A12'!F86</f>
        <v>19</v>
      </c>
      <c r="G28" s="240">
        <f>'PROPYLENE-A12'!G57-'PROPYLENE-A12'!G86</f>
        <v>137</v>
      </c>
      <c r="H28" s="240">
        <f>'PROPYLENE-A12'!H57-'PROPYLENE-A12'!H86</f>
        <v>108</v>
      </c>
      <c r="I28" s="240">
        <f>'PROPYLENE-A12'!I57-'PROPYLENE-A12'!I86</f>
        <v>17</v>
      </c>
      <c r="J28" s="240">
        <f>'PROPYLENE-A12'!J57-'PROPYLENE-A12'!J86</f>
        <v>17</v>
      </c>
      <c r="K28" s="241">
        <f>'PROPYLENE-A12'!K57-'PROPYLENE-A12'!K86</f>
        <v>49</v>
      </c>
      <c r="L28" s="242">
        <f>'PROPYLENE-A12'!L57-'PROPYLENE-A12'!L86</f>
        <v>182</v>
      </c>
      <c r="M28" s="240">
        <f>'PROPYLENE-A12'!M57-'PROPYLENE-A12'!M86</f>
        <v>-510</v>
      </c>
      <c r="N28" s="240">
        <f>'PROPYLENE-A12'!N57-'PROPYLENE-A12'!N86</f>
        <v>-699</v>
      </c>
      <c r="O28" s="240">
        <f>'PROPYLENE-A12'!O57-'PROPYLENE-A12'!O86</f>
        <v>-974</v>
      </c>
      <c r="P28" s="240">
        <f>'PROPYLENE-A12'!P57-'PROPYLENE-A12'!P86</f>
        <v>-765</v>
      </c>
      <c r="Q28" s="243">
        <f>'PROPYLENE-A12'!Q57-'PROPYLENE-A12'!Q86</f>
        <v>-992</v>
      </c>
    </row>
    <row r="29" spans="2:17" ht="16.5" customHeight="1">
      <c r="B29" s="607" t="s">
        <v>317</v>
      </c>
      <c r="C29" s="608"/>
      <c r="D29" s="239">
        <f>'PROPYLENE-A12'!D58-'PROPYLENE-A12'!D87</f>
        <v>565</v>
      </c>
      <c r="E29" s="240">
        <f>'PROPYLENE-A12'!E58-'PROPYLENE-A12'!E87</f>
        <v>565</v>
      </c>
      <c r="F29" s="240">
        <f>'PROPYLENE-A12'!F58-'PROPYLENE-A12'!F87</f>
        <v>565</v>
      </c>
      <c r="G29" s="240">
        <f>'PROPYLENE-A12'!G58-'PROPYLENE-A12'!G87</f>
        <v>565</v>
      </c>
      <c r="H29" s="240">
        <f>'PROPYLENE-A12'!H58-'PROPYLENE-A12'!H87</f>
        <v>564</v>
      </c>
      <c r="I29" s="240">
        <f>'PROPYLENE-A12'!I58-'PROPYLENE-A12'!I87</f>
        <v>563</v>
      </c>
      <c r="J29" s="240">
        <f>'PROPYLENE-A12'!J58-'PROPYLENE-A12'!J87</f>
        <v>562</v>
      </c>
      <c r="K29" s="241">
        <f>'PROPYLENE-A12'!K58-'PROPYLENE-A12'!K87</f>
        <v>560.6</v>
      </c>
      <c r="L29" s="242">
        <f>'PROPYLENE-A12'!L58-'PROPYLENE-A12'!L87</f>
        <v>559.6</v>
      </c>
      <c r="M29" s="240">
        <f>'PROPYLENE-A12'!M58-'PROPYLENE-A12'!M87</f>
        <v>558.6</v>
      </c>
      <c r="N29" s="240">
        <f>'PROPYLENE-A12'!N58-'PROPYLENE-A12'!N87</f>
        <v>557.6</v>
      </c>
      <c r="O29" s="240">
        <f>'PROPYLENE-A12'!O58-'PROPYLENE-A12'!O87</f>
        <v>976.60000000000014</v>
      </c>
      <c r="P29" s="240">
        <f>'PROPYLENE-A12'!P58-'PROPYLENE-A12'!P87</f>
        <v>1444</v>
      </c>
      <c r="Q29" s="243">
        <f>'PROPYLENE-A12'!Q58-'PROPYLENE-A12'!Q87</f>
        <v>1443</v>
      </c>
    </row>
    <row r="30" spans="2:17" ht="17.25" customHeight="1">
      <c r="B30" s="620" t="s">
        <v>318</v>
      </c>
      <c r="C30" s="621"/>
      <c r="D30" s="244">
        <f>'PROPYLENE-A12'!D59-'PROPYLENE-A12'!D88</f>
        <v>3762</v>
      </c>
      <c r="E30" s="245">
        <f>'PROPYLENE-A12'!E59-'PROPYLENE-A12'!E88</f>
        <v>1361</v>
      </c>
      <c r="F30" s="245">
        <f>'PROPYLENE-A12'!F59-'PROPYLENE-A12'!F88</f>
        <v>584</v>
      </c>
      <c r="G30" s="245">
        <f>'PROPYLENE-A12'!G59-'PROPYLENE-A12'!G88</f>
        <v>702</v>
      </c>
      <c r="H30" s="245">
        <f>'PROPYLENE-A12'!H59-'PROPYLENE-A12'!H88</f>
        <v>672</v>
      </c>
      <c r="I30" s="245">
        <f>'PROPYLENE-A12'!I59-'PROPYLENE-A12'!I88</f>
        <v>580</v>
      </c>
      <c r="J30" s="245">
        <f>'PROPYLENE-A12'!J59-'PROPYLENE-A12'!J88</f>
        <v>579</v>
      </c>
      <c r="K30" s="246">
        <f>'PROPYLENE-A12'!K59-'PROPYLENE-A12'!K88</f>
        <v>609.60000000000036</v>
      </c>
      <c r="L30" s="247">
        <f>'PROPYLENE-A12'!L59-'PROPYLENE-A12'!L88</f>
        <v>741.60000000000036</v>
      </c>
      <c r="M30" s="245">
        <f>'PROPYLENE-A12'!M59-'PROPYLENE-A12'!M88</f>
        <v>48.600000000000364</v>
      </c>
      <c r="N30" s="245">
        <f>'PROPYLENE-A12'!N59-'PROPYLENE-A12'!N88</f>
        <v>-141.39999999999964</v>
      </c>
      <c r="O30" s="245">
        <f>'PROPYLENE-A12'!O59-'PROPYLENE-A12'!O88</f>
        <v>2.6000000000003638</v>
      </c>
      <c r="P30" s="245">
        <f>'PROPYLENE-A12'!P59-'PROPYLENE-A12'!P88</f>
        <v>679</v>
      </c>
      <c r="Q30" s="248">
        <f>'PROPYLENE-A12'!Q59-'PROPYLENE-A12'!Q88</f>
        <v>451</v>
      </c>
    </row>
    <row r="31" spans="2:17" ht="16.5" customHeight="1">
      <c r="B31" s="609" t="s">
        <v>319</v>
      </c>
      <c r="C31" s="610"/>
      <c r="D31" s="239">
        <f>'PROPYLENE-A12'!D60-'PROPYLENE-A12'!D89</f>
        <v>77</v>
      </c>
      <c r="E31" s="240">
        <f>'PROPYLENE-A12'!E60-'PROPYLENE-A12'!E89</f>
        <v>273</v>
      </c>
      <c r="F31" s="240">
        <f>'PROPYLENE-A12'!F60-'PROPYLENE-A12'!F89</f>
        <v>128</v>
      </c>
      <c r="G31" s="240">
        <f>'PROPYLENE-A12'!G60-'PROPYLENE-A12'!G89</f>
        <v>105</v>
      </c>
      <c r="H31" s="240">
        <f>'PROPYLENE-A12'!H60-'PROPYLENE-A12'!H89</f>
        <v>83</v>
      </c>
      <c r="I31" s="240">
        <f>'PROPYLENE-A12'!I60-'PROPYLENE-A12'!I89</f>
        <v>83</v>
      </c>
      <c r="J31" s="240">
        <f>'PROPYLENE-A12'!J60-'PROPYLENE-A12'!J89</f>
        <v>83</v>
      </c>
      <c r="K31" s="241">
        <f>'PROPYLENE-A12'!K60-'PROPYLENE-A12'!K89</f>
        <v>83</v>
      </c>
      <c r="L31" s="242">
        <f>'PROPYLENE-A12'!L60-'PROPYLENE-A12'!L89</f>
        <v>18</v>
      </c>
      <c r="M31" s="240">
        <f>'PROPYLENE-A12'!M60-'PROPYLENE-A12'!M89</f>
        <v>-5</v>
      </c>
      <c r="N31" s="240">
        <f>'PROPYLENE-A12'!N60-'PROPYLENE-A12'!N89</f>
        <v>-5</v>
      </c>
      <c r="O31" s="240">
        <f>'PROPYLENE-A12'!O60-'PROPYLENE-A12'!O89</f>
        <v>-5</v>
      </c>
      <c r="P31" s="240">
        <f>'PROPYLENE-A12'!P60-'PROPYLENE-A12'!P89</f>
        <v>-5</v>
      </c>
      <c r="Q31" s="243">
        <f>'PROPYLENE-A12'!Q60-'PROPYLENE-A12'!Q89</f>
        <v>-5</v>
      </c>
    </row>
    <row r="32" spans="2:17" ht="16.5" customHeight="1">
      <c r="B32" s="605" t="s">
        <v>320</v>
      </c>
      <c r="C32" s="606"/>
      <c r="D32" s="239">
        <f>'PROPYLENE-A12'!D61-'PROPYLENE-A12'!D90</f>
        <v>259</v>
      </c>
      <c r="E32" s="240">
        <f>'PROPYLENE-A12'!E61-'PROPYLENE-A12'!E90</f>
        <v>647</v>
      </c>
      <c r="F32" s="240">
        <f>'PROPYLENE-A12'!F61-'PROPYLENE-A12'!F90</f>
        <v>450</v>
      </c>
      <c r="G32" s="240">
        <f>'PROPYLENE-A12'!G61-'PROPYLENE-A12'!G90</f>
        <v>694</v>
      </c>
      <c r="H32" s="240">
        <f>'PROPYLENE-A12'!H61-'PROPYLENE-A12'!H90</f>
        <v>627.35999999999967</v>
      </c>
      <c r="I32" s="240">
        <f>'PROPYLENE-A12'!I61-'PROPYLENE-A12'!I90</f>
        <v>761.35999999999967</v>
      </c>
      <c r="J32" s="240">
        <f>'PROPYLENE-A12'!J61-'PROPYLENE-A12'!J90</f>
        <v>679.35999999999967</v>
      </c>
      <c r="K32" s="241">
        <f>'PROPYLENE-A12'!K61-'PROPYLENE-A12'!K90</f>
        <v>525.59999999999991</v>
      </c>
      <c r="L32" s="242">
        <f>'PROPYLENE-A12'!L61-'PROPYLENE-A12'!L90</f>
        <v>525.59999999999991</v>
      </c>
      <c r="M32" s="240">
        <f>'PROPYLENE-A12'!M61-'PROPYLENE-A12'!M90</f>
        <v>525.59999999999991</v>
      </c>
      <c r="N32" s="240">
        <f>'PROPYLENE-A12'!N61-'PROPYLENE-A12'!N90</f>
        <v>525.59999999999991</v>
      </c>
      <c r="O32" s="240">
        <f>'PROPYLENE-A12'!O61-'PROPYLENE-A12'!O90</f>
        <v>525.59999999999991</v>
      </c>
      <c r="P32" s="240">
        <f>'PROPYLENE-A12'!P61-'PROPYLENE-A12'!P90</f>
        <v>525.59999999999991</v>
      </c>
      <c r="Q32" s="243">
        <f>'PROPYLENE-A12'!Q61-'PROPYLENE-A12'!Q90</f>
        <v>526</v>
      </c>
    </row>
    <row r="33" spans="2:17" ht="16.5" customHeight="1">
      <c r="B33" s="607" t="s">
        <v>321</v>
      </c>
      <c r="C33" s="608"/>
      <c r="D33" s="239">
        <f>'PROPYLENE-A12'!D62-'PROPYLENE-A12'!D91</f>
        <v>-130</v>
      </c>
      <c r="E33" s="240">
        <f>'PROPYLENE-A12'!E62-'PROPYLENE-A12'!E91</f>
        <v>29</v>
      </c>
      <c r="F33" s="240">
        <f>'PROPYLENE-A12'!F62-'PROPYLENE-A12'!F91</f>
        <v>20</v>
      </c>
      <c r="G33" s="240">
        <f>'PROPYLENE-A12'!G62-'PROPYLENE-A12'!G91</f>
        <v>21</v>
      </c>
      <c r="H33" s="240">
        <f>'PROPYLENE-A12'!H62-'PROPYLENE-A12'!H91</f>
        <v>12</v>
      </c>
      <c r="I33" s="240">
        <f>'PROPYLENE-A12'!I62-'PROPYLENE-A12'!I91</f>
        <v>2</v>
      </c>
      <c r="J33" s="240">
        <f>'PROPYLENE-A12'!J62-'PROPYLENE-A12'!J91</f>
        <v>2</v>
      </c>
      <c r="K33" s="241">
        <f>'PROPYLENE-A12'!K62-'PROPYLENE-A12'!K91</f>
        <v>123</v>
      </c>
      <c r="L33" s="242">
        <f>'PROPYLENE-A12'!L62-'PROPYLENE-A12'!L91</f>
        <v>123</v>
      </c>
      <c r="M33" s="240">
        <f>'PROPYLENE-A12'!M62-'PROPYLENE-A12'!M91</f>
        <v>123</v>
      </c>
      <c r="N33" s="240">
        <f>'PROPYLENE-A12'!N62-'PROPYLENE-A12'!N91</f>
        <v>123</v>
      </c>
      <c r="O33" s="240">
        <f>'PROPYLENE-A12'!O62-'PROPYLENE-A12'!O91</f>
        <v>123</v>
      </c>
      <c r="P33" s="240">
        <f>'PROPYLENE-A12'!P62-'PROPYLENE-A12'!P91</f>
        <v>123</v>
      </c>
      <c r="Q33" s="243">
        <f>'PROPYLENE-A12'!Q62-'PROPYLENE-A12'!Q91</f>
        <v>123</v>
      </c>
    </row>
    <row r="34" spans="2:17" ht="17.25" customHeight="1" thickBot="1">
      <c r="B34" s="622" t="s">
        <v>322</v>
      </c>
      <c r="C34" s="623"/>
      <c r="D34" s="249">
        <f>'PROPYLENE-A12'!D63-'PROPYLENE-A12'!D92</f>
        <v>206</v>
      </c>
      <c r="E34" s="250">
        <f>'PROPYLENE-A12'!E63-'PROPYLENE-A12'!E92</f>
        <v>949</v>
      </c>
      <c r="F34" s="250">
        <f>'PROPYLENE-A12'!F63-'PROPYLENE-A12'!F92</f>
        <v>598</v>
      </c>
      <c r="G34" s="250">
        <f>'PROPYLENE-A12'!G63-'PROPYLENE-A12'!G92</f>
        <v>820</v>
      </c>
      <c r="H34" s="250">
        <f>'PROPYLENE-A12'!H63-'PROPYLENE-A12'!H92</f>
        <v>722.35999999999967</v>
      </c>
      <c r="I34" s="250">
        <f>'PROPYLENE-A12'!I63-'PROPYLENE-A12'!I92</f>
        <v>846.35999999999967</v>
      </c>
      <c r="J34" s="250">
        <f>'PROPYLENE-A12'!J63-'PROPYLENE-A12'!J92</f>
        <v>764.35999999999967</v>
      </c>
      <c r="K34" s="251">
        <f>'PROPYLENE-A12'!K63-'PROPYLENE-A12'!K92</f>
        <v>731.59999999999991</v>
      </c>
      <c r="L34" s="252">
        <f>'PROPYLENE-A12'!L63-'PROPYLENE-A12'!L92</f>
        <v>666.59999999999991</v>
      </c>
      <c r="M34" s="250">
        <f>'PROPYLENE-A12'!M63-'PROPYLENE-A12'!M92</f>
        <v>643.59999999999991</v>
      </c>
      <c r="N34" s="250">
        <f>'PROPYLENE-A12'!N63-'PROPYLENE-A12'!N92</f>
        <v>643.59999999999991</v>
      </c>
      <c r="O34" s="250">
        <f>'PROPYLENE-A12'!O63-'PROPYLENE-A12'!O92</f>
        <v>643.59999999999991</v>
      </c>
      <c r="P34" s="250">
        <f>'PROPYLENE-A12'!P63-'PROPYLENE-A12'!P92</f>
        <v>643.59999999999991</v>
      </c>
      <c r="Q34" s="253">
        <f>'PROPYLENE-A12'!Q63-'PROPYLENE-A12'!Q92</f>
        <v>644</v>
      </c>
    </row>
    <row r="35" spans="2:17" ht="18" customHeight="1" thickTop="1" thickBot="1">
      <c r="B35" s="21"/>
      <c r="C35" s="619" t="s">
        <v>337</v>
      </c>
      <c r="D35" s="255">
        <f>SUM(D19+D20+D22+D24+D26+D27+D30+D34)</f>
        <v>3241.2539364161848</v>
      </c>
      <c r="E35" s="171">
        <f t="shared" ref="E35:Q35" si="1">SUM(E19+E20+E22+E24+E26+E27+E30+E34)</f>
        <v>2446.9257499999994</v>
      </c>
      <c r="F35" s="171">
        <f t="shared" si="1"/>
        <v>1036.5158925000003</v>
      </c>
      <c r="G35" s="171">
        <f t="shared" si="1"/>
        <v>1151.3069442749998</v>
      </c>
      <c r="H35" s="171">
        <f t="shared" si="1"/>
        <v>940.41813060324785</v>
      </c>
      <c r="I35" s="171">
        <f t="shared" si="1"/>
        <v>915.0716009313478</v>
      </c>
      <c r="J35" s="171">
        <f t="shared" si="1"/>
        <v>1368.5977969592886</v>
      </c>
      <c r="K35" s="173">
        <f t="shared" si="1"/>
        <v>1036.6496580000021</v>
      </c>
      <c r="L35" s="172">
        <f t="shared" si="1"/>
        <v>362.33258900000101</v>
      </c>
      <c r="M35" s="171">
        <f t="shared" si="1"/>
        <v>-352.72854099999995</v>
      </c>
      <c r="N35" s="171">
        <f t="shared" si="1"/>
        <v>-104.81756800000085</v>
      </c>
      <c r="O35" s="171">
        <f t="shared" si="1"/>
        <v>1867.7009489999996</v>
      </c>
      <c r="P35" s="171">
        <f t="shared" si="1"/>
        <v>1988.4878190000013</v>
      </c>
      <c r="Q35" s="174">
        <f t="shared" si="1"/>
        <v>1184.3359149999997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11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2">+E41+1</f>
        <v>2011</v>
      </c>
      <c r="G41" s="17">
        <f t="shared" si="2"/>
        <v>2012</v>
      </c>
      <c r="H41" s="18">
        <f t="shared" si="2"/>
        <v>2013</v>
      </c>
      <c r="I41" s="17">
        <f t="shared" si="2"/>
        <v>2014</v>
      </c>
      <c r="J41" s="17">
        <f t="shared" si="2"/>
        <v>2015</v>
      </c>
      <c r="K41" s="20">
        <f t="shared" si="2"/>
        <v>2016</v>
      </c>
      <c r="L41" s="19">
        <f t="shared" si="2"/>
        <v>2017</v>
      </c>
      <c r="M41" s="18">
        <f t="shared" si="2"/>
        <v>2018</v>
      </c>
      <c r="N41" s="18">
        <f t="shared" si="2"/>
        <v>2019</v>
      </c>
      <c r="O41" s="18">
        <f t="shared" si="2"/>
        <v>2020</v>
      </c>
      <c r="P41" s="18">
        <f t="shared" si="2"/>
        <v>2021</v>
      </c>
      <c r="Q41" s="23">
        <f t="shared" si="2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IF('PROPYLENE-A12'!D7=0,"    -",ROUND('PROPYLENE-A12'!D36/'PROPYLENE-A12'!D7*100,1))</f>
        <v>89.8</v>
      </c>
      <c r="E43" s="58">
        <f>IF('PROPYLENE-A12'!E7=0,"    -",ROUND('PROPYLENE-A12'!E36/'PROPYLENE-A12'!E7*100,1))</f>
        <v>95.6</v>
      </c>
      <c r="F43" s="58">
        <f>IF('PROPYLENE-A12'!F7=0,"    -",ROUND('PROPYLENE-A12'!F36/'PROPYLENE-A12'!F7*100,1))</f>
        <v>99.7</v>
      </c>
      <c r="G43" s="58">
        <f>IF('PROPYLENE-A12'!G7=0,"    -",ROUND('PROPYLENE-A12'!G36/'PROPYLENE-A12'!G7*100,1))</f>
        <v>99</v>
      </c>
      <c r="H43" s="58">
        <f>IF('PROPYLENE-A12'!H7=0,"    -",ROUND('PROPYLENE-A12'!H36/'PROPYLENE-A12'!H7*100,1))</f>
        <v>96.9</v>
      </c>
      <c r="I43" s="58">
        <f>IF('PROPYLENE-A12'!I7=0,"    -",ROUND('PROPYLENE-A12'!I36/'PROPYLENE-A12'!I7*100,1))</f>
        <v>93.6</v>
      </c>
      <c r="J43" s="58">
        <f>IF('PROPYLENE-A12'!J7=0,"    -",ROUND('PROPYLENE-A12'!J36/'PROPYLENE-A12'!J7*100,1))</f>
        <v>97.2</v>
      </c>
      <c r="K43" s="59">
        <f>IF('PROPYLENE-A12'!K7=0,"    -",ROUND('PROPYLENE-A12'!K36/'PROPYLENE-A12'!K7*100,1))</f>
        <v>99</v>
      </c>
      <c r="L43" s="60">
        <f>IF('PROPYLENE-A12'!L7=0,"    -",ROUND('PROPYLENE-A12'!L36/'PROPYLENE-A12'!L7*100,1))</f>
        <v>92.3</v>
      </c>
      <c r="M43" s="58">
        <f>IF('PROPYLENE-A12'!M7=0,"    -",ROUND('PROPYLENE-A12'!M36/'PROPYLENE-A12'!M7*100,1))</f>
        <v>95.5</v>
      </c>
      <c r="N43" s="58">
        <f>IF('PROPYLENE-A12'!N7=0,"    -",ROUND('PROPYLENE-A12'!N36/'PROPYLENE-A12'!N7*100,1))</f>
        <v>95.9</v>
      </c>
      <c r="O43" s="58">
        <f>IF('PROPYLENE-A12'!O7=0,"    -",ROUND('PROPYLENE-A12'!O36/'PROPYLENE-A12'!O7*100,1))</f>
        <v>95.7</v>
      </c>
      <c r="P43" s="58">
        <f>IF('PROPYLENE-A12'!P7=0,"    -",ROUND('PROPYLENE-A12'!P36/'PROPYLENE-A12'!P7*100,1))</f>
        <v>96.3</v>
      </c>
      <c r="Q43" s="61">
        <f>IF('PROPYLENE-A12'!Q7=0,"    -",ROUND('PROPYLENE-A12'!Q36/'PROPYLENE-A12'!Q7*100,1))</f>
        <v>93.9</v>
      </c>
    </row>
    <row r="44" spans="2:17" ht="16.5" customHeight="1">
      <c r="B44" s="605" t="s">
        <v>434</v>
      </c>
      <c r="C44" s="606"/>
      <c r="D44" s="57">
        <f>IF('PROPYLENE-A12'!D8=0,"    -",ROUND('PROPYLENE-A12'!D37/'PROPYLENE-A12'!D8*100,1))</f>
        <v>96.2</v>
      </c>
      <c r="E44" s="58">
        <f>IF('PROPYLENE-A12'!E8=0,"    -",ROUND('PROPYLENE-A12'!E37/'PROPYLENE-A12'!E8*100,1))</f>
        <v>84.1</v>
      </c>
      <c r="F44" s="58">
        <f>IF('PROPYLENE-A12'!F8=0,"    -",ROUND('PROPYLENE-A12'!F37/'PROPYLENE-A12'!F8*100,1))</f>
        <v>75.099999999999994</v>
      </c>
      <c r="G44" s="58">
        <f>IF('PROPYLENE-A12'!G8=0,"    -",ROUND('PROPYLENE-A12'!G37/'PROPYLENE-A12'!G8*100,1))</f>
        <v>78.3</v>
      </c>
      <c r="H44" s="58">
        <f>IF('PROPYLENE-A12'!H8=0,"    -",ROUND('PROPYLENE-A12'!H37/'PROPYLENE-A12'!H8*100,1))</f>
        <v>90</v>
      </c>
      <c r="I44" s="58">
        <f>IF('PROPYLENE-A12'!I8=0,"    -",ROUND('PROPYLENE-A12'!I37/'PROPYLENE-A12'!I8*100,1))</f>
        <v>91</v>
      </c>
      <c r="J44" s="58">
        <f>IF('PROPYLENE-A12'!J8=0,"    -",ROUND('PROPYLENE-A12'!J37/'PROPYLENE-A12'!J8*100,1))</f>
        <v>95</v>
      </c>
      <c r="K44" s="59">
        <f>IF('PROPYLENE-A12'!K8=0,"    -",ROUND('PROPYLENE-A12'!K37/'PROPYLENE-A12'!K8*100,1))</f>
        <v>91.9</v>
      </c>
      <c r="L44" s="60">
        <f>IF('PROPYLENE-A12'!L8=0,"    -",ROUND('PROPYLENE-A12'!L37/'PROPYLENE-A12'!L8*100,1))</f>
        <v>94.6</v>
      </c>
      <c r="M44" s="58">
        <f>IF('PROPYLENE-A12'!M8=0,"    -",ROUND('PROPYLENE-A12'!M37/'PROPYLENE-A12'!M8*100,1))</f>
        <v>94.6</v>
      </c>
      <c r="N44" s="58">
        <f>IF('PROPYLENE-A12'!N8=0,"    -",ROUND('PROPYLENE-A12'!N37/'PROPYLENE-A12'!N8*100,1))</f>
        <v>94.6</v>
      </c>
      <c r="O44" s="58">
        <f>IF('PROPYLENE-A12'!O8=0,"    -",ROUND('PROPYLENE-A12'!O37/'PROPYLENE-A12'!O8*100,1))</f>
        <v>97.4</v>
      </c>
      <c r="P44" s="58">
        <f>IF('PROPYLENE-A12'!P8=0,"    -",ROUND('PROPYLENE-A12'!P37/'PROPYLENE-A12'!P8*100,1))</f>
        <v>97.4</v>
      </c>
      <c r="Q44" s="61">
        <f>IF('PROPYLENE-A12'!Q8=0,"    -",ROUND('PROPYLENE-A12'!Q37/'PROPYLENE-A12'!Q8*100,1))</f>
        <v>97.4</v>
      </c>
    </row>
    <row r="45" spans="2:17" ht="16.5" customHeight="1">
      <c r="B45" s="605" t="s">
        <v>435</v>
      </c>
      <c r="C45" s="606"/>
      <c r="D45" s="57">
        <f>IF('PROPYLENE-A12'!D9=0,"    -",ROUND('PROPYLENE-A12'!D38/'PROPYLENE-A12'!D9*100,1))</f>
        <v>80.099999999999994</v>
      </c>
      <c r="E45" s="58">
        <f>IF('PROPYLENE-A12'!E9=0,"    -",ROUND('PROPYLENE-A12'!E38/'PROPYLENE-A12'!E9*100,1))</f>
        <v>87</v>
      </c>
      <c r="F45" s="58">
        <f>IF('PROPYLENE-A12'!F9=0,"    -",ROUND('PROPYLENE-A12'!F38/'PROPYLENE-A12'!F9*100,1))</f>
        <v>90.1</v>
      </c>
      <c r="G45" s="58">
        <f>IF('PROPYLENE-A12'!G9=0,"    -",ROUND('PROPYLENE-A12'!G38/'PROPYLENE-A12'!G9*100,1))</f>
        <v>96.3</v>
      </c>
      <c r="H45" s="58">
        <f>IF('PROPYLENE-A12'!H9=0,"    -",ROUND('PROPYLENE-A12'!H38/'PROPYLENE-A12'!H9*100,1))</f>
        <v>94.1</v>
      </c>
      <c r="I45" s="58">
        <f>IF('PROPYLENE-A12'!I9=0,"    -",ROUND('PROPYLENE-A12'!I38/'PROPYLENE-A12'!I9*100,1))</f>
        <v>97.2</v>
      </c>
      <c r="J45" s="58">
        <f>IF('PROPYLENE-A12'!J9=0,"    -",ROUND('PROPYLENE-A12'!J38/'PROPYLENE-A12'!J9*100,1))</f>
        <v>75</v>
      </c>
      <c r="K45" s="59">
        <f>IF('PROPYLENE-A12'!K9=0,"    -",ROUND('PROPYLENE-A12'!K38/'PROPYLENE-A12'!K9*100,1))</f>
        <v>93.2</v>
      </c>
      <c r="L45" s="60">
        <f>IF('PROPYLENE-A12'!L9=0,"    -",ROUND('PROPYLENE-A12'!L38/'PROPYLENE-A12'!L9*100,1))</f>
        <v>94</v>
      </c>
      <c r="M45" s="58">
        <f>IF('PROPYLENE-A12'!M9=0,"    -",ROUND('PROPYLENE-A12'!M38/'PROPYLENE-A12'!M9*100,1))</f>
        <v>94.7</v>
      </c>
      <c r="N45" s="58">
        <f>IF('PROPYLENE-A12'!N9=0,"    -",ROUND('PROPYLENE-A12'!N38/'PROPYLENE-A12'!N9*100,1))</f>
        <v>96.8</v>
      </c>
      <c r="O45" s="58">
        <f>IF('PROPYLENE-A12'!O9=0,"    -",ROUND('PROPYLENE-A12'!O38/'PROPYLENE-A12'!O9*100,1))</f>
        <v>95</v>
      </c>
      <c r="P45" s="58">
        <f>IF('PROPYLENE-A12'!P9=0,"    -",ROUND('PROPYLENE-A12'!P38/'PROPYLENE-A12'!P9*100,1))</f>
        <v>94.9</v>
      </c>
      <c r="Q45" s="61">
        <f>IF('PROPYLENE-A12'!Q9=0,"    -",ROUND('PROPYLENE-A12'!Q38/'PROPYLENE-A12'!Q9*100,1))</f>
        <v>94</v>
      </c>
    </row>
    <row r="46" spans="2:17" ht="16.5" customHeight="1">
      <c r="B46" s="605" t="s">
        <v>436</v>
      </c>
      <c r="C46" s="606"/>
      <c r="D46" s="57">
        <f>IF('PROPYLENE-A12'!D10=0,"    -",ROUND('PROPYLENE-A12'!D39/'PROPYLENE-A12'!D10*100,1))</f>
        <v>88.8</v>
      </c>
      <c r="E46" s="58">
        <f>IF('PROPYLENE-A12'!E10=0,"    -",ROUND('PROPYLENE-A12'!E39/'PROPYLENE-A12'!E10*100,1))</f>
        <v>91.1</v>
      </c>
      <c r="F46" s="58">
        <f>IF('PROPYLENE-A12'!F10=0,"    -",ROUND('PROPYLENE-A12'!F39/'PROPYLENE-A12'!F10*100,1))</f>
        <v>85.1</v>
      </c>
      <c r="G46" s="58">
        <f>IF('PROPYLENE-A12'!G10=0,"    -",ROUND('PROPYLENE-A12'!G39/'PROPYLENE-A12'!G10*100,1))</f>
        <v>85.9</v>
      </c>
      <c r="H46" s="58">
        <f>IF('PROPYLENE-A12'!H10=0,"    -",ROUND('PROPYLENE-A12'!H39/'PROPYLENE-A12'!H10*100,1))</f>
        <v>84.9</v>
      </c>
      <c r="I46" s="58">
        <f>IF('PROPYLENE-A12'!I10=0,"    -",ROUND('PROPYLENE-A12'!I39/'PROPYLENE-A12'!I10*100,1))</f>
        <v>83.6</v>
      </c>
      <c r="J46" s="58">
        <f>IF('PROPYLENE-A12'!J10=0,"    -",ROUND('PROPYLENE-A12'!J39/'PROPYLENE-A12'!J10*100,1))</f>
        <v>89.5</v>
      </c>
      <c r="K46" s="59">
        <f>IF('PROPYLENE-A12'!K10=0,"    -",ROUND('PROPYLENE-A12'!K39/'PROPYLENE-A12'!K10*100,1))</f>
        <v>85.1</v>
      </c>
      <c r="L46" s="60">
        <f>IF('PROPYLENE-A12'!L10=0,"    -",ROUND('PROPYLENE-A12'!L39/'PROPYLENE-A12'!L10*100,1))</f>
        <v>84.3</v>
      </c>
      <c r="M46" s="58">
        <f>IF('PROPYLENE-A12'!M10=0,"    -",ROUND('PROPYLENE-A12'!M39/'PROPYLENE-A12'!M10*100,1))</f>
        <v>81.3</v>
      </c>
      <c r="N46" s="58">
        <f>IF('PROPYLENE-A12'!N10=0,"    -",ROUND('PROPYLENE-A12'!N39/'PROPYLENE-A12'!N10*100,1))</f>
        <v>80.400000000000006</v>
      </c>
      <c r="O46" s="58">
        <f>IF('PROPYLENE-A12'!O10=0,"    -",ROUND('PROPYLENE-A12'!O39/'PROPYLENE-A12'!O10*100,1))</f>
        <v>81.7</v>
      </c>
      <c r="P46" s="58">
        <f>IF('PROPYLENE-A12'!P10=0,"    -",ROUND('PROPYLENE-A12'!P39/'PROPYLENE-A12'!P10*100,1))</f>
        <v>80.3</v>
      </c>
      <c r="Q46" s="61">
        <f>IF('PROPYLENE-A12'!Q10=0,"    -",ROUND('PROPYLENE-A12'!Q39/'PROPYLENE-A12'!Q10*100,1))</f>
        <v>80.8</v>
      </c>
    </row>
    <row r="47" spans="2:17" ht="16.5" customHeight="1">
      <c r="B47" s="605" t="s">
        <v>437</v>
      </c>
      <c r="C47" s="606"/>
      <c r="D47" s="57">
        <f>IF('PROPYLENE-A12'!D11=0,"    -",ROUND('PROPYLENE-A12'!D40/'PROPYLENE-A12'!D11*100,1))</f>
        <v>69.5</v>
      </c>
      <c r="E47" s="58">
        <f>IF('PROPYLENE-A12'!E11=0,"    -",ROUND('PROPYLENE-A12'!E40/'PROPYLENE-A12'!E11*100,1))</f>
        <v>85.5</v>
      </c>
      <c r="F47" s="58">
        <f>IF('PROPYLENE-A12'!F11=0,"    -",ROUND('PROPYLENE-A12'!F40/'PROPYLENE-A12'!F11*100,1))</f>
        <v>91.2</v>
      </c>
      <c r="G47" s="58">
        <f>IF('PROPYLENE-A12'!G11=0,"    -",ROUND('PROPYLENE-A12'!G40/'PROPYLENE-A12'!G11*100,1))</f>
        <v>98.8</v>
      </c>
      <c r="H47" s="58">
        <f>IF('PROPYLENE-A12'!H11=0,"    -",ROUND('PROPYLENE-A12'!H40/'PROPYLENE-A12'!H11*100,1))</f>
        <v>94.9</v>
      </c>
      <c r="I47" s="58">
        <f>IF('PROPYLENE-A12'!I11=0,"    -",ROUND('PROPYLENE-A12'!I40/'PROPYLENE-A12'!I11*100,1))</f>
        <v>92.6</v>
      </c>
      <c r="J47" s="58">
        <f>IF('PROPYLENE-A12'!J11=0,"    -",ROUND('PROPYLENE-A12'!J40/'PROPYLENE-A12'!J11*100,1))</f>
        <v>84.5</v>
      </c>
      <c r="K47" s="59">
        <f>IF('PROPYLENE-A12'!K11=0,"    -",ROUND('PROPYLENE-A12'!K40/'PROPYLENE-A12'!K11*100,1))</f>
        <v>88.2</v>
      </c>
      <c r="L47" s="60">
        <f>IF('PROPYLENE-A12'!L11=0,"    -",ROUND('PROPYLENE-A12'!L40/'PROPYLENE-A12'!L11*100,1))</f>
        <v>99</v>
      </c>
      <c r="M47" s="58">
        <f>IF('PROPYLENE-A12'!M11=0,"    -",ROUND('PROPYLENE-A12'!M40/'PROPYLENE-A12'!M11*100,1))</f>
        <v>98.8</v>
      </c>
      <c r="N47" s="58">
        <f>IF('PROPYLENE-A12'!N11=0,"    -",ROUND('PROPYLENE-A12'!N40/'PROPYLENE-A12'!N11*100,1))</f>
        <v>98.8</v>
      </c>
      <c r="O47" s="58">
        <f>IF('PROPYLENE-A12'!O11=0,"    -",ROUND('PROPYLENE-A12'!O40/'PROPYLENE-A12'!O11*100,1))</f>
        <v>99.1</v>
      </c>
      <c r="P47" s="58">
        <f>IF('PROPYLENE-A12'!P11=0,"    -",ROUND('PROPYLENE-A12'!P40/'PROPYLENE-A12'!P11*100,1))</f>
        <v>99.3</v>
      </c>
      <c r="Q47" s="61">
        <f>IF('PROPYLENE-A12'!Q11=0,"    -",ROUND('PROPYLENE-A12'!Q40/'PROPYLENE-A12'!Q11*100,1))</f>
        <v>98.7</v>
      </c>
    </row>
    <row r="48" spans="2:17" ht="16.5" customHeight="1">
      <c r="B48" s="605" t="s">
        <v>438</v>
      </c>
      <c r="C48" s="606"/>
      <c r="D48" s="57">
        <f>IF('PROPYLENE-A12'!D12=0,"    -",ROUND('PROPYLENE-A12'!D41/'PROPYLENE-A12'!D12*100,1))</f>
        <v>81.5</v>
      </c>
      <c r="E48" s="58">
        <f>IF('PROPYLENE-A12'!E12=0,"    -",ROUND('PROPYLENE-A12'!E41/'PROPYLENE-A12'!E12*100,1))</f>
        <v>81.5</v>
      </c>
      <c r="F48" s="58">
        <f>IF('PROPYLENE-A12'!F12=0,"    -",ROUND('PROPYLENE-A12'!F41/'PROPYLENE-A12'!F12*100,1))</f>
        <v>81.5</v>
      </c>
      <c r="G48" s="58">
        <f>IF('PROPYLENE-A12'!G12=0,"    -",ROUND('PROPYLENE-A12'!G41/'PROPYLENE-A12'!G12*100,1))</f>
        <v>81.5</v>
      </c>
      <c r="H48" s="58">
        <f>IF('PROPYLENE-A12'!H12=0,"    -",ROUND('PROPYLENE-A12'!H41/'PROPYLENE-A12'!H12*100,1))</f>
        <v>69.2</v>
      </c>
      <c r="I48" s="58">
        <f>IF('PROPYLENE-A12'!I12=0,"    -",ROUND('PROPYLENE-A12'!I41/'PROPYLENE-A12'!I12*100,1))</f>
        <v>69.2</v>
      </c>
      <c r="J48" s="58">
        <f>IF('PROPYLENE-A12'!J12=0,"    -",ROUND('PROPYLENE-A12'!J41/'PROPYLENE-A12'!J12*100,1))</f>
        <v>69.2</v>
      </c>
      <c r="K48" s="59">
        <f>IF('PROPYLENE-A12'!K12=0,"    -",ROUND('PROPYLENE-A12'!K41/'PROPYLENE-A12'!K12*100,1))</f>
        <v>74.7</v>
      </c>
      <c r="L48" s="60">
        <f>IF('PROPYLENE-A12'!L12=0,"    -",ROUND('PROPYLENE-A12'!L41/'PROPYLENE-A12'!L12*100,1))</f>
        <v>74.7</v>
      </c>
      <c r="M48" s="58">
        <f>IF('PROPYLENE-A12'!M12=0,"    -",ROUND('PROPYLENE-A12'!M41/'PROPYLENE-A12'!M12*100,1))</f>
        <v>74.7</v>
      </c>
      <c r="N48" s="58">
        <f>IF('PROPYLENE-A12'!N12=0,"    -",ROUND('PROPYLENE-A12'!N41/'PROPYLENE-A12'!N12*100,1))</f>
        <v>79.2</v>
      </c>
      <c r="O48" s="58">
        <f>IF('PROPYLENE-A12'!O12=0,"    -",ROUND('PROPYLENE-A12'!O41/'PROPYLENE-A12'!O12*100,1))</f>
        <v>79.2</v>
      </c>
      <c r="P48" s="58">
        <f>IF('PROPYLENE-A12'!P12=0,"    -",ROUND('PROPYLENE-A12'!P41/'PROPYLENE-A12'!P12*100,1))</f>
        <v>79.2</v>
      </c>
      <c r="Q48" s="61">
        <f>IF('PROPYLENE-A12'!Q12=0,"    -",ROUND('PROPYLENE-A12'!Q41/'PROPYLENE-A12'!Q12*100,1))</f>
        <v>79.2</v>
      </c>
    </row>
    <row r="49" spans="2:17" ht="16.5" customHeight="1">
      <c r="B49" s="605" t="s">
        <v>439</v>
      </c>
      <c r="C49" s="606"/>
      <c r="D49" s="57">
        <f>IF('PROPYLENE-A12'!D13=0,"    -",ROUND('PROPYLENE-A12'!D42/'PROPYLENE-A12'!D13*100,1))</f>
        <v>72.7</v>
      </c>
      <c r="E49" s="58">
        <f>IF('PROPYLENE-A12'!E13=0,"    -",ROUND('PROPYLENE-A12'!E42/'PROPYLENE-A12'!E13*100,1))</f>
        <v>96.9</v>
      </c>
      <c r="F49" s="58">
        <f>IF('PROPYLENE-A12'!F13=0,"    -",ROUND('PROPYLENE-A12'!F42/'PROPYLENE-A12'!F13*100,1))</f>
        <v>78</v>
      </c>
      <c r="G49" s="58">
        <f>IF('PROPYLENE-A12'!G13=0,"    -",ROUND('PROPYLENE-A12'!G42/'PROPYLENE-A12'!G13*100,1))</f>
        <v>96.9</v>
      </c>
      <c r="H49" s="58">
        <f>IF('PROPYLENE-A12'!H13=0,"    -",ROUND('PROPYLENE-A12'!H42/'PROPYLENE-A12'!H13*100,1))</f>
        <v>63</v>
      </c>
      <c r="I49" s="58">
        <f>IF('PROPYLENE-A12'!I13=0,"    -",ROUND('PROPYLENE-A12'!I42/'PROPYLENE-A12'!I13*100,1))</f>
        <v>58.8</v>
      </c>
      <c r="J49" s="58">
        <f>IF('PROPYLENE-A12'!J13=0,"    -",ROUND('PROPYLENE-A12'!J42/'PROPYLENE-A12'!J13*100,1))</f>
        <v>94.3</v>
      </c>
      <c r="K49" s="59">
        <f>IF('PROPYLENE-A12'!K13=0,"    -",ROUND('PROPYLENE-A12'!K42/'PROPYLENE-A12'!K13*100,1))</f>
        <v>97.4</v>
      </c>
      <c r="L49" s="60">
        <f>IF('PROPYLENE-A12'!L13=0,"    -",ROUND('PROPYLENE-A12'!L42/'PROPYLENE-A12'!L13*100,1))</f>
        <v>97.5</v>
      </c>
      <c r="M49" s="58">
        <f>IF('PROPYLENE-A12'!M13=0,"    -",ROUND('PROPYLENE-A12'!M42/'PROPYLENE-A12'!M13*100,1))</f>
        <v>94.6</v>
      </c>
      <c r="N49" s="58">
        <f>IF('PROPYLENE-A12'!N13=0,"    -",ROUND('PROPYLENE-A12'!N42/'PROPYLENE-A12'!N13*100,1))</f>
        <v>95</v>
      </c>
      <c r="O49" s="58">
        <f>IF('PROPYLENE-A12'!O13=0,"    -",ROUND('PROPYLENE-A12'!O42/'PROPYLENE-A12'!O13*100,1))</f>
        <v>98.3</v>
      </c>
      <c r="P49" s="58">
        <f>IF('PROPYLENE-A12'!P13=0,"    -",ROUND('PROPYLENE-A12'!P42/'PROPYLENE-A12'!P13*100,1))</f>
        <v>98.3</v>
      </c>
      <c r="Q49" s="61">
        <f>IF('PROPYLENE-A12'!Q13=0,"    -",ROUND('PROPYLENE-A12'!Q42/'PROPYLENE-A12'!Q13*100,1))</f>
        <v>98.3</v>
      </c>
    </row>
    <row r="50" spans="2:17" ht="18" hidden="1" customHeight="1">
      <c r="B50" s="16"/>
      <c r="C50" s="90" t="s">
        <v>306</v>
      </c>
      <c r="D50" s="57" t="str">
        <f>IF('PROPYLENE-A12'!D14=0,"    -",ROUND('PROPYLENE-A12'!D43/'PROPYLENE-A12'!D14*100,1))</f>
        <v xml:space="preserve">    -</v>
      </c>
      <c r="E50" s="58" t="str">
        <f>IF('PROPYLENE-A12'!E14=0,"    -",ROUND('PROPYLENE-A12'!E43/'PROPYLENE-A12'!E14*100,1))</f>
        <v xml:space="preserve">    -</v>
      </c>
      <c r="F50" s="58" t="str">
        <f>IF('PROPYLENE-A12'!F14=0,"    -",ROUND('PROPYLENE-A12'!F43/'PROPYLENE-A12'!F14*100,1))</f>
        <v xml:space="preserve">    -</v>
      </c>
      <c r="G50" s="58" t="str">
        <f>IF('PROPYLENE-A12'!G14=0,"    -",ROUND('PROPYLENE-A12'!G43/'PROPYLENE-A12'!G14*100,1))</f>
        <v xml:space="preserve">    -</v>
      </c>
      <c r="H50" s="58" t="str">
        <f>IF('PROPYLENE-A12'!H14=0,"    -",ROUND('PROPYLENE-A12'!H43/'PROPYLENE-A12'!H14*100,1))</f>
        <v xml:space="preserve">    -</v>
      </c>
      <c r="I50" s="58" t="str">
        <f>IF('PROPYLENE-A12'!I14=0,"    -",ROUND('PROPYLENE-A12'!I43/'PROPYLENE-A12'!I14*100,1))</f>
        <v xml:space="preserve">    -</v>
      </c>
      <c r="J50" s="58" t="str">
        <f>IF('PROPYLENE-A12'!J14=0,"    -",ROUND('PROPYLENE-A12'!J43/'PROPYLENE-A12'!J14*100,1))</f>
        <v xml:space="preserve">    -</v>
      </c>
      <c r="K50" s="59" t="str">
        <f>IF('PROPYLENE-A12'!K14=0,"    -",ROUND('PROPYLENE-A12'!K43/'PROPYLENE-A12'!K14*100,1))</f>
        <v xml:space="preserve">    -</v>
      </c>
      <c r="L50" s="60" t="str">
        <f>IF('PROPYLENE-A12'!L14=0,"    -",ROUND('PROPYLENE-A12'!L43/'PROPYLENE-A12'!L14*100,1))</f>
        <v xml:space="preserve">    -</v>
      </c>
      <c r="M50" s="58" t="str">
        <f>IF('PROPYLENE-A12'!M14=0,"    -",ROUND('PROPYLENE-A12'!M43/'PROPYLENE-A12'!M14*100,1))</f>
        <v xml:space="preserve">    -</v>
      </c>
      <c r="N50" s="58" t="str">
        <f>IF('PROPYLENE-A12'!N14=0,"    -",ROUND('PROPYLENE-A12'!N43/'PROPYLENE-A12'!N14*100,1))</f>
        <v xml:space="preserve">    -</v>
      </c>
      <c r="O50" s="58" t="str">
        <f>IF('PROPYLENE-A12'!O14=0,"    -",ROUND('PROPYLENE-A12'!O43/'PROPYLENE-A12'!O14*100,1))</f>
        <v xml:space="preserve">    -</v>
      </c>
      <c r="P50" s="58" t="str">
        <f>IF('PROPYLENE-A12'!P14=0,"    -",ROUND('PROPYLENE-A12'!P43/'PROPYLENE-A12'!P14*100,1))</f>
        <v xml:space="preserve">    -</v>
      </c>
      <c r="Q50" s="61" t="str">
        <f>IF('PROPYLENE-A12'!Q14=0,"    -",ROUND('PROPYLENE-A12'!Q43/'PROPYLENE-A12'!Q14*100,1))</f>
        <v xml:space="preserve">    -</v>
      </c>
    </row>
    <row r="51" spans="2:17" ht="16.5" customHeight="1">
      <c r="B51" s="605" t="s">
        <v>440</v>
      </c>
      <c r="C51" s="606"/>
      <c r="D51" s="57" t="str">
        <f>IF('PROPYLENE-A12'!D15=0,"    -",ROUND('PROPYLENE-A12'!D44/'PROPYLENE-A12'!D15*100,1))</f>
        <v xml:space="preserve">    -</v>
      </c>
      <c r="E51" s="58" t="str">
        <f>IF('PROPYLENE-A12'!E15=0,"    -",ROUND('PROPYLENE-A12'!E44/'PROPYLENE-A12'!E15*100,1))</f>
        <v xml:space="preserve">    -</v>
      </c>
      <c r="F51" s="58" t="str">
        <f>IF('PROPYLENE-A12'!F15=0,"    -",ROUND('PROPYLENE-A12'!F44/'PROPYLENE-A12'!F15*100,1))</f>
        <v xml:space="preserve">    -</v>
      </c>
      <c r="G51" s="58" t="str">
        <f>IF('PROPYLENE-A12'!G15=0,"    -",ROUND('PROPYLENE-A12'!G44/'PROPYLENE-A12'!G15*100,1))</f>
        <v xml:space="preserve">    -</v>
      </c>
      <c r="H51" s="58">
        <f>IF('PROPYLENE-A12'!H15=0,"    -",ROUND('PROPYLENE-A12'!H44/'PROPYLENE-A12'!H15*100,1))</f>
        <v>10.1</v>
      </c>
      <c r="I51" s="58">
        <f>IF('PROPYLENE-A12'!I15=0,"    -",ROUND('PROPYLENE-A12'!I44/'PROPYLENE-A12'!I15*100,1))</f>
        <v>50.6</v>
      </c>
      <c r="J51" s="58">
        <f>IF('PROPYLENE-A12'!J15=0,"    -",ROUND('PROPYLENE-A12'!J44/'PROPYLENE-A12'!J15*100,1))</f>
        <v>53.6</v>
      </c>
      <c r="K51" s="59">
        <f>IF('PROPYLENE-A12'!K15=0,"    -",ROUND('PROPYLENE-A12'!K44/'PROPYLENE-A12'!K15*100,1))</f>
        <v>56.9</v>
      </c>
      <c r="L51" s="60">
        <f>IF('PROPYLENE-A12'!L15=0,"    -",ROUND('PROPYLENE-A12'!L44/'PROPYLENE-A12'!L15*100,1))</f>
        <v>60.3</v>
      </c>
      <c r="M51" s="58">
        <f>IF('PROPYLENE-A12'!M15=0,"    -",ROUND('PROPYLENE-A12'!M44/'PROPYLENE-A12'!M15*100,1))</f>
        <v>63.9</v>
      </c>
      <c r="N51" s="58">
        <f>IF('PROPYLENE-A12'!N15=0,"    -",ROUND('PROPYLENE-A12'!N44/'PROPYLENE-A12'!N15*100,1))</f>
        <v>67.7</v>
      </c>
      <c r="O51" s="58">
        <f>IF('PROPYLENE-A12'!O15=0,"    -",ROUND('PROPYLENE-A12'!O44/'PROPYLENE-A12'!O15*100,1))</f>
        <v>71.8</v>
      </c>
      <c r="P51" s="58">
        <f>IF('PROPYLENE-A12'!P15=0,"    -",ROUND('PROPYLENE-A12'!P44/'PROPYLENE-A12'!P15*100,1))</f>
        <v>66.099999999999994</v>
      </c>
      <c r="Q51" s="61">
        <f>IF('PROPYLENE-A12'!Q15=0,"    -",ROUND('PROPYLENE-A12'!Q44/'PROPYLENE-A12'!Q15*100,1))</f>
        <v>70</v>
      </c>
    </row>
    <row r="52" spans="2:17" ht="16.5" customHeight="1">
      <c r="B52" s="605" t="s">
        <v>441</v>
      </c>
      <c r="C52" s="606"/>
      <c r="D52" s="57">
        <f>IF('PROPYLENE-A12'!D16=0,"    -",ROUND('PROPYLENE-A12'!D45/'PROPYLENE-A12'!D16*100,1))</f>
        <v>71.2</v>
      </c>
      <c r="E52" s="58">
        <f>IF('PROPYLENE-A12'!E16=0,"    -",ROUND('PROPYLENE-A12'!E45/'PROPYLENE-A12'!E16*100,1))</f>
        <v>80</v>
      </c>
      <c r="F52" s="58">
        <f>IF('PROPYLENE-A12'!F16=0,"    -",ROUND('PROPYLENE-A12'!F45/'PROPYLENE-A12'!F16*100,1))</f>
        <v>79.400000000000006</v>
      </c>
      <c r="G52" s="58">
        <f>IF('PROPYLENE-A12'!G16=0,"    -",ROUND('PROPYLENE-A12'!G45/'PROPYLENE-A12'!G16*100,1))</f>
        <v>65.3</v>
      </c>
      <c r="H52" s="58">
        <f>IF('PROPYLENE-A12'!H16=0,"    -",ROUND('PROPYLENE-A12'!H45/'PROPYLENE-A12'!H16*100,1))</f>
        <v>67.400000000000006</v>
      </c>
      <c r="I52" s="58">
        <f>IF('PROPYLENE-A12'!I16=0,"    -",ROUND('PROPYLENE-A12'!I45/'PROPYLENE-A12'!I16*100,1))</f>
        <v>67.2</v>
      </c>
      <c r="J52" s="58">
        <f>IF('PROPYLENE-A12'!J16=0,"    -",ROUND('PROPYLENE-A12'!J45/'PROPYLENE-A12'!J16*100,1))</f>
        <v>65.400000000000006</v>
      </c>
      <c r="K52" s="59">
        <f>IF('PROPYLENE-A12'!K16=0,"    -",ROUND('PROPYLENE-A12'!K45/'PROPYLENE-A12'!K16*100,1))</f>
        <v>61.5</v>
      </c>
      <c r="L52" s="60">
        <f>IF('PROPYLENE-A12'!L16=0,"    -",ROUND('PROPYLENE-A12'!L45/'PROPYLENE-A12'!L16*100,1))</f>
        <v>71.7</v>
      </c>
      <c r="M52" s="58">
        <f>IF('PROPYLENE-A12'!M16=0,"    -",ROUND('PROPYLENE-A12'!M45/'PROPYLENE-A12'!M16*100,1))</f>
        <v>55.6</v>
      </c>
      <c r="N52" s="58">
        <f>IF('PROPYLENE-A12'!N16=0,"    -",ROUND('PROPYLENE-A12'!N45/'PROPYLENE-A12'!N16*100,1))</f>
        <v>94.2</v>
      </c>
      <c r="O52" s="58">
        <f>IF('PROPYLENE-A12'!O16=0,"    -",ROUND('PROPYLENE-A12'!O45/'PROPYLENE-A12'!O16*100,1))</f>
        <v>93.9</v>
      </c>
      <c r="P52" s="58">
        <f>IF('PROPYLENE-A12'!P16=0,"    -",ROUND('PROPYLENE-A12'!P45/'PROPYLENE-A12'!P16*100,1))</f>
        <v>93.9</v>
      </c>
      <c r="Q52" s="61">
        <f>IF('PROPYLENE-A12'!Q16=0,"    -",ROUND('PROPYLENE-A12'!Q45/'PROPYLENE-A12'!Q16*100,1))</f>
        <v>95.2</v>
      </c>
    </row>
    <row r="53" spans="2:17" ht="16.5" customHeight="1">
      <c r="B53" s="605" t="s">
        <v>442</v>
      </c>
      <c r="C53" s="606"/>
      <c r="D53" s="57">
        <f>IF('PROPYLENE-A12'!D17=0,"    -",ROUND('PROPYLENE-A12'!D46/'PROPYLENE-A12'!D17*100,1))</f>
        <v>100</v>
      </c>
      <c r="E53" s="58">
        <f>IF('PROPYLENE-A12'!E17=0,"    -",ROUND('PROPYLENE-A12'!E46/'PROPYLENE-A12'!E17*100,1))</f>
        <v>100</v>
      </c>
      <c r="F53" s="58">
        <f>IF('PROPYLENE-A12'!F17=0,"    -",ROUND('PROPYLENE-A12'!F46/'PROPYLENE-A12'!F17*100,1))</f>
        <v>100</v>
      </c>
      <c r="G53" s="58">
        <f>IF('PROPYLENE-A12'!G17=0,"    -",ROUND('PROPYLENE-A12'!G46/'PROPYLENE-A12'!G17*100,1))</f>
        <v>100</v>
      </c>
      <c r="H53" s="58">
        <f>IF('PROPYLENE-A12'!H17=0,"    -",ROUND('PROPYLENE-A12'!H46/'PROPYLENE-A12'!H17*100,1))</f>
        <v>100</v>
      </c>
      <c r="I53" s="58">
        <f>IF('PROPYLENE-A12'!I17=0,"    -",ROUND('PROPYLENE-A12'!I46/'PROPYLENE-A12'!I17*100,1))</f>
        <v>100</v>
      </c>
      <c r="J53" s="58">
        <f>IF('PROPYLENE-A12'!J17=0,"    -",ROUND('PROPYLENE-A12'!J46/'PROPYLENE-A12'!J17*100,1))</f>
        <v>100</v>
      </c>
      <c r="K53" s="59">
        <f>IF('PROPYLENE-A12'!K17=0,"    -",ROUND('PROPYLENE-A12'!K46/'PROPYLENE-A12'!K17*100,1))</f>
        <v>28.8</v>
      </c>
      <c r="L53" s="60">
        <f>IF('PROPYLENE-A12'!L17=0,"    -",ROUND('PROPYLENE-A12'!L46/'PROPYLENE-A12'!L17*100,1))</f>
        <v>100</v>
      </c>
      <c r="M53" s="58">
        <f>IF('PROPYLENE-A12'!M17=0,"    -",ROUND('PROPYLENE-A12'!M46/'PROPYLENE-A12'!M17*100,1))</f>
        <v>100</v>
      </c>
      <c r="N53" s="58">
        <f>IF('PROPYLENE-A12'!N17=0,"    -",ROUND('PROPYLENE-A12'!N46/'PROPYLENE-A12'!N17*100,1))</f>
        <v>100</v>
      </c>
      <c r="O53" s="58">
        <f>IF('PROPYLENE-A12'!O17=0,"    -",ROUND('PROPYLENE-A12'!O46/'PROPYLENE-A12'!O17*100,1))</f>
        <v>100</v>
      </c>
      <c r="P53" s="58">
        <f>IF('PROPYLENE-A12'!P17=0,"    -",ROUND('PROPYLENE-A12'!P46/'PROPYLENE-A12'!P17*100,1))</f>
        <v>100</v>
      </c>
      <c r="Q53" s="61">
        <f>IF('PROPYLENE-A12'!Q17=0,"    -",ROUND('PROPYLENE-A12'!Q46/'PROPYLENE-A12'!Q17*100,1))</f>
        <v>100</v>
      </c>
    </row>
    <row r="54" spans="2:17" ht="16.5" customHeight="1">
      <c r="B54" s="607" t="s">
        <v>443</v>
      </c>
      <c r="C54" s="608"/>
      <c r="D54" s="57">
        <f>IF('PROPYLENE-A12'!D18=0,"    -",ROUND('PROPYLENE-A12'!D47/'PROPYLENE-A12'!D18*100,1))</f>
        <v>87.6</v>
      </c>
      <c r="E54" s="58">
        <f>IF('PROPYLENE-A12'!E18=0,"    -",ROUND('PROPYLENE-A12'!E47/'PROPYLENE-A12'!E18*100,1))</f>
        <v>83.2</v>
      </c>
      <c r="F54" s="58">
        <f>IF('PROPYLENE-A12'!F18=0,"    -",ROUND('PROPYLENE-A12'!F47/'PROPYLENE-A12'!F18*100,1))</f>
        <v>78.2</v>
      </c>
      <c r="G54" s="58">
        <f>IF('PROPYLENE-A12'!G18=0,"    -",ROUND('PROPYLENE-A12'!G47/'PROPYLENE-A12'!G18*100,1))</f>
        <v>84.2</v>
      </c>
      <c r="H54" s="58">
        <f>IF('PROPYLENE-A12'!H18=0,"    -",ROUND('PROPYLENE-A12'!H47/'PROPYLENE-A12'!H18*100,1))</f>
        <v>87.1</v>
      </c>
      <c r="I54" s="58">
        <f>IF('PROPYLENE-A12'!I18=0,"    -",ROUND('PROPYLENE-A12'!I47/'PROPYLENE-A12'!I18*100,1))</f>
        <v>91.5</v>
      </c>
      <c r="J54" s="58">
        <f>IF('PROPYLENE-A12'!J18=0,"    -",ROUND('PROPYLENE-A12'!J47/'PROPYLENE-A12'!J18*100,1))</f>
        <v>87.7</v>
      </c>
      <c r="K54" s="59">
        <f>IF('PROPYLENE-A12'!K18=0,"    -",ROUND('PROPYLENE-A12'!K47/'PROPYLENE-A12'!K18*100,1))</f>
        <v>91.9</v>
      </c>
      <c r="L54" s="60">
        <f>IF('PROPYLENE-A12'!L18=0,"    -",ROUND('PROPYLENE-A12'!L47/'PROPYLENE-A12'!L18*100,1))</f>
        <v>87.5</v>
      </c>
      <c r="M54" s="58">
        <f>IF('PROPYLENE-A12'!M18=0,"    -",ROUND('PROPYLENE-A12'!M47/'PROPYLENE-A12'!M18*100,1))</f>
        <v>91.1</v>
      </c>
      <c r="N54" s="58">
        <f>IF('PROPYLENE-A12'!N18=0,"    -",ROUND('PROPYLENE-A12'!N47/'PROPYLENE-A12'!N18*100,1))</f>
        <v>92.6</v>
      </c>
      <c r="O54" s="58">
        <f>IF('PROPYLENE-A12'!O18=0,"    -",ROUND('PROPYLENE-A12'!O47/'PROPYLENE-A12'!O18*100,1))</f>
        <v>93.3</v>
      </c>
      <c r="P54" s="58">
        <f>IF('PROPYLENE-A12'!P18=0,"    -",ROUND('PROPYLENE-A12'!P47/'PROPYLENE-A12'!P18*100,1))</f>
        <v>94.1</v>
      </c>
      <c r="Q54" s="61">
        <f>IF('PROPYLENE-A12'!Q18=0,"    -",ROUND('PROPYLENE-A12'!Q47/'PROPYLENE-A12'!Q18*100,1))</f>
        <v>94.9</v>
      </c>
    </row>
    <row r="55" spans="2:17" ht="17.25" customHeight="1">
      <c r="B55" s="674" t="s">
        <v>307</v>
      </c>
      <c r="C55" s="675"/>
      <c r="D55" s="74">
        <f>IF('PROPYLENE-A12'!D19=0,"    -",ROUND('PROPYLENE-A12'!D48/'PROPYLENE-A12'!D19*100,1))</f>
        <v>85.7</v>
      </c>
      <c r="E55" s="75">
        <f>IF('PROPYLENE-A12'!E19=0,"    -",ROUND('PROPYLENE-A12'!E48/'PROPYLENE-A12'!E19*100,1))</f>
        <v>89.6</v>
      </c>
      <c r="F55" s="75">
        <f>IF('PROPYLENE-A12'!F19=0,"    -",ROUND('PROPYLENE-A12'!F48/'PROPYLENE-A12'!F19*100,1))</f>
        <v>85.1</v>
      </c>
      <c r="G55" s="75">
        <f>IF('PROPYLENE-A12'!G19=0,"    -",ROUND('PROPYLENE-A12'!G48/'PROPYLENE-A12'!G19*100,1))</f>
        <v>88.6</v>
      </c>
      <c r="H55" s="75">
        <f>IF('PROPYLENE-A12'!H19=0,"    -",ROUND('PROPYLENE-A12'!H48/'PROPYLENE-A12'!H19*100,1))</f>
        <v>84.4</v>
      </c>
      <c r="I55" s="75">
        <f>IF('PROPYLENE-A12'!I19=0,"    -",ROUND('PROPYLENE-A12'!I48/'PROPYLENE-A12'!I19*100,1))</f>
        <v>83.1</v>
      </c>
      <c r="J55" s="75">
        <f>IF('PROPYLENE-A12'!J19=0,"    -",ROUND('PROPYLENE-A12'!J48/'PROPYLENE-A12'!J19*100,1))</f>
        <v>89.3</v>
      </c>
      <c r="K55" s="76">
        <f>IF('PROPYLENE-A12'!K19=0,"    -",ROUND('PROPYLENE-A12'!K48/'PROPYLENE-A12'!K19*100,1))</f>
        <v>88.2</v>
      </c>
      <c r="L55" s="77">
        <f>IF('PROPYLENE-A12'!L19=0,"    -",ROUND('PROPYLENE-A12'!L48/'PROPYLENE-A12'!L19*100,1))</f>
        <v>87.9</v>
      </c>
      <c r="M55" s="75">
        <f>IF('PROPYLENE-A12'!M19=0,"    -",ROUND('PROPYLENE-A12'!M48/'PROPYLENE-A12'!M19*100,1))</f>
        <v>86.3</v>
      </c>
      <c r="N55" s="75">
        <f>IF('PROPYLENE-A12'!N19=0,"    -",ROUND('PROPYLENE-A12'!N48/'PROPYLENE-A12'!N19*100,1))</f>
        <v>86.8</v>
      </c>
      <c r="O55" s="75">
        <f>IF('PROPYLENE-A12'!O19=0,"    -",ROUND('PROPYLENE-A12'!O48/'PROPYLENE-A12'!O19*100,1))</f>
        <v>87.7</v>
      </c>
      <c r="P55" s="75">
        <f>IF('PROPYLENE-A12'!P19=0,"    -",ROUND('PROPYLENE-A12'!P48/'PROPYLENE-A12'!P19*100,1))</f>
        <v>86.9</v>
      </c>
      <c r="Q55" s="78">
        <f>IF('PROPYLENE-A12'!Q19=0,"    -",ROUND('PROPYLENE-A12'!Q48/'PROPYLENE-A12'!Q19*100,1))</f>
        <v>86.9</v>
      </c>
    </row>
    <row r="56" spans="2:17" ht="17.25" customHeight="1">
      <c r="B56" s="672" t="s">
        <v>308</v>
      </c>
      <c r="C56" s="673"/>
      <c r="D56" s="135">
        <f>IF('PROPYLENE-A12'!D20=0,"    -",ROUND('PROPYLENE-A12'!D49/'PROPYLENE-A12'!D20*100,1))</f>
        <v>78.900000000000006</v>
      </c>
      <c r="E56" s="136">
        <f>IF('PROPYLENE-A12'!E20=0,"    -",ROUND('PROPYLENE-A12'!E49/'PROPYLENE-A12'!E20*100,1))</f>
        <v>78.900000000000006</v>
      </c>
      <c r="F56" s="136">
        <f>IF('PROPYLENE-A12'!F20=0,"    -",ROUND('PROPYLENE-A12'!F49/'PROPYLENE-A12'!F20*100,1))</f>
        <v>97.6</v>
      </c>
      <c r="G56" s="136">
        <f>IF('PROPYLENE-A12'!G20=0,"    -",ROUND('PROPYLENE-A12'!G49/'PROPYLENE-A12'!G20*100,1))</f>
        <v>97.6</v>
      </c>
      <c r="H56" s="136">
        <f>IF('PROPYLENE-A12'!H20=0,"    -",ROUND('PROPYLENE-A12'!H49/'PROPYLENE-A12'!H20*100,1))</f>
        <v>63.4</v>
      </c>
      <c r="I56" s="136">
        <f>IF('PROPYLENE-A12'!I20=0,"    -",ROUND('PROPYLENE-A12'!I49/'PROPYLENE-A12'!I20*100,1))</f>
        <v>69.400000000000006</v>
      </c>
      <c r="J56" s="136">
        <f>IF('PROPYLENE-A12'!J20=0,"    -",ROUND('PROPYLENE-A12'!J49/'PROPYLENE-A12'!J20*100,1))</f>
        <v>69.400000000000006</v>
      </c>
      <c r="K56" s="137">
        <f>IF('PROPYLENE-A12'!K20=0,"    -",ROUND('PROPYLENE-A12'!K49/'PROPYLENE-A12'!K20*100,1))</f>
        <v>69.400000000000006</v>
      </c>
      <c r="L56" s="135">
        <f>IF('PROPYLENE-A12'!L20=0,"    -",ROUND('PROPYLENE-A12'!L49/'PROPYLENE-A12'!L20*100,1))</f>
        <v>69.400000000000006</v>
      </c>
      <c r="M56" s="136">
        <f>IF('PROPYLENE-A12'!M20=0,"    -",ROUND('PROPYLENE-A12'!M49/'PROPYLENE-A12'!M20*100,1))</f>
        <v>69.400000000000006</v>
      </c>
      <c r="N56" s="136">
        <f>IF('PROPYLENE-A12'!N20=0,"    -",ROUND('PROPYLENE-A12'!N49/'PROPYLENE-A12'!N20*100,1))</f>
        <v>69.400000000000006</v>
      </c>
      <c r="O56" s="136">
        <f>IF('PROPYLENE-A12'!O20=0,"    -",ROUND('PROPYLENE-A12'!O49/'PROPYLENE-A12'!O20*100,1))</f>
        <v>69.400000000000006</v>
      </c>
      <c r="P56" s="136">
        <f>IF('PROPYLENE-A12'!P20=0,"    -",ROUND('PROPYLENE-A12'!P49/'PROPYLENE-A12'!P20*100,1))</f>
        <v>69.400000000000006</v>
      </c>
      <c r="Q56" s="137">
        <f>IF('PROPYLENE-A12'!Q20=0,"    -",ROUND('PROPYLENE-A12'!Q49/'PROPYLENE-A12'!Q20*100,1))</f>
        <v>69.400000000000006</v>
      </c>
    </row>
    <row r="57" spans="2:17" ht="16.5" customHeight="1">
      <c r="B57" s="105"/>
      <c r="C57" s="97" t="s">
        <v>309</v>
      </c>
      <c r="D57" s="135">
        <f>IF('PROPYLENE-A12'!D21=0,"    -",ROUND('PROPYLENE-A12'!D50/'PROPYLENE-A12'!D21*100,1))</f>
        <v>78.900000000000006</v>
      </c>
      <c r="E57" s="136">
        <f>IF('PROPYLENE-A12'!E21=0,"    -",ROUND('PROPYLENE-A12'!E50/'PROPYLENE-A12'!E21*100,1))</f>
        <v>78.900000000000006</v>
      </c>
      <c r="F57" s="136">
        <f>IF('PROPYLENE-A12'!F21=0,"    -",ROUND('PROPYLENE-A12'!F50/'PROPYLENE-A12'!F21*100,1))</f>
        <v>97.6</v>
      </c>
      <c r="G57" s="136">
        <f>IF('PROPYLENE-A12'!G21=0,"    -",ROUND('PROPYLENE-A12'!G50/'PROPYLENE-A12'!G21*100,1))</f>
        <v>97.6</v>
      </c>
      <c r="H57" s="136">
        <f>IF('PROPYLENE-A12'!H21=0,"    -",ROUND('PROPYLENE-A12'!H50/'PROPYLENE-A12'!H21*100,1))</f>
        <v>63.4</v>
      </c>
      <c r="I57" s="136">
        <f>IF('PROPYLENE-A12'!I21=0,"    -",ROUND('PROPYLENE-A12'!I50/'PROPYLENE-A12'!I21*100,1))</f>
        <v>69.400000000000006</v>
      </c>
      <c r="J57" s="136">
        <f>IF('PROPYLENE-A12'!J21=0,"    -",ROUND('PROPYLENE-A12'!J50/'PROPYLENE-A12'!J21*100,1))</f>
        <v>69.400000000000006</v>
      </c>
      <c r="K57" s="137">
        <f>IF('PROPYLENE-A12'!K21=0,"    -",ROUND('PROPYLENE-A12'!K50/'PROPYLENE-A12'!K21*100,1))</f>
        <v>69.400000000000006</v>
      </c>
      <c r="L57" s="135">
        <f>IF('PROPYLENE-A12'!L21=0,"    -",ROUND('PROPYLENE-A12'!L50/'PROPYLENE-A12'!L21*100,1))</f>
        <v>69.400000000000006</v>
      </c>
      <c r="M57" s="136">
        <f>IF('PROPYLENE-A12'!M21=0,"    -",ROUND('PROPYLENE-A12'!M50/'PROPYLENE-A12'!M21*100,1))</f>
        <v>69.400000000000006</v>
      </c>
      <c r="N57" s="136">
        <f>IF('PROPYLENE-A12'!N21=0,"    -",ROUND('PROPYLENE-A12'!N50/'PROPYLENE-A12'!N21*100,1))</f>
        <v>69.400000000000006</v>
      </c>
      <c r="O57" s="136">
        <f>IF('PROPYLENE-A12'!O21=0,"    -",ROUND('PROPYLENE-A12'!O50/'PROPYLENE-A12'!O21*100,1))</f>
        <v>69.400000000000006</v>
      </c>
      <c r="P57" s="136">
        <f>IF('PROPYLENE-A12'!P21=0,"    -",ROUND('PROPYLENE-A12'!P50/'PROPYLENE-A12'!P21*100,1))</f>
        <v>69.400000000000006</v>
      </c>
      <c r="Q57" s="137">
        <f>IF('PROPYLENE-A12'!Q21=0,"    -",ROUND('PROPYLENE-A12'!Q50/'PROPYLENE-A12'!Q21*100,1))</f>
        <v>69.400000000000006</v>
      </c>
    </row>
    <row r="58" spans="2:17" ht="17.25" customHeight="1">
      <c r="B58" s="672" t="s">
        <v>310</v>
      </c>
      <c r="C58" s="673"/>
      <c r="D58" s="57">
        <f>IF('PROPYLENE-A12'!D22=0,"    -",ROUND('PROPYLENE-A12'!D51/'PROPYLENE-A12'!D22*100,1))</f>
        <v>84.9</v>
      </c>
      <c r="E58" s="58">
        <f>IF('PROPYLENE-A12'!E22=0,"    -",ROUND('PROPYLENE-A12'!E51/'PROPYLENE-A12'!E22*100,1))</f>
        <v>81.400000000000006</v>
      </c>
      <c r="F58" s="58">
        <f>IF('PROPYLENE-A12'!F22=0,"    -",ROUND('PROPYLENE-A12'!F51/'PROPYLENE-A12'!F22*100,1))</f>
        <v>80.599999999999994</v>
      </c>
      <c r="G58" s="58">
        <f>IF('PROPYLENE-A12'!G22=0,"    -",ROUND('PROPYLENE-A12'!G51/'PROPYLENE-A12'!G22*100,1))</f>
        <v>82.7</v>
      </c>
      <c r="H58" s="58">
        <f>IF('PROPYLENE-A12'!H22=0,"    -",ROUND('PROPYLENE-A12'!H51/'PROPYLENE-A12'!H22*100,1))</f>
        <v>77.2</v>
      </c>
      <c r="I58" s="58">
        <f>IF('PROPYLENE-A12'!I22=0,"    -",ROUND('PROPYLENE-A12'!I51/'PROPYLENE-A12'!I22*100,1))</f>
        <v>85</v>
      </c>
      <c r="J58" s="58">
        <f>IF('PROPYLENE-A12'!J22=0,"    -",ROUND('PROPYLENE-A12'!J51/'PROPYLENE-A12'!J22*100,1))</f>
        <v>86.1</v>
      </c>
      <c r="K58" s="59">
        <f>IF('PROPYLENE-A12'!K22=0,"    -",ROUND('PROPYLENE-A12'!K51/'PROPYLENE-A12'!K22*100,1))</f>
        <v>85.4</v>
      </c>
      <c r="L58" s="57">
        <f>IF('PROPYLENE-A12'!L22=0,"    -",ROUND('PROPYLENE-A12'!L51/'PROPYLENE-A12'!L22*100,1))</f>
        <v>84.4</v>
      </c>
      <c r="M58" s="58">
        <f>IF('PROPYLENE-A12'!M22=0,"    -",ROUND('PROPYLENE-A12'!M51/'PROPYLENE-A12'!M22*100,1))</f>
        <v>85.5</v>
      </c>
      <c r="N58" s="58">
        <f>IF('PROPYLENE-A12'!N22=0,"    -",ROUND('PROPYLENE-A12'!N51/'PROPYLENE-A12'!N22*100,1))</f>
        <v>86.1</v>
      </c>
      <c r="O58" s="58">
        <f>IF('PROPYLENE-A12'!O22=0,"    -",ROUND('PROPYLENE-A12'!O51/'PROPYLENE-A12'!O22*100,1))</f>
        <v>86.1</v>
      </c>
      <c r="P58" s="58">
        <f>IF('PROPYLENE-A12'!P22=0,"    -",ROUND('PROPYLENE-A12'!P51/'PROPYLENE-A12'!P22*100,1))</f>
        <v>87</v>
      </c>
      <c r="Q58" s="59">
        <f>IF('PROPYLENE-A12'!Q22=0,"    -",ROUND('PROPYLENE-A12'!Q51/'PROPYLENE-A12'!Q22*100,1))</f>
        <v>84.8</v>
      </c>
    </row>
    <row r="59" spans="2:17" ht="16.5" customHeight="1">
      <c r="B59" s="105"/>
      <c r="C59" s="615" t="s">
        <v>311</v>
      </c>
      <c r="D59" s="74">
        <f>IF('PROPYLENE-A12'!D23=0,"    -",ROUND('PROPYLENE-A12'!D52/'PROPYLENE-A12'!D23*100,1))</f>
        <v>85</v>
      </c>
      <c r="E59" s="75">
        <f>IF('PROPYLENE-A12'!E23=0,"    -",ROUND('PROPYLENE-A12'!E52/'PROPYLENE-A12'!E23*100,1))</f>
        <v>81.3</v>
      </c>
      <c r="F59" s="75">
        <f>IF('PROPYLENE-A12'!F23=0,"    -",ROUND('PROPYLENE-A12'!F52/'PROPYLENE-A12'!F23*100,1))</f>
        <v>81.5</v>
      </c>
      <c r="G59" s="75">
        <f>IF('PROPYLENE-A12'!G23=0,"    -",ROUND('PROPYLENE-A12'!G52/'PROPYLENE-A12'!G23*100,1))</f>
        <v>83.5</v>
      </c>
      <c r="H59" s="75">
        <f>IF('PROPYLENE-A12'!H23=0,"    -",ROUND('PROPYLENE-A12'!H52/'PROPYLENE-A12'!H23*100,1))</f>
        <v>77.5</v>
      </c>
      <c r="I59" s="75">
        <f>IF('PROPYLENE-A12'!I23=0,"    -",ROUND('PROPYLENE-A12'!I52/'PROPYLENE-A12'!I23*100,1))</f>
        <v>86</v>
      </c>
      <c r="J59" s="75">
        <f>IF('PROPYLENE-A12'!J23=0,"    -",ROUND('PROPYLENE-A12'!J52/'PROPYLENE-A12'!J23*100,1))</f>
        <v>89</v>
      </c>
      <c r="K59" s="76">
        <f>IF('PROPYLENE-A12'!K23=0,"    -",ROUND('PROPYLENE-A12'!K52/'PROPYLENE-A12'!K23*100,1))</f>
        <v>86.3</v>
      </c>
      <c r="L59" s="74">
        <f>IF('PROPYLENE-A12'!L23=0,"    -",ROUND('PROPYLENE-A12'!L52/'PROPYLENE-A12'!L23*100,1))</f>
        <v>85.4</v>
      </c>
      <c r="M59" s="75">
        <f>IF('PROPYLENE-A12'!M23=0,"    -",ROUND('PROPYLENE-A12'!M52/'PROPYLENE-A12'!M23*100,1))</f>
        <v>86.2</v>
      </c>
      <c r="N59" s="75">
        <f>IF('PROPYLENE-A12'!N23=0,"    -",ROUND('PROPYLENE-A12'!N52/'PROPYLENE-A12'!N23*100,1))</f>
        <v>86.7</v>
      </c>
      <c r="O59" s="75">
        <f>IF('PROPYLENE-A12'!O23=0,"    -",ROUND('PROPYLENE-A12'!O52/'PROPYLENE-A12'!O23*100,1))</f>
        <v>86.5</v>
      </c>
      <c r="P59" s="75">
        <f>IF('PROPYLENE-A12'!P23=0,"    -",ROUND('PROPYLENE-A12'!P52/'PROPYLENE-A12'!P23*100,1))</f>
        <v>87.5</v>
      </c>
      <c r="Q59" s="76">
        <f>IF('PROPYLENE-A12'!Q23=0,"    -",ROUND('PROPYLENE-A12'!Q52/'PROPYLENE-A12'!Q23*100,1))</f>
        <v>85.2</v>
      </c>
    </row>
    <row r="60" spans="2:17" ht="17.25" customHeight="1">
      <c r="B60" s="672" t="s">
        <v>312</v>
      </c>
      <c r="C60" s="673"/>
      <c r="D60" s="57">
        <f>IF('PROPYLENE-A12'!D24=0,"    -",ROUND('PROPYLENE-A12'!D53/'PROPYLENE-A12'!D24*100,1))</f>
        <v>68</v>
      </c>
      <c r="E60" s="58">
        <f>IF('PROPYLENE-A12'!E24=0,"    -",ROUND('PROPYLENE-A12'!E53/'PROPYLENE-A12'!E24*100,1))</f>
        <v>70.7</v>
      </c>
      <c r="F60" s="58">
        <f>IF('PROPYLENE-A12'!F24=0,"    -",ROUND('PROPYLENE-A12'!F53/'PROPYLENE-A12'!F24*100,1))</f>
        <v>74.2</v>
      </c>
      <c r="G60" s="58">
        <f>IF('PROPYLENE-A12'!G24=0,"    -",ROUND('PROPYLENE-A12'!G53/'PROPYLENE-A12'!G24*100,1))</f>
        <v>77.099999999999994</v>
      </c>
      <c r="H60" s="58">
        <f>IF('PROPYLENE-A12'!H24=0,"    -",ROUND('PROPYLENE-A12'!H53/'PROPYLENE-A12'!H24*100,1))</f>
        <v>72.400000000000006</v>
      </c>
      <c r="I60" s="58">
        <f>IF('PROPYLENE-A12'!I24=0,"    -",ROUND('PROPYLENE-A12'!I53/'PROPYLENE-A12'!I24*100,1))</f>
        <v>67.900000000000006</v>
      </c>
      <c r="J60" s="58">
        <f>IF('PROPYLENE-A12'!J24=0,"    -",ROUND('PROPYLENE-A12'!J53/'PROPYLENE-A12'!J24*100,1))</f>
        <v>68.3</v>
      </c>
      <c r="K60" s="59">
        <f>IF('PROPYLENE-A12'!K24=0,"    -",ROUND('PROPYLENE-A12'!K53/'PROPYLENE-A12'!K24*100,1))</f>
        <v>74.900000000000006</v>
      </c>
      <c r="L60" s="57">
        <f>IF('PROPYLENE-A12'!L24=0,"    -",ROUND('PROPYLENE-A12'!L53/'PROPYLENE-A12'!L24*100,1))</f>
        <v>73.3</v>
      </c>
      <c r="M60" s="58">
        <f>IF('PROPYLENE-A12'!M24=0,"    -",ROUND('PROPYLENE-A12'!M53/'PROPYLENE-A12'!M24*100,1))</f>
        <v>74.900000000000006</v>
      </c>
      <c r="N60" s="58">
        <f>IF('PROPYLENE-A12'!N24=0,"    -",ROUND('PROPYLENE-A12'!N53/'PROPYLENE-A12'!N24*100,1))</f>
        <v>75</v>
      </c>
      <c r="O60" s="58">
        <f>IF('PROPYLENE-A12'!O24=0,"    -",ROUND('PROPYLENE-A12'!O53/'PROPYLENE-A12'!O24*100,1))</f>
        <v>77.2</v>
      </c>
      <c r="P60" s="58">
        <f>IF('PROPYLENE-A12'!P24=0,"    -",ROUND('PROPYLENE-A12'!P53/'PROPYLENE-A12'!P24*100,1))</f>
        <v>79.900000000000006</v>
      </c>
      <c r="Q60" s="59">
        <f>IF('PROPYLENE-A12'!Q24=0,"    -",ROUND('PROPYLENE-A12'!Q53/'PROPYLENE-A12'!Q24*100,1))</f>
        <v>83</v>
      </c>
    </row>
    <row r="61" spans="2:17" ht="16.5" customHeight="1">
      <c r="B61" s="16"/>
      <c r="C61" s="615" t="s">
        <v>313</v>
      </c>
      <c r="D61" s="74" t="str">
        <f>IF('PROPYLENE-A12'!D25=0,"    -",ROUND('PROPYLENE-A12'!D54/'PROPYLENE-A12'!D25*100,1))</f>
        <v xml:space="preserve">    -</v>
      </c>
      <c r="E61" s="75">
        <f>IF('PROPYLENE-A12'!E25=0,"    -",ROUND('PROPYLENE-A12'!E54/'PROPYLENE-A12'!E25*100,1))</f>
        <v>65.7</v>
      </c>
      <c r="F61" s="75">
        <f>IF('PROPYLENE-A12'!F25=0,"    -",ROUND('PROPYLENE-A12'!F54/'PROPYLENE-A12'!F25*100,1))</f>
        <v>72.400000000000006</v>
      </c>
      <c r="G61" s="75">
        <f>IF('PROPYLENE-A12'!G25=0,"    -",ROUND('PROPYLENE-A12'!G54/'PROPYLENE-A12'!G25*100,1))</f>
        <v>78.599999999999994</v>
      </c>
      <c r="H61" s="75">
        <f>IF('PROPYLENE-A12'!H25=0,"    -",ROUND('PROPYLENE-A12'!H54/'PROPYLENE-A12'!H25*100,1))</f>
        <v>77.5</v>
      </c>
      <c r="I61" s="75">
        <f>IF('PROPYLENE-A12'!I25=0,"    -",ROUND('PROPYLENE-A12'!I54/'PROPYLENE-A12'!I25*100,1))</f>
        <v>78.900000000000006</v>
      </c>
      <c r="J61" s="75">
        <f>IF('PROPYLENE-A12'!J25=0,"    -",ROUND('PROPYLENE-A12'!J54/'PROPYLENE-A12'!J25*100,1))</f>
        <v>72</v>
      </c>
      <c r="K61" s="76">
        <f>IF('PROPYLENE-A12'!K25=0,"    -",ROUND('PROPYLENE-A12'!K54/'PROPYLENE-A12'!K25*100,1))</f>
        <v>74.599999999999994</v>
      </c>
      <c r="L61" s="74">
        <f>IF('PROPYLENE-A12'!L25=0,"    -",ROUND('PROPYLENE-A12'!L54/'PROPYLENE-A12'!L25*100,1))</f>
        <v>76</v>
      </c>
      <c r="M61" s="75">
        <f>IF('PROPYLENE-A12'!M25=0,"    -",ROUND('PROPYLENE-A12'!M54/'PROPYLENE-A12'!M25*100,1))</f>
        <v>77.599999999999994</v>
      </c>
      <c r="N61" s="75">
        <f>IF('PROPYLENE-A12'!N25=0,"    -",ROUND('PROPYLENE-A12'!N54/'PROPYLENE-A12'!N25*100,1))</f>
        <v>78.400000000000006</v>
      </c>
      <c r="O61" s="75">
        <f>IF('PROPYLENE-A12'!O25=0,"    -",ROUND('PROPYLENE-A12'!O54/'PROPYLENE-A12'!O25*100,1))</f>
        <v>79.8</v>
      </c>
      <c r="P61" s="75">
        <f>IF('PROPYLENE-A12'!P25=0,"    -",ROUND('PROPYLENE-A12'!P54/'PROPYLENE-A12'!P25*100,1))</f>
        <v>80.7</v>
      </c>
      <c r="Q61" s="76">
        <f>IF('PROPYLENE-A12'!Q25=0,"    -",ROUND('PROPYLENE-A12'!Q54/'PROPYLENE-A12'!Q25*100,1))</f>
        <v>81.8</v>
      </c>
    </row>
    <row r="62" spans="2:17" ht="17.25" customHeight="1">
      <c r="B62" s="674" t="s">
        <v>314</v>
      </c>
      <c r="C62" s="675"/>
      <c r="D62" s="57">
        <f>IF('PROPYLENE-A12'!D26=0,"    -",ROUND('PROPYLENE-A12'!D55/'PROPYLENE-A12'!D26*100,1))</f>
        <v>76.2</v>
      </c>
      <c r="E62" s="58">
        <f>IF('PROPYLENE-A12'!E26=0,"    -",ROUND('PROPYLENE-A12'!E55/'PROPYLENE-A12'!E26*100,1))</f>
        <v>59.2</v>
      </c>
      <c r="F62" s="58">
        <f>IF('PROPYLENE-A12'!F26=0,"    -",ROUND('PROPYLENE-A12'!F55/'PROPYLENE-A12'!F26*100,1))</f>
        <v>60.3</v>
      </c>
      <c r="G62" s="58">
        <f>IF('PROPYLENE-A12'!G26=0,"    -",ROUND('PROPYLENE-A12'!G55/'PROPYLENE-A12'!G26*100,1))</f>
        <v>61.7</v>
      </c>
      <c r="H62" s="58">
        <f>IF('PROPYLENE-A12'!H26=0,"    -",ROUND('PROPYLENE-A12'!H55/'PROPYLENE-A12'!H26*100,1))</f>
        <v>64.099999999999994</v>
      </c>
      <c r="I62" s="58">
        <f>IF('PROPYLENE-A12'!I26=0,"    -",ROUND('PROPYLENE-A12'!I55/'PROPYLENE-A12'!I26*100,1))</f>
        <v>70.7</v>
      </c>
      <c r="J62" s="58">
        <f>IF('PROPYLENE-A12'!J26=0,"    -",ROUND('PROPYLENE-A12'!J55/'PROPYLENE-A12'!J26*100,1))</f>
        <v>71.7</v>
      </c>
      <c r="K62" s="59">
        <f>IF('PROPYLENE-A12'!K26=0,"    -",ROUND('PROPYLENE-A12'!K55/'PROPYLENE-A12'!K26*100,1))</f>
        <v>72.400000000000006</v>
      </c>
      <c r="L62" s="57">
        <f>IF('PROPYLENE-A12'!L26=0,"    -",ROUND('PROPYLENE-A12'!L55/'PROPYLENE-A12'!L26*100,1))</f>
        <v>72.7</v>
      </c>
      <c r="M62" s="58">
        <f>IF('PROPYLENE-A12'!M26=0,"    -",ROUND('PROPYLENE-A12'!M55/'PROPYLENE-A12'!M26*100,1))</f>
        <v>73</v>
      </c>
      <c r="N62" s="58">
        <f>IF('PROPYLENE-A12'!N26=0,"    -",ROUND('PROPYLENE-A12'!N55/'PROPYLENE-A12'!N26*100,1))</f>
        <v>73.3</v>
      </c>
      <c r="O62" s="58">
        <f>IF('PROPYLENE-A12'!O26=0,"    -",ROUND('PROPYLENE-A12'!O55/'PROPYLENE-A12'!O26*100,1))</f>
        <v>73.5</v>
      </c>
      <c r="P62" s="58">
        <f>IF('PROPYLENE-A12'!P26=0,"    -",ROUND('PROPYLENE-A12'!P55/'PROPYLENE-A12'!P26*100,1))</f>
        <v>73.8</v>
      </c>
      <c r="Q62" s="59">
        <f>IF('PROPYLENE-A12'!Q26=0,"    -",ROUND('PROPYLENE-A12'!Q55/'PROPYLENE-A12'!Q26*100,1))</f>
        <v>74.099999999999994</v>
      </c>
    </row>
    <row r="63" spans="2:17" ht="17.25" customHeight="1">
      <c r="B63" s="674" t="s">
        <v>315</v>
      </c>
      <c r="C63" s="675"/>
      <c r="D63" s="74">
        <f>IF('PROPYLENE-A12'!D27=0,"    -",ROUND('PROPYLENE-A12'!D56/'PROPYLENE-A12'!D27*100,1))</f>
        <v>85.5</v>
      </c>
      <c r="E63" s="75">
        <f>IF('PROPYLENE-A12'!E27=0,"    -",ROUND('PROPYLENE-A12'!E56/'PROPYLENE-A12'!E27*100,1))</f>
        <v>81.400000000000006</v>
      </c>
      <c r="F63" s="75">
        <f>IF('PROPYLENE-A12'!F27=0,"    -",ROUND('PROPYLENE-A12'!F56/'PROPYLENE-A12'!F27*100,1))</f>
        <v>56.4</v>
      </c>
      <c r="G63" s="75">
        <f>IF('PROPYLENE-A12'!G27=0,"    -",ROUND('PROPYLENE-A12'!G56/'PROPYLENE-A12'!G27*100,1))</f>
        <v>59.7</v>
      </c>
      <c r="H63" s="75">
        <f>IF('PROPYLENE-A12'!H27=0,"    -",ROUND('PROPYLENE-A12'!H56/'PROPYLENE-A12'!H27*100,1))</f>
        <v>58</v>
      </c>
      <c r="I63" s="75">
        <f>IF('PROPYLENE-A12'!I27=0,"    -",ROUND('PROPYLENE-A12'!I56/'PROPYLENE-A12'!I27*100,1))</f>
        <v>65.2</v>
      </c>
      <c r="J63" s="75">
        <f>IF('PROPYLENE-A12'!J27=0,"    -",ROUND('PROPYLENE-A12'!J56/'PROPYLENE-A12'!J27*100,1))</f>
        <v>87.7</v>
      </c>
      <c r="K63" s="76">
        <f>IF('PROPYLENE-A12'!K27=0,"    -",ROUND('PROPYLENE-A12'!K56/'PROPYLENE-A12'!K27*100,1))</f>
        <v>86.8</v>
      </c>
      <c r="L63" s="77">
        <f>IF('PROPYLENE-A12'!L27=0,"    -",ROUND('PROPYLENE-A12'!L56/'PROPYLENE-A12'!L27*100,1))</f>
        <v>74.599999999999994</v>
      </c>
      <c r="M63" s="75">
        <f>IF('PROPYLENE-A12'!M27=0,"    -",ROUND('PROPYLENE-A12'!M56/'PROPYLENE-A12'!M27*100,1))</f>
        <v>78.3</v>
      </c>
      <c r="N63" s="75">
        <f>IF('PROPYLENE-A12'!N27=0,"    -",ROUND('PROPYLENE-A12'!N56/'PROPYLENE-A12'!N27*100,1))</f>
        <v>79.400000000000006</v>
      </c>
      <c r="O63" s="75">
        <f>IF('PROPYLENE-A12'!O27=0,"    -",ROUND('PROPYLENE-A12'!O56/'PROPYLENE-A12'!O27*100,1))</f>
        <v>85.6</v>
      </c>
      <c r="P63" s="75">
        <f>IF('PROPYLENE-A12'!P27=0,"    -",ROUND('PROPYLENE-A12'!P56/'PROPYLENE-A12'!P27*100,1))</f>
        <v>79.2</v>
      </c>
      <c r="Q63" s="78">
        <f>IF('PROPYLENE-A12'!Q27=0,"    -",ROUND('PROPYLENE-A12'!Q56/'PROPYLENE-A12'!Q27*100,1))</f>
        <v>87</v>
      </c>
    </row>
    <row r="64" spans="2:17" ht="16.5" customHeight="1">
      <c r="B64" s="672" t="s">
        <v>316</v>
      </c>
      <c r="C64" s="673"/>
      <c r="D64" s="57">
        <f>IF('PROPYLENE-A12'!D28=0,"    -",ROUND('PROPYLENE-A12'!D57/'PROPYLENE-A12'!D28*100,1))</f>
        <v>94</v>
      </c>
      <c r="E64" s="58">
        <f>IF('PROPYLENE-A12'!E28=0,"    -",ROUND('PROPYLENE-A12'!E57/'PROPYLENE-A12'!E28*100,1))</f>
        <v>79.099999999999994</v>
      </c>
      <c r="F64" s="58">
        <f>IF('PROPYLENE-A12'!F28=0,"    -",ROUND('PROPYLENE-A12'!F57/'PROPYLENE-A12'!F28*100,1))</f>
        <v>75.099999999999994</v>
      </c>
      <c r="G64" s="58">
        <f>IF('PROPYLENE-A12'!G28=0,"    -",ROUND('PROPYLENE-A12'!G57/'PROPYLENE-A12'!G28*100,1))</f>
        <v>74.5</v>
      </c>
      <c r="H64" s="58">
        <f>IF('PROPYLENE-A12'!H28=0,"    -",ROUND('PROPYLENE-A12'!H57/'PROPYLENE-A12'!H28*100,1))</f>
        <v>76.599999999999994</v>
      </c>
      <c r="I64" s="58">
        <f>IF('PROPYLENE-A12'!I28=0,"    -",ROUND('PROPYLENE-A12'!I57/'PROPYLENE-A12'!I28*100,1))</f>
        <v>75.599999999999994</v>
      </c>
      <c r="J64" s="58">
        <f>IF('PROPYLENE-A12'!J28=0,"    -",ROUND('PROPYLENE-A12'!J57/'PROPYLENE-A12'!J28*100,1))</f>
        <v>74.599999999999994</v>
      </c>
      <c r="K64" s="59">
        <f>IF('PROPYLENE-A12'!K28=0,"    -",ROUND('PROPYLENE-A12'!K57/'PROPYLENE-A12'!K28*100,1))</f>
        <v>75</v>
      </c>
      <c r="L64" s="60">
        <f>IF('PROPYLENE-A12'!L28=0,"    -",ROUND('PROPYLENE-A12'!L57/'PROPYLENE-A12'!L28*100,1))</f>
        <v>75</v>
      </c>
      <c r="M64" s="58">
        <f>IF('PROPYLENE-A12'!M28=0,"    -",ROUND('PROPYLENE-A12'!M57/'PROPYLENE-A12'!M28*100,1))</f>
        <v>75</v>
      </c>
      <c r="N64" s="58">
        <f>IF('PROPYLENE-A12'!N28=0,"    -",ROUND('PROPYLENE-A12'!N57/'PROPYLENE-A12'!N28*100,1))</f>
        <v>75</v>
      </c>
      <c r="O64" s="58">
        <f>IF('PROPYLENE-A12'!O28=0,"    -",ROUND('PROPYLENE-A12'!O57/'PROPYLENE-A12'!O28*100,1))</f>
        <v>75</v>
      </c>
      <c r="P64" s="58">
        <f>IF('PROPYLENE-A12'!P28=0,"    -",ROUND('PROPYLENE-A12'!P57/'PROPYLENE-A12'!P28*100,1))</f>
        <v>75</v>
      </c>
      <c r="Q64" s="61">
        <f>IF('PROPYLENE-A12'!Q28=0,"    -",ROUND('PROPYLENE-A12'!Q57/'PROPYLENE-A12'!Q28*100,1))</f>
        <v>75</v>
      </c>
    </row>
    <row r="65" spans="2:17" ht="16.5" customHeight="1">
      <c r="B65" s="670" t="s">
        <v>317</v>
      </c>
      <c r="C65" s="671"/>
      <c r="D65" s="57">
        <f>IF('PROPYLENE-A12'!D29=0,"    -",ROUND('PROPYLENE-A12'!D58/'PROPYLENE-A12'!D29*100,1))</f>
        <v>80.099999999999994</v>
      </c>
      <c r="E65" s="58">
        <f>IF('PROPYLENE-A12'!E29=0,"    -",ROUND('PROPYLENE-A12'!E58/'PROPYLENE-A12'!E29*100,1))</f>
        <v>80.099999999999994</v>
      </c>
      <c r="F65" s="58">
        <f>IF('PROPYLENE-A12'!F29=0,"    -",ROUND('PROPYLENE-A12'!F58/'PROPYLENE-A12'!F29*100,1))</f>
        <v>80.099999999999994</v>
      </c>
      <c r="G65" s="58">
        <f>IF('PROPYLENE-A12'!G29=0,"    -",ROUND('PROPYLENE-A12'!G58/'PROPYLENE-A12'!G29*100,1))</f>
        <v>80.099999999999994</v>
      </c>
      <c r="H65" s="58">
        <f>IF('PROPYLENE-A12'!H29=0,"    -",ROUND('PROPYLENE-A12'!H58/'PROPYLENE-A12'!H29*100,1))</f>
        <v>80.099999999999994</v>
      </c>
      <c r="I65" s="58">
        <f>IF('PROPYLENE-A12'!I29=0,"    -",ROUND('PROPYLENE-A12'!I58/'PROPYLENE-A12'!I29*100,1))</f>
        <v>80.099999999999994</v>
      </c>
      <c r="J65" s="58">
        <f>IF('PROPYLENE-A12'!J29=0,"    -",ROUND('PROPYLENE-A12'!J58/'PROPYLENE-A12'!J29*100,1))</f>
        <v>80.099999999999994</v>
      </c>
      <c r="K65" s="59">
        <f>IF('PROPYLENE-A12'!K29=0,"    -",ROUND('PROPYLENE-A12'!K58/'PROPYLENE-A12'!K29*100,1))</f>
        <v>74.099999999999994</v>
      </c>
      <c r="L65" s="60">
        <f>IF('PROPYLENE-A12'!L29=0,"    -",ROUND('PROPYLENE-A12'!L58/'PROPYLENE-A12'!L29*100,1))</f>
        <v>74.099999999999994</v>
      </c>
      <c r="M65" s="58">
        <f>IF('PROPYLENE-A12'!M29=0,"    -",ROUND('PROPYLENE-A12'!M58/'PROPYLENE-A12'!M29*100,1))</f>
        <v>74.099999999999994</v>
      </c>
      <c r="N65" s="58">
        <f>IF('PROPYLENE-A12'!N29=0,"    -",ROUND('PROPYLENE-A12'!N58/'PROPYLENE-A12'!N29*100,1))</f>
        <v>74.099999999999994</v>
      </c>
      <c r="O65" s="58">
        <f>IF('PROPYLENE-A12'!O29=0,"    -",ROUND('PROPYLENE-A12'!O58/'PROPYLENE-A12'!O29*100,1))</f>
        <v>76.400000000000006</v>
      </c>
      <c r="P65" s="58">
        <f>IF('PROPYLENE-A12'!P29=0,"    -",ROUND('PROPYLENE-A12'!P58/'PROPYLENE-A12'!P29*100,1))</f>
        <v>80</v>
      </c>
      <c r="Q65" s="61">
        <f>IF('PROPYLENE-A12'!Q29=0,"    -",ROUND('PROPYLENE-A12'!Q58/'PROPYLENE-A12'!Q29*100,1))</f>
        <v>80</v>
      </c>
    </row>
    <row r="66" spans="2:17" ht="17.25" customHeight="1">
      <c r="B66" s="674" t="s">
        <v>318</v>
      </c>
      <c r="C66" s="675"/>
      <c r="D66" s="74">
        <f>IF('PROPYLENE-A12'!D30=0,"    -",ROUND('PROPYLENE-A12'!D59/'PROPYLENE-A12'!D30*100,1))</f>
        <v>93.4</v>
      </c>
      <c r="E66" s="75">
        <f>IF('PROPYLENE-A12'!E30=0,"    -",ROUND('PROPYLENE-A12'!E59/'PROPYLENE-A12'!E30*100,1))</f>
        <v>79.099999999999994</v>
      </c>
      <c r="F66" s="75">
        <f>IF('PROPYLENE-A12'!F30=0,"    -",ROUND('PROPYLENE-A12'!F59/'PROPYLENE-A12'!F30*100,1))</f>
        <v>75.3</v>
      </c>
      <c r="G66" s="75">
        <f>IF('PROPYLENE-A12'!G30=0,"    -",ROUND('PROPYLENE-A12'!G59/'PROPYLENE-A12'!G30*100,1))</f>
        <v>74.8</v>
      </c>
      <c r="H66" s="75">
        <f>IF('PROPYLENE-A12'!H30=0,"    -",ROUND('PROPYLENE-A12'!H59/'PROPYLENE-A12'!H30*100,1))</f>
        <v>76.7</v>
      </c>
      <c r="I66" s="75">
        <f>IF('PROPYLENE-A12'!I30=0,"    -",ROUND('PROPYLENE-A12'!I59/'PROPYLENE-A12'!I30*100,1))</f>
        <v>75.8</v>
      </c>
      <c r="J66" s="75">
        <f>IF('PROPYLENE-A12'!J30=0,"    -",ROUND('PROPYLENE-A12'!J59/'PROPYLENE-A12'!J30*100,1))</f>
        <v>74.8</v>
      </c>
      <c r="K66" s="76">
        <f>IF('PROPYLENE-A12'!K30=0,"    -",ROUND('PROPYLENE-A12'!K59/'PROPYLENE-A12'!K30*100,1))</f>
        <v>75</v>
      </c>
      <c r="L66" s="77">
        <f>IF('PROPYLENE-A12'!L30=0,"    -",ROUND('PROPYLENE-A12'!L59/'PROPYLENE-A12'!L30*100,1))</f>
        <v>75</v>
      </c>
      <c r="M66" s="75">
        <f>IF('PROPYLENE-A12'!M30=0,"    -",ROUND('PROPYLENE-A12'!M59/'PROPYLENE-A12'!M30*100,1))</f>
        <v>75</v>
      </c>
      <c r="N66" s="75">
        <f>IF('PROPYLENE-A12'!N30=0,"    -",ROUND('PROPYLENE-A12'!N59/'PROPYLENE-A12'!N30*100,1))</f>
        <v>75</v>
      </c>
      <c r="O66" s="75">
        <f>IF('PROPYLENE-A12'!O30=0,"    -",ROUND('PROPYLENE-A12'!O59/'PROPYLENE-A12'!O30*100,1))</f>
        <v>75.099999999999994</v>
      </c>
      <c r="P66" s="75">
        <f>IF('PROPYLENE-A12'!P30=0,"    -",ROUND('PROPYLENE-A12'!P59/'PROPYLENE-A12'!P30*100,1))</f>
        <v>75.400000000000006</v>
      </c>
      <c r="Q66" s="78">
        <f>IF('PROPYLENE-A12'!Q30=0,"    -",ROUND('PROPYLENE-A12'!Q59/'PROPYLENE-A12'!Q30*100,1))</f>
        <v>75.400000000000006</v>
      </c>
    </row>
    <row r="67" spans="2:17" ht="16.5" customHeight="1">
      <c r="B67" s="672" t="s">
        <v>319</v>
      </c>
      <c r="C67" s="673"/>
      <c r="D67" s="57">
        <f>IF('PROPYLENE-A12'!D31=0,"    -",ROUND('PROPYLENE-A12'!D60/'PROPYLENE-A12'!D31*100,1))</f>
        <v>60</v>
      </c>
      <c r="E67" s="58">
        <f>IF('PROPYLENE-A12'!E31=0,"    -",ROUND('PROPYLENE-A12'!E60/'PROPYLENE-A12'!E31*100,1))</f>
        <v>42.9</v>
      </c>
      <c r="F67" s="58">
        <f>IF('PROPYLENE-A12'!F31=0,"    -",ROUND('PROPYLENE-A12'!F60/'PROPYLENE-A12'!F31*100,1))</f>
        <v>42.5</v>
      </c>
      <c r="G67" s="58">
        <f>IF('PROPYLENE-A12'!G31=0,"    -",ROUND('PROPYLENE-A12'!G60/'PROPYLENE-A12'!G31*100,1))</f>
        <v>42.5</v>
      </c>
      <c r="H67" s="58">
        <f>IF('PROPYLENE-A12'!H31=0,"    -",ROUND('PROPYLENE-A12'!H60/'PROPYLENE-A12'!H31*100,1))</f>
        <v>42.5</v>
      </c>
      <c r="I67" s="58">
        <f>IF('PROPYLENE-A12'!I31=0,"    -",ROUND('PROPYLENE-A12'!I60/'PROPYLENE-A12'!I31*100,1))</f>
        <v>42.5</v>
      </c>
      <c r="J67" s="58">
        <f>IF('PROPYLENE-A12'!J31=0,"    -",ROUND('PROPYLENE-A12'!J60/'PROPYLENE-A12'!J31*100,1))</f>
        <v>41.6</v>
      </c>
      <c r="K67" s="59">
        <f>IF('PROPYLENE-A12'!K31=0,"    -",ROUND('PROPYLENE-A12'!K60/'PROPYLENE-A12'!K31*100,1))</f>
        <v>41.6</v>
      </c>
      <c r="L67" s="60">
        <f>IF('PROPYLENE-A12'!L31=0,"    -",ROUND('PROPYLENE-A12'!L60/'PROPYLENE-A12'!L31*100,1))</f>
        <v>41.6</v>
      </c>
      <c r="M67" s="58">
        <f>IF('PROPYLENE-A12'!M31=0,"    -",ROUND('PROPYLENE-A12'!M60/'PROPYLENE-A12'!M31*100,1))</f>
        <v>41.6</v>
      </c>
      <c r="N67" s="58">
        <f>IF('PROPYLENE-A12'!N31=0,"    -",ROUND('PROPYLENE-A12'!N60/'PROPYLENE-A12'!N31*100,1))</f>
        <v>41.6</v>
      </c>
      <c r="O67" s="58">
        <f>IF('PROPYLENE-A12'!O31=0,"    -",ROUND('PROPYLENE-A12'!O60/'PROPYLENE-A12'!O31*100,1))</f>
        <v>41.6</v>
      </c>
      <c r="P67" s="58">
        <f>IF('PROPYLENE-A12'!P31=0,"    -",ROUND('PROPYLENE-A12'!P60/'PROPYLENE-A12'!P31*100,1))</f>
        <v>41.6</v>
      </c>
      <c r="Q67" s="61">
        <f>IF('PROPYLENE-A12'!Q31=0,"    -",ROUND('PROPYLENE-A12'!Q60/'PROPYLENE-A12'!Q31*100,1))</f>
        <v>41.6</v>
      </c>
    </row>
    <row r="68" spans="2:17" ht="16.5" customHeight="1">
      <c r="B68" s="668" t="s">
        <v>320</v>
      </c>
      <c r="C68" s="669"/>
      <c r="D68" s="57">
        <f>IF('PROPYLENE-A12'!D32=0,"    -",ROUND('PROPYLENE-A12'!D61/'PROPYLENE-A12'!D32*100,1))</f>
        <v>80.599999999999994</v>
      </c>
      <c r="E68" s="58">
        <f>IF('PROPYLENE-A12'!E32=0,"    -",ROUND('PROPYLENE-A12'!E61/'PROPYLENE-A12'!E32*100,1))</f>
        <v>80</v>
      </c>
      <c r="F68" s="58">
        <f>IF('PROPYLENE-A12'!F32=0,"    -",ROUND('PROPYLENE-A12'!F61/'PROPYLENE-A12'!F32*100,1))</f>
        <v>77</v>
      </c>
      <c r="G68" s="58">
        <f>IF('PROPYLENE-A12'!G32=0,"    -",ROUND('PROPYLENE-A12'!G61/'PROPYLENE-A12'!G32*100,1))</f>
        <v>85.4</v>
      </c>
      <c r="H68" s="58">
        <f>IF('PROPYLENE-A12'!H32=0,"    -",ROUND('PROPYLENE-A12'!H61/'PROPYLENE-A12'!H32*100,1))</f>
        <v>83</v>
      </c>
      <c r="I68" s="58">
        <f>IF('PROPYLENE-A12'!I32=0,"    -",ROUND('PROPYLENE-A12'!I61/'PROPYLENE-A12'!I32*100,1))</f>
        <v>83</v>
      </c>
      <c r="J68" s="58">
        <f>IF('PROPYLENE-A12'!J32=0,"    -",ROUND('PROPYLENE-A12'!J61/'PROPYLENE-A12'!J32*100,1))</f>
        <v>83</v>
      </c>
      <c r="K68" s="59">
        <f>IF('PROPYLENE-A12'!K32=0,"    -",ROUND('PROPYLENE-A12'!K61/'PROPYLENE-A12'!K32*100,1))</f>
        <v>80</v>
      </c>
      <c r="L68" s="60">
        <f>IF('PROPYLENE-A12'!L32=0,"    -",ROUND('PROPYLENE-A12'!L61/'PROPYLENE-A12'!L32*100,1))</f>
        <v>80</v>
      </c>
      <c r="M68" s="58">
        <f>IF('PROPYLENE-A12'!M32=0,"    -",ROUND('PROPYLENE-A12'!M61/'PROPYLENE-A12'!M32*100,1))</f>
        <v>80</v>
      </c>
      <c r="N68" s="58">
        <f>IF('PROPYLENE-A12'!N32=0,"    -",ROUND('PROPYLENE-A12'!N61/'PROPYLENE-A12'!N32*100,1))</f>
        <v>80</v>
      </c>
      <c r="O68" s="58">
        <f>IF('PROPYLENE-A12'!O32=0,"    -",ROUND('PROPYLENE-A12'!O61/'PROPYLENE-A12'!O32*100,1))</f>
        <v>80</v>
      </c>
      <c r="P68" s="58">
        <f>IF('PROPYLENE-A12'!P32=0,"    -",ROUND('PROPYLENE-A12'!P61/'PROPYLENE-A12'!P32*100,1))</f>
        <v>80</v>
      </c>
      <c r="Q68" s="61">
        <f>IF('PROPYLENE-A12'!Q32=0,"    -",ROUND('PROPYLENE-A12'!Q61/'PROPYLENE-A12'!Q32*100,1))</f>
        <v>80</v>
      </c>
    </row>
    <row r="69" spans="2:17" ht="16.5" customHeight="1">
      <c r="B69" s="670" t="s">
        <v>321</v>
      </c>
      <c r="C69" s="671"/>
      <c r="D69" s="57">
        <f>IF('PROPYLENE-A12'!D33=0,"    -",ROUND('PROPYLENE-A12'!D62/'PROPYLENE-A12'!D33*100,1))</f>
        <v>70.900000000000006</v>
      </c>
      <c r="E69" s="58">
        <f>IF('PROPYLENE-A12'!E33=0,"    -",ROUND('PROPYLENE-A12'!E62/'PROPYLENE-A12'!E33*100,1))</f>
        <v>86.5</v>
      </c>
      <c r="F69" s="58">
        <f>IF('PROPYLENE-A12'!F33=0,"    -",ROUND('PROPYLENE-A12'!F62/'PROPYLENE-A12'!F33*100,1))</f>
        <v>86.5</v>
      </c>
      <c r="G69" s="58">
        <f>IF('PROPYLENE-A12'!G33=0,"    -",ROUND('PROPYLENE-A12'!G62/'PROPYLENE-A12'!G33*100,1))</f>
        <v>87.4</v>
      </c>
      <c r="H69" s="58">
        <f>IF('PROPYLENE-A12'!H33=0,"    -",ROUND('PROPYLENE-A12'!H62/'PROPYLENE-A12'!H33*100,1))</f>
        <v>87.4</v>
      </c>
      <c r="I69" s="58">
        <f>IF('PROPYLENE-A12'!I33=0,"    -",ROUND('PROPYLENE-A12'!I62/'PROPYLENE-A12'!I33*100,1))</f>
        <v>87.4</v>
      </c>
      <c r="J69" s="58">
        <f>IF('PROPYLENE-A12'!J33=0,"    -",ROUND('PROPYLENE-A12'!J62/'PROPYLENE-A12'!J33*100,1))</f>
        <v>87.4</v>
      </c>
      <c r="K69" s="59">
        <f>IF('PROPYLENE-A12'!K33=0,"    -",ROUND('PROPYLENE-A12'!K62/'PROPYLENE-A12'!K33*100,1))</f>
        <v>87</v>
      </c>
      <c r="L69" s="60">
        <f>IF('PROPYLENE-A12'!L33=0,"    -",ROUND('PROPYLENE-A12'!L62/'PROPYLENE-A12'!L33*100,1))</f>
        <v>87</v>
      </c>
      <c r="M69" s="58">
        <f>IF('PROPYLENE-A12'!M33=0,"    -",ROUND('PROPYLENE-A12'!M62/'PROPYLENE-A12'!M33*100,1))</f>
        <v>87</v>
      </c>
      <c r="N69" s="58">
        <f>IF('PROPYLENE-A12'!N33=0,"    -",ROUND('PROPYLENE-A12'!N62/'PROPYLENE-A12'!N33*100,1))</f>
        <v>87</v>
      </c>
      <c r="O69" s="58">
        <f>IF('PROPYLENE-A12'!O33=0,"    -",ROUND('PROPYLENE-A12'!O62/'PROPYLENE-A12'!O33*100,1))</f>
        <v>87</v>
      </c>
      <c r="P69" s="58">
        <f>IF('PROPYLENE-A12'!P33=0,"    -",ROUND('PROPYLENE-A12'!P62/'PROPYLENE-A12'!P33*100,1))</f>
        <v>87</v>
      </c>
      <c r="Q69" s="61">
        <f>IF('PROPYLENE-A12'!Q33=0,"    -",ROUND('PROPYLENE-A12'!Q62/'PROPYLENE-A12'!Q33*100,1))</f>
        <v>87</v>
      </c>
    </row>
    <row r="70" spans="2:17" ht="17.25" customHeight="1" thickBot="1">
      <c r="B70" s="678" t="s">
        <v>322</v>
      </c>
      <c r="C70" s="679"/>
      <c r="D70" s="111">
        <f>IF('PROPYLENE-A12'!D34=0,"    -",ROUND('PROPYLENE-A12'!D63/'PROPYLENE-A12'!D34*100,1))</f>
        <v>73.2</v>
      </c>
      <c r="E70" s="112">
        <f>IF('PROPYLENE-A12'!E34=0,"    -",ROUND('PROPYLENE-A12'!E63/'PROPYLENE-A12'!E34*100,1))</f>
        <v>71.5</v>
      </c>
      <c r="F70" s="112">
        <f>IF('PROPYLENE-A12'!F34=0,"    -",ROUND('PROPYLENE-A12'!F63/'PROPYLENE-A12'!F34*100,1))</f>
        <v>69.7</v>
      </c>
      <c r="G70" s="112">
        <f>IF('PROPYLENE-A12'!G34=0,"    -",ROUND('PROPYLENE-A12'!G63/'PROPYLENE-A12'!G34*100,1))</f>
        <v>74.3</v>
      </c>
      <c r="H70" s="112">
        <f>IF('PROPYLENE-A12'!H34=0,"    -",ROUND('PROPYLENE-A12'!H63/'PROPYLENE-A12'!H34*100,1))</f>
        <v>73.099999999999994</v>
      </c>
      <c r="I70" s="112">
        <f>IF('PROPYLENE-A12'!I34=0,"    -",ROUND('PROPYLENE-A12'!I63/'PROPYLENE-A12'!I34*100,1))</f>
        <v>73.099999999999994</v>
      </c>
      <c r="J70" s="112">
        <f>IF('PROPYLENE-A12'!J34=0,"    -",ROUND('PROPYLENE-A12'!J63/'PROPYLENE-A12'!J34*100,1))</f>
        <v>72.599999999999994</v>
      </c>
      <c r="K70" s="113">
        <f>IF('PROPYLENE-A12'!K34=0,"    -",ROUND('PROPYLENE-A12'!K63/'PROPYLENE-A12'!K34*100,1))</f>
        <v>71.400000000000006</v>
      </c>
      <c r="L70" s="114">
        <f>IF('PROPYLENE-A12'!L34=0,"    -",ROUND('PROPYLENE-A12'!L63/'PROPYLENE-A12'!L34*100,1))</f>
        <v>71.400000000000006</v>
      </c>
      <c r="M70" s="112">
        <f>IF('PROPYLENE-A12'!M34=0,"    -",ROUND('PROPYLENE-A12'!M63/'PROPYLENE-A12'!M34*100,1))</f>
        <v>71.400000000000006</v>
      </c>
      <c r="N70" s="112">
        <f>IF('PROPYLENE-A12'!N34=0,"    -",ROUND('PROPYLENE-A12'!N63/'PROPYLENE-A12'!N34*100,1))</f>
        <v>71.400000000000006</v>
      </c>
      <c r="O70" s="112">
        <f>IF('PROPYLENE-A12'!O34=0,"    -",ROUND('PROPYLENE-A12'!O63/'PROPYLENE-A12'!O34*100,1))</f>
        <v>71.400000000000006</v>
      </c>
      <c r="P70" s="112">
        <f>IF('PROPYLENE-A12'!P34=0,"    -",ROUND('PROPYLENE-A12'!P63/'PROPYLENE-A12'!P34*100,1))</f>
        <v>71.400000000000006</v>
      </c>
      <c r="Q70" s="115">
        <f>IF('PROPYLENE-A12'!Q34=0,"    -",ROUND('PROPYLENE-A12'!Q63/'PROPYLENE-A12'!Q34*100,1))</f>
        <v>71.400000000000006</v>
      </c>
    </row>
    <row r="71" spans="2:17" ht="18" customHeight="1" thickTop="1" thickBot="1">
      <c r="B71" s="21"/>
      <c r="C71" s="619" t="s">
        <v>337</v>
      </c>
      <c r="D71" s="122">
        <f>IF('PROPYLENE-A12'!D35=0,"    -",ROUND('PROPYLENE-A12'!D64/'PROPYLENE-A12'!D35*100,1))</f>
        <v>84.5</v>
      </c>
      <c r="E71" s="123">
        <f>IF('PROPYLENE-A12'!E35=0,"    -",ROUND('PROPYLENE-A12'!E64/'PROPYLENE-A12'!E35*100,1))</f>
        <v>82.5</v>
      </c>
      <c r="F71" s="123">
        <f>IF('PROPYLENE-A12'!F35=0,"    -",ROUND('PROPYLENE-A12'!F64/'PROPYLENE-A12'!F35*100,1))</f>
        <v>79.599999999999994</v>
      </c>
      <c r="G71" s="123">
        <f>IF('PROPYLENE-A12'!G35=0,"    -",ROUND('PROPYLENE-A12'!G64/'PROPYLENE-A12'!G35*100,1))</f>
        <v>82.1</v>
      </c>
      <c r="H71" s="123">
        <f>IF('PROPYLENE-A12'!H35=0,"    -",ROUND('PROPYLENE-A12'!H64/'PROPYLENE-A12'!H35*100,1))</f>
        <v>79.2</v>
      </c>
      <c r="I71" s="123">
        <f>IF('PROPYLENE-A12'!I35=0,"    -",ROUND('PROPYLENE-A12'!I64/'PROPYLENE-A12'!I35*100,1))</f>
        <v>79.599999999999994</v>
      </c>
      <c r="J71" s="123">
        <f>IF('PROPYLENE-A12'!J35=0,"    -",ROUND('PROPYLENE-A12'!J64/'PROPYLENE-A12'!J35*100,1))</f>
        <v>83.1</v>
      </c>
      <c r="K71" s="124">
        <f>IF('PROPYLENE-A12'!K35=0,"    -",ROUND('PROPYLENE-A12'!K64/'PROPYLENE-A12'!K35*100,1))</f>
        <v>83.2</v>
      </c>
      <c r="L71" s="125">
        <f>IF('PROPYLENE-A12'!L35=0,"    -",ROUND('PROPYLENE-A12'!L64/'PROPYLENE-A12'!L35*100,1))</f>
        <v>82.5</v>
      </c>
      <c r="M71" s="123">
        <f>IF('PROPYLENE-A12'!M35=0,"    -",ROUND('PROPYLENE-A12'!M64/'PROPYLENE-A12'!M35*100,1))</f>
        <v>82.2</v>
      </c>
      <c r="N71" s="123">
        <f>IF('PROPYLENE-A12'!N35=0,"    -",ROUND('PROPYLENE-A12'!N64/'PROPYLENE-A12'!N35*100,1))</f>
        <v>82.8</v>
      </c>
      <c r="O71" s="123">
        <f>IF('PROPYLENE-A12'!O35=0,"    -",ROUND('PROPYLENE-A12'!O64/'PROPYLENE-A12'!O35*100,1))</f>
        <v>83.8</v>
      </c>
      <c r="P71" s="123">
        <f>IF('PROPYLENE-A12'!P35=0,"    -",ROUND('PROPYLENE-A12'!P64/'PROPYLENE-A12'!P35*100,1))</f>
        <v>83.6</v>
      </c>
      <c r="Q71" s="126">
        <f>IF('PROPYLENE-A12'!Q35=0,"    -",ROUND('PROPYLENE-A12'!Q64/'PROPYLENE-A12'!Q35*100,1))</f>
        <v>83.9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61" priority="5">
      <formula>CELL("protect",C75)=0</formula>
    </cfRule>
    <cfRule type="expression" dxfId="160" priority="6">
      <formula>CELL("protect",C75)=0</formula>
    </cfRule>
  </conditionalFormatting>
  <conditionalFormatting sqref="C73">
    <cfRule type="expression" dxfId="159" priority="3">
      <formula>CELL("protect",C73)=0</formula>
    </cfRule>
    <cfRule type="expression" dxfId="158" priority="4">
      <formula>CELL("protect",C73)=0</formula>
    </cfRule>
  </conditionalFormatting>
  <conditionalFormatting sqref="C75">
    <cfRule type="expression" dxfId="157" priority="1">
      <formula>CELL("protect",C75)=0</formula>
    </cfRule>
    <cfRule type="expression" dxfId="156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&amp;C174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12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'PP-A13'!D36-'PP-A13'!D65</f>
        <v>2396</v>
      </c>
      <c r="E7" s="240">
        <f>'PP-A13'!E36-'PP-A13'!E65</f>
        <v>2196</v>
      </c>
      <c r="F7" s="240">
        <f>'PP-A13'!F36-'PP-A13'!F65</f>
        <v>2329</v>
      </c>
      <c r="G7" s="240">
        <f>'PP-A13'!G36-'PP-A13'!G65</f>
        <v>2483</v>
      </c>
      <c r="H7" s="240">
        <f>'PP-A13'!H36-'PP-A13'!H65</f>
        <v>2521</v>
      </c>
      <c r="I7" s="240">
        <f>'PP-A13'!I36-'PP-A13'!I65</f>
        <v>2489</v>
      </c>
      <c r="J7" s="240">
        <f>'PP-A13'!J36-'PP-A13'!J65</f>
        <v>2517</v>
      </c>
      <c r="K7" s="241">
        <f>'PP-A13'!K36-'PP-A13'!K65</f>
        <v>2749</v>
      </c>
      <c r="L7" s="242">
        <f>'PP-A13'!L36-'PP-A13'!L65</f>
        <v>3070</v>
      </c>
      <c r="M7" s="240">
        <f>'PP-A13'!M36-'PP-A13'!M65</f>
        <v>3050</v>
      </c>
      <c r="N7" s="240">
        <f>'PP-A13'!N36-'PP-A13'!N65</f>
        <v>3410</v>
      </c>
      <c r="O7" s="240">
        <f>'PP-A13'!O36-'PP-A13'!O65</f>
        <v>4130</v>
      </c>
      <c r="P7" s="240">
        <f>'PP-A13'!P36-'PP-A13'!P65</f>
        <v>4110</v>
      </c>
      <c r="Q7" s="243">
        <f>'PP-A13'!Q36-'PP-A13'!Q65</f>
        <v>4300</v>
      </c>
    </row>
    <row r="8" spans="2:19" ht="16.5" customHeight="1">
      <c r="B8" s="605" t="s">
        <v>434</v>
      </c>
      <c r="C8" s="606"/>
      <c r="D8" s="239">
        <f>'PP-A13'!D37-'PP-A13'!D66</f>
        <v>667</v>
      </c>
      <c r="E8" s="240">
        <f>'PP-A13'!E37-'PP-A13'!E66</f>
        <v>526</v>
      </c>
      <c r="F8" s="240">
        <f>'PP-A13'!F37-'PP-A13'!F66</f>
        <v>440</v>
      </c>
      <c r="G8" s="240">
        <f>'PP-A13'!G37-'PP-A13'!G66</f>
        <v>636</v>
      </c>
      <c r="H8" s="240">
        <f>'PP-A13'!H37-'PP-A13'!H66</f>
        <v>472</v>
      </c>
      <c r="I8" s="240">
        <f>'PP-A13'!I37-'PP-A13'!I66</f>
        <v>490</v>
      </c>
      <c r="J8" s="240">
        <f>'PP-A13'!J37-'PP-A13'!J66</f>
        <v>594</v>
      </c>
      <c r="K8" s="241">
        <f>'PP-A13'!K37-'PP-A13'!K66</f>
        <v>760</v>
      </c>
      <c r="L8" s="242">
        <f>'PP-A13'!L37-'PP-A13'!L66</f>
        <v>750</v>
      </c>
      <c r="M8" s="240">
        <f>'PP-A13'!M37-'PP-A13'!M66</f>
        <v>730</v>
      </c>
      <c r="N8" s="240">
        <f>'PP-A13'!N37-'PP-A13'!N66</f>
        <v>730</v>
      </c>
      <c r="O8" s="240">
        <f>'PP-A13'!O37-'PP-A13'!O66</f>
        <v>770</v>
      </c>
      <c r="P8" s="240">
        <f>'PP-A13'!P37-'PP-A13'!P66</f>
        <v>770</v>
      </c>
      <c r="Q8" s="243">
        <f>'PP-A13'!Q37-'PP-A13'!Q66</f>
        <v>760</v>
      </c>
    </row>
    <row r="9" spans="2:19" ht="16.5" customHeight="1">
      <c r="B9" s="605" t="s">
        <v>435</v>
      </c>
      <c r="C9" s="606"/>
      <c r="D9" s="239">
        <f>'PP-A13'!D38-'PP-A13'!D67</f>
        <v>913</v>
      </c>
      <c r="E9" s="240">
        <f>'PP-A13'!E38-'PP-A13'!E67</f>
        <v>927.05399999999986</v>
      </c>
      <c r="F9" s="240">
        <f>'PP-A13'!F38-'PP-A13'!F67</f>
        <v>1097.2264519999999</v>
      </c>
      <c r="G9" s="240">
        <f>'PP-A13'!G38-'PP-A13'!G67</f>
        <v>1317.7565571759999</v>
      </c>
      <c r="H9" s="240">
        <f>'PP-A13'!H38-'PP-A13'!H67</f>
        <v>1351.1739999999998</v>
      </c>
      <c r="I9" s="240">
        <f>'PP-A13'!I38-'PP-A13'!I67</f>
        <v>1552.1820000000005</v>
      </c>
      <c r="J9" s="240">
        <f>'PP-A13'!J38-'PP-A13'!J67</f>
        <v>1421</v>
      </c>
      <c r="K9" s="241">
        <f>'PP-A13'!K38-'PP-A13'!K67</f>
        <v>1426</v>
      </c>
      <c r="L9" s="242">
        <f>'PP-A13'!L38-'PP-A13'!L67</f>
        <v>1395</v>
      </c>
      <c r="M9" s="240">
        <f>'PP-A13'!M38-'PP-A13'!M67</f>
        <v>1470</v>
      </c>
      <c r="N9" s="240">
        <f>'PP-A13'!N38-'PP-A13'!N67</f>
        <v>1469</v>
      </c>
      <c r="O9" s="240">
        <f>'PP-A13'!O38-'PP-A13'!O67</f>
        <v>1445</v>
      </c>
      <c r="P9" s="240">
        <f>'PP-A13'!P38-'PP-A13'!P67</f>
        <v>1421</v>
      </c>
      <c r="Q9" s="243">
        <f>'PP-A13'!Q38-'PP-A13'!Q67</f>
        <v>1391</v>
      </c>
    </row>
    <row r="10" spans="2:19" ht="16.5" customHeight="1">
      <c r="B10" s="605" t="s">
        <v>436</v>
      </c>
      <c r="C10" s="606"/>
      <c r="D10" s="239">
        <f>'PP-A13'!D39-'PP-A13'!D68</f>
        <v>-4708</v>
      </c>
      <c r="E10" s="240">
        <f>'PP-A13'!E39-'PP-A13'!E68</f>
        <v>-4657</v>
      </c>
      <c r="F10" s="240">
        <f>'PP-A13'!F39-'PP-A13'!F68</f>
        <v>-4986</v>
      </c>
      <c r="G10" s="240">
        <f>'PP-A13'!G39-'PP-A13'!G68</f>
        <v>-4827</v>
      </c>
      <c r="H10" s="240">
        <f>'PP-A13'!H39-'PP-A13'!H68</f>
        <v>-4869</v>
      </c>
      <c r="I10" s="240">
        <f>'PP-A13'!I39-'PP-A13'!I68</f>
        <v>-4682</v>
      </c>
      <c r="J10" s="240">
        <f>'PP-A13'!J39-'PP-A13'!J68</f>
        <v>-4291</v>
      </c>
      <c r="K10" s="241">
        <f>'PP-A13'!K39-'PP-A13'!K68</f>
        <v>-4404</v>
      </c>
      <c r="L10" s="242">
        <f>'PP-A13'!L39-'PP-A13'!L68</f>
        <v>-3895</v>
      </c>
      <c r="M10" s="240">
        <f>'PP-A13'!M39-'PP-A13'!M68</f>
        <v>-3785</v>
      </c>
      <c r="N10" s="240">
        <f>'PP-A13'!N39-'PP-A13'!N68</f>
        <v>-2815</v>
      </c>
      <c r="O10" s="240">
        <f>'PP-A13'!O39-'PP-A13'!O68</f>
        <v>-2470</v>
      </c>
      <c r="P10" s="240">
        <f>'PP-A13'!P39-'PP-A13'!P68</f>
        <v>-2150</v>
      </c>
      <c r="Q10" s="243">
        <f>'PP-A13'!Q39-'PP-A13'!Q68</f>
        <v>-2100</v>
      </c>
    </row>
    <row r="11" spans="2:19" ht="16.5" customHeight="1">
      <c r="B11" s="605" t="s">
        <v>437</v>
      </c>
      <c r="C11" s="606"/>
      <c r="D11" s="239">
        <f>'PP-A13'!D40-'PP-A13'!D69</f>
        <v>229</v>
      </c>
      <c r="E11" s="240">
        <f>'PP-A13'!E40-'PP-A13'!E69</f>
        <v>507</v>
      </c>
      <c r="F11" s="240">
        <f>'PP-A13'!F40-'PP-A13'!F69</f>
        <v>324</v>
      </c>
      <c r="G11" s="240">
        <f>'PP-A13'!G40-'PP-A13'!G69</f>
        <v>363</v>
      </c>
      <c r="H11" s="240">
        <f>'PP-A13'!H40-'PP-A13'!H69</f>
        <v>394.52</v>
      </c>
      <c r="I11" s="240">
        <f>'PP-A13'!I40-'PP-A13'!I69</f>
        <v>357.77099999999996</v>
      </c>
      <c r="J11" s="240">
        <f>'PP-A13'!J40-'PP-A13'!J69</f>
        <v>301.05700000000002</v>
      </c>
      <c r="K11" s="241">
        <f>'PP-A13'!K40-'PP-A13'!K69</f>
        <v>319.596</v>
      </c>
      <c r="L11" s="242">
        <f>'PP-A13'!L40-'PP-A13'!L69</f>
        <v>593.32266287911489</v>
      </c>
      <c r="M11" s="240">
        <f>'PP-A13'!M40-'PP-A13'!M69</f>
        <v>533.71741766624882</v>
      </c>
      <c r="N11" s="240">
        <f>'PP-A13'!N40-'PP-A13'!N69</f>
        <v>474.53784037813352</v>
      </c>
      <c r="O11" s="240">
        <f>'PP-A13'!O40-'PP-A13'!O69</f>
        <v>474.53784037813352</v>
      </c>
      <c r="P11" s="240">
        <f>'PP-A13'!P40-'PP-A13'!P69</f>
        <v>474.53784037813352</v>
      </c>
      <c r="Q11" s="243">
        <f>'PP-A13'!Q40-'PP-A13'!Q69</f>
        <v>474.53784037813352</v>
      </c>
    </row>
    <row r="12" spans="2:19" ht="16.5" customHeight="1">
      <c r="B12" s="605" t="s">
        <v>438</v>
      </c>
      <c r="C12" s="606"/>
      <c r="D12" s="239">
        <f>'PP-A13'!D41-'PP-A13'!D70</f>
        <v>-398.35464849335841</v>
      </c>
      <c r="E12" s="240">
        <f>'PP-A13'!E41-'PP-A13'!E70</f>
        <v>-626.0528457673621</v>
      </c>
      <c r="F12" s="240">
        <f>'PP-A13'!F41-'PP-A13'!F70</f>
        <v>-582</v>
      </c>
      <c r="G12" s="240">
        <f>'PP-A13'!G41-'PP-A13'!G70</f>
        <v>-616</v>
      </c>
      <c r="H12" s="240">
        <f>'PP-A13'!H41-'PP-A13'!H70</f>
        <v>-369</v>
      </c>
      <c r="I12" s="240">
        <f>'PP-A13'!I41-'PP-A13'!I70</f>
        <v>-386</v>
      </c>
      <c r="J12" s="240">
        <f>'PP-A13'!J41-'PP-A13'!J70</f>
        <v>-459</v>
      </c>
      <c r="K12" s="241">
        <f>'PP-A13'!K41-'PP-A13'!K70</f>
        <v>-700</v>
      </c>
      <c r="L12" s="242">
        <f>'PP-A13'!L41-'PP-A13'!L70</f>
        <v>-618.28</v>
      </c>
      <c r="M12" s="240">
        <f>'PP-A13'!M41-'PP-A13'!M70</f>
        <v>-690</v>
      </c>
      <c r="N12" s="240">
        <f>'PP-A13'!N41-'PP-A13'!N70</f>
        <v>-760</v>
      </c>
      <c r="O12" s="240">
        <f>'PP-A13'!O41-'PP-A13'!O70</f>
        <v>-740</v>
      </c>
      <c r="P12" s="240">
        <f>'PP-A13'!P41-'PP-A13'!P70</f>
        <v>-820</v>
      </c>
      <c r="Q12" s="243">
        <f>'PP-A13'!Q41-'PP-A13'!Q70</f>
        <v>-900</v>
      </c>
    </row>
    <row r="13" spans="2:19" ht="16.5" customHeight="1">
      <c r="B13" s="605" t="s">
        <v>439</v>
      </c>
      <c r="C13" s="606"/>
      <c r="D13" s="239">
        <f>'PP-A13'!D42-'PP-A13'!D71</f>
        <v>290</v>
      </c>
      <c r="E13" s="240">
        <f>'PP-A13'!E42-'PP-A13'!E71</f>
        <v>476</v>
      </c>
      <c r="F13" s="240">
        <f>'PP-A13'!F42-'PP-A13'!F71</f>
        <v>620</v>
      </c>
      <c r="G13" s="240">
        <f>'PP-A13'!G42-'PP-A13'!G71</f>
        <v>398</v>
      </c>
      <c r="H13" s="240">
        <f>'PP-A13'!H42-'PP-A13'!H71</f>
        <v>-170</v>
      </c>
      <c r="I13" s="240">
        <f>'PP-A13'!I42-'PP-A13'!I71</f>
        <v>100</v>
      </c>
      <c r="J13" s="240">
        <f>'PP-A13'!J42-'PP-A13'!J71</f>
        <v>34</v>
      </c>
      <c r="K13" s="241">
        <f>'PP-A13'!K42-'PP-A13'!K71</f>
        <v>100</v>
      </c>
      <c r="L13" s="242">
        <f>'PP-A13'!L42-'PP-A13'!L71</f>
        <v>400</v>
      </c>
      <c r="M13" s="240">
        <f>'PP-A13'!M42-'PP-A13'!M71</f>
        <v>500</v>
      </c>
      <c r="N13" s="240">
        <f>'PP-A13'!N42-'PP-A13'!N71</f>
        <v>500</v>
      </c>
      <c r="O13" s="240">
        <f>'PP-A13'!O42-'PP-A13'!O71</f>
        <v>800</v>
      </c>
      <c r="P13" s="240">
        <f>'PP-A13'!P42-'PP-A13'!P71</f>
        <v>600</v>
      </c>
      <c r="Q13" s="243">
        <f>'PP-A13'!Q42-'PP-A13'!Q71</f>
        <v>600</v>
      </c>
    </row>
    <row r="14" spans="2:19" ht="18" hidden="1" customHeight="1">
      <c r="B14" s="16"/>
      <c r="C14" s="90" t="s">
        <v>306</v>
      </c>
      <c r="D14" s="239">
        <f>'PP-A13'!D43-'PP-A13'!D72</f>
        <v>0</v>
      </c>
      <c r="E14" s="240">
        <f>'PP-A13'!E43-'PP-A13'!E72</f>
        <v>0</v>
      </c>
      <c r="F14" s="240">
        <f>'PP-A13'!F43-'PP-A13'!F72</f>
        <v>0</v>
      </c>
      <c r="G14" s="240">
        <f>'PP-A13'!G43-'PP-A13'!G72</f>
        <v>0</v>
      </c>
      <c r="H14" s="240">
        <f>'PP-A13'!H43-'PP-A13'!H72</f>
        <v>0</v>
      </c>
      <c r="I14" s="240">
        <f>'PP-A13'!I43-'PP-A13'!I72</f>
        <v>0</v>
      </c>
      <c r="J14" s="240">
        <f>'PP-A13'!J43-'PP-A13'!J72</f>
        <v>0</v>
      </c>
      <c r="K14" s="241">
        <f>'PP-A13'!K43-'PP-A13'!K72</f>
        <v>0</v>
      </c>
      <c r="L14" s="242">
        <f>'PP-A13'!L43-'PP-A13'!L72</f>
        <v>0</v>
      </c>
      <c r="M14" s="240">
        <f>'PP-A13'!M43-'PP-A13'!M72</f>
        <v>0</v>
      </c>
      <c r="N14" s="240">
        <f>'PP-A13'!N43-'PP-A13'!N72</f>
        <v>0</v>
      </c>
      <c r="O14" s="240">
        <f>'PP-A13'!O43-'PP-A13'!O72</f>
        <v>0</v>
      </c>
      <c r="P14" s="240">
        <f>'PP-A13'!P43-'PP-A13'!P72</f>
        <v>0</v>
      </c>
      <c r="Q14" s="243">
        <f>'PP-A13'!Q43-'PP-A13'!Q72</f>
        <v>0</v>
      </c>
    </row>
    <row r="15" spans="2:19" ht="16.5" customHeight="1">
      <c r="B15" s="605" t="s">
        <v>440</v>
      </c>
      <c r="C15" s="606"/>
      <c r="D15" s="239">
        <f>'PP-A13'!D44-'PP-A13'!D73</f>
        <v>-107</v>
      </c>
      <c r="E15" s="240">
        <f>'PP-A13'!E44-'PP-A13'!E73</f>
        <v>-98.932000000000002</v>
      </c>
      <c r="F15" s="240">
        <f>'PP-A13'!F44-'PP-A13'!F73</f>
        <v>-176.65</v>
      </c>
      <c r="G15" s="240">
        <f>'PP-A13'!G44-'PP-A13'!G73</f>
        <v>-157</v>
      </c>
      <c r="H15" s="240">
        <f>'PP-A13'!H44-'PP-A13'!H73</f>
        <v>-186.761</v>
      </c>
      <c r="I15" s="240">
        <f>'PP-A13'!I44-'PP-A13'!I73</f>
        <v>-155.94</v>
      </c>
      <c r="J15" s="240">
        <f>'PP-A13'!J44-'PP-A13'!J73</f>
        <v>-143.59</v>
      </c>
      <c r="K15" s="241">
        <f>'PP-A13'!K44-'PP-A13'!K73</f>
        <v>-117.00999999999999</v>
      </c>
      <c r="L15" s="242">
        <f>'PP-A13'!L44-'PP-A13'!L73</f>
        <v>-111.22999999999999</v>
      </c>
      <c r="M15" s="240">
        <f>'PP-A13'!M44-'PP-A13'!M73</f>
        <v>-96.300000000000011</v>
      </c>
      <c r="N15" s="240">
        <f>'PP-A13'!N44-'PP-A13'!N73</f>
        <v>-82.279999999999973</v>
      </c>
      <c r="O15" s="240">
        <f>'PP-A13'!O44-'PP-A13'!O73</f>
        <v>-69</v>
      </c>
      <c r="P15" s="240">
        <f>'PP-A13'!P44-'PP-A13'!P73</f>
        <v>-57</v>
      </c>
      <c r="Q15" s="243">
        <f>'PP-A13'!Q44-'PP-A13'!Q73</f>
        <v>-46</v>
      </c>
    </row>
    <row r="16" spans="2:19" ht="16.5" customHeight="1">
      <c r="B16" s="605" t="s">
        <v>441</v>
      </c>
      <c r="C16" s="606"/>
      <c r="D16" s="239">
        <f>'PP-A13'!D45-'PP-A13'!D74</f>
        <v>85.090909090909122</v>
      </c>
      <c r="E16" s="240">
        <f>'PP-A13'!E45-'PP-A13'!E74</f>
        <v>78.370909090909095</v>
      </c>
      <c r="F16" s="240">
        <f>'PP-A13'!F45-'PP-A13'!F74</f>
        <v>73</v>
      </c>
      <c r="G16" s="240">
        <f>'PP-A13'!G45-'PP-A13'!G74</f>
        <v>-15.58400000000006</v>
      </c>
      <c r="H16" s="240">
        <f>'PP-A13'!H45-'PP-A13'!H74</f>
        <v>-202.17399999999998</v>
      </c>
      <c r="I16" s="240">
        <f>'PP-A13'!I45-'PP-A13'!I74</f>
        <v>-95.501999999999953</v>
      </c>
      <c r="J16" s="240">
        <f>'PP-A13'!J45-'PP-A13'!J74</f>
        <v>-91.782999999999959</v>
      </c>
      <c r="K16" s="241">
        <f>'PP-A13'!K45-'PP-A13'!K74</f>
        <v>-145.56100000000004</v>
      </c>
      <c r="L16" s="242">
        <f>'PP-A13'!L45-'PP-A13'!L74</f>
        <v>-40</v>
      </c>
      <c r="M16" s="240">
        <f>'PP-A13'!M45-'PP-A13'!M74</f>
        <v>40</v>
      </c>
      <c r="N16" s="240">
        <f>'PP-A13'!N45-'PP-A13'!N74</f>
        <v>820</v>
      </c>
      <c r="O16" s="240">
        <f>'PP-A13'!O45-'PP-A13'!O74</f>
        <v>819.99999999999989</v>
      </c>
      <c r="P16" s="240">
        <f>'PP-A13'!P45-'PP-A13'!P74</f>
        <v>820.00000000000011</v>
      </c>
      <c r="Q16" s="243">
        <f>'PP-A13'!Q45-'PP-A13'!Q74</f>
        <v>819.99999999999989</v>
      </c>
    </row>
    <row r="17" spans="2:17" ht="16.5" customHeight="1">
      <c r="B17" s="605" t="s">
        <v>442</v>
      </c>
      <c r="C17" s="606"/>
      <c r="D17" s="239">
        <f>'PP-A13'!D46-'PP-A13'!D75</f>
        <v>-170</v>
      </c>
      <c r="E17" s="240">
        <f>'PP-A13'!E46-'PP-A13'!E75</f>
        <v>-192</v>
      </c>
      <c r="F17" s="240">
        <f>'PP-A13'!F46-'PP-A13'!F75</f>
        <v>-215</v>
      </c>
      <c r="G17" s="240">
        <f>'PP-A13'!G46-'PP-A13'!G75</f>
        <v>-240</v>
      </c>
      <c r="H17" s="240">
        <f>'PP-A13'!H46-'PP-A13'!H75</f>
        <v>-267</v>
      </c>
      <c r="I17" s="240">
        <f>'PP-A13'!I46-'PP-A13'!I75</f>
        <v>-295</v>
      </c>
      <c r="J17" s="240">
        <f>'PP-A13'!J46-'PP-A13'!J75</f>
        <v>-323</v>
      </c>
      <c r="K17" s="241">
        <f>'PP-A13'!K46-'PP-A13'!K75</f>
        <v>-1147</v>
      </c>
      <c r="L17" s="242">
        <f>'PP-A13'!L46-'PP-A13'!L75</f>
        <v>-1026</v>
      </c>
      <c r="M17" s="240">
        <f>'PP-A13'!M46-'PP-A13'!M75</f>
        <v>-1118</v>
      </c>
      <c r="N17" s="240">
        <f>'PP-A13'!N46-'PP-A13'!N75</f>
        <v>-916</v>
      </c>
      <c r="O17" s="240">
        <f>'PP-A13'!O46-'PP-A13'!O75</f>
        <v>-1020</v>
      </c>
      <c r="P17" s="240">
        <f>'PP-A13'!P46-'PP-A13'!P75</f>
        <v>-1130</v>
      </c>
      <c r="Q17" s="243">
        <f>'PP-A13'!Q46-'PP-A13'!Q75</f>
        <v>-797</v>
      </c>
    </row>
    <row r="18" spans="2:17" ht="16.5" customHeight="1">
      <c r="B18" s="607" t="s">
        <v>443</v>
      </c>
      <c r="C18" s="608"/>
      <c r="D18" s="239">
        <f>'PP-A13'!D47-'PP-A13'!D76</f>
        <v>307.90000000000009</v>
      </c>
      <c r="E18" s="240">
        <f>'PP-A13'!E47-'PP-A13'!E76</f>
        <v>189</v>
      </c>
      <c r="F18" s="240">
        <f>'PP-A13'!F47-'PP-A13'!F76</f>
        <v>-6.0999999999999091</v>
      </c>
      <c r="G18" s="240">
        <f>'PP-A13'!G47-'PP-A13'!G76</f>
        <v>38.299999999999727</v>
      </c>
      <c r="H18" s="240">
        <f>'PP-A13'!H47-'PP-A13'!H76</f>
        <v>-101.20000000000027</v>
      </c>
      <c r="I18" s="240">
        <f>'PP-A13'!I47-'PP-A13'!I76</f>
        <v>-5</v>
      </c>
      <c r="J18" s="240">
        <f>'PP-A13'!J47-'PP-A13'!J76</f>
        <v>-61.099999999999909</v>
      </c>
      <c r="K18" s="241">
        <f>'PP-A13'!K47-'PP-A13'!K76</f>
        <v>-94.300000000000182</v>
      </c>
      <c r="L18" s="242">
        <f>'PP-A13'!L47-'PP-A13'!L76</f>
        <v>-241.19999999999982</v>
      </c>
      <c r="M18" s="240">
        <f>'PP-A13'!M47-'PP-A13'!M76</f>
        <v>-219</v>
      </c>
      <c r="N18" s="240">
        <f>'PP-A13'!N47-'PP-A13'!N76</f>
        <v>-108</v>
      </c>
      <c r="O18" s="240">
        <f>'PP-A13'!O47-'PP-A13'!O76</f>
        <v>-123</v>
      </c>
      <c r="P18" s="240">
        <f>'PP-A13'!P47-'PP-A13'!P76</f>
        <v>-142</v>
      </c>
      <c r="Q18" s="243">
        <f>'PP-A13'!Q47-'PP-A13'!Q76</f>
        <v>-161</v>
      </c>
    </row>
    <row r="19" spans="2:17" ht="17.25" customHeight="1">
      <c r="B19" s="620" t="s">
        <v>307</v>
      </c>
      <c r="C19" s="621"/>
      <c r="D19" s="244">
        <f t="shared" ref="D19:K19" si="0">SUM(D7:D18)</f>
        <v>-495.36373940244914</v>
      </c>
      <c r="E19" s="245">
        <f t="shared" si="0"/>
        <v>-674.55993667645305</v>
      </c>
      <c r="F19" s="245">
        <f t="shared" si="0"/>
        <v>-1082.5235480000001</v>
      </c>
      <c r="G19" s="245">
        <f t="shared" si="0"/>
        <v>-619.52744282400067</v>
      </c>
      <c r="H19" s="245">
        <f t="shared" si="0"/>
        <v>-1426.4410000000003</v>
      </c>
      <c r="I19" s="245">
        <f t="shared" si="0"/>
        <v>-630.48899999999935</v>
      </c>
      <c r="J19" s="245">
        <f t="shared" si="0"/>
        <v>-502.41599999999983</v>
      </c>
      <c r="K19" s="246">
        <f t="shared" si="0"/>
        <v>-1253.2750000000001</v>
      </c>
      <c r="L19" s="247">
        <f t="shared" ref="L19:Q19" si="1">SUM(L7:L18)</f>
        <v>276.61266287911508</v>
      </c>
      <c r="M19" s="245">
        <f t="shared" si="1"/>
        <v>415.41741766624887</v>
      </c>
      <c r="N19" s="245">
        <f t="shared" si="1"/>
        <v>2722.2578403781336</v>
      </c>
      <c r="O19" s="245">
        <f t="shared" si="1"/>
        <v>4017.5378403781333</v>
      </c>
      <c r="P19" s="245">
        <f t="shared" si="1"/>
        <v>3896.5378403781333</v>
      </c>
      <c r="Q19" s="248">
        <f t="shared" si="1"/>
        <v>4341.5378403781333</v>
      </c>
    </row>
    <row r="20" spans="2:17" ht="17.25" customHeight="1">
      <c r="B20" s="609" t="s">
        <v>308</v>
      </c>
      <c r="C20" s="610"/>
      <c r="D20" s="244">
        <f>'PP-A13'!D49-'PP-A13'!D78</f>
        <v>-110</v>
      </c>
      <c r="E20" s="245">
        <f>'PP-A13'!E49-'PP-A13'!E78</f>
        <v>-77</v>
      </c>
      <c r="F20" s="245">
        <f>'PP-A13'!F49-'PP-A13'!F78</f>
        <v>-60</v>
      </c>
      <c r="G20" s="245">
        <f>'PP-A13'!G49-'PP-A13'!G78</f>
        <v>25</v>
      </c>
      <c r="H20" s="245">
        <f>'PP-A13'!H49-'PP-A13'!H78</f>
        <v>-19</v>
      </c>
      <c r="I20" s="245">
        <f>'PP-A13'!I49-'PP-A13'!I78</f>
        <v>40.400000000000006</v>
      </c>
      <c r="J20" s="245">
        <f>'PP-A13'!J49-'PP-A13'!J78</f>
        <v>20.299999999999997</v>
      </c>
      <c r="K20" s="246">
        <f>'PP-A13'!K49-'PP-A13'!K78</f>
        <v>35</v>
      </c>
      <c r="L20" s="247">
        <f>'PP-A13'!L49-'PP-A13'!L78</f>
        <v>35</v>
      </c>
      <c r="M20" s="245">
        <f>'PP-A13'!M49-'PP-A13'!M78</f>
        <v>33</v>
      </c>
      <c r="N20" s="245">
        <f>'PP-A13'!N49-'PP-A13'!N78</f>
        <v>33</v>
      </c>
      <c r="O20" s="245">
        <f>'PP-A13'!O49-'PP-A13'!O78</f>
        <v>31</v>
      </c>
      <c r="P20" s="245">
        <f>'PP-A13'!P49-'PP-A13'!P78</f>
        <v>31</v>
      </c>
      <c r="Q20" s="248">
        <f>'PP-A13'!Q49-'PP-A13'!Q78</f>
        <v>31</v>
      </c>
    </row>
    <row r="21" spans="2:17" ht="16.5" customHeight="1">
      <c r="B21" s="105"/>
      <c r="C21" s="97" t="s">
        <v>309</v>
      </c>
      <c r="D21" s="244">
        <f>'PP-A13'!D50-'PP-A13'!D79</f>
        <v>-59</v>
      </c>
      <c r="E21" s="245">
        <f>'PP-A13'!E50-'PP-A13'!E79</f>
        <v>-77</v>
      </c>
      <c r="F21" s="245">
        <f>'PP-A13'!F50-'PP-A13'!F79</f>
        <v>-60</v>
      </c>
      <c r="G21" s="245">
        <f>'PP-A13'!G50-'PP-A13'!G79</f>
        <v>25</v>
      </c>
      <c r="H21" s="245">
        <f>'PP-A13'!H50-'PP-A13'!H79</f>
        <v>-19</v>
      </c>
      <c r="I21" s="245">
        <f>'PP-A13'!I50-'PP-A13'!I79</f>
        <v>40.400000000000006</v>
      </c>
      <c r="J21" s="245">
        <f>'PP-A13'!J50-'PP-A13'!J79</f>
        <v>20.299999999999997</v>
      </c>
      <c r="K21" s="246">
        <f>'PP-A13'!K50-'PP-A13'!K79</f>
        <v>35</v>
      </c>
      <c r="L21" s="247">
        <f>'PP-A13'!L50-'PP-A13'!L79</f>
        <v>35</v>
      </c>
      <c r="M21" s="245">
        <f>'PP-A13'!M50-'PP-A13'!M79</f>
        <v>33</v>
      </c>
      <c r="N21" s="245">
        <f>'PP-A13'!N50-'PP-A13'!N79</f>
        <v>33</v>
      </c>
      <c r="O21" s="245">
        <f>'PP-A13'!O50-'PP-A13'!O79</f>
        <v>31</v>
      </c>
      <c r="P21" s="245">
        <f>'PP-A13'!P50-'PP-A13'!P79</f>
        <v>31</v>
      </c>
      <c r="Q21" s="248">
        <f>'PP-A13'!Q50-'PP-A13'!Q79</f>
        <v>31</v>
      </c>
    </row>
    <row r="22" spans="2:17" ht="17.25" customHeight="1">
      <c r="B22" s="609" t="s">
        <v>310</v>
      </c>
      <c r="C22" s="610"/>
      <c r="D22" s="239">
        <f>'PP-A13'!D51-'PP-A13'!D80</f>
        <v>-1456</v>
      </c>
      <c r="E22" s="240">
        <f>'PP-A13'!E51-'PP-A13'!E80</f>
        <v>-777.62729081579164</v>
      </c>
      <c r="F22" s="240">
        <f>'PP-A13'!F51-'PP-A13'!F80</f>
        <v>573</v>
      </c>
      <c r="G22" s="240">
        <f>'PP-A13'!G51-'PP-A13'!G80</f>
        <v>554</v>
      </c>
      <c r="H22" s="240">
        <f>'PP-A13'!H51-'PP-A13'!H80</f>
        <v>545.4135839999999</v>
      </c>
      <c r="I22" s="240">
        <f>'PP-A13'!I51-'PP-A13'!I80</f>
        <v>331.20999999999913</v>
      </c>
      <c r="J22" s="240">
        <f>'PP-A13'!J51-'PP-A13'!J80</f>
        <v>168.38312099999894</v>
      </c>
      <c r="K22" s="241">
        <f>'PP-A13'!K51-'PP-A13'!K80</f>
        <v>1117.2171400000007</v>
      </c>
      <c r="L22" s="242">
        <f>'PP-A13'!L51-'PP-A13'!L80</f>
        <v>906.07875400000012</v>
      </c>
      <c r="M22" s="240">
        <f>'PP-A13'!M51-'PP-A13'!M80</f>
        <v>810.61037399999987</v>
      </c>
      <c r="N22" s="240">
        <f>'PP-A13'!N51-'PP-A13'!N80</f>
        <v>646.55313799999931</v>
      </c>
      <c r="O22" s="240">
        <f>'PP-A13'!O51-'PP-A13'!O80</f>
        <v>500.90039799999977</v>
      </c>
      <c r="P22" s="240">
        <f>'PP-A13'!P51-'PP-A13'!P80</f>
        <v>358.37734599999931</v>
      </c>
      <c r="Q22" s="243">
        <f>'PP-A13'!Q51-'PP-A13'!Q80</f>
        <v>216.57987399999911</v>
      </c>
    </row>
    <row r="23" spans="2:17" ht="16.5" customHeight="1">
      <c r="B23" s="105"/>
      <c r="C23" s="615" t="s">
        <v>311</v>
      </c>
      <c r="D23" s="244">
        <f>'PP-A13'!D52-'PP-A13'!D81</f>
        <v>-335</v>
      </c>
      <c r="E23" s="245">
        <f>'PP-A13'!E52-'PP-A13'!E81</f>
        <v>-536.56875065451823</v>
      </c>
      <c r="F23" s="245">
        <f>'PP-A13'!F52-'PP-A13'!F81</f>
        <v>915</v>
      </c>
      <c r="G23" s="245">
        <f>'PP-A13'!G52-'PP-A13'!G81</f>
        <v>922</v>
      </c>
      <c r="H23" s="245">
        <f>'PP-A13'!H52-'PP-A13'!H81</f>
        <v>952.73055999999997</v>
      </c>
      <c r="I23" s="245">
        <f>'PP-A13'!I52-'PP-A13'!I81</f>
        <v>786</v>
      </c>
      <c r="J23" s="245">
        <f>'PP-A13'!J52-'PP-A13'!J81</f>
        <v>742.38313999999991</v>
      </c>
      <c r="K23" s="246">
        <f>'PP-A13'!K52-'PP-A13'!K81</f>
        <v>1325.806971</v>
      </c>
      <c r="L23" s="247">
        <f>'PP-A13'!L52-'PP-A13'!L81</f>
        <v>1163.0296330000001</v>
      </c>
      <c r="M23" s="245">
        <f>'PP-A13'!M52-'PP-A13'!M81</f>
        <v>1015.8427670000001</v>
      </c>
      <c r="N23" s="245">
        <f>'PP-A13'!N52-'PP-A13'!N81</f>
        <v>894.83493599999929</v>
      </c>
      <c r="O23" s="245">
        <f>'PP-A13'!O52-'PP-A13'!O81</f>
        <v>791.30579500000022</v>
      </c>
      <c r="P23" s="245">
        <f>'PP-A13'!P52-'PP-A13'!P81</f>
        <v>691.7620339999994</v>
      </c>
      <c r="Q23" s="248">
        <f>'PP-A13'!Q52-'PP-A13'!Q81</f>
        <v>593.14892399999917</v>
      </c>
    </row>
    <row r="24" spans="2:17" ht="17.25" customHeight="1">
      <c r="B24" s="609" t="s">
        <v>312</v>
      </c>
      <c r="C24" s="610"/>
      <c r="D24" s="239">
        <f>'PP-A13'!D53-'PP-A13'!D82</f>
        <v>4135</v>
      </c>
      <c r="E24" s="240">
        <f>'PP-A13'!E53-'PP-A13'!E82</f>
        <v>3958</v>
      </c>
      <c r="F24" s="240">
        <f>'PP-A13'!F53-'PP-A13'!F82</f>
        <v>4508.038461538461</v>
      </c>
      <c r="G24" s="240">
        <f>'PP-A13'!G53-'PP-A13'!G82</f>
        <v>5000.3846153846152</v>
      </c>
      <c r="H24" s="240">
        <f>'PP-A13'!H53-'PP-A13'!H82</f>
        <v>5697</v>
      </c>
      <c r="I24" s="240">
        <f>'PP-A13'!I53-'PP-A13'!I82</f>
        <v>5773</v>
      </c>
      <c r="J24" s="240">
        <f>'PP-A13'!J53-'PP-A13'!J82</f>
        <v>6091</v>
      </c>
      <c r="K24" s="241">
        <f>'PP-A13'!K53-'PP-A13'!K82</f>
        <v>6008</v>
      </c>
      <c r="L24" s="242">
        <f>'PP-A13'!L53-'PP-A13'!L82</f>
        <v>6283</v>
      </c>
      <c r="M24" s="240">
        <f>'PP-A13'!M53-'PP-A13'!M82</f>
        <v>6293</v>
      </c>
      <c r="N24" s="240">
        <f>'PP-A13'!N53-'PP-A13'!N82</f>
        <v>6359</v>
      </c>
      <c r="O24" s="240">
        <f>'PP-A13'!O53-'PP-A13'!O82</f>
        <v>6397</v>
      </c>
      <c r="P24" s="240">
        <f>'PP-A13'!P53-'PP-A13'!P82</f>
        <v>6351</v>
      </c>
      <c r="Q24" s="243">
        <f>'PP-A13'!Q53-'PP-A13'!Q82</f>
        <v>6320</v>
      </c>
    </row>
    <row r="25" spans="2:17" ht="16.5" customHeight="1">
      <c r="B25" s="16"/>
      <c r="C25" s="615" t="s">
        <v>313</v>
      </c>
      <c r="D25" s="244">
        <f>'PP-A13'!D54-'PP-A13'!D83</f>
        <v>0</v>
      </c>
      <c r="E25" s="245">
        <f>'PP-A13'!E54-'PP-A13'!E83</f>
        <v>2728.1538461538462</v>
      </c>
      <c r="F25" s="245">
        <f>'PP-A13'!F54-'PP-A13'!F83</f>
        <v>3144.6153846153843</v>
      </c>
      <c r="G25" s="245">
        <f>'PP-A13'!G54-'PP-A13'!G83</f>
        <v>3471.3461538461538</v>
      </c>
      <c r="H25" s="245">
        <f>'PP-A13'!H54-'PP-A13'!H83</f>
        <v>3955</v>
      </c>
      <c r="I25" s="245">
        <f>'PP-A13'!I54-'PP-A13'!I83</f>
        <v>4030</v>
      </c>
      <c r="J25" s="245">
        <f>'PP-A13'!J54-'PP-A13'!J83</f>
        <v>4074</v>
      </c>
      <c r="K25" s="246">
        <f>'PP-A13'!K54-'PP-A13'!K83</f>
        <v>4080</v>
      </c>
      <c r="L25" s="247">
        <f>'PP-A13'!L54-'PP-A13'!L83</f>
        <v>4089</v>
      </c>
      <c r="M25" s="245">
        <f>'PP-A13'!M54-'PP-A13'!M83</f>
        <v>4130</v>
      </c>
      <c r="N25" s="245">
        <f>'PP-A13'!N54-'PP-A13'!N83</f>
        <v>4161</v>
      </c>
      <c r="O25" s="245">
        <f>'PP-A13'!O54-'PP-A13'!O83</f>
        <v>4170</v>
      </c>
      <c r="P25" s="245">
        <f>'PP-A13'!P54-'PP-A13'!P83</f>
        <v>4197</v>
      </c>
      <c r="Q25" s="248">
        <f>'PP-A13'!Q54-'PP-A13'!Q83</f>
        <v>4240</v>
      </c>
    </row>
    <row r="26" spans="2:17" ht="17.25" customHeight="1">
      <c r="B26" s="620" t="s">
        <v>314</v>
      </c>
      <c r="C26" s="621"/>
      <c r="D26" s="244">
        <f>'PP-A13'!D55-'PP-A13'!D84</f>
        <v>-581</v>
      </c>
      <c r="E26" s="245">
        <f>'PP-A13'!E55-'PP-A13'!E84</f>
        <v>-757</v>
      </c>
      <c r="F26" s="245">
        <f>'PP-A13'!F55-'PP-A13'!F84</f>
        <v>-802.84615384615381</v>
      </c>
      <c r="G26" s="245">
        <f>'PP-A13'!G55-'PP-A13'!G84</f>
        <v>-935.91499999999996</v>
      </c>
      <c r="H26" s="245">
        <f>'PP-A13'!H55-'PP-A13'!H84</f>
        <v>-1068</v>
      </c>
      <c r="I26" s="245">
        <f>'PP-A13'!I55-'PP-A13'!I84</f>
        <v>-1238</v>
      </c>
      <c r="J26" s="245">
        <f>'PP-A13'!J55-'PP-A13'!J84</f>
        <v>-1232</v>
      </c>
      <c r="K26" s="246">
        <f>'PP-A13'!K55-'PP-A13'!K84</f>
        <v>-962</v>
      </c>
      <c r="L26" s="247">
        <f>'PP-A13'!L55-'PP-A13'!L84</f>
        <v>-1078</v>
      </c>
      <c r="M26" s="245">
        <f>'PP-A13'!M55-'PP-A13'!M84</f>
        <v>-1198</v>
      </c>
      <c r="N26" s="245">
        <f>'PP-A13'!N55-'PP-A13'!N84</f>
        <v>-1328</v>
      </c>
      <c r="O26" s="245">
        <f>'PP-A13'!O55-'PP-A13'!O84</f>
        <v>-1460</v>
      </c>
      <c r="P26" s="245">
        <f>'PP-A13'!P55-'PP-A13'!P84</f>
        <v>-1605</v>
      </c>
      <c r="Q26" s="248">
        <f>'PP-A13'!Q55-'PP-A13'!Q84</f>
        <v>-1700</v>
      </c>
    </row>
    <row r="27" spans="2:17" ht="17.25" customHeight="1">
      <c r="B27" s="620" t="s">
        <v>315</v>
      </c>
      <c r="C27" s="621"/>
      <c r="D27" s="244">
        <f>'PP-A13'!D56-'PP-A13'!D85</f>
        <v>-191</v>
      </c>
      <c r="E27" s="245">
        <f>'PP-A13'!E56-'PP-A13'!E85</f>
        <v>-142</v>
      </c>
      <c r="F27" s="245">
        <f>'PP-A13'!F56-'PP-A13'!F85</f>
        <v>-239.20000000000005</v>
      </c>
      <c r="G27" s="245">
        <f>'PP-A13'!G56-'PP-A13'!G85</f>
        <v>-239.19999999999993</v>
      </c>
      <c r="H27" s="245">
        <f>'PP-A13'!H56-'PP-A13'!H85</f>
        <v>-131</v>
      </c>
      <c r="I27" s="245">
        <f>'PP-A13'!I56-'PP-A13'!I85</f>
        <v>97</v>
      </c>
      <c r="J27" s="245">
        <f>'PP-A13'!J56-'PP-A13'!J85</f>
        <v>-15.399999999999864</v>
      </c>
      <c r="K27" s="246">
        <f>'PP-A13'!K56-'PP-A13'!K85</f>
        <v>225.90000000000009</v>
      </c>
      <c r="L27" s="247">
        <f>'PP-A13'!L56-'PP-A13'!L85</f>
        <v>379</v>
      </c>
      <c r="M27" s="245">
        <f>'PP-A13'!M56-'PP-A13'!M85</f>
        <v>329</v>
      </c>
      <c r="N27" s="245">
        <f>'PP-A13'!N56-'PP-A13'!N85</f>
        <v>229</v>
      </c>
      <c r="O27" s="245">
        <f>'PP-A13'!O56-'PP-A13'!O85</f>
        <v>864</v>
      </c>
      <c r="P27" s="245">
        <f>'PP-A13'!P56-'PP-A13'!P85</f>
        <v>1085</v>
      </c>
      <c r="Q27" s="248">
        <f>'PP-A13'!Q56-'PP-A13'!Q85</f>
        <v>1194</v>
      </c>
    </row>
    <row r="28" spans="2:17" ht="16.5" customHeight="1">
      <c r="B28" s="609" t="s">
        <v>316</v>
      </c>
      <c r="C28" s="610"/>
      <c r="D28" s="239">
        <f>'PP-A13'!D57-'PP-A13'!D86</f>
        <v>1645</v>
      </c>
      <c r="E28" s="240">
        <f>'PP-A13'!E57-'PP-A13'!E86</f>
        <v>94</v>
      </c>
      <c r="F28" s="240">
        <f>'PP-A13'!F57-'PP-A13'!F86</f>
        <v>727</v>
      </c>
      <c r="G28" s="240">
        <f>'PP-A13'!G57-'PP-A13'!G86</f>
        <v>823</v>
      </c>
      <c r="H28" s="240">
        <f>'PP-A13'!H57-'PP-A13'!H86</f>
        <v>866</v>
      </c>
      <c r="I28" s="240">
        <f>'PP-A13'!I57-'PP-A13'!I86</f>
        <v>797</v>
      </c>
      <c r="J28" s="240">
        <f>'PP-A13'!J57-'PP-A13'!J86</f>
        <v>677</v>
      </c>
      <c r="K28" s="241">
        <f>'PP-A13'!K57-'PP-A13'!K86</f>
        <v>773</v>
      </c>
      <c r="L28" s="242">
        <f>'PP-A13'!L57-'PP-A13'!L86</f>
        <v>717</v>
      </c>
      <c r="M28" s="240">
        <f>'PP-A13'!M57-'PP-A13'!M86</f>
        <v>541</v>
      </c>
      <c r="N28" s="240">
        <f>'PP-A13'!N57-'PP-A13'!N86</f>
        <v>1042</v>
      </c>
      <c r="O28" s="240">
        <f>'PP-A13'!O57-'PP-A13'!O86</f>
        <v>917</v>
      </c>
      <c r="P28" s="240">
        <f>'PP-A13'!P57-'PP-A13'!P86</f>
        <v>1213</v>
      </c>
      <c r="Q28" s="243">
        <f>'PP-A13'!Q57-'PP-A13'!Q86</f>
        <v>1110</v>
      </c>
    </row>
    <row r="29" spans="2:17" ht="16.5" customHeight="1">
      <c r="B29" s="607" t="s">
        <v>317</v>
      </c>
      <c r="C29" s="608"/>
      <c r="D29" s="239">
        <f>'PP-A13'!D58-'PP-A13'!D87</f>
        <v>-210</v>
      </c>
      <c r="E29" s="240">
        <f>'PP-A13'!E58-'PP-A13'!E87</f>
        <v>-214</v>
      </c>
      <c r="F29" s="240">
        <f>'PP-A13'!F58-'PP-A13'!F87</f>
        <v>-218</v>
      </c>
      <c r="G29" s="240">
        <f>'PP-A13'!G58-'PP-A13'!G87</f>
        <v>-222</v>
      </c>
      <c r="H29" s="240">
        <f>'PP-A13'!H58-'PP-A13'!H87</f>
        <v>-228</v>
      </c>
      <c r="I29" s="240">
        <f>'PP-A13'!I58-'PP-A13'!I87</f>
        <v>-230</v>
      </c>
      <c r="J29" s="240">
        <f>'PP-A13'!J58-'PP-A13'!J87</f>
        <v>-233</v>
      </c>
      <c r="K29" s="241">
        <f>'PP-A13'!K58-'PP-A13'!K87</f>
        <v>-240</v>
      </c>
      <c r="L29" s="242">
        <f>'PP-A13'!L58-'PP-A13'!L87</f>
        <v>-245</v>
      </c>
      <c r="M29" s="240">
        <f>'PP-A13'!M58-'PP-A13'!M87</f>
        <v>-250</v>
      </c>
      <c r="N29" s="240">
        <f>'PP-A13'!N58-'PP-A13'!N87</f>
        <v>-255</v>
      </c>
      <c r="O29" s="240">
        <f>'PP-A13'!O58-'PP-A13'!O87</f>
        <v>-260</v>
      </c>
      <c r="P29" s="240">
        <f>'PP-A13'!P58-'PP-A13'!P87</f>
        <v>-264</v>
      </c>
      <c r="Q29" s="243">
        <f>'PP-A13'!Q58-'PP-A13'!Q87</f>
        <v>-268</v>
      </c>
    </row>
    <row r="30" spans="2:17" ht="17.25" customHeight="1">
      <c r="B30" s="620" t="s">
        <v>318</v>
      </c>
      <c r="C30" s="621"/>
      <c r="D30" s="244">
        <f t="shared" ref="D30:K30" si="2">SUM(D28:D29)</f>
        <v>1435</v>
      </c>
      <c r="E30" s="245">
        <f t="shared" si="2"/>
        <v>-120</v>
      </c>
      <c r="F30" s="245">
        <f t="shared" si="2"/>
        <v>509</v>
      </c>
      <c r="G30" s="245">
        <f t="shared" si="2"/>
        <v>601</v>
      </c>
      <c r="H30" s="245">
        <f t="shared" si="2"/>
        <v>638</v>
      </c>
      <c r="I30" s="245">
        <f t="shared" si="2"/>
        <v>567</v>
      </c>
      <c r="J30" s="245">
        <f t="shared" si="2"/>
        <v>444</v>
      </c>
      <c r="K30" s="246">
        <f t="shared" si="2"/>
        <v>533</v>
      </c>
      <c r="L30" s="247">
        <f t="shared" ref="L30:Q30" si="3">SUM(L28:L29)</f>
        <v>472</v>
      </c>
      <c r="M30" s="245">
        <f t="shared" si="3"/>
        <v>291</v>
      </c>
      <c r="N30" s="245">
        <f t="shared" si="3"/>
        <v>787</v>
      </c>
      <c r="O30" s="245">
        <f t="shared" si="3"/>
        <v>657</v>
      </c>
      <c r="P30" s="245">
        <f t="shared" si="3"/>
        <v>949</v>
      </c>
      <c r="Q30" s="248">
        <f t="shared" si="3"/>
        <v>842</v>
      </c>
    </row>
    <row r="31" spans="2:17" ht="16.5" customHeight="1">
      <c r="B31" s="609" t="s">
        <v>319</v>
      </c>
      <c r="C31" s="610"/>
      <c r="D31" s="239">
        <f>'PP-A13'!D60-'PP-A13'!D89</f>
        <v>-544</v>
      </c>
      <c r="E31" s="240">
        <f>'PP-A13'!E60-'PP-A13'!E89</f>
        <v>-419</v>
      </c>
      <c r="F31" s="240">
        <f>'PP-A13'!F60-'PP-A13'!F89</f>
        <v>-439</v>
      </c>
      <c r="G31" s="240">
        <f>'PP-A13'!G60-'PP-A13'!G89</f>
        <v>-434</v>
      </c>
      <c r="H31" s="240">
        <f>'PP-A13'!H60-'PP-A13'!H89</f>
        <v>-435</v>
      </c>
      <c r="I31" s="240">
        <f>'PP-A13'!I60-'PP-A13'!I89</f>
        <v>-460</v>
      </c>
      <c r="J31" s="240">
        <f>'PP-A13'!J60-'PP-A13'!J89</f>
        <v>-459</v>
      </c>
      <c r="K31" s="241">
        <f>'PP-A13'!K60-'PP-A13'!K89</f>
        <v>-498.5</v>
      </c>
      <c r="L31" s="242">
        <f>'PP-A13'!L60-'PP-A13'!L89</f>
        <v>-456.75</v>
      </c>
      <c r="M31" s="240">
        <f>'PP-A13'!M60-'PP-A13'!M89</f>
        <v>-461.5</v>
      </c>
      <c r="N31" s="240">
        <f>'PP-A13'!N60-'PP-A13'!N89</f>
        <v>-490.5</v>
      </c>
      <c r="O31" s="240">
        <f>'PP-A13'!O60-'PP-A13'!O89</f>
        <v>-521.5</v>
      </c>
      <c r="P31" s="240">
        <f>'PP-A13'!P60-'PP-A13'!P89</f>
        <v>-554.5</v>
      </c>
      <c r="Q31" s="243">
        <f>'PP-A13'!Q60-'PP-A13'!Q89</f>
        <v>-588.5</v>
      </c>
    </row>
    <row r="32" spans="2:17" ht="16.5" customHeight="1">
      <c r="B32" s="605" t="s">
        <v>320</v>
      </c>
      <c r="C32" s="606"/>
      <c r="D32" s="239">
        <f>'PP-A13'!D61-'PP-A13'!D90</f>
        <v>71</v>
      </c>
      <c r="E32" s="240">
        <f>'PP-A13'!E61-'PP-A13'!E90</f>
        <v>148</v>
      </c>
      <c r="F32" s="240">
        <f>'PP-A13'!F61-'PP-A13'!F90</f>
        <v>219</v>
      </c>
      <c r="G32" s="240">
        <f>'PP-A13'!G61-'PP-A13'!G90</f>
        <v>141</v>
      </c>
      <c r="H32" s="240">
        <f>'PP-A13'!H61-'PP-A13'!H90</f>
        <v>152</v>
      </c>
      <c r="I32" s="240">
        <f>'PP-A13'!I61-'PP-A13'!I90</f>
        <v>123</v>
      </c>
      <c r="J32" s="240">
        <f>'PP-A13'!J61-'PP-A13'!J90</f>
        <v>260</v>
      </c>
      <c r="K32" s="241">
        <f>'PP-A13'!K61-'PP-A13'!K90</f>
        <v>227.5</v>
      </c>
      <c r="L32" s="242">
        <f>'PP-A13'!L61-'PP-A13'!L90</f>
        <v>208.5</v>
      </c>
      <c r="M32" s="240">
        <f>'PP-A13'!M61-'PP-A13'!M90</f>
        <v>176.5</v>
      </c>
      <c r="N32" s="240">
        <f>'PP-A13'!N61-'PP-A13'!N90</f>
        <v>144.5</v>
      </c>
      <c r="O32" s="240">
        <f>'PP-A13'!O61-'PP-A13'!O90</f>
        <v>112.5</v>
      </c>
      <c r="P32" s="240">
        <f>'PP-A13'!P61-'PP-A13'!P90</f>
        <v>80.5</v>
      </c>
      <c r="Q32" s="243">
        <f>'PP-A13'!Q61-'PP-A13'!Q90</f>
        <v>47.5</v>
      </c>
    </row>
    <row r="33" spans="2:17" ht="16.5" customHeight="1">
      <c r="B33" s="607" t="s">
        <v>321</v>
      </c>
      <c r="C33" s="608"/>
      <c r="D33" s="239">
        <f>'PP-A13'!D62-'PP-A13'!D91</f>
        <v>-216</v>
      </c>
      <c r="E33" s="240">
        <f>'PP-A13'!E62-'PP-A13'!E91</f>
        <v>-178</v>
      </c>
      <c r="F33" s="240">
        <f>'PP-A13'!F62-'PP-A13'!F91</f>
        <v>-232</v>
      </c>
      <c r="G33" s="240">
        <f>'PP-A13'!G62-'PP-A13'!G91</f>
        <v>-283</v>
      </c>
      <c r="H33" s="240">
        <f>'PP-A13'!H62-'PP-A13'!H91</f>
        <v>-299</v>
      </c>
      <c r="I33" s="240">
        <f>'PP-A13'!I62-'PP-A13'!I91</f>
        <v>-296</v>
      </c>
      <c r="J33" s="240">
        <f>'PP-A13'!J62-'PP-A13'!J91</f>
        <v>-289</v>
      </c>
      <c r="K33" s="241">
        <f>'PP-A13'!K62-'PP-A13'!K91</f>
        <v>-318.10000000000002</v>
      </c>
      <c r="L33" s="242">
        <f>'PP-A13'!L62-'PP-A13'!L91</f>
        <v>-347.1</v>
      </c>
      <c r="M33" s="240">
        <f>'PP-A13'!M62-'PP-A13'!M91</f>
        <v>-375.1</v>
      </c>
      <c r="N33" s="240">
        <f>'PP-A13'!N62-'PP-A13'!N91</f>
        <v>-409.1</v>
      </c>
      <c r="O33" s="240">
        <f>'PP-A13'!O62-'PP-A13'!O91</f>
        <v>-445.1</v>
      </c>
      <c r="P33" s="240">
        <f>'PP-A13'!P62-'PP-A13'!P91</f>
        <v>-483.1</v>
      </c>
      <c r="Q33" s="243">
        <f>'PP-A13'!Q62-'PP-A13'!Q91</f>
        <v>-523.1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-689</v>
      </c>
      <c r="E34" s="250">
        <f t="shared" si="4"/>
        <v>-449</v>
      </c>
      <c r="F34" s="250">
        <f t="shared" si="4"/>
        <v>-452</v>
      </c>
      <c r="G34" s="250">
        <f t="shared" si="4"/>
        <v>-576</v>
      </c>
      <c r="H34" s="250">
        <f t="shared" si="4"/>
        <v>-582</v>
      </c>
      <c r="I34" s="250">
        <f t="shared" si="4"/>
        <v>-633</v>
      </c>
      <c r="J34" s="250">
        <f t="shared" si="4"/>
        <v>-488</v>
      </c>
      <c r="K34" s="251">
        <f t="shared" si="4"/>
        <v>-589.1</v>
      </c>
      <c r="L34" s="252">
        <f t="shared" ref="L34:Q34" si="5">SUM(L31:L33)</f>
        <v>-595.35</v>
      </c>
      <c r="M34" s="250">
        <f t="shared" si="5"/>
        <v>-660.1</v>
      </c>
      <c r="N34" s="250">
        <f t="shared" si="5"/>
        <v>-755.1</v>
      </c>
      <c r="O34" s="250">
        <f t="shared" si="5"/>
        <v>-854.1</v>
      </c>
      <c r="P34" s="250">
        <f t="shared" si="5"/>
        <v>-957.1</v>
      </c>
      <c r="Q34" s="253">
        <f t="shared" si="5"/>
        <v>-1064.0999999999999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2047.636260597551</v>
      </c>
      <c r="E35" s="171">
        <f t="shared" ref="E35:Q35" si="6">SUM(E19+E20+E22+E24+E26+E27+E30+E34)</f>
        <v>960.8127725077552</v>
      </c>
      <c r="F35" s="171">
        <f t="shared" si="6"/>
        <v>2953.4687596923068</v>
      </c>
      <c r="G35" s="171">
        <f t="shared" si="6"/>
        <v>3809.7421725606146</v>
      </c>
      <c r="H35" s="171">
        <f t="shared" si="6"/>
        <v>3653.9725839999992</v>
      </c>
      <c r="I35" s="171">
        <f t="shared" si="6"/>
        <v>4307.1210000000001</v>
      </c>
      <c r="J35" s="171">
        <f t="shared" si="6"/>
        <v>4485.8671209999993</v>
      </c>
      <c r="K35" s="173">
        <f t="shared" si="6"/>
        <v>5114.7421400000003</v>
      </c>
      <c r="L35" s="172">
        <f t="shared" si="6"/>
        <v>6678.3414168791151</v>
      </c>
      <c r="M35" s="171">
        <f t="shared" si="6"/>
        <v>6313.9277916662486</v>
      </c>
      <c r="N35" s="171">
        <f t="shared" si="6"/>
        <v>8693.7109783781325</v>
      </c>
      <c r="O35" s="171">
        <f t="shared" si="6"/>
        <v>10153.338238378134</v>
      </c>
      <c r="P35" s="171">
        <f t="shared" si="6"/>
        <v>10108.815186378133</v>
      </c>
      <c r="Q35" s="174">
        <f t="shared" si="6"/>
        <v>10181.017714378131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12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IF('PP-A13'!D7=0,"    -",ROUND('PP-A13'!D36/'PP-A13'!D7*100,1))</f>
        <v>99.1</v>
      </c>
      <c r="E43" s="58">
        <f>IF('PP-A13'!E7=0,"    -",ROUND('PP-A13'!E36/'PP-A13'!E7*100,1))</f>
        <v>95.4</v>
      </c>
      <c r="F43" s="58">
        <f>IF('PP-A13'!F7=0,"    -",ROUND('PP-A13'!F36/'PP-A13'!F7*100,1))</f>
        <v>91.9</v>
      </c>
      <c r="G43" s="58">
        <f>IF('PP-A13'!G7=0,"    -",ROUND('PP-A13'!G36/'PP-A13'!G7*100,1))</f>
        <v>94.2</v>
      </c>
      <c r="H43" s="58">
        <f>IF('PP-A13'!H7=0,"    -",ROUND('PP-A13'!H36/'PP-A13'!H7*100,1))</f>
        <v>96.3</v>
      </c>
      <c r="I43" s="58">
        <f>IF('PP-A13'!I7=0,"    -",ROUND('PP-A13'!I36/'PP-A13'!I7*100,1))</f>
        <v>93.9</v>
      </c>
      <c r="J43" s="58">
        <f>IF('PP-A13'!J7=0,"    -",ROUND('PP-A13'!J36/'PP-A13'!J7*100,1))</f>
        <v>95.4</v>
      </c>
      <c r="K43" s="59">
        <f>IF('PP-A13'!K7=0,"    -",ROUND('PP-A13'!K36/'PP-A13'!K7*100,1))</f>
        <v>95.9</v>
      </c>
      <c r="L43" s="60">
        <f>IF('PP-A13'!L7=0,"    -",ROUND('PP-A13'!L36/'PP-A13'!L7*100,1))</f>
        <v>94.8</v>
      </c>
      <c r="M43" s="58">
        <f>IF('PP-A13'!M7=0,"    -",ROUND('PP-A13'!M36/'PP-A13'!M7*100,1))</f>
        <v>95.1</v>
      </c>
      <c r="N43" s="58">
        <f>IF('PP-A13'!N7=0,"    -",ROUND('PP-A13'!N36/'PP-A13'!N7*100,1))</f>
        <v>95</v>
      </c>
      <c r="O43" s="58">
        <f>IF('PP-A13'!O7=0,"    -",ROUND('PP-A13'!O36/'PP-A13'!O7*100,1))</f>
        <v>94.9</v>
      </c>
      <c r="P43" s="58">
        <f>IF('PP-A13'!P7=0,"    -",ROUND('PP-A13'!P36/'PP-A13'!P7*100,1))</f>
        <v>94.9</v>
      </c>
      <c r="Q43" s="61">
        <f>IF('PP-A13'!Q7=0,"    -",ROUND('PP-A13'!Q36/'PP-A13'!Q7*100,1))</f>
        <v>91</v>
      </c>
    </row>
    <row r="44" spans="2:17" ht="16.5" customHeight="1">
      <c r="B44" s="605" t="s">
        <v>434</v>
      </c>
      <c r="C44" s="606"/>
      <c r="D44" s="57">
        <f>IF('PP-A13'!D8=0,"    -",ROUND('PP-A13'!D37/'PP-A13'!D8*100,1))</f>
        <v>92.7</v>
      </c>
      <c r="E44" s="58">
        <f>IF('PP-A13'!E8=0,"    -",ROUND('PP-A13'!E37/'PP-A13'!E8*100,1))</f>
        <v>82.4</v>
      </c>
      <c r="F44" s="58">
        <f>IF('PP-A13'!F8=0,"    -",ROUND('PP-A13'!F37/'PP-A13'!F8*100,1))</f>
        <v>77.900000000000006</v>
      </c>
      <c r="G44" s="58">
        <f>IF('PP-A13'!G8=0,"    -",ROUND('PP-A13'!G37/'PP-A13'!G8*100,1))</f>
        <v>92.3</v>
      </c>
      <c r="H44" s="58">
        <f>IF('PP-A13'!H8=0,"    -",ROUND('PP-A13'!H37/'PP-A13'!H8*100,1))</f>
        <v>79.5</v>
      </c>
      <c r="I44" s="58">
        <f>IF('PP-A13'!I8=0,"    -",ROUND('PP-A13'!I37/'PP-A13'!I8*100,1))</f>
        <v>86.1</v>
      </c>
      <c r="J44" s="58">
        <f>IF('PP-A13'!J8=0,"    -",ROUND('PP-A13'!J37/'PP-A13'!J8*100,1))</f>
        <v>86.9</v>
      </c>
      <c r="K44" s="59">
        <f>IF('PP-A13'!K8=0,"    -",ROUND('PP-A13'!K37/'PP-A13'!K8*100,1))</f>
        <v>95.6</v>
      </c>
      <c r="L44" s="60">
        <f>IF('PP-A13'!L8=0,"    -",ROUND('PP-A13'!L37/'PP-A13'!L8*100,1))</f>
        <v>96.4</v>
      </c>
      <c r="M44" s="58">
        <f>IF('PP-A13'!M8=0,"    -",ROUND('PP-A13'!M37/'PP-A13'!M8*100,1))</f>
        <v>96.4</v>
      </c>
      <c r="N44" s="58">
        <f>IF('PP-A13'!N8=0,"    -",ROUND('PP-A13'!N37/'PP-A13'!N8*100,1))</f>
        <v>96.4</v>
      </c>
      <c r="O44" s="58">
        <f>IF('PP-A13'!O8=0,"    -",ROUND('PP-A13'!O37/'PP-A13'!O8*100,1))</f>
        <v>100</v>
      </c>
      <c r="P44" s="58">
        <f>IF('PP-A13'!P8=0,"    -",ROUND('PP-A13'!P37/'PP-A13'!P8*100,1))</f>
        <v>100</v>
      </c>
      <c r="Q44" s="61">
        <f>IF('PP-A13'!Q8=0,"    -",ROUND('PP-A13'!Q37/'PP-A13'!Q8*100,1))</f>
        <v>100</v>
      </c>
    </row>
    <row r="45" spans="2:17" ht="16.5" customHeight="1">
      <c r="B45" s="605" t="s">
        <v>435</v>
      </c>
      <c r="C45" s="606"/>
      <c r="D45" s="57">
        <f>IF('PP-A13'!D9=0,"    -",ROUND('PP-A13'!D38/'PP-A13'!D9*100,1))</f>
        <v>86.4</v>
      </c>
      <c r="E45" s="58">
        <f>IF('PP-A13'!E9=0,"    -",ROUND('PP-A13'!E38/'PP-A13'!E9*100,1))</f>
        <v>88.2</v>
      </c>
      <c r="F45" s="58">
        <f>IF('PP-A13'!F9=0,"    -",ROUND('PP-A13'!F38/'PP-A13'!F9*100,1))</f>
        <v>71.099999999999994</v>
      </c>
      <c r="G45" s="58">
        <f>IF('PP-A13'!G9=0,"    -",ROUND('PP-A13'!G38/'PP-A13'!G9*100,1))</f>
        <v>85.1</v>
      </c>
      <c r="H45" s="58">
        <f>IF('PP-A13'!H9=0,"    -",ROUND('PP-A13'!H38/'PP-A13'!H9*100,1))</f>
        <v>87.2</v>
      </c>
      <c r="I45" s="58">
        <f>IF('PP-A13'!I9=0,"    -",ROUND('PP-A13'!I38/'PP-A13'!I9*100,1))</f>
        <v>100</v>
      </c>
      <c r="J45" s="58">
        <f>IF('PP-A13'!J9=0,"    -",ROUND('PP-A13'!J38/'PP-A13'!J9*100,1))</f>
        <v>91.7</v>
      </c>
      <c r="K45" s="59">
        <f>IF('PP-A13'!K9=0,"    -",ROUND('PP-A13'!K38/'PP-A13'!K9*100,1))</f>
        <v>92.1</v>
      </c>
      <c r="L45" s="60">
        <f>IF('PP-A13'!L9=0,"    -",ROUND('PP-A13'!L38/'PP-A13'!L9*100,1))</f>
        <v>90.2</v>
      </c>
      <c r="M45" s="58">
        <f>IF('PP-A13'!M9=0,"    -",ROUND('PP-A13'!M38/'PP-A13'!M9*100,1))</f>
        <v>95</v>
      </c>
      <c r="N45" s="58">
        <f>IF('PP-A13'!N9=0,"    -",ROUND('PP-A13'!N38/'PP-A13'!N9*100,1))</f>
        <v>95</v>
      </c>
      <c r="O45" s="58">
        <f>IF('PP-A13'!O9=0,"    -",ROUND('PP-A13'!O38/'PP-A13'!O9*100,1))</f>
        <v>93.5</v>
      </c>
      <c r="P45" s="58">
        <f>IF('PP-A13'!P9=0,"    -",ROUND('PP-A13'!P38/'PP-A13'!P9*100,1))</f>
        <v>92.1</v>
      </c>
      <c r="Q45" s="61">
        <f>IF('PP-A13'!Q9=0,"    -",ROUND('PP-A13'!Q38/'PP-A13'!Q9*100,1))</f>
        <v>90.2</v>
      </c>
    </row>
    <row r="46" spans="2:17" ht="16.5" customHeight="1">
      <c r="B46" s="605" t="s">
        <v>436</v>
      </c>
      <c r="C46" s="606"/>
      <c r="D46" s="57">
        <f>IF('PP-A13'!D10=0,"    -",ROUND('PP-A13'!D39/'PP-A13'!D10*100,1))</f>
        <v>92.4</v>
      </c>
      <c r="E46" s="58">
        <f>IF('PP-A13'!E10=0,"    -",ROUND('PP-A13'!E39/'PP-A13'!E10*100,1))</f>
        <v>89.3</v>
      </c>
      <c r="F46" s="58">
        <f>IF('PP-A13'!F10=0,"    -",ROUND('PP-A13'!F39/'PP-A13'!F10*100,1))</f>
        <v>81.900000000000006</v>
      </c>
      <c r="G46" s="58">
        <f>IF('PP-A13'!G10=0,"    -",ROUND('PP-A13'!G39/'PP-A13'!G10*100,1))</f>
        <v>84.4</v>
      </c>
      <c r="H46" s="58">
        <f>IF('PP-A13'!H10=0,"    -",ROUND('PP-A13'!H39/'PP-A13'!H10*100,1))</f>
        <v>84.1</v>
      </c>
      <c r="I46" s="58">
        <f>IF('PP-A13'!I10=0,"    -",ROUND('PP-A13'!I39/'PP-A13'!I10*100,1))</f>
        <v>85.9</v>
      </c>
      <c r="J46" s="58">
        <f>IF('PP-A13'!J10=0,"    -",ROUND('PP-A13'!J39/'PP-A13'!J10*100,1))</f>
        <v>89.6</v>
      </c>
      <c r="K46" s="59">
        <f>IF('PP-A13'!K10=0,"    -",ROUND('PP-A13'!K39/'PP-A13'!K10*100,1))</f>
        <v>86.9</v>
      </c>
      <c r="L46" s="60">
        <f>IF('PP-A13'!L10=0,"    -",ROUND('PP-A13'!L39/'PP-A13'!L10*100,1))</f>
        <v>89.1</v>
      </c>
      <c r="M46" s="58">
        <f>IF('PP-A13'!M10=0,"    -",ROUND('PP-A13'!M39/'PP-A13'!M10*100,1))</f>
        <v>89.1</v>
      </c>
      <c r="N46" s="58">
        <f>IF('PP-A13'!N10=0,"    -",ROUND('PP-A13'!N39/'PP-A13'!N10*100,1))</f>
        <v>85.6</v>
      </c>
      <c r="O46" s="58">
        <f>IF('PP-A13'!O10=0,"    -",ROUND('PP-A13'!O39/'PP-A13'!O10*100,1))</f>
        <v>83.4</v>
      </c>
      <c r="P46" s="58">
        <f>IF('PP-A13'!P10=0,"    -",ROUND('PP-A13'!P39/'PP-A13'!P10*100,1))</f>
        <v>85.4</v>
      </c>
      <c r="Q46" s="61">
        <f>IF('PP-A13'!Q10=0,"    -",ROUND('PP-A13'!Q39/'PP-A13'!Q10*100,1))</f>
        <v>87.2</v>
      </c>
    </row>
    <row r="47" spans="2:17" ht="16.5" customHeight="1">
      <c r="B47" s="605" t="s">
        <v>437</v>
      </c>
      <c r="C47" s="606"/>
      <c r="D47" s="57">
        <f>IF('PP-A13'!D11=0,"    -",ROUND('PP-A13'!D40/'PP-A13'!D11*100,1))</f>
        <v>70.3</v>
      </c>
      <c r="E47" s="58">
        <f>IF('PP-A13'!E11=0,"    -",ROUND('PP-A13'!E40/'PP-A13'!E11*100,1))</f>
        <v>82.6</v>
      </c>
      <c r="F47" s="58">
        <f>IF('PP-A13'!F11=0,"    -",ROUND('PP-A13'!F40/'PP-A13'!F11*100,1))</f>
        <v>81.5</v>
      </c>
      <c r="G47" s="58">
        <f>IF('PP-A13'!G11=0,"    -",ROUND('PP-A13'!G40/'PP-A13'!G11*100,1))</f>
        <v>90.4</v>
      </c>
      <c r="H47" s="58">
        <f>IF('PP-A13'!H11=0,"    -",ROUND('PP-A13'!H40/'PP-A13'!H11*100,1))</f>
        <v>88.8</v>
      </c>
      <c r="I47" s="58">
        <f>IF('PP-A13'!I11=0,"    -",ROUND('PP-A13'!I40/'PP-A13'!I11*100,1))</f>
        <v>88.9</v>
      </c>
      <c r="J47" s="58">
        <f>IF('PP-A13'!J11=0,"    -",ROUND('PP-A13'!J40/'PP-A13'!J11*100,1))</f>
        <v>88.3</v>
      </c>
      <c r="K47" s="59">
        <f>IF('PP-A13'!K11=0,"    -",ROUND('PP-A13'!K40/'PP-A13'!K11*100,1))</f>
        <v>88.7</v>
      </c>
      <c r="L47" s="60">
        <f>IF('PP-A13'!L11=0,"    -",ROUND('PP-A13'!L40/'PP-A13'!L11*100,1))</f>
        <v>95</v>
      </c>
      <c r="M47" s="58">
        <f>IF('PP-A13'!M11=0,"    -",ROUND('PP-A13'!M40/'PP-A13'!M11*100,1))</f>
        <v>95</v>
      </c>
      <c r="N47" s="58">
        <f>IF('PP-A13'!N11=0,"    -",ROUND('PP-A13'!N40/'PP-A13'!N11*100,1))</f>
        <v>95</v>
      </c>
      <c r="O47" s="58">
        <f>IF('PP-A13'!O11=0,"    -",ROUND('PP-A13'!O40/'PP-A13'!O11*100,1))</f>
        <v>95</v>
      </c>
      <c r="P47" s="58">
        <f>IF('PP-A13'!P11=0,"    -",ROUND('PP-A13'!P40/'PP-A13'!P11*100,1))</f>
        <v>95</v>
      </c>
      <c r="Q47" s="61">
        <f>IF('PP-A13'!Q11=0,"    -",ROUND('PP-A13'!Q40/'PP-A13'!Q11*100,1))</f>
        <v>95</v>
      </c>
    </row>
    <row r="48" spans="2:17" ht="16.5" customHeight="1">
      <c r="B48" s="605" t="s">
        <v>438</v>
      </c>
      <c r="C48" s="606"/>
      <c r="D48" s="57">
        <f>IF('PP-A13'!D12=0,"    -",ROUND('PP-A13'!D41/'PP-A13'!D12*100,1))</f>
        <v>90.4</v>
      </c>
      <c r="E48" s="58">
        <f>IF('PP-A13'!E12=0,"    -",ROUND('PP-A13'!E41/'PP-A13'!E12*100,1))</f>
        <v>30.3</v>
      </c>
      <c r="F48" s="58">
        <f>IF('PP-A13'!F12=0,"    -",ROUND('PP-A13'!F41/'PP-A13'!F12*100,1))</f>
        <v>46.2</v>
      </c>
      <c r="G48" s="58">
        <f>IF('PP-A13'!G12=0,"    -",ROUND('PP-A13'!G41/'PP-A13'!G12*100,1))</f>
        <v>55.7</v>
      </c>
      <c r="H48" s="58">
        <f>IF('PP-A13'!H12=0,"    -",ROUND('PP-A13'!H41/'PP-A13'!H12*100,1))</f>
        <v>85.7</v>
      </c>
      <c r="I48" s="58">
        <f>IF('PP-A13'!I12=0,"    -",ROUND('PP-A13'!I41/'PP-A13'!I12*100,1))</f>
        <v>88.4</v>
      </c>
      <c r="J48" s="58">
        <f>IF('PP-A13'!J12=0,"    -",ROUND('PP-A13'!J41/'PP-A13'!J12*100,1))</f>
        <v>88.4</v>
      </c>
      <c r="K48" s="59">
        <f>IF('PP-A13'!K12=0,"    -",ROUND('PP-A13'!K41/'PP-A13'!K12*100,1))</f>
        <v>88.4</v>
      </c>
      <c r="L48" s="60">
        <f>IF('PP-A13'!L12=0,"    -",ROUND('PP-A13'!L41/'PP-A13'!L12*100,1))</f>
        <v>88.4</v>
      </c>
      <c r="M48" s="58">
        <f>IF('PP-A13'!M12=0,"    -",ROUND('PP-A13'!M41/'PP-A13'!M12*100,1))</f>
        <v>78.8</v>
      </c>
      <c r="N48" s="58">
        <f>IF('PP-A13'!N12=0,"    -",ROUND('PP-A13'!N41/'PP-A13'!N12*100,1))</f>
        <v>78.8</v>
      </c>
      <c r="O48" s="58">
        <f>IF('PP-A13'!O12=0,"    -",ROUND('PP-A13'!O41/'PP-A13'!O12*100,1))</f>
        <v>88.7</v>
      </c>
      <c r="P48" s="58">
        <f>IF('PP-A13'!P12=0,"    -",ROUND('PP-A13'!P41/'PP-A13'!P12*100,1))</f>
        <v>76.599999999999994</v>
      </c>
      <c r="Q48" s="61">
        <f>IF('PP-A13'!Q12=0,"    -",ROUND('PP-A13'!Q41/'PP-A13'!Q12*100,1))</f>
        <v>72.900000000000006</v>
      </c>
    </row>
    <row r="49" spans="2:17" ht="16.5" customHeight="1">
      <c r="B49" s="605" t="s">
        <v>439</v>
      </c>
      <c r="C49" s="606"/>
      <c r="D49" s="57">
        <f>IF('PP-A13'!D13=0,"    -",ROUND('PP-A13'!D42/'PP-A13'!D13*100,1))</f>
        <v>78.400000000000006</v>
      </c>
      <c r="E49" s="58">
        <f>IF('PP-A13'!E13=0,"    -",ROUND('PP-A13'!E42/'PP-A13'!E13*100,1))</f>
        <v>85.4</v>
      </c>
      <c r="F49" s="58">
        <f>IF('PP-A13'!F13=0,"    -",ROUND('PP-A13'!F42/'PP-A13'!F13*100,1))</f>
        <v>85.9</v>
      </c>
      <c r="G49" s="58">
        <f>IF('PP-A13'!G13=0,"    -",ROUND('PP-A13'!G42/'PP-A13'!G13*100,1))</f>
        <v>96.2</v>
      </c>
      <c r="H49" s="58">
        <f>IF('PP-A13'!H13=0,"    -",ROUND('PP-A13'!H42/'PP-A13'!H13*100,1))</f>
        <v>95.6</v>
      </c>
      <c r="I49" s="58">
        <f>IF('PP-A13'!I13=0,"    -",ROUND('PP-A13'!I42/'PP-A13'!I13*100,1))</f>
        <v>90.7</v>
      </c>
      <c r="J49" s="58">
        <f>IF('PP-A13'!J13=0,"    -",ROUND('PP-A13'!J42/'PP-A13'!J13*100,1))</f>
        <v>92.5</v>
      </c>
      <c r="K49" s="59">
        <f>IF('PP-A13'!K13=0,"    -",ROUND('PP-A13'!K42/'PP-A13'!K13*100,1))</f>
        <v>90.3</v>
      </c>
      <c r="L49" s="60">
        <f>IF('PP-A13'!L13=0,"    -",ROUND('PP-A13'!L42/'PP-A13'!L13*100,1))</f>
        <v>98.6</v>
      </c>
      <c r="M49" s="58">
        <f>IF('PP-A13'!M13=0,"    -",ROUND('PP-A13'!M42/'PP-A13'!M13*100,1))</f>
        <v>91.6</v>
      </c>
      <c r="N49" s="58">
        <f>IF('PP-A13'!N13=0,"    -",ROUND('PP-A13'!N42/'PP-A13'!N13*100,1))</f>
        <v>91.4</v>
      </c>
      <c r="O49" s="58">
        <f>IF('PP-A13'!O13=0,"    -",ROUND('PP-A13'!O42/'PP-A13'!O13*100,1))</f>
        <v>100</v>
      </c>
      <c r="P49" s="58">
        <f>IF('PP-A13'!P13=0,"    -",ROUND('PP-A13'!P42/'PP-A13'!P13*100,1))</f>
        <v>100</v>
      </c>
      <c r="Q49" s="61">
        <f>IF('PP-A13'!Q13=0,"    -",ROUND('PP-A13'!Q42/'PP-A13'!Q13*100,1))</f>
        <v>100</v>
      </c>
    </row>
    <row r="50" spans="2:17" ht="18" hidden="1" customHeight="1">
      <c r="B50" s="16"/>
      <c r="C50" s="90" t="s">
        <v>306</v>
      </c>
      <c r="D50" s="57" t="str">
        <f>IF('PP-A13'!D14=0,"    -",ROUND('PP-A13'!D43/'PP-A13'!D14*100,1))</f>
        <v xml:space="preserve">    -</v>
      </c>
      <c r="E50" s="58" t="str">
        <f>IF('PP-A13'!E14=0,"    -",ROUND('PP-A13'!E43/'PP-A13'!E14*100,1))</f>
        <v xml:space="preserve">    -</v>
      </c>
      <c r="F50" s="58" t="str">
        <f>IF('PP-A13'!F14=0,"    -",ROUND('PP-A13'!F43/'PP-A13'!F14*100,1))</f>
        <v xml:space="preserve">    -</v>
      </c>
      <c r="G50" s="58" t="str">
        <f>IF('PP-A13'!G14=0,"    -",ROUND('PP-A13'!G43/'PP-A13'!G14*100,1))</f>
        <v xml:space="preserve">    -</v>
      </c>
      <c r="H50" s="58" t="str">
        <f>IF('PP-A13'!H14=0,"    -",ROUND('PP-A13'!H43/'PP-A13'!H14*100,1))</f>
        <v xml:space="preserve">    -</v>
      </c>
      <c r="I50" s="58" t="str">
        <f>IF('PP-A13'!I14=0,"    -",ROUND('PP-A13'!I43/'PP-A13'!I14*100,1))</f>
        <v xml:space="preserve">    -</v>
      </c>
      <c r="J50" s="58" t="str">
        <f>IF('PP-A13'!J14=0,"    -",ROUND('PP-A13'!J43/'PP-A13'!J14*100,1))</f>
        <v xml:space="preserve">    -</v>
      </c>
      <c r="K50" s="59" t="str">
        <f>IF('PP-A13'!K14=0,"    -",ROUND('PP-A13'!K43/'PP-A13'!K14*100,1))</f>
        <v xml:space="preserve">    -</v>
      </c>
      <c r="L50" s="60" t="str">
        <f>IF('PP-A13'!L14=0,"    -",ROUND('PP-A13'!L43/'PP-A13'!L14*100,1))</f>
        <v xml:space="preserve">    -</v>
      </c>
      <c r="M50" s="58" t="str">
        <f>IF('PP-A13'!M14=0,"    -",ROUND('PP-A13'!M43/'PP-A13'!M14*100,1))</f>
        <v xml:space="preserve">    -</v>
      </c>
      <c r="N50" s="58" t="str">
        <f>IF('PP-A13'!N14=0,"    -",ROUND('PP-A13'!N43/'PP-A13'!N14*100,1))</f>
        <v xml:space="preserve">    -</v>
      </c>
      <c r="O50" s="58" t="str">
        <f>IF('PP-A13'!O14=0,"    -",ROUND('PP-A13'!O43/'PP-A13'!O14*100,1))</f>
        <v xml:space="preserve">    -</v>
      </c>
      <c r="P50" s="58" t="str">
        <f>IF('PP-A13'!P14=0,"    -",ROUND('PP-A13'!P43/'PP-A13'!P14*100,1))</f>
        <v xml:space="preserve">    -</v>
      </c>
      <c r="Q50" s="61" t="str">
        <f>IF('PP-A13'!Q14=0,"    -",ROUND('PP-A13'!Q43/'PP-A13'!Q14*100,1))</f>
        <v xml:space="preserve">    -</v>
      </c>
    </row>
    <row r="51" spans="2:17" ht="16.5" customHeight="1">
      <c r="B51" s="605" t="s">
        <v>440</v>
      </c>
      <c r="C51" s="606"/>
      <c r="D51" s="57">
        <f>IF('PP-A13'!D15=0,"    -",ROUND('PP-A13'!D44/'PP-A13'!D15*100,1))</f>
        <v>13.5</v>
      </c>
      <c r="E51" s="58">
        <f>IF('PP-A13'!E15=0,"    -",ROUND('PP-A13'!E44/'PP-A13'!E15*100,1))</f>
        <v>12</v>
      </c>
      <c r="F51" s="58">
        <f>IF('PP-A13'!F15=0,"    -",ROUND('PP-A13'!F44/'PP-A13'!F15*100,1))</f>
        <v>3.7</v>
      </c>
      <c r="G51" s="58">
        <f>IF('PP-A13'!G15=0,"    -",ROUND('PP-A13'!G44/'PP-A13'!G15*100,1))</f>
        <v>3.7</v>
      </c>
      <c r="H51" s="58">
        <f>IF('PP-A13'!H15=0,"    -",ROUND('PP-A13'!H44/'PP-A13'!H15*100,1))</f>
        <v>2.4</v>
      </c>
      <c r="I51" s="58">
        <f>IF('PP-A13'!I15=0,"    -",ROUND('PP-A13'!I44/'PP-A13'!I15*100,1))</f>
        <v>10.5</v>
      </c>
      <c r="J51" s="58">
        <f>IF('PP-A13'!J15=0,"    -",ROUND('PP-A13'!J44/'PP-A13'!J15*100,1))</f>
        <v>15.2</v>
      </c>
      <c r="K51" s="59">
        <f>IF('PP-A13'!K15=0,"    -",ROUND('PP-A13'!K44/'PP-A13'!K15*100,1))</f>
        <v>22.9</v>
      </c>
      <c r="L51" s="60">
        <f>IF('PP-A13'!L15=0,"    -",ROUND('PP-A13'!L44/'PP-A13'!L15*100,1))</f>
        <v>26.7</v>
      </c>
      <c r="M51" s="58">
        <f>IF('PP-A13'!M15=0,"    -",ROUND('PP-A13'!M44/'PP-A13'!M15*100,1))</f>
        <v>32.4</v>
      </c>
      <c r="N51" s="58">
        <f>IF('PP-A13'!N15=0,"    -",ROUND('PP-A13'!N44/'PP-A13'!N15*100,1))</f>
        <v>38.1</v>
      </c>
      <c r="O51" s="58">
        <f>IF('PP-A13'!O15=0,"    -",ROUND('PP-A13'!O44/'PP-A13'!O15*100,1))</f>
        <v>40</v>
      </c>
      <c r="P51" s="58">
        <f>IF('PP-A13'!P15=0,"    -",ROUND('PP-A13'!P44/'PP-A13'!P15*100,1))</f>
        <v>45.2</v>
      </c>
      <c r="Q51" s="61">
        <f>IF('PP-A13'!Q15=0,"    -",ROUND('PP-A13'!Q44/'PP-A13'!Q15*100,1))</f>
        <v>50.4</v>
      </c>
    </row>
    <row r="52" spans="2:17" ht="16.5" customHeight="1">
      <c r="B52" s="605" t="s">
        <v>441</v>
      </c>
      <c r="C52" s="606"/>
      <c r="D52" s="57">
        <f>IF('PP-A13'!D16=0,"    -",ROUND('PP-A13'!D45/'PP-A13'!D16*100,1))</f>
        <v>87.3</v>
      </c>
      <c r="E52" s="58">
        <f>IF('PP-A13'!E16=0,"    -",ROUND('PP-A13'!E45/'PP-A13'!E16*100,1))</f>
        <v>90</v>
      </c>
      <c r="F52" s="58">
        <f>IF('PP-A13'!F16=0,"    -",ROUND('PP-A13'!F45/'PP-A13'!F16*100,1))</f>
        <v>86</v>
      </c>
      <c r="G52" s="58">
        <f>IF('PP-A13'!G16=0,"    -",ROUND('PP-A13'!G45/'PP-A13'!G16*100,1))</f>
        <v>81.8</v>
      </c>
      <c r="H52" s="58">
        <f>IF('PP-A13'!H16=0,"    -",ROUND('PP-A13'!H45/'PP-A13'!H16*100,1))</f>
        <v>81.8</v>
      </c>
      <c r="I52" s="58">
        <f>IF('PP-A13'!I16=0,"    -",ROUND('PP-A13'!I45/'PP-A13'!I16*100,1))</f>
        <v>81.8</v>
      </c>
      <c r="J52" s="58">
        <f>IF('PP-A13'!J16=0,"    -",ROUND('PP-A13'!J45/'PP-A13'!J16*100,1))</f>
        <v>81.8</v>
      </c>
      <c r="K52" s="59">
        <f>IF('PP-A13'!K16=0,"    -",ROUND('PP-A13'!K45/'PP-A13'!K16*100,1))</f>
        <v>76.2</v>
      </c>
      <c r="L52" s="60">
        <f>IF('PP-A13'!L16=0,"    -",ROUND('PP-A13'!L45/'PP-A13'!L16*100,1))</f>
        <v>93.7</v>
      </c>
      <c r="M52" s="58">
        <f>IF('PP-A13'!M16=0,"    -",ROUND('PP-A13'!M45/'PP-A13'!M16*100,1))</f>
        <v>76.8</v>
      </c>
      <c r="N52" s="58">
        <f>IF('PP-A13'!N16=0,"    -",ROUND('PP-A13'!N45/'PP-A13'!N16*100,1))</f>
        <v>89</v>
      </c>
      <c r="O52" s="58">
        <f>IF('PP-A13'!O16=0,"    -",ROUND('PP-A13'!O45/'PP-A13'!O16*100,1))</f>
        <v>90.8</v>
      </c>
      <c r="P52" s="58">
        <f>IF('PP-A13'!P16=0,"    -",ROUND('PP-A13'!P45/'PP-A13'!P16*100,1))</f>
        <v>92.7</v>
      </c>
      <c r="Q52" s="61">
        <f>IF('PP-A13'!Q16=0,"    -",ROUND('PP-A13'!Q45/'PP-A13'!Q16*100,1))</f>
        <v>94.6</v>
      </c>
    </row>
    <row r="53" spans="2:17" ht="16.5" customHeight="1">
      <c r="B53" s="605" t="s">
        <v>442</v>
      </c>
      <c r="C53" s="606"/>
      <c r="D53" s="57">
        <f>IF('PP-A13'!D17=0,"    -",ROUND('PP-A13'!D46/'PP-A13'!D17*100,1))</f>
        <v>100</v>
      </c>
      <c r="E53" s="58">
        <f>IF('PP-A13'!E17=0,"    -",ROUND('PP-A13'!E46/'PP-A13'!E17*100,1))</f>
        <v>100</v>
      </c>
      <c r="F53" s="58">
        <f>IF('PP-A13'!F17=0,"    -",ROUND('PP-A13'!F46/'PP-A13'!F17*100,1))</f>
        <v>100</v>
      </c>
      <c r="G53" s="58">
        <f>IF('PP-A13'!G17=0,"    -",ROUND('PP-A13'!G46/'PP-A13'!G17*100,1))</f>
        <v>100</v>
      </c>
      <c r="H53" s="58">
        <f>IF('PP-A13'!H17=0,"    -",ROUND('PP-A13'!H46/'PP-A13'!H17*100,1))</f>
        <v>100</v>
      </c>
      <c r="I53" s="58">
        <f>IF('PP-A13'!I17=0,"    -",ROUND('PP-A13'!I46/'PP-A13'!I17*100,1))</f>
        <v>100</v>
      </c>
      <c r="J53" s="58">
        <f>IF('PP-A13'!J17=0,"    -",ROUND('PP-A13'!J46/'PP-A13'!J17*100,1))</f>
        <v>100</v>
      </c>
      <c r="K53" s="59">
        <f>IF('PP-A13'!K17=0,"    -",ROUND('PP-A13'!K46/'PP-A13'!K17*100,1))</f>
        <v>100</v>
      </c>
      <c r="L53" s="60">
        <f>IF('PP-A13'!L17=0,"    -",ROUND('PP-A13'!L46/'PP-A13'!L17*100,1))</f>
        <v>100</v>
      </c>
      <c r="M53" s="58">
        <f>IF('PP-A13'!M17=0,"    -",ROUND('PP-A13'!M46/'PP-A13'!M17*100,1))</f>
        <v>100</v>
      </c>
      <c r="N53" s="58">
        <f>IF('PP-A13'!N17=0,"    -",ROUND('PP-A13'!N46/'PP-A13'!N17*100,1))</f>
        <v>100</v>
      </c>
      <c r="O53" s="58">
        <f>IF('PP-A13'!O17=0,"    -",ROUND('PP-A13'!O46/'PP-A13'!O17*100,1))</f>
        <v>100</v>
      </c>
      <c r="P53" s="58">
        <f>IF('PP-A13'!P17=0,"    -",ROUND('PP-A13'!P46/'PP-A13'!P17*100,1))</f>
        <v>100</v>
      </c>
      <c r="Q53" s="61">
        <f>IF('PP-A13'!Q17=0,"    -",ROUND('PP-A13'!Q46/'PP-A13'!Q17*100,1))</f>
        <v>100</v>
      </c>
    </row>
    <row r="54" spans="2:17" ht="16.5" customHeight="1">
      <c r="B54" s="607" t="s">
        <v>443</v>
      </c>
      <c r="C54" s="608"/>
      <c r="D54" s="57">
        <f>IF('PP-A13'!D18=0,"    -",ROUND('PP-A13'!D47/'PP-A13'!D18*100,1))</f>
        <v>82.1</v>
      </c>
      <c r="E54" s="58">
        <f>IF('PP-A13'!E18=0,"    -",ROUND('PP-A13'!E47/'PP-A13'!E18*100,1))</f>
        <v>77.099999999999994</v>
      </c>
      <c r="F54" s="58">
        <f>IF('PP-A13'!F18=0,"    -",ROUND('PP-A13'!F47/'PP-A13'!F18*100,1))</f>
        <v>77.900000000000006</v>
      </c>
      <c r="G54" s="58">
        <f>IF('PP-A13'!G18=0,"    -",ROUND('PP-A13'!G47/'PP-A13'!G18*100,1))</f>
        <v>75.599999999999994</v>
      </c>
      <c r="H54" s="58">
        <f>IF('PP-A13'!H18=0,"    -",ROUND('PP-A13'!H47/'PP-A13'!H18*100,1))</f>
        <v>81.5</v>
      </c>
      <c r="I54" s="58">
        <f>IF('PP-A13'!I18=0,"    -",ROUND('PP-A13'!I47/'PP-A13'!I18*100,1))</f>
        <v>87</v>
      </c>
      <c r="J54" s="58">
        <f>IF('PP-A13'!J18=0,"    -",ROUND('PP-A13'!J47/'PP-A13'!J18*100,1))</f>
        <v>85.8</v>
      </c>
      <c r="K54" s="59">
        <f>IF('PP-A13'!K18=0,"    -",ROUND('PP-A13'!K47/'PP-A13'!K18*100,1))</f>
        <v>90.8</v>
      </c>
      <c r="L54" s="60">
        <f>IF('PP-A13'!L18=0,"    -",ROUND('PP-A13'!L47/'PP-A13'!L18*100,1))</f>
        <v>85.5</v>
      </c>
      <c r="M54" s="58">
        <f>IF('PP-A13'!M18=0,"    -",ROUND('PP-A13'!M47/'PP-A13'!M18*100,1))</f>
        <v>92.9</v>
      </c>
      <c r="N54" s="58">
        <f>IF('PP-A13'!N18=0,"    -",ROUND('PP-A13'!N47/'PP-A13'!N18*100,1))</f>
        <v>93</v>
      </c>
      <c r="O54" s="58">
        <f>IF('PP-A13'!O18=0,"    -",ROUND('PP-A13'!O47/'PP-A13'!O18*100,1))</f>
        <v>93.1</v>
      </c>
      <c r="P54" s="58">
        <f>IF('PP-A13'!P18=0,"    -",ROUND('PP-A13'!P47/'PP-A13'!P18*100,1))</f>
        <v>93</v>
      </c>
      <c r="Q54" s="61">
        <f>IF('PP-A13'!Q18=0,"    -",ROUND('PP-A13'!Q47/'PP-A13'!Q18*100,1))</f>
        <v>93</v>
      </c>
    </row>
    <row r="55" spans="2:17" ht="17.25" customHeight="1">
      <c r="B55" s="674" t="s">
        <v>307</v>
      </c>
      <c r="C55" s="675"/>
      <c r="D55" s="74">
        <f>IF('PP-A13'!D19=0,"    -",ROUND('PP-A13'!D48/'PP-A13'!D19*100,1))</f>
        <v>87.4</v>
      </c>
      <c r="E55" s="75">
        <f>IF('PP-A13'!E19=0,"    -",ROUND('PP-A13'!E48/'PP-A13'!E19*100,1))</f>
        <v>84.9</v>
      </c>
      <c r="F55" s="75">
        <f>IF('PP-A13'!F19=0,"    -",ROUND('PP-A13'!F48/'PP-A13'!F19*100,1))</f>
        <v>81</v>
      </c>
      <c r="G55" s="75">
        <f>IF('PP-A13'!G19=0,"    -",ROUND('PP-A13'!G48/'PP-A13'!G19*100,1))</f>
        <v>85.5</v>
      </c>
      <c r="H55" s="75">
        <f>IF('PP-A13'!H19=0,"    -",ROUND('PP-A13'!H48/'PP-A13'!H19*100,1))</f>
        <v>85.8</v>
      </c>
      <c r="I55" s="75">
        <f>IF('PP-A13'!I19=0,"    -",ROUND('PP-A13'!I48/'PP-A13'!I19*100,1))</f>
        <v>87.2</v>
      </c>
      <c r="J55" s="75">
        <f>IF('PP-A13'!J19=0,"    -",ROUND('PP-A13'!J48/'PP-A13'!J19*100,1))</f>
        <v>89.2</v>
      </c>
      <c r="K55" s="76">
        <f>IF('PP-A13'!K19=0,"    -",ROUND('PP-A13'!K48/'PP-A13'!K19*100,1))</f>
        <v>88.2</v>
      </c>
      <c r="L55" s="77">
        <f>IF('PP-A13'!L19=0,"    -",ROUND('PP-A13'!L48/'PP-A13'!L19*100,1))</f>
        <v>90.4</v>
      </c>
      <c r="M55" s="75">
        <f>IF('PP-A13'!M19=0,"    -",ROUND('PP-A13'!M48/'PP-A13'!M19*100,1))</f>
        <v>89.9</v>
      </c>
      <c r="N55" s="75">
        <f>IF('PP-A13'!N19=0,"    -",ROUND('PP-A13'!N48/'PP-A13'!N19*100,1))</f>
        <v>88.1</v>
      </c>
      <c r="O55" s="75">
        <f>IF('PP-A13'!O19=0,"    -",ROUND('PP-A13'!O48/'PP-A13'!O19*100,1))</f>
        <v>87.8</v>
      </c>
      <c r="P55" s="75">
        <f>IF('PP-A13'!P19=0,"    -",ROUND('PP-A13'!P48/'PP-A13'!P19*100,1))</f>
        <v>88.8</v>
      </c>
      <c r="Q55" s="78">
        <f>IF('PP-A13'!Q19=0,"    -",ROUND('PP-A13'!Q48/'PP-A13'!Q19*100,1))</f>
        <v>89.5</v>
      </c>
    </row>
    <row r="56" spans="2:17" ht="17.25" customHeight="1">
      <c r="B56" s="672" t="s">
        <v>308</v>
      </c>
      <c r="C56" s="673"/>
      <c r="D56" s="135">
        <f>IF('PP-A13'!D20=0,"    -",ROUND('PP-A13'!D49/'PP-A13'!D20*100,1))</f>
        <v>74.5</v>
      </c>
      <c r="E56" s="136">
        <f>IF('PP-A13'!E20=0,"    -",ROUND('PP-A13'!E49/'PP-A13'!E20*100,1))</f>
        <v>73.900000000000006</v>
      </c>
      <c r="F56" s="136">
        <f>IF('PP-A13'!F20=0,"    -",ROUND('PP-A13'!F49/'PP-A13'!F20*100,1))</f>
        <v>77.400000000000006</v>
      </c>
      <c r="G56" s="136">
        <f>IF('PP-A13'!G20=0,"    -",ROUND('PP-A13'!G49/'PP-A13'!G20*100,1))</f>
        <v>91.7</v>
      </c>
      <c r="H56" s="136">
        <f>IF('PP-A13'!H20=0,"    -",ROUND('PP-A13'!H49/'PP-A13'!H20*100,1))</f>
        <v>92.3</v>
      </c>
      <c r="I56" s="136">
        <f>IF('PP-A13'!I20=0,"    -",ROUND('PP-A13'!I49/'PP-A13'!I20*100,1))</f>
        <v>92.3</v>
      </c>
      <c r="J56" s="136">
        <f>IF('PP-A13'!J20=0,"    -",ROUND('PP-A13'!J49/'PP-A13'!J20*100,1))</f>
        <v>92.3</v>
      </c>
      <c r="K56" s="137">
        <f>IF('PP-A13'!K20=0,"    -",ROUND('PP-A13'!K49/'PP-A13'!K20*100,1))</f>
        <v>88.5</v>
      </c>
      <c r="L56" s="135">
        <f>IF('PP-A13'!L20=0,"    -",ROUND('PP-A13'!L49/'PP-A13'!L20*100,1))</f>
        <v>88.5</v>
      </c>
      <c r="M56" s="136">
        <f>IF('PP-A13'!M20=0,"    -",ROUND('PP-A13'!M49/'PP-A13'!M20*100,1))</f>
        <v>88.5</v>
      </c>
      <c r="N56" s="136">
        <f>IF('PP-A13'!N20=0,"    -",ROUND('PP-A13'!N49/'PP-A13'!N20*100,1))</f>
        <v>88.5</v>
      </c>
      <c r="O56" s="136">
        <f>IF('PP-A13'!O20=0,"    -",ROUND('PP-A13'!O49/'PP-A13'!O20*100,1))</f>
        <v>88.5</v>
      </c>
      <c r="P56" s="136">
        <f>IF('PP-A13'!P20=0,"    -",ROUND('PP-A13'!P49/'PP-A13'!P20*100,1))</f>
        <v>88.5</v>
      </c>
      <c r="Q56" s="137">
        <f>IF('PP-A13'!Q20=0,"    -",ROUND('PP-A13'!Q49/'PP-A13'!Q20*100,1))</f>
        <v>88.5</v>
      </c>
    </row>
    <row r="57" spans="2:17" ht="16.5" customHeight="1">
      <c r="B57" s="105"/>
      <c r="C57" s="97" t="s">
        <v>309</v>
      </c>
      <c r="D57" s="135">
        <f>IF('PP-A13'!D21=0,"    -",ROUND('PP-A13'!D50/'PP-A13'!D21*100,1))</f>
        <v>74.5</v>
      </c>
      <c r="E57" s="136">
        <f>IF('PP-A13'!E21=0,"    -",ROUND('PP-A13'!E50/'PP-A13'!E21*100,1))</f>
        <v>73.900000000000006</v>
      </c>
      <c r="F57" s="136">
        <f>IF('PP-A13'!F21=0,"    -",ROUND('PP-A13'!F50/'PP-A13'!F21*100,1))</f>
        <v>77.400000000000006</v>
      </c>
      <c r="G57" s="136">
        <f>IF('PP-A13'!G21=0,"    -",ROUND('PP-A13'!G50/'PP-A13'!G21*100,1))</f>
        <v>91.7</v>
      </c>
      <c r="H57" s="136">
        <f>IF('PP-A13'!H21=0,"    -",ROUND('PP-A13'!H50/'PP-A13'!H21*100,1))</f>
        <v>92.3</v>
      </c>
      <c r="I57" s="136">
        <f>IF('PP-A13'!I21=0,"    -",ROUND('PP-A13'!I50/'PP-A13'!I21*100,1))</f>
        <v>92.3</v>
      </c>
      <c r="J57" s="136">
        <f>IF('PP-A13'!J21=0,"    -",ROUND('PP-A13'!J50/'PP-A13'!J21*100,1))</f>
        <v>92.3</v>
      </c>
      <c r="K57" s="137">
        <f>IF('PP-A13'!K21=0,"    -",ROUND('PP-A13'!K50/'PP-A13'!K21*100,1))</f>
        <v>88.5</v>
      </c>
      <c r="L57" s="135">
        <f>IF('PP-A13'!L21=0,"    -",ROUND('PP-A13'!L50/'PP-A13'!L21*100,1))</f>
        <v>88.5</v>
      </c>
      <c r="M57" s="136">
        <f>IF('PP-A13'!M21=0,"    -",ROUND('PP-A13'!M50/'PP-A13'!M21*100,1))</f>
        <v>88.5</v>
      </c>
      <c r="N57" s="136">
        <f>IF('PP-A13'!N21=0,"    -",ROUND('PP-A13'!N50/'PP-A13'!N21*100,1))</f>
        <v>88.5</v>
      </c>
      <c r="O57" s="136">
        <f>IF('PP-A13'!O21=0,"    -",ROUND('PP-A13'!O50/'PP-A13'!O21*100,1))</f>
        <v>88.5</v>
      </c>
      <c r="P57" s="136">
        <f>IF('PP-A13'!P21=0,"    -",ROUND('PP-A13'!P50/'PP-A13'!P21*100,1))</f>
        <v>88.5</v>
      </c>
      <c r="Q57" s="137">
        <f>IF('PP-A13'!Q21=0,"    -",ROUND('PP-A13'!Q50/'PP-A13'!Q21*100,1))</f>
        <v>88.5</v>
      </c>
    </row>
    <row r="58" spans="2:17" ht="17.25" customHeight="1">
      <c r="B58" s="672" t="s">
        <v>310</v>
      </c>
      <c r="C58" s="673"/>
      <c r="D58" s="57">
        <f>IF('PP-A13'!D22=0,"    -",ROUND('PP-A13'!D51/'PP-A13'!D22*100,1))</f>
        <v>90.4</v>
      </c>
      <c r="E58" s="58">
        <f>IF('PP-A13'!E22=0,"    -",ROUND('PP-A13'!E51/'PP-A13'!E22*100,1))</f>
        <v>90.1</v>
      </c>
      <c r="F58" s="58">
        <f>IF('PP-A13'!F22=0,"    -",ROUND('PP-A13'!F51/'PP-A13'!F22*100,1))</f>
        <v>86.4</v>
      </c>
      <c r="G58" s="58">
        <f>IF('PP-A13'!G22=0,"    -",ROUND('PP-A13'!G51/'PP-A13'!G22*100,1))</f>
        <v>86.5</v>
      </c>
      <c r="H58" s="58">
        <f>IF('PP-A13'!H22=0,"    -",ROUND('PP-A13'!H51/'PP-A13'!H22*100,1))</f>
        <v>88.1</v>
      </c>
      <c r="I58" s="58">
        <f>IF('PP-A13'!I22=0,"    -",ROUND('PP-A13'!I51/'PP-A13'!I22*100,1))</f>
        <v>89.9</v>
      </c>
      <c r="J58" s="58">
        <f>IF('PP-A13'!J22=0,"    -",ROUND('PP-A13'!J51/'PP-A13'!J22*100,1))</f>
        <v>91.1</v>
      </c>
      <c r="K58" s="59">
        <f>IF('PP-A13'!K22=0,"    -",ROUND('PP-A13'!K51/'PP-A13'!K22*100,1))</f>
        <v>100.9</v>
      </c>
      <c r="L58" s="57">
        <f>IF('PP-A13'!L22=0,"    -",ROUND('PP-A13'!L51/'PP-A13'!L22*100,1))</f>
        <v>100.9</v>
      </c>
      <c r="M58" s="58">
        <f>IF('PP-A13'!M22=0,"    -",ROUND('PP-A13'!M51/'PP-A13'!M22*100,1))</f>
        <v>100.9</v>
      </c>
      <c r="N58" s="58">
        <f>IF('PP-A13'!N22=0,"    -",ROUND('PP-A13'!N51/'PP-A13'!N22*100,1))</f>
        <v>100.9</v>
      </c>
      <c r="O58" s="58">
        <f>IF('PP-A13'!O22=0,"    -",ROUND('PP-A13'!O51/'PP-A13'!O22*100,1))</f>
        <v>100.9</v>
      </c>
      <c r="P58" s="58">
        <f>IF('PP-A13'!P22=0,"    -",ROUND('PP-A13'!P51/'PP-A13'!P22*100,1))</f>
        <v>100.9</v>
      </c>
      <c r="Q58" s="59">
        <f>IF('PP-A13'!Q22=0,"    -",ROUND('PP-A13'!Q51/'PP-A13'!Q22*100,1))</f>
        <v>100.9</v>
      </c>
    </row>
    <row r="59" spans="2:17" ht="16.5" customHeight="1">
      <c r="B59" s="105"/>
      <c r="C59" s="615" t="s">
        <v>311</v>
      </c>
      <c r="D59" s="74">
        <f>IF('PP-A13'!D23=0,"    -",ROUND('PP-A13'!D52/'PP-A13'!D23*100,1))</f>
        <v>90.6</v>
      </c>
      <c r="E59" s="75">
        <f>IF('PP-A13'!E23=0,"    -",ROUND('PP-A13'!E52/'PP-A13'!E23*100,1))</f>
        <v>90.6</v>
      </c>
      <c r="F59" s="75">
        <f>IF('PP-A13'!F23=0,"    -",ROUND('PP-A13'!F52/'PP-A13'!F23*100,1))</f>
        <v>87</v>
      </c>
      <c r="G59" s="75">
        <f>IF('PP-A13'!G23=0,"    -",ROUND('PP-A13'!G52/'PP-A13'!G23*100,1))</f>
        <v>87.1</v>
      </c>
      <c r="H59" s="75">
        <f>IF('PP-A13'!H23=0,"    -",ROUND('PP-A13'!H52/'PP-A13'!H23*100,1))</f>
        <v>88.9</v>
      </c>
      <c r="I59" s="75">
        <f>IF('PP-A13'!I23=0,"    -",ROUND('PP-A13'!I52/'PP-A13'!I23*100,1))</f>
        <v>91</v>
      </c>
      <c r="J59" s="75">
        <f>IF('PP-A13'!J23=0,"    -",ROUND('PP-A13'!J52/'PP-A13'!J23*100,1))</f>
        <v>93</v>
      </c>
      <c r="K59" s="76">
        <f>IF('PP-A13'!K23=0,"    -",ROUND('PP-A13'!K52/'PP-A13'!K23*100,1))</f>
        <v>100</v>
      </c>
      <c r="L59" s="74">
        <f>IF('PP-A13'!L23=0,"    -",ROUND('PP-A13'!L52/'PP-A13'!L23*100,1))</f>
        <v>100</v>
      </c>
      <c r="M59" s="75">
        <f>IF('PP-A13'!M23=0,"    -",ROUND('PP-A13'!M52/'PP-A13'!M23*100,1))</f>
        <v>100</v>
      </c>
      <c r="N59" s="75">
        <f>IF('PP-A13'!N23=0,"    -",ROUND('PP-A13'!N52/'PP-A13'!N23*100,1))</f>
        <v>100</v>
      </c>
      <c r="O59" s="75">
        <f>IF('PP-A13'!O23=0,"    -",ROUND('PP-A13'!O52/'PP-A13'!O23*100,1))</f>
        <v>100</v>
      </c>
      <c r="P59" s="75">
        <f>IF('PP-A13'!P23=0,"    -",ROUND('PP-A13'!P52/'PP-A13'!P23*100,1))</f>
        <v>100</v>
      </c>
      <c r="Q59" s="76">
        <f>IF('PP-A13'!Q23=0,"    -",ROUND('PP-A13'!Q52/'PP-A13'!Q23*100,1))</f>
        <v>100</v>
      </c>
    </row>
    <row r="60" spans="2:17" ht="17.25" customHeight="1">
      <c r="B60" s="672" t="s">
        <v>312</v>
      </c>
      <c r="C60" s="673"/>
      <c r="D60" s="57">
        <f>IF('PP-A13'!D24=0,"    -",ROUND('PP-A13'!D53/'PP-A13'!D24*100,1))</f>
        <v>88.5</v>
      </c>
      <c r="E60" s="58">
        <f>IF('PP-A13'!E24=0,"    -",ROUND('PP-A13'!E53/'PP-A13'!E24*100,1))</f>
        <v>85.9</v>
      </c>
      <c r="F60" s="58">
        <f>IF('PP-A13'!F24=0,"    -",ROUND('PP-A13'!F53/'PP-A13'!F24*100,1))</f>
        <v>82.4</v>
      </c>
      <c r="G60" s="58">
        <f>IF('PP-A13'!G24=0,"    -",ROUND('PP-A13'!G53/'PP-A13'!G24*100,1))</f>
        <v>88.8</v>
      </c>
      <c r="H60" s="58">
        <f>IF('PP-A13'!H24=0,"    -",ROUND('PP-A13'!H53/'PP-A13'!H24*100,1))</f>
        <v>91</v>
      </c>
      <c r="I60" s="58">
        <f>IF('PP-A13'!I24=0,"    -",ROUND('PP-A13'!I53/'PP-A13'!I24*100,1))</f>
        <v>92.4</v>
      </c>
      <c r="J60" s="58">
        <f>IF('PP-A13'!J24=0,"    -",ROUND('PP-A13'!J53/'PP-A13'!J24*100,1))</f>
        <v>93.3</v>
      </c>
      <c r="K60" s="59">
        <f>IF('PP-A13'!K24=0,"    -",ROUND('PP-A13'!K53/'PP-A13'!K24*100,1))</f>
        <v>91.8</v>
      </c>
      <c r="L60" s="57">
        <f>IF('PP-A13'!L24=0,"    -",ROUND('PP-A13'!L53/'PP-A13'!L24*100,1))</f>
        <v>90.1</v>
      </c>
      <c r="M60" s="58">
        <f>IF('PP-A13'!M24=0,"    -",ROUND('PP-A13'!M53/'PP-A13'!M24*100,1))</f>
        <v>90.7</v>
      </c>
      <c r="N60" s="58">
        <f>IF('PP-A13'!N24=0,"    -",ROUND('PP-A13'!N53/'PP-A13'!N24*100,1))</f>
        <v>89.9</v>
      </c>
      <c r="O60" s="58">
        <f>IF('PP-A13'!O24=0,"    -",ROUND('PP-A13'!O53/'PP-A13'!O24*100,1))</f>
        <v>91.1</v>
      </c>
      <c r="P60" s="58">
        <f>IF('PP-A13'!P24=0,"    -",ROUND('PP-A13'!P53/'PP-A13'!P24*100,1))</f>
        <v>91.4</v>
      </c>
      <c r="Q60" s="59">
        <f>IF('PP-A13'!Q24=0,"    -",ROUND('PP-A13'!Q53/'PP-A13'!Q24*100,1))</f>
        <v>91.8</v>
      </c>
    </row>
    <row r="61" spans="2:17" ht="16.5" customHeight="1">
      <c r="B61" s="16"/>
      <c r="C61" s="615" t="s">
        <v>313</v>
      </c>
      <c r="D61" s="74" t="str">
        <f>IF('PP-A13'!D25=0,"    -",ROUND('PP-A13'!D54/'PP-A13'!D25*100,1))</f>
        <v xml:space="preserve">    -</v>
      </c>
      <c r="E61" s="75">
        <f>IF('PP-A13'!E25=0,"    -",ROUND('PP-A13'!E54/'PP-A13'!E25*100,1))</f>
        <v>79.7</v>
      </c>
      <c r="F61" s="75">
        <f>IF('PP-A13'!F25=0,"    -",ROUND('PP-A13'!F54/'PP-A13'!F25*100,1))</f>
        <v>71.2</v>
      </c>
      <c r="G61" s="75">
        <f>IF('PP-A13'!G25=0,"    -",ROUND('PP-A13'!G54/'PP-A13'!G25*100,1))</f>
        <v>77.7</v>
      </c>
      <c r="H61" s="75">
        <f>IF('PP-A13'!H25=0,"    -",ROUND('PP-A13'!H54/'PP-A13'!H25*100,1))</f>
        <v>87.3</v>
      </c>
      <c r="I61" s="75">
        <f>IF('PP-A13'!I25=0,"    -",ROUND('PP-A13'!I54/'PP-A13'!I25*100,1))</f>
        <v>89</v>
      </c>
      <c r="J61" s="75">
        <f>IF('PP-A13'!J25=0,"    -",ROUND('PP-A13'!J54/'PP-A13'!J25*100,1))</f>
        <v>84.3</v>
      </c>
      <c r="K61" s="76">
        <f>IF('PP-A13'!K25=0,"    -",ROUND('PP-A13'!K54/'PP-A13'!K25*100,1))</f>
        <v>84.6</v>
      </c>
      <c r="L61" s="74">
        <f>IF('PP-A13'!L25=0,"    -",ROUND('PP-A13'!L54/'PP-A13'!L25*100,1))</f>
        <v>85.1</v>
      </c>
      <c r="M61" s="75">
        <f>IF('PP-A13'!M25=0,"    -",ROUND('PP-A13'!M54/'PP-A13'!M25*100,1))</f>
        <v>86.2</v>
      </c>
      <c r="N61" s="75">
        <f>IF('PP-A13'!N25=0,"    -",ROUND('PP-A13'!N54/'PP-A13'!N25*100,1))</f>
        <v>87.1</v>
      </c>
      <c r="O61" s="75">
        <f>IF('PP-A13'!O25=0,"    -",ROUND('PP-A13'!O54/'PP-A13'!O25*100,1))</f>
        <v>87.6</v>
      </c>
      <c r="P61" s="75">
        <f>IF('PP-A13'!P25=0,"    -",ROUND('PP-A13'!P54/'PP-A13'!P25*100,1))</f>
        <v>88.4</v>
      </c>
      <c r="Q61" s="76">
        <f>IF('PP-A13'!Q25=0,"    -",ROUND('PP-A13'!Q54/'PP-A13'!Q25*100,1))</f>
        <v>89.4</v>
      </c>
    </row>
    <row r="62" spans="2:17" ht="17.25" customHeight="1">
      <c r="B62" s="674" t="s">
        <v>314</v>
      </c>
      <c r="C62" s="675"/>
      <c r="D62" s="57">
        <f>IF('PP-A13'!D26=0,"    -",ROUND('PP-A13'!D55/'PP-A13'!D26*100,1))</f>
        <v>38.9</v>
      </c>
      <c r="E62" s="58">
        <f>IF('PP-A13'!E26=0,"    -",ROUND('PP-A13'!E55/'PP-A13'!E26*100,1))</f>
        <v>32.1</v>
      </c>
      <c r="F62" s="58">
        <f>IF('PP-A13'!F26=0,"    -",ROUND('PP-A13'!F55/'PP-A13'!F26*100,1))</f>
        <v>28.8</v>
      </c>
      <c r="G62" s="58">
        <f>IF('PP-A13'!G26=0,"    -",ROUND('PP-A13'!G55/'PP-A13'!G26*100,1))</f>
        <v>26.5</v>
      </c>
      <c r="H62" s="58">
        <f>IF('PP-A13'!H26=0,"    -",ROUND('PP-A13'!H55/'PP-A13'!H26*100,1))</f>
        <v>28.1</v>
      </c>
      <c r="I62" s="58">
        <f>IF('PP-A13'!I26=0,"    -",ROUND('PP-A13'!I55/'PP-A13'!I26*100,1))</f>
        <v>39.299999999999997</v>
      </c>
      <c r="J62" s="58">
        <f>IF('PP-A13'!J26=0,"    -",ROUND('PP-A13'!J55/'PP-A13'!J26*100,1))</f>
        <v>43.1</v>
      </c>
      <c r="K62" s="59">
        <f>IF('PP-A13'!K26=0,"    -",ROUND('PP-A13'!K55/'PP-A13'!K26*100,1))</f>
        <v>71.2</v>
      </c>
      <c r="L62" s="57">
        <f>IF('PP-A13'!L26=0,"    -",ROUND('PP-A13'!L55/'PP-A13'!L26*100,1))</f>
        <v>71.900000000000006</v>
      </c>
      <c r="M62" s="58">
        <f>IF('PP-A13'!M26=0,"    -",ROUND('PP-A13'!M55/'PP-A13'!M26*100,1))</f>
        <v>72.8</v>
      </c>
      <c r="N62" s="58">
        <f>IF('PP-A13'!N26=0,"    -",ROUND('PP-A13'!N55/'PP-A13'!N26*100,1))</f>
        <v>73.3</v>
      </c>
      <c r="O62" s="58">
        <f>IF('PP-A13'!O26=0,"    -",ROUND('PP-A13'!O55/'PP-A13'!O26*100,1))</f>
        <v>74.099999999999994</v>
      </c>
      <c r="P62" s="58">
        <f>IF('PP-A13'!P26=0,"    -",ROUND('PP-A13'!P55/'PP-A13'!P26*100,1))</f>
        <v>74.400000000000006</v>
      </c>
      <c r="Q62" s="59">
        <f>IF('PP-A13'!Q26=0,"    -",ROUND('PP-A13'!Q55/'PP-A13'!Q26*100,1))</f>
        <v>74.8</v>
      </c>
    </row>
    <row r="63" spans="2:17" ht="17.25" customHeight="1">
      <c r="B63" s="674" t="s">
        <v>315</v>
      </c>
      <c r="C63" s="675"/>
      <c r="D63" s="74">
        <f>IF('PP-A13'!D27=0,"    -",ROUND('PP-A13'!D56/'PP-A13'!D27*100,1))</f>
        <v>92.9</v>
      </c>
      <c r="E63" s="75">
        <f>IF('PP-A13'!E27=0,"    -",ROUND('PP-A13'!E56/'PP-A13'!E27*100,1))</f>
        <v>99.9</v>
      </c>
      <c r="F63" s="75">
        <f>IF('PP-A13'!F27=0,"    -",ROUND('PP-A13'!F56/'PP-A13'!F27*100,1))</f>
        <v>83.4</v>
      </c>
      <c r="G63" s="75">
        <f>IF('PP-A13'!G27=0,"    -",ROUND('PP-A13'!G56/'PP-A13'!G27*100,1))</f>
        <v>46.6</v>
      </c>
      <c r="H63" s="75">
        <f>IF('PP-A13'!H27=0,"    -",ROUND('PP-A13'!H56/'PP-A13'!H27*100,1))</f>
        <v>65.599999999999994</v>
      </c>
      <c r="I63" s="75">
        <f>IF('PP-A13'!I27=0,"    -",ROUND('PP-A13'!I56/'PP-A13'!I27*100,1))</f>
        <v>76.8</v>
      </c>
      <c r="J63" s="75">
        <f>IF('PP-A13'!J27=0,"    -",ROUND('PP-A13'!J56/'PP-A13'!J27*100,1))</f>
        <v>94.3</v>
      </c>
      <c r="K63" s="76">
        <f>IF('PP-A13'!K27=0,"    -",ROUND('PP-A13'!K56/'PP-A13'!K27*100,1))</f>
        <v>96.2</v>
      </c>
      <c r="L63" s="77">
        <f>IF('PP-A13'!L27=0,"    -",ROUND('PP-A13'!L56/'PP-A13'!L27*100,1))</f>
        <v>80.599999999999994</v>
      </c>
      <c r="M63" s="75">
        <f>IF('PP-A13'!M27=0,"    -",ROUND('PP-A13'!M56/'PP-A13'!M27*100,1))</f>
        <v>78.400000000000006</v>
      </c>
      <c r="N63" s="75">
        <f>IF('PP-A13'!N27=0,"    -",ROUND('PP-A13'!N56/'PP-A13'!N27*100,1))</f>
        <v>78.400000000000006</v>
      </c>
      <c r="O63" s="75">
        <f>IF('PP-A13'!O27=0,"    -",ROUND('PP-A13'!O56/'PP-A13'!O27*100,1))</f>
        <v>88.1</v>
      </c>
      <c r="P63" s="75">
        <f>IF('PP-A13'!P27=0,"    -",ROUND('PP-A13'!P56/'PP-A13'!P27*100,1))</f>
        <v>79.400000000000006</v>
      </c>
      <c r="Q63" s="78">
        <f>IF('PP-A13'!Q27=0,"    -",ROUND('PP-A13'!Q56/'PP-A13'!Q27*100,1))</f>
        <v>85</v>
      </c>
    </row>
    <row r="64" spans="2:17" ht="16.5" customHeight="1">
      <c r="B64" s="672" t="s">
        <v>316</v>
      </c>
      <c r="C64" s="673"/>
      <c r="D64" s="57">
        <f>IF('PP-A13'!D28=0,"    -",ROUND('PP-A13'!D57/'PP-A13'!D28*100,1))</f>
        <v>92.3</v>
      </c>
      <c r="E64" s="58">
        <f>IF('PP-A13'!E28=0,"    -",ROUND('PP-A13'!E57/'PP-A13'!E28*100,1))</f>
        <v>74.599999999999994</v>
      </c>
      <c r="F64" s="58">
        <f>IF('PP-A13'!F28=0,"    -",ROUND('PP-A13'!F57/'PP-A13'!F28*100,1))</f>
        <v>86.6</v>
      </c>
      <c r="G64" s="58">
        <f>IF('PP-A13'!G28=0,"    -",ROUND('PP-A13'!G57/'PP-A13'!G28*100,1))</f>
        <v>89.4</v>
      </c>
      <c r="H64" s="58">
        <f>IF('PP-A13'!H28=0,"    -",ROUND('PP-A13'!H57/'PP-A13'!H28*100,1))</f>
        <v>90</v>
      </c>
      <c r="I64" s="58">
        <f>IF('PP-A13'!I28=0,"    -",ROUND('PP-A13'!I57/'PP-A13'!I28*100,1))</f>
        <v>91.5</v>
      </c>
      <c r="J64" s="58">
        <f>IF('PP-A13'!J28=0,"    -",ROUND('PP-A13'!J57/'PP-A13'!J28*100,1))</f>
        <v>90.1</v>
      </c>
      <c r="K64" s="59">
        <f>IF('PP-A13'!K28=0,"    -",ROUND('PP-A13'!K57/'PP-A13'!K28*100,1))</f>
        <v>90</v>
      </c>
      <c r="L64" s="60">
        <f>IF('PP-A13'!L28=0,"    -",ROUND('PP-A13'!L57/'PP-A13'!L28*100,1))</f>
        <v>90</v>
      </c>
      <c r="M64" s="58">
        <f>IF('PP-A13'!M28=0,"    -",ROUND('PP-A13'!M57/'PP-A13'!M28*100,1))</f>
        <v>90</v>
      </c>
      <c r="N64" s="58">
        <f>IF('PP-A13'!N28=0,"    -",ROUND('PP-A13'!N57/'PP-A13'!N28*100,1))</f>
        <v>90</v>
      </c>
      <c r="O64" s="58">
        <f>IF('PP-A13'!O28=0,"    -",ROUND('PP-A13'!O57/'PP-A13'!O28*100,1))</f>
        <v>90</v>
      </c>
      <c r="P64" s="58">
        <f>IF('PP-A13'!P28=0,"    -",ROUND('PP-A13'!P57/'PP-A13'!P28*100,1))</f>
        <v>90</v>
      </c>
      <c r="Q64" s="61">
        <f>IF('PP-A13'!Q28=0,"    -",ROUND('PP-A13'!Q57/'PP-A13'!Q28*100,1))</f>
        <v>90</v>
      </c>
    </row>
    <row r="65" spans="2:17" ht="16.5" customHeight="1">
      <c r="B65" s="670" t="s">
        <v>317</v>
      </c>
      <c r="C65" s="671"/>
      <c r="D65" s="57" t="str">
        <f>IF('PP-A13'!D29=0,"    -",ROUND('PP-A13'!D58/'PP-A13'!D29*100,1))</f>
        <v xml:space="preserve">    -</v>
      </c>
      <c r="E65" s="58" t="str">
        <f>IF('PP-A13'!E29=0,"    -",ROUND('PP-A13'!E58/'PP-A13'!E29*100,1))</f>
        <v xml:space="preserve">    -</v>
      </c>
      <c r="F65" s="58" t="str">
        <f>IF('PP-A13'!F29=0,"    -",ROUND('PP-A13'!F58/'PP-A13'!F29*100,1))</f>
        <v xml:space="preserve">    -</v>
      </c>
      <c r="G65" s="58" t="str">
        <f>IF('PP-A13'!G29=0,"    -",ROUND('PP-A13'!G58/'PP-A13'!G29*100,1))</f>
        <v xml:space="preserve">    -</v>
      </c>
      <c r="H65" s="58" t="str">
        <f>IF('PP-A13'!H29=0,"    -",ROUND('PP-A13'!H58/'PP-A13'!H29*100,1))</f>
        <v xml:space="preserve">    -</v>
      </c>
      <c r="I65" s="58" t="str">
        <f>IF('PP-A13'!I29=0,"    -",ROUND('PP-A13'!I58/'PP-A13'!I29*100,1))</f>
        <v xml:space="preserve">    -</v>
      </c>
      <c r="J65" s="58" t="str">
        <f>IF('PP-A13'!J29=0,"    -",ROUND('PP-A13'!J58/'PP-A13'!J29*100,1))</f>
        <v xml:space="preserve">    -</v>
      </c>
      <c r="K65" s="59" t="str">
        <f>IF('PP-A13'!K29=0,"    -",ROUND('PP-A13'!K58/'PP-A13'!K29*100,1))</f>
        <v xml:space="preserve">    -</v>
      </c>
      <c r="L65" s="60" t="str">
        <f>IF('PP-A13'!L29=0,"    -",ROUND('PP-A13'!L58/'PP-A13'!L29*100,1))</f>
        <v xml:space="preserve">    -</v>
      </c>
      <c r="M65" s="58" t="str">
        <f>IF('PP-A13'!M29=0,"    -",ROUND('PP-A13'!M58/'PP-A13'!M29*100,1))</f>
        <v xml:space="preserve">    -</v>
      </c>
      <c r="N65" s="58" t="str">
        <f>IF('PP-A13'!N29=0,"    -",ROUND('PP-A13'!N58/'PP-A13'!N29*100,1))</f>
        <v xml:space="preserve">    -</v>
      </c>
      <c r="O65" s="58">
        <f>IF('PP-A13'!O29=0,"    -",ROUND('PP-A13'!O58/'PP-A13'!O29*100,1))</f>
        <v>0</v>
      </c>
      <c r="P65" s="58">
        <f>IF('PP-A13'!P29=0,"    -",ROUND('PP-A13'!P58/'PP-A13'!P29*100,1))</f>
        <v>0</v>
      </c>
      <c r="Q65" s="61">
        <f>IF('PP-A13'!Q29=0,"    -",ROUND('PP-A13'!Q58/'PP-A13'!Q29*100,1))</f>
        <v>0</v>
      </c>
    </row>
    <row r="66" spans="2:17" ht="17.25" customHeight="1">
      <c r="B66" s="674" t="s">
        <v>318</v>
      </c>
      <c r="C66" s="675"/>
      <c r="D66" s="74">
        <f>IF('PP-A13'!D30=0,"    -",ROUND('PP-A13'!D59/'PP-A13'!D30*100,1))</f>
        <v>92.3</v>
      </c>
      <c r="E66" s="75">
        <f>IF('PP-A13'!E30=0,"    -",ROUND('PP-A13'!E59/'PP-A13'!E30*100,1))</f>
        <v>74.599999999999994</v>
      </c>
      <c r="F66" s="75">
        <f>IF('PP-A13'!F30=0,"    -",ROUND('PP-A13'!F59/'PP-A13'!F30*100,1))</f>
        <v>86.6</v>
      </c>
      <c r="G66" s="75">
        <f>IF('PP-A13'!G30=0,"    -",ROUND('PP-A13'!G59/'PP-A13'!G30*100,1))</f>
        <v>89.4</v>
      </c>
      <c r="H66" s="75">
        <f>IF('PP-A13'!H30=0,"    -",ROUND('PP-A13'!H59/'PP-A13'!H30*100,1))</f>
        <v>90</v>
      </c>
      <c r="I66" s="75">
        <f>IF('PP-A13'!I30=0,"    -",ROUND('PP-A13'!I59/'PP-A13'!I30*100,1))</f>
        <v>91.5</v>
      </c>
      <c r="J66" s="75">
        <f>IF('PP-A13'!J30=0,"    -",ROUND('PP-A13'!J59/'PP-A13'!J30*100,1))</f>
        <v>90.1</v>
      </c>
      <c r="K66" s="76">
        <f>IF('PP-A13'!K30=0,"    -",ROUND('PP-A13'!K59/'PP-A13'!K30*100,1))</f>
        <v>90</v>
      </c>
      <c r="L66" s="77">
        <f>IF('PP-A13'!L30=0,"    -",ROUND('PP-A13'!L59/'PP-A13'!L30*100,1))</f>
        <v>90</v>
      </c>
      <c r="M66" s="75">
        <f>IF('PP-A13'!M30=0,"    -",ROUND('PP-A13'!M59/'PP-A13'!M30*100,1))</f>
        <v>90</v>
      </c>
      <c r="N66" s="75">
        <f>IF('PP-A13'!N30=0,"    -",ROUND('PP-A13'!N59/'PP-A13'!N30*100,1))</f>
        <v>90</v>
      </c>
      <c r="O66" s="75">
        <f>IF('PP-A13'!O30=0,"    -",ROUND('PP-A13'!O59/'PP-A13'!O30*100,1))</f>
        <v>85.1</v>
      </c>
      <c r="P66" s="75">
        <f>IF('PP-A13'!P30=0,"    -",ROUND('PP-A13'!P59/'PP-A13'!P30*100,1))</f>
        <v>81.2</v>
      </c>
      <c r="Q66" s="78">
        <f>IF('PP-A13'!Q30=0,"    -",ROUND('PP-A13'!Q59/'PP-A13'!Q30*100,1))</f>
        <v>81.2</v>
      </c>
    </row>
    <row r="67" spans="2:17" ht="16.5" customHeight="1">
      <c r="B67" s="672" t="s">
        <v>319</v>
      </c>
      <c r="C67" s="673"/>
      <c r="D67" s="57">
        <f>IF('PP-A13'!D31=0,"    -",ROUND('PP-A13'!D60/'PP-A13'!D31*100,1))</f>
        <v>53.7</v>
      </c>
      <c r="E67" s="58">
        <f>IF('PP-A13'!E31=0,"    -",ROUND('PP-A13'!E60/'PP-A13'!E31*100,1))</f>
        <v>78</v>
      </c>
      <c r="F67" s="58">
        <f>IF('PP-A13'!F31=0,"    -",ROUND('PP-A13'!F60/'PP-A13'!F31*100,1))</f>
        <v>77.599999999999994</v>
      </c>
      <c r="G67" s="58">
        <f>IF('PP-A13'!G31=0,"    -",ROUND('PP-A13'!G60/'PP-A13'!G31*100,1))</f>
        <v>81.5</v>
      </c>
      <c r="H67" s="58">
        <f>IF('PP-A13'!H31=0,"    -",ROUND('PP-A13'!H60/'PP-A13'!H31*100,1))</f>
        <v>84.9</v>
      </c>
      <c r="I67" s="58">
        <f>IF('PP-A13'!I31=0,"    -",ROUND('PP-A13'!I60/'PP-A13'!I31*100,1))</f>
        <v>84.7</v>
      </c>
      <c r="J67" s="58">
        <f>IF('PP-A13'!J31=0,"    -",ROUND('PP-A13'!J60/'PP-A13'!J31*100,1))</f>
        <v>88.3</v>
      </c>
      <c r="K67" s="59">
        <f>IF('PP-A13'!K31=0,"    -",ROUND('PP-A13'!K60/'PP-A13'!K31*100,1))</f>
        <v>85</v>
      </c>
      <c r="L67" s="60">
        <f>IF('PP-A13'!L31=0,"    -",ROUND('PP-A13'!L60/'PP-A13'!L31*100,1))</f>
        <v>85</v>
      </c>
      <c r="M67" s="58">
        <f>IF('PP-A13'!M31=0,"    -",ROUND('PP-A13'!M60/'PP-A13'!M31*100,1))</f>
        <v>85</v>
      </c>
      <c r="N67" s="58">
        <f>IF('PP-A13'!N31=0,"    -",ROUND('PP-A13'!N60/'PP-A13'!N31*100,1))</f>
        <v>85</v>
      </c>
      <c r="O67" s="58">
        <f>IF('PP-A13'!O31=0,"    -",ROUND('PP-A13'!O60/'PP-A13'!O31*100,1))</f>
        <v>85</v>
      </c>
      <c r="P67" s="58">
        <f>IF('PP-A13'!P31=0,"    -",ROUND('PP-A13'!P60/'PP-A13'!P31*100,1))</f>
        <v>85</v>
      </c>
      <c r="Q67" s="61">
        <f>IF('PP-A13'!Q31=0,"    -",ROUND('PP-A13'!Q60/'PP-A13'!Q31*100,1))</f>
        <v>85</v>
      </c>
    </row>
    <row r="68" spans="2:17" ht="16.5" customHeight="1">
      <c r="B68" s="668" t="s">
        <v>320</v>
      </c>
      <c r="C68" s="669"/>
      <c r="D68" s="57">
        <f>IF('PP-A13'!D32=0,"    -",ROUND('PP-A13'!D61/'PP-A13'!D32*100,1))</f>
        <v>77.8</v>
      </c>
      <c r="E68" s="58">
        <f>IF('PP-A13'!E32=0,"    -",ROUND('PP-A13'!E61/'PP-A13'!E32*100,1))</f>
        <v>83.3</v>
      </c>
      <c r="F68" s="58">
        <f>IF('PP-A13'!F32=0,"    -",ROUND('PP-A13'!F61/'PP-A13'!F32*100,1))</f>
        <v>89.2</v>
      </c>
      <c r="G68" s="58">
        <f>IF('PP-A13'!G32=0,"    -",ROUND('PP-A13'!G61/'PP-A13'!G32*100,1))</f>
        <v>88.7</v>
      </c>
      <c r="H68" s="58">
        <f>IF('PP-A13'!H32=0,"    -",ROUND('PP-A13'!H61/'PP-A13'!H32*100,1))</f>
        <v>88.7</v>
      </c>
      <c r="I68" s="58">
        <f>IF('PP-A13'!I32=0,"    -",ROUND('PP-A13'!I61/'PP-A13'!I32*100,1))</f>
        <v>81.7</v>
      </c>
      <c r="J68" s="58">
        <f>IF('PP-A13'!J32=0,"    -",ROUND('PP-A13'!J61/'PP-A13'!J32*100,1))</f>
        <v>85.9</v>
      </c>
      <c r="K68" s="59">
        <f>IF('PP-A13'!K32=0,"    -",ROUND('PP-A13'!K61/'PP-A13'!K32*100,1))</f>
        <v>85</v>
      </c>
      <c r="L68" s="60">
        <f>IF('PP-A13'!L32=0,"    -",ROUND('PP-A13'!L61/'PP-A13'!L32*100,1))</f>
        <v>85</v>
      </c>
      <c r="M68" s="58">
        <f>IF('PP-A13'!M32=0,"    -",ROUND('PP-A13'!M61/'PP-A13'!M32*100,1))</f>
        <v>85</v>
      </c>
      <c r="N68" s="58">
        <f>IF('PP-A13'!N32=0,"    -",ROUND('PP-A13'!N61/'PP-A13'!N32*100,1))</f>
        <v>85</v>
      </c>
      <c r="O68" s="58">
        <f>IF('PP-A13'!O32=0,"    -",ROUND('PP-A13'!O61/'PP-A13'!O32*100,1))</f>
        <v>85</v>
      </c>
      <c r="P68" s="58">
        <f>IF('PP-A13'!P32=0,"    -",ROUND('PP-A13'!P61/'PP-A13'!P32*100,1))</f>
        <v>85</v>
      </c>
      <c r="Q68" s="61">
        <f>IF('PP-A13'!Q32=0,"    -",ROUND('PP-A13'!Q61/'PP-A13'!Q32*100,1))</f>
        <v>85</v>
      </c>
    </row>
    <row r="69" spans="2:17" ht="16.5" customHeight="1">
      <c r="B69" s="670" t="s">
        <v>321</v>
      </c>
      <c r="C69" s="671"/>
      <c r="D69" s="57">
        <f>IF('PP-A13'!D33=0,"    -",ROUND('PP-A13'!D62/'PP-A13'!D33*100,1))</f>
        <v>78.8</v>
      </c>
      <c r="E69" s="58">
        <f>IF('PP-A13'!E33=0,"    -",ROUND('PP-A13'!E62/'PP-A13'!E33*100,1))</f>
        <v>78.7</v>
      </c>
      <c r="F69" s="58">
        <f>IF('PP-A13'!F33=0,"    -",ROUND('PP-A13'!F62/'PP-A13'!F33*100,1))</f>
        <v>80.900000000000006</v>
      </c>
      <c r="G69" s="58">
        <f>IF('PP-A13'!G33=0,"    -",ROUND('PP-A13'!G62/'PP-A13'!G33*100,1))</f>
        <v>85</v>
      </c>
      <c r="H69" s="58">
        <f>IF('PP-A13'!H33=0,"    -",ROUND('PP-A13'!H62/'PP-A13'!H33*100,1))</f>
        <v>85</v>
      </c>
      <c r="I69" s="58">
        <f>IF('PP-A13'!I33=0,"    -",ROUND('PP-A13'!I62/'PP-A13'!I33*100,1))</f>
        <v>85</v>
      </c>
      <c r="J69" s="58">
        <f>IF('PP-A13'!J33=0,"    -",ROUND('PP-A13'!J62/'PP-A13'!J33*100,1))</f>
        <v>85</v>
      </c>
      <c r="K69" s="59">
        <f>IF('PP-A13'!K33=0,"    -",ROUND('PP-A13'!K62/'PP-A13'!K33*100,1))</f>
        <v>85</v>
      </c>
      <c r="L69" s="60">
        <f>IF('PP-A13'!L33=0,"    -",ROUND('PP-A13'!L62/'PP-A13'!L33*100,1))</f>
        <v>85</v>
      </c>
      <c r="M69" s="58">
        <f>IF('PP-A13'!M33=0,"    -",ROUND('PP-A13'!M62/'PP-A13'!M33*100,1))</f>
        <v>85</v>
      </c>
      <c r="N69" s="58">
        <f>IF('PP-A13'!N33=0,"    -",ROUND('PP-A13'!N62/'PP-A13'!N33*100,1))</f>
        <v>85</v>
      </c>
      <c r="O69" s="58">
        <f>IF('PP-A13'!O33=0,"    -",ROUND('PP-A13'!O62/'PP-A13'!O33*100,1))</f>
        <v>85</v>
      </c>
      <c r="P69" s="58">
        <f>IF('PP-A13'!P33=0,"    -",ROUND('PP-A13'!P62/'PP-A13'!P33*100,1))</f>
        <v>85</v>
      </c>
      <c r="Q69" s="61">
        <f>IF('PP-A13'!Q33=0,"    -",ROUND('PP-A13'!Q62/'PP-A13'!Q33*100,1))</f>
        <v>85</v>
      </c>
    </row>
    <row r="70" spans="2:17" ht="17.25" customHeight="1" thickBot="1">
      <c r="B70" s="678" t="s">
        <v>322</v>
      </c>
      <c r="C70" s="679"/>
      <c r="D70" s="111">
        <f>IF('PP-A13'!D34=0,"    -",ROUND('PP-A13'!D63/'PP-A13'!D34*100,1))</f>
        <v>74</v>
      </c>
      <c r="E70" s="112">
        <f>IF('PP-A13'!E34=0,"    -",ROUND('PP-A13'!E63/'PP-A13'!E34*100,1))</f>
        <v>81</v>
      </c>
      <c r="F70" s="112">
        <f>IF('PP-A13'!F34=0,"    -",ROUND('PP-A13'!F63/'PP-A13'!F34*100,1))</f>
        <v>84.7</v>
      </c>
      <c r="G70" s="112">
        <f>IF('PP-A13'!G34=0,"    -",ROUND('PP-A13'!G63/'PP-A13'!G34*100,1))</f>
        <v>86.4</v>
      </c>
      <c r="H70" s="112">
        <f>IF('PP-A13'!H34=0,"    -",ROUND('PP-A13'!H63/'PP-A13'!H34*100,1))</f>
        <v>86.9</v>
      </c>
      <c r="I70" s="112">
        <f>IF('PP-A13'!I34=0,"    -",ROUND('PP-A13'!I63/'PP-A13'!I34*100,1))</f>
        <v>83.2</v>
      </c>
      <c r="J70" s="112">
        <f>IF('PP-A13'!J34=0,"    -",ROUND('PP-A13'!J63/'PP-A13'!J34*100,1))</f>
        <v>86.1</v>
      </c>
      <c r="K70" s="113">
        <f>IF('PP-A13'!K34=0,"    -",ROUND('PP-A13'!K63/'PP-A13'!K34*100,1))</f>
        <v>85</v>
      </c>
      <c r="L70" s="114">
        <f>IF('PP-A13'!L34=0,"    -",ROUND('PP-A13'!L63/'PP-A13'!L34*100,1))</f>
        <v>85</v>
      </c>
      <c r="M70" s="112">
        <f>IF('PP-A13'!M34=0,"    -",ROUND('PP-A13'!M63/'PP-A13'!M34*100,1))</f>
        <v>85</v>
      </c>
      <c r="N70" s="112">
        <f>IF('PP-A13'!N34=0,"    -",ROUND('PP-A13'!N63/'PP-A13'!N34*100,1))</f>
        <v>85</v>
      </c>
      <c r="O70" s="112">
        <f>IF('PP-A13'!O34=0,"    -",ROUND('PP-A13'!O63/'PP-A13'!O34*100,1))</f>
        <v>85</v>
      </c>
      <c r="P70" s="112">
        <f>IF('PP-A13'!P34=0,"    -",ROUND('PP-A13'!P63/'PP-A13'!P34*100,1))</f>
        <v>85</v>
      </c>
      <c r="Q70" s="115">
        <f>IF('PP-A13'!Q34=0,"    -",ROUND('PP-A13'!Q63/'PP-A13'!Q34*100,1))</f>
        <v>85</v>
      </c>
    </row>
    <row r="71" spans="2:17" ht="18" customHeight="1" thickTop="1" thickBot="1">
      <c r="B71" s="21"/>
      <c r="C71" s="619" t="s">
        <v>337</v>
      </c>
      <c r="D71" s="122">
        <f>IF('PP-A13'!D35=0,"    -",ROUND('PP-A13'!D64/'PP-A13'!D35*100,1))</f>
        <v>86.9</v>
      </c>
      <c r="E71" s="123">
        <f>IF('PP-A13'!E35=0,"    -",ROUND('PP-A13'!E64/'PP-A13'!E35*100,1))</f>
        <v>83.4</v>
      </c>
      <c r="F71" s="123">
        <f>IF('PP-A13'!F35=0,"    -",ROUND('PP-A13'!F64/'PP-A13'!F35*100,1))</f>
        <v>81.8</v>
      </c>
      <c r="G71" s="123">
        <f>IF('PP-A13'!G35=0,"    -",ROUND('PP-A13'!G64/'PP-A13'!G35*100,1))</f>
        <v>84.5</v>
      </c>
      <c r="H71" s="123">
        <f>IF('PP-A13'!H35=0,"    -",ROUND('PP-A13'!H64/'PP-A13'!H35*100,1))</f>
        <v>85.8</v>
      </c>
      <c r="I71" s="123">
        <f>IF('PP-A13'!I35=0,"    -",ROUND('PP-A13'!I64/'PP-A13'!I35*100,1))</f>
        <v>87.4</v>
      </c>
      <c r="J71" s="123">
        <f>IF('PP-A13'!J35=0,"    -",ROUND('PP-A13'!J64/'PP-A13'!J35*100,1))</f>
        <v>89.2</v>
      </c>
      <c r="K71" s="124">
        <f>IF('PP-A13'!K35=0,"    -",ROUND('PP-A13'!K64/'PP-A13'!K35*100,1))</f>
        <v>90.3</v>
      </c>
      <c r="L71" s="125">
        <f>IF('PP-A13'!L35=0,"    -",ROUND('PP-A13'!L64/'PP-A13'!L35*100,1))</f>
        <v>90.9</v>
      </c>
      <c r="M71" s="123">
        <f>IF('PP-A13'!M35=0,"    -",ROUND('PP-A13'!M64/'PP-A13'!M35*100,1))</f>
        <v>90.6</v>
      </c>
      <c r="N71" s="123">
        <f>IF('PP-A13'!N35=0,"    -",ROUND('PP-A13'!N64/'PP-A13'!N35*100,1))</f>
        <v>89.4</v>
      </c>
      <c r="O71" s="123">
        <f>IF('PP-A13'!O35=0,"    -",ROUND('PP-A13'!O64/'PP-A13'!O35*100,1))</f>
        <v>89.1</v>
      </c>
      <c r="P71" s="123">
        <f>IF('PP-A13'!P35=0,"    -",ROUND('PP-A13'!P64/'PP-A13'!P35*100,1))</f>
        <v>88.9</v>
      </c>
      <c r="Q71" s="126">
        <f>IF('PP-A13'!Q35=0,"    -",ROUND('PP-A13'!Q64/'PP-A13'!Q35*100,1))</f>
        <v>89.6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55" priority="5">
      <formula>CELL("protect",C75)=0</formula>
    </cfRule>
    <cfRule type="expression" dxfId="154" priority="6">
      <formula>CELL("protect",C75)=0</formula>
    </cfRule>
  </conditionalFormatting>
  <conditionalFormatting sqref="C73">
    <cfRule type="expression" dxfId="153" priority="3">
      <formula>CELL("protect",C73)=0</formula>
    </cfRule>
    <cfRule type="expression" dxfId="152" priority="4">
      <formula>CELL("protect",C73)=0</formula>
    </cfRule>
  </conditionalFormatting>
  <conditionalFormatting sqref="C75">
    <cfRule type="expression" dxfId="151" priority="1">
      <formula>CELL("protect",C75)=0</formula>
    </cfRule>
    <cfRule type="expression" dxfId="150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&amp;C175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13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'AN-A14'!D36-'AN-A14'!D65</f>
        <v>94</v>
      </c>
      <c r="E7" s="240">
        <f>'AN-A14'!E36-'AN-A14'!E65</f>
        <v>98</v>
      </c>
      <c r="F7" s="240">
        <f>'AN-A14'!F36-'AN-A14'!F65</f>
        <v>69</v>
      </c>
      <c r="G7" s="240">
        <f>'AN-A14'!G36-'AN-A14'!G65</f>
        <v>206</v>
      </c>
      <c r="H7" s="240">
        <f>'AN-A14'!H36-'AN-A14'!H65</f>
        <v>187</v>
      </c>
      <c r="I7" s="240">
        <f>'AN-A14'!I36-'AN-A14'!I65</f>
        <v>138</v>
      </c>
      <c r="J7" s="240">
        <f>'AN-A14'!J36-'AN-A14'!J65</f>
        <v>107</v>
      </c>
      <c r="K7" s="241">
        <f>'AN-A14'!K36-'AN-A14'!K65</f>
        <v>120</v>
      </c>
      <c r="L7" s="242">
        <f>'AN-A14'!L36-'AN-A14'!L65</f>
        <v>110</v>
      </c>
      <c r="M7" s="240">
        <f>'AN-A14'!M36-'AN-A14'!M65</f>
        <v>130</v>
      </c>
      <c r="N7" s="240">
        <f>'AN-A14'!N36-'AN-A14'!N65</f>
        <v>150</v>
      </c>
      <c r="O7" s="240">
        <f>'AN-A14'!O36-'AN-A14'!O65</f>
        <v>140</v>
      </c>
      <c r="P7" s="240">
        <f>'AN-A14'!P36-'AN-A14'!P65</f>
        <v>140</v>
      </c>
      <c r="Q7" s="243">
        <f>'AN-A14'!Q36-'AN-A14'!Q65</f>
        <v>140</v>
      </c>
    </row>
    <row r="8" spans="2:19" ht="16.5" customHeight="1">
      <c r="B8" s="605" t="s">
        <v>434</v>
      </c>
      <c r="C8" s="606"/>
      <c r="D8" s="239">
        <f>'AN-A14'!D37-'AN-A14'!D66</f>
        <v>-11</v>
      </c>
      <c r="E8" s="240">
        <f>'AN-A14'!E37-'AN-A14'!E66</f>
        <v>6</v>
      </c>
      <c r="F8" s="240">
        <f>'AN-A14'!F37-'AN-A14'!F66</f>
        <v>25</v>
      </c>
      <c r="G8" s="240">
        <f>'AN-A14'!G37-'AN-A14'!G66</f>
        <v>78</v>
      </c>
      <c r="H8" s="240">
        <f>'AN-A14'!H37-'AN-A14'!H66</f>
        <v>75</v>
      </c>
      <c r="I8" s="240">
        <f>'AN-A14'!I37-'AN-A14'!I66</f>
        <v>95</v>
      </c>
      <c r="J8" s="240">
        <f>'AN-A14'!J37-'AN-A14'!J66</f>
        <v>95</v>
      </c>
      <c r="K8" s="241">
        <f>'AN-A14'!K37-'AN-A14'!K66</f>
        <v>67</v>
      </c>
      <c r="L8" s="242">
        <f>'AN-A14'!L37-'AN-A14'!L66</f>
        <v>55</v>
      </c>
      <c r="M8" s="240">
        <f>'AN-A14'!M37-'AN-A14'!M66</f>
        <v>60</v>
      </c>
      <c r="N8" s="240">
        <f>'AN-A14'!N37-'AN-A14'!N66</f>
        <v>65</v>
      </c>
      <c r="O8" s="240">
        <f>'AN-A14'!O37-'AN-A14'!O66</f>
        <v>55</v>
      </c>
      <c r="P8" s="240">
        <f>'AN-A14'!P37-'AN-A14'!P66</f>
        <v>55</v>
      </c>
      <c r="Q8" s="243">
        <f>'AN-A14'!Q37-'AN-A14'!Q66</f>
        <v>55</v>
      </c>
    </row>
    <row r="9" spans="2:19" ht="16.5" customHeight="1">
      <c r="B9" s="605" t="s">
        <v>435</v>
      </c>
      <c r="C9" s="606"/>
      <c r="D9" s="239">
        <f>'AN-A14'!D38-'AN-A14'!D67</f>
        <v>0</v>
      </c>
      <c r="E9" s="240">
        <f>'AN-A14'!E38-'AN-A14'!E67</f>
        <v>0</v>
      </c>
      <c r="F9" s="240">
        <f>'AN-A14'!F38-'AN-A14'!F67</f>
        <v>0</v>
      </c>
      <c r="G9" s="240">
        <f>'AN-A14'!G38-'AN-A14'!G67</f>
        <v>0</v>
      </c>
      <c r="H9" s="240">
        <f>'AN-A14'!H38-'AN-A14'!H67</f>
        <v>0</v>
      </c>
      <c r="I9" s="240">
        <f>'AN-A14'!I38-'AN-A14'!I67</f>
        <v>0</v>
      </c>
      <c r="J9" s="240">
        <f>'AN-A14'!J38-'AN-A14'!J67</f>
        <v>0</v>
      </c>
      <c r="K9" s="241">
        <f>'AN-A14'!K38-'AN-A14'!K67</f>
        <v>0</v>
      </c>
      <c r="L9" s="242">
        <f>'AN-A14'!L38-'AN-A14'!L67</f>
        <v>0</v>
      </c>
      <c r="M9" s="240">
        <f>'AN-A14'!M38-'AN-A14'!M67</f>
        <v>0</v>
      </c>
      <c r="N9" s="240">
        <f>'AN-A14'!N38-'AN-A14'!N67</f>
        <v>0</v>
      </c>
      <c r="O9" s="240">
        <f>'AN-A14'!O38-'AN-A14'!O67</f>
        <v>0</v>
      </c>
      <c r="P9" s="240">
        <f>'AN-A14'!P38-'AN-A14'!P67</f>
        <v>0</v>
      </c>
      <c r="Q9" s="243">
        <f>'AN-A14'!Q38-'AN-A14'!Q67</f>
        <v>0</v>
      </c>
    </row>
    <row r="10" spans="2:19" ht="16.5" customHeight="1">
      <c r="B10" s="605" t="s">
        <v>436</v>
      </c>
      <c r="C10" s="606"/>
      <c r="D10" s="239">
        <f>'AN-A14'!D39-'AN-A14'!D68</f>
        <v>-493</v>
      </c>
      <c r="E10" s="240">
        <f>'AN-A14'!E39-'AN-A14'!E68</f>
        <v>-542</v>
      </c>
      <c r="F10" s="240">
        <f>'AN-A14'!F39-'AN-A14'!F68</f>
        <v>-555</v>
      </c>
      <c r="G10" s="240">
        <f>'AN-A14'!G39-'AN-A14'!G68</f>
        <v>-547</v>
      </c>
      <c r="H10" s="240">
        <f>'AN-A14'!H39-'AN-A14'!H68</f>
        <v>-518</v>
      </c>
      <c r="I10" s="240">
        <f>'AN-A14'!I39-'AN-A14'!I68</f>
        <v>-398</v>
      </c>
      <c r="J10" s="240">
        <f>'AN-A14'!J39-'AN-A14'!J68</f>
        <v>-304</v>
      </c>
      <c r="K10" s="241">
        <f>'AN-A14'!K39-'AN-A14'!K68</f>
        <v>-261</v>
      </c>
      <c r="L10" s="242">
        <f>'AN-A14'!L39-'AN-A14'!L68</f>
        <v>-323</v>
      </c>
      <c r="M10" s="240">
        <f>'AN-A14'!M39-'AN-A14'!M68</f>
        <v>-281</v>
      </c>
      <c r="N10" s="240">
        <f>'AN-A14'!N39-'AN-A14'!N68</f>
        <v>-216</v>
      </c>
      <c r="O10" s="240">
        <f>'AN-A14'!O39-'AN-A14'!O68</f>
        <v>-145</v>
      </c>
      <c r="P10" s="240">
        <f>'AN-A14'!P39-'AN-A14'!P68</f>
        <v>-130</v>
      </c>
      <c r="Q10" s="243">
        <f>'AN-A14'!Q39-'AN-A14'!Q68</f>
        <v>-176</v>
      </c>
    </row>
    <row r="11" spans="2:19" ht="16.5" customHeight="1">
      <c r="B11" s="605" t="s">
        <v>437</v>
      </c>
      <c r="C11" s="606"/>
      <c r="D11" s="239">
        <f>'AN-A14'!D40-'AN-A14'!D69</f>
        <v>-141</v>
      </c>
      <c r="E11" s="240">
        <f>'AN-A14'!E40-'AN-A14'!E69</f>
        <v>-123</v>
      </c>
      <c r="F11" s="240">
        <f>'AN-A14'!F40-'AN-A14'!F69</f>
        <v>-40</v>
      </c>
      <c r="G11" s="240">
        <f>'AN-A14'!G40-'AN-A14'!G69</f>
        <v>-21.891999999999982</v>
      </c>
      <c r="H11" s="240">
        <f>'AN-A14'!H40-'AN-A14'!H69</f>
        <v>-7</v>
      </c>
      <c r="I11" s="240">
        <f>'AN-A14'!I40-'AN-A14'!I69</f>
        <v>22</v>
      </c>
      <c r="J11" s="240">
        <f>'AN-A14'!J40-'AN-A14'!J69</f>
        <v>27</v>
      </c>
      <c r="K11" s="241">
        <f>'AN-A14'!K40-'AN-A14'!K69</f>
        <v>31.373000000000019</v>
      </c>
      <c r="L11" s="242">
        <f>'AN-A14'!L40-'AN-A14'!L69</f>
        <v>24.197000000000003</v>
      </c>
      <c r="M11" s="240">
        <f>'AN-A14'!M40-'AN-A14'!M69</f>
        <v>17.898406399999999</v>
      </c>
      <c r="N11" s="240">
        <f>'AN-A14'!N40-'AN-A14'!N69</f>
        <v>11.644793896159996</v>
      </c>
      <c r="O11" s="240">
        <f>'AN-A14'!O40-'AN-A14'!O69</f>
        <v>5.4064425794736621</v>
      </c>
      <c r="P11" s="240">
        <f>'AN-A14'!P40-'AN-A14'!P69</f>
        <v>5.4064425794736621</v>
      </c>
      <c r="Q11" s="243">
        <f>'AN-A14'!Q40-'AN-A14'!Q69</f>
        <v>5.4064425794736621</v>
      </c>
    </row>
    <row r="12" spans="2:19" ht="16.5" customHeight="1">
      <c r="B12" s="605" t="s">
        <v>438</v>
      </c>
      <c r="C12" s="606"/>
      <c r="D12" s="239">
        <f>'AN-A14'!D41-'AN-A14'!D70</f>
        <v>-8.9469999999999992</v>
      </c>
      <c r="E12" s="240">
        <f>'AN-A14'!E41-'AN-A14'!E70</f>
        <v>-7.8767999999999994</v>
      </c>
      <c r="F12" s="240">
        <f>'AN-A14'!F41-'AN-A14'!F70</f>
        <v>-8.3651616000000004</v>
      </c>
      <c r="G12" s="240">
        <f>'AN-A14'!G41-'AN-A14'!G70</f>
        <v>-7</v>
      </c>
      <c r="H12" s="240">
        <f>'AN-A14'!H41-'AN-A14'!H70</f>
        <v>-7</v>
      </c>
      <c r="I12" s="240">
        <f>'AN-A14'!I41-'AN-A14'!I70</f>
        <v>-7</v>
      </c>
      <c r="J12" s="240">
        <f>'AN-A14'!J41-'AN-A14'!J70</f>
        <v>-5</v>
      </c>
      <c r="K12" s="241">
        <f>'AN-A14'!K41-'AN-A14'!K70</f>
        <v>-8</v>
      </c>
      <c r="L12" s="242">
        <f>'AN-A14'!L41-'AN-A14'!L70</f>
        <v>-9</v>
      </c>
      <c r="M12" s="240">
        <f>'AN-A14'!M41-'AN-A14'!M70</f>
        <v>-9</v>
      </c>
      <c r="N12" s="240">
        <f>'AN-A14'!N41-'AN-A14'!N70</f>
        <v>-10</v>
      </c>
      <c r="O12" s="240">
        <f>'AN-A14'!O41-'AN-A14'!O70</f>
        <v>-10</v>
      </c>
      <c r="P12" s="240">
        <f>'AN-A14'!P41-'AN-A14'!P70</f>
        <v>-10</v>
      </c>
      <c r="Q12" s="243">
        <f>'AN-A14'!Q41-'AN-A14'!Q70</f>
        <v>-10</v>
      </c>
    </row>
    <row r="13" spans="2:19" ht="16.5" customHeight="1">
      <c r="B13" s="605" t="s">
        <v>439</v>
      </c>
      <c r="C13" s="606"/>
      <c r="D13" s="239">
        <f>'AN-A14'!D42-'AN-A14'!D71</f>
        <v>-87</v>
      </c>
      <c r="E13" s="240">
        <f>'AN-A14'!E42-'AN-A14'!E71</f>
        <v>-80</v>
      </c>
      <c r="F13" s="240">
        <f>'AN-A14'!F42-'AN-A14'!F71</f>
        <v>-85</v>
      </c>
      <c r="G13" s="240">
        <f>'AN-A14'!G42-'AN-A14'!G71</f>
        <v>-110</v>
      </c>
      <c r="H13" s="240">
        <f>'AN-A14'!H42-'AN-A14'!H71</f>
        <v>-126</v>
      </c>
      <c r="I13" s="240">
        <f>'AN-A14'!I42-'AN-A14'!I71</f>
        <v>-131</v>
      </c>
      <c r="J13" s="240">
        <f>'AN-A14'!J42-'AN-A14'!J71</f>
        <v>-158</v>
      </c>
      <c r="K13" s="241">
        <f>'AN-A14'!K42-'AN-A14'!K71</f>
        <v>-160</v>
      </c>
      <c r="L13" s="242">
        <f>'AN-A14'!L42-'AN-A14'!L71</f>
        <v>-140</v>
      </c>
      <c r="M13" s="240">
        <f>'AN-A14'!M42-'AN-A14'!M71</f>
        <v>-142</v>
      </c>
      <c r="N13" s="240">
        <f>'AN-A14'!N42-'AN-A14'!N71</f>
        <v>-147</v>
      </c>
      <c r="O13" s="240">
        <f>'AN-A14'!O42-'AN-A14'!O71</f>
        <v>-152</v>
      </c>
      <c r="P13" s="240">
        <f>'AN-A14'!P42-'AN-A14'!P71</f>
        <v>-157</v>
      </c>
      <c r="Q13" s="243">
        <f>'AN-A14'!Q42-'AN-A14'!Q71</f>
        <v>-157</v>
      </c>
    </row>
    <row r="14" spans="2:19" ht="18" hidden="1" customHeight="1">
      <c r="B14" s="16"/>
      <c r="C14" s="90" t="s">
        <v>306</v>
      </c>
      <c r="D14" s="239">
        <f>'AN-A14'!D43-'AN-A14'!D72</f>
        <v>0</v>
      </c>
      <c r="E14" s="240">
        <f>'AN-A14'!E43-'AN-A14'!E72</f>
        <v>0</v>
      </c>
      <c r="F14" s="240">
        <f>'AN-A14'!F43-'AN-A14'!F72</f>
        <v>0</v>
      </c>
      <c r="G14" s="240">
        <f>'AN-A14'!G43-'AN-A14'!G72</f>
        <v>0</v>
      </c>
      <c r="H14" s="240">
        <f>'AN-A14'!H43-'AN-A14'!H72</f>
        <v>0</v>
      </c>
      <c r="I14" s="240">
        <f>'AN-A14'!I43-'AN-A14'!I72</f>
        <v>0</v>
      </c>
      <c r="J14" s="240">
        <f>'AN-A14'!J43-'AN-A14'!J72</f>
        <v>0</v>
      </c>
      <c r="K14" s="241">
        <f>'AN-A14'!K43-'AN-A14'!K72</f>
        <v>0</v>
      </c>
      <c r="L14" s="242">
        <f>'AN-A14'!L43-'AN-A14'!L72</f>
        <v>0</v>
      </c>
      <c r="M14" s="240">
        <f>'AN-A14'!M43-'AN-A14'!M72</f>
        <v>0</v>
      </c>
      <c r="N14" s="240">
        <f>'AN-A14'!N43-'AN-A14'!N72</f>
        <v>0</v>
      </c>
      <c r="O14" s="240">
        <f>'AN-A14'!O43-'AN-A14'!O72</f>
        <v>0</v>
      </c>
      <c r="P14" s="240">
        <f>'AN-A14'!P43-'AN-A14'!P72</f>
        <v>0</v>
      </c>
      <c r="Q14" s="243">
        <f>'AN-A14'!Q43-'AN-A14'!Q72</f>
        <v>0</v>
      </c>
    </row>
    <row r="15" spans="2:19" ht="16.5" customHeight="1">
      <c r="B15" s="605" t="s">
        <v>440</v>
      </c>
      <c r="C15" s="606"/>
      <c r="D15" s="239">
        <f>'AN-A14'!D44-'AN-A14'!D73</f>
        <v>0</v>
      </c>
      <c r="E15" s="240">
        <f>'AN-A14'!E44-'AN-A14'!E73</f>
        <v>0</v>
      </c>
      <c r="F15" s="240">
        <f>'AN-A14'!F44-'AN-A14'!F73</f>
        <v>0</v>
      </c>
      <c r="G15" s="240">
        <f>'AN-A14'!G44-'AN-A14'!G73</f>
        <v>0</v>
      </c>
      <c r="H15" s="240">
        <f>'AN-A14'!H44-'AN-A14'!H73</f>
        <v>0</v>
      </c>
      <c r="I15" s="240">
        <f>'AN-A14'!I44-'AN-A14'!I73</f>
        <v>0</v>
      </c>
      <c r="J15" s="240">
        <f>'AN-A14'!J44-'AN-A14'!J73</f>
        <v>0</v>
      </c>
      <c r="K15" s="241">
        <f>'AN-A14'!K44-'AN-A14'!K73</f>
        <v>0</v>
      </c>
      <c r="L15" s="242">
        <f>'AN-A14'!L44-'AN-A14'!L73</f>
        <v>0</v>
      </c>
      <c r="M15" s="240">
        <f>'AN-A14'!M44-'AN-A14'!M73</f>
        <v>0</v>
      </c>
      <c r="N15" s="240">
        <f>'AN-A14'!N44-'AN-A14'!N73</f>
        <v>0</v>
      </c>
      <c r="O15" s="240">
        <f>'AN-A14'!O44-'AN-A14'!O73</f>
        <v>0</v>
      </c>
      <c r="P15" s="240">
        <f>'AN-A14'!P44-'AN-A14'!P73</f>
        <v>0</v>
      </c>
      <c r="Q15" s="243">
        <f>'AN-A14'!Q44-'AN-A14'!Q73</f>
        <v>0</v>
      </c>
    </row>
    <row r="16" spans="2:19" ht="16.5" customHeight="1">
      <c r="B16" s="605" t="s">
        <v>441</v>
      </c>
      <c r="C16" s="606"/>
      <c r="D16" s="239">
        <f>'AN-A14'!D45-'AN-A14'!D74</f>
        <v>-35</v>
      </c>
      <c r="E16" s="240">
        <f>'AN-A14'!E45-'AN-A14'!E74</f>
        <v>-35</v>
      </c>
      <c r="F16" s="240">
        <f>'AN-A14'!F45-'AN-A14'!F74</f>
        <v>-70</v>
      </c>
      <c r="G16" s="240">
        <f>'AN-A14'!G45-'AN-A14'!G74</f>
        <v>-87.998999999999995</v>
      </c>
      <c r="H16" s="240">
        <f>'AN-A14'!H45-'AN-A14'!H74</f>
        <v>-97</v>
      </c>
      <c r="I16" s="240">
        <f>'AN-A14'!I45-'AN-A14'!I74</f>
        <v>-101.82090000000001</v>
      </c>
      <c r="J16" s="240">
        <f>'AN-A14'!J45-'AN-A14'!J74</f>
        <v>-99</v>
      </c>
      <c r="K16" s="241">
        <f>'AN-A14'!K45-'AN-A14'!K74</f>
        <v>-95.93</v>
      </c>
      <c r="L16" s="242">
        <f>'AN-A14'!L45-'AN-A14'!L74</f>
        <v>-100.43871</v>
      </c>
      <c r="M16" s="240">
        <f>'AN-A14'!M45-'AN-A14'!M74</f>
        <v>-105.05889066</v>
      </c>
      <c r="N16" s="240">
        <f>'AN-A14'!N45-'AN-A14'!N74</f>
        <v>-110.10171741168001</v>
      </c>
      <c r="O16" s="240">
        <f>'AN-A14'!O45-'AN-A14'!O74</f>
        <v>-115.43064053440533</v>
      </c>
      <c r="P16" s="240">
        <f>'AN-A14'!P45-'AN-A14'!P74</f>
        <v>-121.01748353627055</v>
      </c>
      <c r="Q16" s="243">
        <f>'AN-A14'!Q45-'AN-A14'!Q74</f>
        <v>-126.87472973942604</v>
      </c>
    </row>
    <row r="17" spans="2:17" ht="16.5" customHeight="1">
      <c r="B17" s="605" t="s">
        <v>442</v>
      </c>
      <c r="C17" s="606"/>
      <c r="D17" s="239">
        <f>'AN-A14'!D46-'AN-A14'!D75</f>
        <v>0</v>
      </c>
      <c r="E17" s="240">
        <f>'AN-A14'!E46-'AN-A14'!E75</f>
        <v>0</v>
      </c>
      <c r="F17" s="240">
        <f>'AN-A14'!F46-'AN-A14'!F75</f>
        <v>0</v>
      </c>
      <c r="G17" s="240">
        <f>'AN-A14'!G46-'AN-A14'!G75</f>
        <v>0</v>
      </c>
      <c r="H17" s="240">
        <f>'AN-A14'!H46-'AN-A14'!H75</f>
        <v>0</v>
      </c>
      <c r="I17" s="240">
        <f>'AN-A14'!I46-'AN-A14'!I75</f>
        <v>0</v>
      </c>
      <c r="J17" s="240">
        <f>'AN-A14'!J46-'AN-A14'!J75</f>
        <v>0</v>
      </c>
      <c r="K17" s="241">
        <f>'AN-A14'!K46-'AN-A14'!K75</f>
        <v>0</v>
      </c>
      <c r="L17" s="242">
        <f>'AN-A14'!L46-'AN-A14'!L75</f>
        <v>0</v>
      </c>
      <c r="M17" s="240">
        <f>'AN-A14'!M46-'AN-A14'!M75</f>
        <v>0</v>
      </c>
      <c r="N17" s="240">
        <f>'AN-A14'!N46-'AN-A14'!N75</f>
        <v>0</v>
      </c>
      <c r="O17" s="240">
        <f>'AN-A14'!O46-'AN-A14'!O75</f>
        <v>0</v>
      </c>
      <c r="P17" s="240">
        <f>'AN-A14'!P46-'AN-A14'!P75</f>
        <v>0</v>
      </c>
      <c r="Q17" s="243">
        <f>'AN-A14'!Q46-'AN-A14'!Q75</f>
        <v>0</v>
      </c>
    </row>
    <row r="18" spans="2:17" ht="16.5" customHeight="1">
      <c r="B18" s="607" t="s">
        <v>443</v>
      </c>
      <c r="C18" s="608"/>
      <c r="D18" s="239">
        <f>'AN-A14'!D47-'AN-A14'!D76</f>
        <v>205.60000000000002</v>
      </c>
      <c r="E18" s="240">
        <f>'AN-A14'!E47-'AN-A14'!E76</f>
        <v>281.29999999999995</v>
      </c>
      <c r="F18" s="240">
        <f>'AN-A14'!F47-'AN-A14'!F76</f>
        <v>124.89999999999998</v>
      </c>
      <c r="G18" s="240">
        <f>'AN-A14'!G47-'AN-A14'!G76</f>
        <v>92.299999999999955</v>
      </c>
      <c r="H18" s="240">
        <f>'AN-A14'!H47-'AN-A14'!H76</f>
        <v>42.5</v>
      </c>
      <c r="I18" s="240">
        <f>'AN-A14'!I47-'AN-A14'!I76</f>
        <v>-13.800000000000011</v>
      </c>
      <c r="J18" s="240">
        <f>'AN-A14'!J47-'AN-A14'!J76</f>
        <v>-10.5</v>
      </c>
      <c r="K18" s="241">
        <f>'AN-A14'!K47-'AN-A14'!K76</f>
        <v>5.7999999999999545</v>
      </c>
      <c r="L18" s="242">
        <f>'AN-A14'!L47-'AN-A14'!L76</f>
        <v>21.5</v>
      </c>
      <c r="M18" s="240">
        <f>'AN-A14'!M47-'AN-A14'!M76</f>
        <v>10</v>
      </c>
      <c r="N18" s="240">
        <f>'AN-A14'!N47-'AN-A14'!N76</f>
        <v>20</v>
      </c>
      <c r="O18" s="240">
        <f>'AN-A14'!O47-'AN-A14'!O76</f>
        <v>19</v>
      </c>
      <c r="P18" s="240">
        <f>'AN-A14'!P47-'AN-A14'!P76</f>
        <v>20</v>
      </c>
      <c r="Q18" s="243">
        <f>'AN-A14'!Q47-'AN-A14'!Q76</f>
        <v>19</v>
      </c>
    </row>
    <row r="19" spans="2:17" ht="17.25" customHeight="1">
      <c r="B19" s="620" t="s">
        <v>307</v>
      </c>
      <c r="C19" s="621"/>
      <c r="D19" s="244">
        <f t="shared" ref="D19:K19" si="0">SUM(D7:D18)</f>
        <v>-476.34699999999998</v>
      </c>
      <c r="E19" s="245">
        <f t="shared" si="0"/>
        <v>-402.57680000000005</v>
      </c>
      <c r="F19" s="245">
        <f t="shared" si="0"/>
        <v>-539.46516159999999</v>
      </c>
      <c r="G19" s="245">
        <f t="shared" si="0"/>
        <v>-397.59100000000001</v>
      </c>
      <c r="H19" s="245">
        <f t="shared" si="0"/>
        <v>-450.5</v>
      </c>
      <c r="I19" s="245">
        <f t="shared" si="0"/>
        <v>-396.62090000000001</v>
      </c>
      <c r="J19" s="245">
        <f t="shared" si="0"/>
        <v>-347.5</v>
      </c>
      <c r="K19" s="246">
        <f t="shared" si="0"/>
        <v>-300.75700000000006</v>
      </c>
      <c r="L19" s="247">
        <f t="shared" ref="L19:Q19" si="1">SUM(L7:L18)</f>
        <v>-361.74171000000001</v>
      </c>
      <c r="M19" s="245">
        <f t="shared" si="1"/>
        <v>-319.16048425999998</v>
      </c>
      <c r="N19" s="245">
        <f t="shared" si="1"/>
        <v>-236.45692351552003</v>
      </c>
      <c r="O19" s="245">
        <f t="shared" si="1"/>
        <v>-203.02419795493165</v>
      </c>
      <c r="P19" s="245">
        <f t="shared" si="1"/>
        <v>-197.6110409567969</v>
      </c>
      <c r="Q19" s="248">
        <f t="shared" si="1"/>
        <v>-250.46828715995241</v>
      </c>
    </row>
    <row r="20" spans="2:17" ht="17.25" customHeight="1">
      <c r="B20" s="609" t="s">
        <v>308</v>
      </c>
      <c r="C20" s="610"/>
      <c r="D20" s="244">
        <f>'AN-A14'!D49-'AN-A14'!D78</f>
        <v>0</v>
      </c>
      <c r="E20" s="245">
        <f>'AN-A14'!E49-'AN-A14'!E78</f>
        <v>0</v>
      </c>
      <c r="F20" s="245">
        <f>'AN-A14'!F49-'AN-A14'!F78</f>
        <v>0</v>
      </c>
      <c r="G20" s="245">
        <f>'AN-A14'!G49-'AN-A14'!G78</f>
        <v>0</v>
      </c>
      <c r="H20" s="245">
        <f>'AN-A14'!H49-'AN-A14'!H78</f>
        <v>0</v>
      </c>
      <c r="I20" s="245">
        <f>'AN-A14'!I49-'AN-A14'!I78</f>
        <v>-0.3</v>
      </c>
      <c r="J20" s="245">
        <f>'AN-A14'!J49-'AN-A14'!J78</f>
        <v>-0.4</v>
      </c>
      <c r="K20" s="246">
        <f>'AN-A14'!K49-'AN-A14'!K78</f>
        <v>-0.4</v>
      </c>
      <c r="L20" s="247">
        <f>'AN-A14'!L49-'AN-A14'!L78</f>
        <v>-0.4</v>
      </c>
      <c r="M20" s="245">
        <f>'AN-A14'!M49-'AN-A14'!M78</f>
        <v>-0.4</v>
      </c>
      <c r="N20" s="245">
        <f>'AN-A14'!N49-'AN-A14'!N78</f>
        <v>-0.4</v>
      </c>
      <c r="O20" s="245">
        <f>'AN-A14'!O49-'AN-A14'!O78</f>
        <v>-0.45</v>
      </c>
      <c r="P20" s="245">
        <f>'AN-A14'!P49-'AN-A14'!P78</f>
        <v>0</v>
      </c>
      <c r="Q20" s="248">
        <f>'AN-A14'!Q49-'AN-A14'!Q78</f>
        <v>0</v>
      </c>
    </row>
    <row r="21" spans="2:17" ht="16.5" customHeight="1">
      <c r="B21" s="105"/>
      <c r="C21" s="97" t="s">
        <v>309</v>
      </c>
      <c r="D21" s="244">
        <f>'AN-A14'!D50-'AN-A14'!D79</f>
        <v>0</v>
      </c>
      <c r="E21" s="245">
        <f>'AN-A14'!E50-'AN-A14'!E79</f>
        <v>0</v>
      </c>
      <c r="F21" s="245">
        <f>'AN-A14'!F50-'AN-A14'!F79</f>
        <v>0</v>
      </c>
      <c r="G21" s="245">
        <f>'AN-A14'!G50-'AN-A14'!G79</f>
        <v>0</v>
      </c>
      <c r="H21" s="245">
        <f>'AN-A14'!H50-'AN-A14'!H79</f>
        <v>0</v>
      </c>
      <c r="I21" s="245">
        <f>'AN-A14'!I50-'AN-A14'!I79</f>
        <v>-0.3</v>
      </c>
      <c r="J21" s="245">
        <f>'AN-A14'!J50-'AN-A14'!J79</f>
        <v>-0.4</v>
      </c>
      <c r="K21" s="246">
        <f>'AN-A14'!K50-'AN-A14'!K79</f>
        <v>-0.4</v>
      </c>
      <c r="L21" s="247">
        <f>'AN-A14'!L50-'AN-A14'!L79</f>
        <v>-0.4</v>
      </c>
      <c r="M21" s="245">
        <f>'AN-A14'!M50-'AN-A14'!M79</f>
        <v>-0.4</v>
      </c>
      <c r="N21" s="245">
        <f>'AN-A14'!N50-'AN-A14'!N79</f>
        <v>-0.4</v>
      </c>
      <c r="O21" s="245">
        <f>'AN-A14'!O50-'AN-A14'!O79</f>
        <v>-0.45</v>
      </c>
      <c r="P21" s="245">
        <f>'AN-A14'!P50-'AN-A14'!P79</f>
        <v>0</v>
      </c>
      <c r="Q21" s="248">
        <f>'AN-A14'!Q50-'AN-A14'!Q79</f>
        <v>0</v>
      </c>
    </row>
    <row r="22" spans="2:17" ht="17.25" customHeight="1">
      <c r="B22" s="609" t="s">
        <v>310</v>
      </c>
      <c r="C22" s="610"/>
      <c r="D22" s="239">
        <f>'AN-A14'!D51-'AN-A14'!D80</f>
        <v>-96</v>
      </c>
      <c r="E22" s="240">
        <f>'AN-A14'!E51-'AN-A14'!E80</f>
        <v>-80.476923076923072</v>
      </c>
      <c r="F22" s="240">
        <f>'AN-A14'!F51-'AN-A14'!F80</f>
        <v>-45.581395348837191</v>
      </c>
      <c r="G22" s="240">
        <f>'AN-A14'!G51-'AN-A14'!G80</f>
        <v>-75.581395348837191</v>
      </c>
      <c r="H22" s="240">
        <f>'AN-A14'!H51-'AN-A14'!H80</f>
        <v>-75.581395348837191</v>
      </c>
      <c r="I22" s="240">
        <f>'AN-A14'!I51-'AN-A14'!I80</f>
        <v>-6</v>
      </c>
      <c r="J22" s="240">
        <f>'AN-A14'!J51-'AN-A14'!J80</f>
        <v>71</v>
      </c>
      <c r="K22" s="241">
        <f>'AN-A14'!K51-'AN-A14'!K80</f>
        <v>62</v>
      </c>
      <c r="L22" s="242">
        <f>'AN-A14'!L51-'AN-A14'!L80</f>
        <v>52</v>
      </c>
      <c r="M22" s="240">
        <f>'AN-A14'!M51-'AN-A14'!M80</f>
        <v>46</v>
      </c>
      <c r="N22" s="240">
        <f>'AN-A14'!N51-'AN-A14'!N80</f>
        <v>18</v>
      </c>
      <c r="O22" s="240">
        <f>'AN-A14'!O51-'AN-A14'!O80</f>
        <v>5</v>
      </c>
      <c r="P22" s="240">
        <f>'AN-A14'!P51-'AN-A14'!P80</f>
        <v>5</v>
      </c>
      <c r="Q22" s="243">
        <f>'AN-A14'!Q51-'AN-A14'!Q80</f>
        <v>5</v>
      </c>
    </row>
    <row r="23" spans="2:17" ht="16.5" customHeight="1">
      <c r="B23" s="105"/>
      <c r="C23" s="615" t="s">
        <v>311</v>
      </c>
      <c r="D23" s="244">
        <f>'AN-A14'!D52-'AN-A14'!D81</f>
        <v>-103</v>
      </c>
      <c r="E23" s="245">
        <f>'AN-A14'!E52-'AN-A14'!E81</f>
        <v>-80</v>
      </c>
      <c r="F23" s="245">
        <f>'AN-A14'!F52-'AN-A14'!F81</f>
        <v>-40.610465116279101</v>
      </c>
      <c r="G23" s="245">
        <f>'AN-A14'!G52-'AN-A14'!G81</f>
        <v>-70.610465116279101</v>
      </c>
      <c r="H23" s="245">
        <f>'AN-A14'!H52-'AN-A14'!H81</f>
        <v>-70.610465116279101</v>
      </c>
      <c r="I23" s="245">
        <f>'AN-A14'!I52-'AN-A14'!I81</f>
        <v>20</v>
      </c>
      <c r="J23" s="245">
        <f>'AN-A14'!J52-'AN-A14'!J81</f>
        <v>98</v>
      </c>
      <c r="K23" s="246">
        <f>'AN-A14'!K52-'AN-A14'!K81</f>
        <v>89</v>
      </c>
      <c r="L23" s="247">
        <f>'AN-A14'!L52-'AN-A14'!L81</f>
        <v>80</v>
      </c>
      <c r="M23" s="245">
        <f>'AN-A14'!M52-'AN-A14'!M81</f>
        <v>75</v>
      </c>
      <c r="N23" s="245">
        <f>'AN-A14'!N52-'AN-A14'!N81</f>
        <v>49</v>
      </c>
      <c r="O23" s="245">
        <f>'AN-A14'!O52-'AN-A14'!O81</f>
        <v>39</v>
      </c>
      <c r="P23" s="245">
        <f>'AN-A14'!P52-'AN-A14'!P81</f>
        <v>39</v>
      </c>
      <c r="Q23" s="248">
        <f>'AN-A14'!Q52-'AN-A14'!Q81</f>
        <v>39</v>
      </c>
    </row>
    <row r="24" spans="2:17" ht="17.25" customHeight="1">
      <c r="B24" s="609" t="s">
        <v>312</v>
      </c>
      <c r="C24" s="610"/>
      <c r="D24" s="239">
        <f>'AN-A14'!D53-'AN-A14'!D82</f>
        <v>-58</v>
      </c>
      <c r="E24" s="240">
        <f>'AN-A14'!E53-'AN-A14'!E82</f>
        <v>-234</v>
      </c>
      <c r="F24" s="240">
        <f>'AN-A14'!F53-'AN-A14'!F82</f>
        <v>-245.2</v>
      </c>
      <c r="G24" s="240">
        <f>'AN-A14'!G53-'AN-A14'!G82</f>
        <v>-256.79199999999997</v>
      </c>
      <c r="H24" s="240">
        <f>'AN-A14'!H53-'AN-A14'!H82</f>
        <v>-268.78971999999993</v>
      </c>
      <c r="I24" s="240">
        <f>'AN-A14'!I53-'AN-A14'!I82</f>
        <v>-281.20736019999993</v>
      </c>
      <c r="J24" s="240">
        <f>'AN-A14'!J53-'AN-A14'!J82</f>
        <v>-290.05961780699988</v>
      </c>
      <c r="K24" s="241">
        <f>'AN-A14'!K53-'AN-A14'!K82</f>
        <v>-303.36170443024486</v>
      </c>
      <c r="L24" s="242">
        <f>'AN-A14'!L53-'AN-A14'!L82</f>
        <v>-317.12936408530339</v>
      </c>
      <c r="M24" s="240">
        <f>'AN-A14'!M53-'AN-A14'!M82</f>
        <v>-331.378891828289</v>
      </c>
      <c r="N24" s="240">
        <f>'AN-A14'!N53-'AN-A14'!N82</f>
        <v>-331.378891828289</v>
      </c>
      <c r="O24" s="240">
        <f>'AN-A14'!O53-'AN-A14'!O82</f>
        <v>-331.378891828289</v>
      </c>
      <c r="P24" s="240">
        <f>'AN-A14'!P53-'AN-A14'!P82</f>
        <v>-331</v>
      </c>
      <c r="Q24" s="243">
        <f>'AN-A14'!Q53-'AN-A14'!Q82</f>
        <v>-331</v>
      </c>
    </row>
    <row r="25" spans="2:17" ht="16.5" customHeight="1">
      <c r="B25" s="16"/>
      <c r="C25" s="615" t="s">
        <v>313</v>
      </c>
      <c r="D25" s="244">
        <f>'AN-A14'!D54-'AN-A14'!D83</f>
        <v>0</v>
      </c>
      <c r="E25" s="245">
        <f>'AN-A14'!E54-'AN-A14'!E83</f>
        <v>0</v>
      </c>
      <c r="F25" s="245">
        <f>'AN-A14'!F54-'AN-A14'!F83</f>
        <v>0</v>
      </c>
      <c r="G25" s="245">
        <f>'AN-A14'!G54-'AN-A14'!G83</f>
        <v>0</v>
      </c>
      <c r="H25" s="245">
        <f>'AN-A14'!H54-'AN-A14'!H83</f>
        <v>0</v>
      </c>
      <c r="I25" s="245">
        <f>'AN-A14'!I54-'AN-A14'!I83</f>
        <v>0</v>
      </c>
      <c r="J25" s="245">
        <f>'AN-A14'!J54-'AN-A14'!J83</f>
        <v>0</v>
      </c>
      <c r="K25" s="246">
        <f>'AN-A14'!K54-'AN-A14'!K83</f>
        <v>0</v>
      </c>
      <c r="L25" s="247">
        <f>'AN-A14'!L54-'AN-A14'!L83</f>
        <v>0</v>
      </c>
      <c r="M25" s="245">
        <f>'AN-A14'!M54-'AN-A14'!M83</f>
        <v>0</v>
      </c>
      <c r="N25" s="245">
        <f>'AN-A14'!N54-'AN-A14'!N83</f>
        <v>0</v>
      </c>
      <c r="O25" s="245">
        <f>'AN-A14'!O54-'AN-A14'!O83</f>
        <v>0</v>
      </c>
      <c r="P25" s="245">
        <f>'AN-A14'!P54-'AN-A14'!P83</f>
        <v>0</v>
      </c>
      <c r="Q25" s="248">
        <f>'AN-A14'!Q54-'AN-A14'!Q83</f>
        <v>0</v>
      </c>
    </row>
    <row r="26" spans="2:17" ht="17.25" customHeight="1">
      <c r="B26" s="620" t="s">
        <v>314</v>
      </c>
      <c r="C26" s="621"/>
      <c r="D26" s="244">
        <f>'AN-A14'!D55-'AN-A14'!D84</f>
        <v>-20</v>
      </c>
      <c r="E26" s="245">
        <f>'AN-A14'!E55-'AN-A14'!E84</f>
        <v>-25</v>
      </c>
      <c r="F26" s="245">
        <f>'AN-A14'!F55-'AN-A14'!F84</f>
        <v>-28.249999999999996</v>
      </c>
      <c r="G26" s="245">
        <f>'AN-A14'!G55-'AN-A14'!G84</f>
        <v>-31.922499999999992</v>
      </c>
      <c r="H26" s="245">
        <f>'AN-A14'!H55-'AN-A14'!H84</f>
        <v>-36.072424999999988</v>
      </c>
      <c r="I26" s="245">
        <f>'AN-A14'!I55-'AN-A14'!I84</f>
        <v>-40.761840249999985</v>
      </c>
      <c r="J26" s="245">
        <f>'AN-A14'!J55-'AN-A14'!J84</f>
        <v>-46.060879482499978</v>
      </c>
      <c r="K26" s="246">
        <f>'AN-A14'!K55-'AN-A14'!K84</f>
        <v>-52.048793815224968</v>
      </c>
      <c r="L26" s="247">
        <f>'AN-A14'!L55-'AN-A14'!L84</f>
        <v>-58.815137011204207</v>
      </c>
      <c r="M26" s="245">
        <f>'AN-A14'!M55-'AN-A14'!M84</f>
        <v>-58.815137011204207</v>
      </c>
      <c r="N26" s="245">
        <f>'AN-A14'!N55-'AN-A14'!N84</f>
        <v>-58.815137011204207</v>
      </c>
      <c r="O26" s="245">
        <f>'AN-A14'!O55-'AN-A14'!O84</f>
        <v>-58.815137011204207</v>
      </c>
      <c r="P26" s="245">
        <f>'AN-A14'!P55-'AN-A14'!P84</f>
        <v>-59</v>
      </c>
      <c r="Q26" s="248">
        <f>'AN-A14'!Q55-'AN-A14'!Q84</f>
        <v>-59</v>
      </c>
    </row>
    <row r="27" spans="2:17" ht="17.25" customHeight="1">
      <c r="B27" s="620" t="s">
        <v>315</v>
      </c>
      <c r="C27" s="621"/>
      <c r="D27" s="244">
        <f>'AN-A14'!D56-'AN-A14'!D85</f>
        <v>99</v>
      </c>
      <c r="E27" s="245">
        <f>'AN-A14'!E56-'AN-A14'!E85</f>
        <v>149</v>
      </c>
      <c r="F27" s="245">
        <f>'AN-A14'!F56-'AN-A14'!F85</f>
        <v>139.41999999999999</v>
      </c>
      <c r="G27" s="245">
        <f>'AN-A14'!G56-'AN-A14'!G85</f>
        <v>119.6</v>
      </c>
      <c r="H27" s="245">
        <f>'AN-A14'!H56-'AN-A14'!H85</f>
        <v>120.43719999999998</v>
      </c>
      <c r="I27" s="245">
        <f>'AN-A14'!I56-'AN-A14'!I85</f>
        <v>140</v>
      </c>
      <c r="J27" s="245">
        <f>'AN-A14'!J56-'AN-A14'!J85</f>
        <v>126.64400000000001</v>
      </c>
      <c r="K27" s="246">
        <f>'AN-A14'!K56-'AN-A14'!K85</f>
        <v>191.81688</v>
      </c>
      <c r="L27" s="247">
        <f>'AN-A14'!L56-'AN-A14'!L85</f>
        <v>230.32595007999998</v>
      </c>
      <c r="M27" s="245">
        <f>'AN-A14'!M56-'AN-A14'!M85</f>
        <v>229.09518743104002</v>
      </c>
      <c r="N27" s="245">
        <f>'AN-A14'!N56-'AN-A14'!N85</f>
        <v>227.65661524250561</v>
      </c>
      <c r="O27" s="245">
        <f>'AN-A14'!O56-'AN-A14'!O85</f>
        <v>226.1964644711432</v>
      </c>
      <c r="P27" s="245">
        <f>'AN-A14'!P56-'AN-A14'!P85</f>
        <v>224.71441143821036</v>
      </c>
      <c r="Q27" s="248">
        <f>'AN-A14'!Q56-'AN-A14'!Q85</f>
        <v>224</v>
      </c>
    </row>
    <row r="28" spans="2:17" ht="16.5" customHeight="1">
      <c r="B28" s="609" t="s">
        <v>316</v>
      </c>
      <c r="C28" s="610"/>
      <c r="D28" s="239">
        <f>'AN-A14'!D57-'AN-A14'!D86</f>
        <v>425</v>
      </c>
      <c r="E28" s="240">
        <f>'AN-A14'!E57-'AN-A14'!E86</f>
        <v>420</v>
      </c>
      <c r="F28" s="240">
        <f>'AN-A14'!F57-'AN-A14'!F86</f>
        <v>477</v>
      </c>
      <c r="G28" s="240">
        <f>'AN-A14'!G57-'AN-A14'!G86</f>
        <v>472</v>
      </c>
      <c r="H28" s="240">
        <f>'AN-A14'!H57-'AN-A14'!H86</f>
        <v>467</v>
      </c>
      <c r="I28" s="240">
        <f>'AN-A14'!I57-'AN-A14'!I86</f>
        <v>455</v>
      </c>
      <c r="J28" s="240">
        <f>'AN-A14'!J57-'AN-A14'!J86</f>
        <v>497</v>
      </c>
      <c r="K28" s="241">
        <f>'AN-A14'!K57-'AN-A14'!K86</f>
        <v>594</v>
      </c>
      <c r="L28" s="242">
        <f>'AN-A14'!L57-'AN-A14'!L86</f>
        <v>579</v>
      </c>
      <c r="M28" s="240">
        <f>'AN-A14'!M57-'AN-A14'!M86</f>
        <v>566</v>
      </c>
      <c r="N28" s="240">
        <f>'AN-A14'!N57-'AN-A14'!N86</f>
        <v>556</v>
      </c>
      <c r="O28" s="240">
        <f>'AN-A14'!O57-'AN-A14'!O86</f>
        <v>547</v>
      </c>
      <c r="P28" s="240">
        <f>'AN-A14'!P57-'AN-A14'!P86</f>
        <v>539</v>
      </c>
      <c r="Q28" s="243">
        <f>'AN-A14'!Q57-'AN-A14'!Q86</f>
        <v>531</v>
      </c>
    </row>
    <row r="29" spans="2:17" ht="16.5" customHeight="1">
      <c r="B29" s="607" t="s">
        <v>317</v>
      </c>
      <c r="C29" s="608"/>
      <c r="D29" s="239">
        <f>'AN-A14'!D58-'AN-A14'!D87</f>
        <v>0</v>
      </c>
      <c r="E29" s="240">
        <f>'AN-A14'!E58-'AN-A14'!E87</f>
        <v>0</v>
      </c>
      <c r="F29" s="240">
        <f>'AN-A14'!F58-'AN-A14'!F87</f>
        <v>0</v>
      </c>
      <c r="G29" s="240">
        <f>'AN-A14'!G58-'AN-A14'!G87</f>
        <v>0</v>
      </c>
      <c r="H29" s="240">
        <f>'AN-A14'!H58-'AN-A14'!H87</f>
        <v>0</v>
      </c>
      <c r="I29" s="240">
        <f>'AN-A14'!I58-'AN-A14'!I87</f>
        <v>0</v>
      </c>
      <c r="J29" s="240">
        <f>'AN-A14'!J58-'AN-A14'!J87</f>
        <v>0</v>
      </c>
      <c r="K29" s="241">
        <f>'AN-A14'!K58-'AN-A14'!K87</f>
        <v>0</v>
      </c>
      <c r="L29" s="242">
        <f>'AN-A14'!L58-'AN-A14'!L87</f>
        <v>0</v>
      </c>
      <c r="M29" s="240">
        <f>'AN-A14'!M58-'AN-A14'!M87</f>
        <v>0</v>
      </c>
      <c r="N29" s="240">
        <f>'AN-A14'!N58-'AN-A14'!N87</f>
        <v>0</v>
      </c>
      <c r="O29" s="240">
        <f>'AN-A14'!O58-'AN-A14'!O87</f>
        <v>0</v>
      </c>
      <c r="P29" s="240">
        <f>'AN-A14'!P58-'AN-A14'!P87</f>
        <v>0</v>
      </c>
      <c r="Q29" s="243">
        <f>'AN-A14'!Q58-'AN-A14'!Q87</f>
        <v>0</v>
      </c>
    </row>
    <row r="30" spans="2:17" ht="17.25" customHeight="1">
      <c r="B30" s="620" t="s">
        <v>318</v>
      </c>
      <c r="C30" s="621"/>
      <c r="D30" s="244">
        <f t="shared" ref="D30:K30" si="2">SUM(D28:D29)</f>
        <v>425</v>
      </c>
      <c r="E30" s="245">
        <f t="shared" si="2"/>
        <v>420</v>
      </c>
      <c r="F30" s="245">
        <f t="shared" si="2"/>
        <v>477</v>
      </c>
      <c r="G30" s="245">
        <f t="shared" si="2"/>
        <v>472</v>
      </c>
      <c r="H30" s="245">
        <f t="shared" si="2"/>
        <v>467</v>
      </c>
      <c r="I30" s="245">
        <f t="shared" si="2"/>
        <v>455</v>
      </c>
      <c r="J30" s="245">
        <f t="shared" si="2"/>
        <v>497</v>
      </c>
      <c r="K30" s="246">
        <f t="shared" si="2"/>
        <v>594</v>
      </c>
      <c r="L30" s="247">
        <f t="shared" ref="L30:Q30" si="3">SUM(L28:L29)</f>
        <v>579</v>
      </c>
      <c r="M30" s="245">
        <f t="shared" si="3"/>
        <v>566</v>
      </c>
      <c r="N30" s="245">
        <f t="shared" si="3"/>
        <v>556</v>
      </c>
      <c r="O30" s="245">
        <f t="shared" si="3"/>
        <v>547</v>
      </c>
      <c r="P30" s="245">
        <f t="shared" si="3"/>
        <v>539</v>
      </c>
      <c r="Q30" s="248">
        <f t="shared" si="3"/>
        <v>531</v>
      </c>
    </row>
    <row r="31" spans="2:17" ht="16.5" customHeight="1">
      <c r="B31" s="609" t="s">
        <v>319</v>
      </c>
      <c r="C31" s="610"/>
      <c r="D31" s="239">
        <f>'AN-A14'!D60-'AN-A14'!D89</f>
        <v>-30</v>
      </c>
      <c r="E31" s="240">
        <f>'AN-A14'!E60-'AN-A14'!E89</f>
        <v>-30</v>
      </c>
      <c r="F31" s="240">
        <f>'AN-A14'!F60-'AN-A14'!F89</f>
        <v>-30</v>
      </c>
      <c r="G31" s="240">
        <f>'AN-A14'!G60-'AN-A14'!G89</f>
        <v>-31</v>
      </c>
      <c r="H31" s="240">
        <f>'AN-A14'!H60-'AN-A14'!H89</f>
        <v>-33</v>
      </c>
      <c r="I31" s="240">
        <f>'AN-A14'!I60-'AN-A14'!I89</f>
        <v>-35</v>
      </c>
      <c r="J31" s="240">
        <f>'AN-A14'!J60-'AN-A14'!J89</f>
        <v>-58</v>
      </c>
      <c r="K31" s="241">
        <f>'AN-A14'!K60-'AN-A14'!K89</f>
        <v>-94</v>
      </c>
      <c r="L31" s="242">
        <f>'AN-A14'!L60-'AN-A14'!L89</f>
        <v>-96</v>
      </c>
      <c r="M31" s="240">
        <f>'AN-A14'!M60-'AN-A14'!M89</f>
        <v>-98</v>
      </c>
      <c r="N31" s="240">
        <f>'AN-A14'!N60-'AN-A14'!N89</f>
        <v>-101</v>
      </c>
      <c r="O31" s="240">
        <f>'AN-A14'!O60-'AN-A14'!O89</f>
        <v>-104</v>
      </c>
      <c r="P31" s="240">
        <f>'AN-A14'!P60-'AN-A14'!P89</f>
        <v>-107</v>
      </c>
      <c r="Q31" s="243">
        <f>'AN-A14'!Q60-'AN-A14'!Q89</f>
        <v>-110</v>
      </c>
    </row>
    <row r="32" spans="2:17" ht="16.5" customHeight="1">
      <c r="B32" s="605" t="s">
        <v>320</v>
      </c>
      <c r="C32" s="606"/>
      <c r="D32" s="239">
        <f>'AN-A14'!D61-'AN-A14'!D90</f>
        <v>78</v>
      </c>
      <c r="E32" s="240">
        <f>'AN-A14'!E61-'AN-A14'!E90</f>
        <v>75</v>
      </c>
      <c r="F32" s="240">
        <f>'AN-A14'!F61-'AN-A14'!F90</f>
        <v>75</v>
      </c>
      <c r="G32" s="240">
        <f>'AN-A14'!G61-'AN-A14'!G90</f>
        <v>75</v>
      </c>
      <c r="H32" s="240">
        <f>'AN-A14'!H61-'AN-A14'!H90</f>
        <v>75</v>
      </c>
      <c r="I32" s="240">
        <f>'AN-A14'!I61-'AN-A14'!I90</f>
        <v>75</v>
      </c>
      <c r="J32" s="240">
        <f>'AN-A14'!J61-'AN-A14'!J90</f>
        <v>75</v>
      </c>
      <c r="K32" s="241">
        <f>'AN-A14'!K61-'AN-A14'!K90</f>
        <v>75</v>
      </c>
      <c r="L32" s="242">
        <f>'AN-A14'!L61-'AN-A14'!L90</f>
        <v>75</v>
      </c>
      <c r="M32" s="240">
        <f>'AN-A14'!M61-'AN-A14'!M90</f>
        <v>75</v>
      </c>
      <c r="N32" s="240">
        <f>'AN-A14'!N61-'AN-A14'!N90</f>
        <v>75</v>
      </c>
      <c r="O32" s="240">
        <f>'AN-A14'!O61-'AN-A14'!O90</f>
        <v>75</v>
      </c>
      <c r="P32" s="240">
        <f>'AN-A14'!P61-'AN-A14'!P90</f>
        <v>75</v>
      </c>
      <c r="Q32" s="243">
        <f>'AN-A14'!Q61-'AN-A14'!Q90</f>
        <v>75</v>
      </c>
    </row>
    <row r="33" spans="2:17" ht="16.5" customHeight="1">
      <c r="B33" s="607" t="s">
        <v>321</v>
      </c>
      <c r="C33" s="608"/>
      <c r="D33" s="239">
        <f>'AN-A14'!D62-'AN-A14'!D91</f>
        <v>-47</v>
      </c>
      <c r="E33" s="240">
        <f>'AN-A14'!E62-'AN-A14'!E91</f>
        <v>-49</v>
      </c>
      <c r="F33" s="240">
        <f>'AN-A14'!F62-'AN-A14'!F91</f>
        <v>-52</v>
      </c>
      <c r="G33" s="240">
        <f>'AN-A14'!G62-'AN-A14'!G91</f>
        <v>-56</v>
      </c>
      <c r="H33" s="240">
        <f>'AN-A14'!H62-'AN-A14'!H91</f>
        <v>-57</v>
      </c>
      <c r="I33" s="240">
        <f>'AN-A14'!I62-'AN-A14'!I91</f>
        <v>-57</v>
      </c>
      <c r="J33" s="240">
        <f>'AN-A14'!J62-'AN-A14'!J91</f>
        <v>-57</v>
      </c>
      <c r="K33" s="241">
        <f>'AN-A14'!K62-'AN-A14'!K91</f>
        <v>-58</v>
      </c>
      <c r="L33" s="242">
        <f>'AN-A14'!L62-'AN-A14'!L91</f>
        <v>-59</v>
      </c>
      <c r="M33" s="240">
        <f>'AN-A14'!M62-'AN-A14'!M91</f>
        <v>-60</v>
      </c>
      <c r="N33" s="240">
        <f>'AN-A14'!N62-'AN-A14'!N91</f>
        <v>-62</v>
      </c>
      <c r="O33" s="240">
        <f>'AN-A14'!O62-'AN-A14'!O91</f>
        <v>-64</v>
      </c>
      <c r="P33" s="240">
        <f>'AN-A14'!P62-'AN-A14'!P91</f>
        <v>-66</v>
      </c>
      <c r="Q33" s="243">
        <f>'AN-A14'!Q62-'AN-A14'!Q91</f>
        <v>-68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1</v>
      </c>
      <c r="E34" s="250">
        <f t="shared" si="4"/>
        <v>-4</v>
      </c>
      <c r="F34" s="250">
        <f t="shared" si="4"/>
        <v>-7</v>
      </c>
      <c r="G34" s="250">
        <f t="shared" si="4"/>
        <v>-12</v>
      </c>
      <c r="H34" s="250">
        <f t="shared" si="4"/>
        <v>-15</v>
      </c>
      <c r="I34" s="250">
        <f t="shared" si="4"/>
        <v>-17</v>
      </c>
      <c r="J34" s="250">
        <f t="shared" si="4"/>
        <v>-40</v>
      </c>
      <c r="K34" s="251">
        <f t="shared" si="4"/>
        <v>-77</v>
      </c>
      <c r="L34" s="252">
        <f t="shared" ref="L34:Q34" si="5">SUM(L31:L33)</f>
        <v>-80</v>
      </c>
      <c r="M34" s="250">
        <f t="shared" si="5"/>
        <v>-83</v>
      </c>
      <c r="N34" s="250">
        <f t="shared" si="5"/>
        <v>-88</v>
      </c>
      <c r="O34" s="250">
        <f t="shared" si="5"/>
        <v>-93</v>
      </c>
      <c r="P34" s="250">
        <f t="shared" si="5"/>
        <v>-98</v>
      </c>
      <c r="Q34" s="253">
        <f t="shared" si="5"/>
        <v>-103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-125.34699999999998</v>
      </c>
      <c r="E35" s="171">
        <f t="shared" ref="E35:Q35" si="6">SUM(E19+E20+E22+E24+E26+E27+E30+E34)</f>
        <v>-177.05372307692312</v>
      </c>
      <c r="F35" s="171">
        <f t="shared" si="6"/>
        <v>-249.07655694883726</v>
      </c>
      <c r="G35" s="171">
        <f t="shared" si="6"/>
        <v>-182.28689534883711</v>
      </c>
      <c r="H35" s="171">
        <f t="shared" si="6"/>
        <v>-258.50634034883706</v>
      </c>
      <c r="I35" s="171">
        <f t="shared" si="6"/>
        <v>-146.89010044999986</v>
      </c>
      <c r="J35" s="171">
        <f t="shared" si="6"/>
        <v>-29.376497289499866</v>
      </c>
      <c r="K35" s="173">
        <f t="shared" si="6"/>
        <v>114.24938175453008</v>
      </c>
      <c r="L35" s="172">
        <f t="shared" si="6"/>
        <v>43.23973898349243</v>
      </c>
      <c r="M35" s="171">
        <f t="shared" si="6"/>
        <v>48.340674331546779</v>
      </c>
      <c r="N35" s="171">
        <f t="shared" si="6"/>
        <v>86.605662887492372</v>
      </c>
      <c r="O35" s="171">
        <f t="shared" si="6"/>
        <v>91.528237676718334</v>
      </c>
      <c r="P35" s="171">
        <f t="shared" si="6"/>
        <v>83.103370481413549</v>
      </c>
      <c r="Q35" s="174">
        <f t="shared" si="6"/>
        <v>16.531712840047589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13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IF('AN-A14'!D7=0,"    -",ROUND('AN-A14'!D36/'AN-A14'!D7*100,1))</f>
        <v>104.4</v>
      </c>
      <c r="E43" s="58">
        <f>IF('AN-A14'!E7=0,"    -",ROUND('AN-A14'!E36/'AN-A14'!E7*100,1))</f>
        <v>100.4</v>
      </c>
      <c r="F43" s="58">
        <f>IF('AN-A14'!F7=0,"    -",ROUND('AN-A14'!F36/'AN-A14'!F7*100,1))</f>
        <v>93.7</v>
      </c>
      <c r="G43" s="58">
        <f>IF('AN-A14'!G7=0,"    -",ROUND('AN-A14'!G36/'AN-A14'!G7*100,1))</f>
        <v>82.7</v>
      </c>
      <c r="H43" s="58">
        <f>IF('AN-A14'!H7=0,"    -",ROUND('AN-A14'!H36/'AN-A14'!H7*100,1))</f>
        <v>82.4</v>
      </c>
      <c r="I43" s="58">
        <f>IF('AN-A14'!I7=0,"    -",ROUND('AN-A14'!I36/'AN-A14'!I7*100,1))</f>
        <v>76.5</v>
      </c>
      <c r="J43" s="58">
        <f>IF('AN-A14'!J7=0,"    -",ROUND('AN-A14'!J36/'AN-A14'!J7*100,1))</f>
        <v>80.400000000000006</v>
      </c>
      <c r="K43" s="59">
        <f>IF('AN-A14'!K7=0,"    -",ROUND('AN-A14'!K36/'AN-A14'!K7*100,1))</f>
        <v>91.3</v>
      </c>
      <c r="L43" s="60">
        <f>IF('AN-A14'!L7=0,"    -",ROUND('AN-A14'!L36/'AN-A14'!L7*100,1))</f>
        <v>89.4</v>
      </c>
      <c r="M43" s="58">
        <f>IF('AN-A14'!M7=0,"    -",ROUND('AN-A14'!M36/'AN-A14'!M7*100,1))</f>
        <v>91.8</v>
      </c>
      <c r="N43" s="58">
        <f>IF('AN-A14'!N7=0,"    -",ROUND('AN-A14'!N36/'AN-A14'!N7*100,1))</f>
        <v>88.9</v>
      </c>
      <c r="O43" s="58">
        <f>IF('AN-A14'!O7=0,"    -",ROUND('AN-A14'!O36/'AN-A14'!O7*100,1))</f>
        <v>88.9</v>
      </c>
      <c r="P43" s="58">
        <f>IF('AN-A14'!P7=0,"    -",ROUND('AN-A14'!P36/'AN-A14'!P7*100,1))</f>
        <v>88.9</v>
      </c>
      <c r="Q43" s="61">
        <f>IF('AN-A14'!Q7=0,"    -",ROUND('AN-A14'!Q36/'AN-A14'!Q7*100,1))</f>
        <v>88.9</v>
      </c>
    </row>
    <row r="44" spans="2:17" ht="16.5" customHeight="1">
      <c r="B44" s="605" t="s">
        <v>434</v>
      </c>
      <c r="C44" s="606"/>
      <c r="D44" s="57">
        <f>IF('AN-A14'!D8=0,"    -",ROUND('AN-A14'!D37/'AN-A14'!D8*100,1))</f>
        <v>97.4</v>
      </c>
      <c r="E44" s="58">
        <f>IF('AN-A14'!E8=0,"    -",ROUND('AN-A14'!E37/'AN-A14'!E8*100,1))</f>
        <v>80</v>
      </c>
      <c r="F44" s="58">
        <f>IF('AN-A14'!F8=0,"    -",ROUND('AN-A14'!F37/'AN-A14'!F8*100,1))</f>
        <v>80.8</v>
      </c>
      <c r="G44" s="58">
        <f>IF('AN-A14'!G8=0,"    -",ROUND('AN-A14'!G37/'AN-A14'!G8*100,1))</f>
        <v>88.1</v>
      </c>
      <c r="H44" s="58">
        <f>IF('AN-A14'!H8=0,"    -",ROUND('AN-A14'!H37/'AN-A14'!H8*100,1))</f>
        <v>89.4</v>
      </c>
      <c r="I44" s="58">
        <f>IF('AN-A14'!I8=0,"    -",ROUND('AN-A14'!I37/'AN-A14'!I8*100,1))</f>
        <v>90.4</v>
      </c>
      <c r="J44" s="58">
        <f>IF('AN-A14'!J8=0,"    -",ROUND('AN-A14'!J37/'AN-A14'!J8*100,1))</f>
        <v>90.4</v>
      </c>
      <c r="K44" s="59">
        <f>IF('AN-A14'!K8=0,"    -",ROUND('AN-A14'!K37/'AN-A14'!K8*100,1))</f>
        <v>92.7</v>
      </c>
      <c r="L44" s="60">
        <f>IF('AN-A14'!L8=0,"    -",ROUND('AN-A14'!L37/'AN-A14'!L8*100,1))</f>
        <v>90.4</v>
      </c>
      <c r="M44" s="58">
        <f>IF('AN-A14'!M8=0,"    -",ROUND('AN-A14'!M37/'AN-A14'!M8*100,1))</f>
        <v>90.4</v>
      </c>
      <c r="N44" s="58">
        <f>IF('AN-A14'!N8=0,"    -",ROUND('AN-A14'!N37/'AN-A14'!N8*100,1))</f>
        <v>91.3</v>
      </c>
      <c r="O44" s="58">
        <f>IF('AN-A14'!O8=0,"    -",ROUND('AN-A14'!O37/'AN-A14'!O8*100,1))</f>
        <v>91.3</v>
      </c>
      <c r="P44" s="58">
        <f>IF('AN-A14'!P8=0,"    -",ROUND('AN-A14'!P37/'AN-A14'!P8*100,1))</f>
        <v>91.3</v>
      </c>
      <c r="Q44" s="61">
        <f>IF('AN-A14'!Q8=0,"    -",ROUND('AN-A14'!Q37/'AN-A14'!Q8*100,1))</f>
        <v>91.3</v>
      </c>
    </row>
    <row r="45" spans="2:17" ht="16.5" customHeight="1">
      <c r="B45" s="605" t="s">
        <v>435</v>
      </c>
      <c r="C45" s="606"/>
      <c r="D45" s="57" t="str">
        <f>IF('AN-A14'!D9=0,"    -",ROUND('AN-A14'!D38/'AN-A14'!D9*100,1))</f>
        <v xml:space="preserve">    -</v>
      </c>
      <c r="E45" s="58" t="str">
        <f>IF('AN-A14'!E9=0,"    -",ROUND('AN-A14'!E38/'AN-A14'!E9*100,1))</f>
        <v xml:space="preserve">    -</v>
      </c>
      <c r="F45" s="58" t="str">
        <f>IF('AN-A14'!F9=0,"    -",ROUND('AN-A14'!F38/'AN-A14'!F9*100,1))</f>
        <v xml:space="preserve">    -</v>
      </c>
      <c r="G45" s="58" t="str">
        <f>IF('AN-A14'!G9=0,"    -",ROUND('AN-A14'!G38/'AN-A14'!G9*100,1))</f>
        <v xml:space="preserve">    -</v>
      </c>
      <c r="H45" s="58" t="str">
        <f>IF('AN-A14'!H9=0,"    -",ROUND('AN-A14'!H38/'AN-A14'!H9*100,1))</f>
        <v xml:space="preserve">    -</v>
      </c>
      <c r="I45" s="58" t="str">
        <f>IF('AN-A14'!I9=0,"    -",ROUND('AN-A14'!I38/'AN-A14'!I9*100,1))</f>
        <v xml:space="preserve">    -</v>
      </c>
      <c r="J45" s="58" t="str">
        <f>IF('AN-A14'!J9=0,"    -",ROUND('AN-A14'!J38/'AN-A14'!J9*100,1))</f>
        <v xml:space="preserve">    -</v>
      </c>
      <c r="K45" s="59" t="str">
        <f>IF('AN-A14'!K9=0,"    -",ROUND('AN-A14'!K38/'AN-A14'!K9*100,1))</f>
        <v xml:space="preserve">    -</v>
      </c>
      <c r="L45" s="60" t="str">
        <f>IF('AN-A14'!L9=0,"    -",ROUND('AN-A14'!L38/'AN-A14'!L9*100,1))</f>
        <v xml:space="preserve">    -</v>
      </c>
      <c r="M45" s="58" t="str">
        <f>IF('AN-A14'!M9=0,"    -",ROUND('AN-A14'!M38/'AN-A14'!M9*100,1))</f>
        <v xml:space="preserve">    -</v>
      </c>
      <c r="N45" s="58" t="str">
        <f>IF('AN-A14'!N9=0,"    -",ROUND('AN-A14'!N38/'AN-A14'!N9*100,1))</f>
        <v xml:space="preserve">    -</v>
      </c>
      <c r="O45" s="58" t="str">
        <f>IF('AN-A14'!O9=0,"    -",ROUND('AN-A14'!O38/'AN-A14'!O9*100,1))</f>
        <v xml:space="preserve">    -</v>
      </c>
      <c r="P45" s="58" t="str">
        <f>IF('AN-A14'!P9=0,"    -",ROUND('AN-A14'!P38/'AN-A14'!P9*100,1))</f>
        <v xml:space="preserve">    -</v>
      </c>
      <c r="Q45" s="61" t="str">
        <f>IF('AN-A14'!Q9=0,"    -",ROUND('AN-A14'!Q38/'AN-A14'!Q9*100,1))</f>
        <v xml:space="preserve">    -</v>
      </c>
    </row>
    <row r="46" spans="2:17" ht="16.5" customHeight="1">
      <c r="B46" s="605" t="s">
        <v>436</v>
      </c>
      <c r="C46" s="606"/>
      <c r="D46" s="57">
        <f>IF('AN-A14'!D10=0,"    -",ROUND('AN-A14'!D39/'AN-A14'!D10*100,1))</f>
        <v>97.8</v>
      </c>
      <c r="E46" s="58">
        <f>IF('AN-A14'!E10=0,"    -",ROUND('AN-A14'!E39/'AN-A14'!E10*100,1))</f>
        <v>97.1</v>
      </c>
      <c r="F46" s="58">
        <f>IF('AN-A14'!F10=0,"    -",ROUND('AN-A14'!F39/'AN-A14'!F10*100,1))</f>
        <v>94.5</v>
      </c>
      <c r="G46" s="58">
        <f>IF('AN-A14'!G10=0,"    -",ROUND('AN-A14'!G39/'AN-A14'!G10*100,1))</f>
        <v>96.5</v>
      </c>
      <c r="H46" s="58">
        <f>IF('AN-A14'!H10=0,"    -",ROUND('AN-A14'!H39/'AN-A14'!H10*100,1))</f>
        <v>94.4</v>
      </c>
      <c r="I46" s="58">
        <f>IF('AN-A14'!I10=0,"    -",ROUND('AN-A14'!I39/'AN-A14'!I10*100,1))</f>
        <v>90.1</v>
      </c>
      <c r="J46" s="58">
        <f>IF('AN-A14'!J10=0,"    -",ROUND('AN-A14'!J39/'AN-A14'!J10*100,1))</f>
        <v>87.4</v>
      </c>
      <c r="K46" s="59">
        <f>IF('AN-A14'!K10=0,"    -",ROUND('AN-A14'!K39/'AN-A14'!K10*100,1))</f>
        <v>96.8</v>
      </c>
      <c r="L46" s="60">
        <f>IF('AN-A14'!L10=0,"    -",ROUND('AN-A14'!L39/'AN-A14'!L10*100,1))</f>
        <v>102.3</v>
      </c>
      <c r="M46" s="58">
        <f>IF('AN-A14'!M10=0,"    -",ROUND('AN-A14'!M39/'AN-A14'!M10*100,1))</f>
        <v>89.3</v>
      </c>
      <c r="N46" s="58">
        <f>IF('AN-A14'!N10=0,"    -",ROUND('AN-A14'!N39/'AN-A14'!N10*100,1))</f>
        <v>76.599999999999994</v>
      </c>
      <c r="O46" s="58">
        <f>IF('AN-A14'!O10=0,"    -",ROUND('AN-A14'!O39/'AN-A14'!O10*100,1))</f>
        <v>79.400000000000006</v>
      </c>
      <c r="P46" s="58">
        <f>IF('AN-A14'!P10=0,"    -",ROUND('AN-A14'!P39/'AN-A14'!P10*100,1))</f>
        <v>75.099999999999994</v>
      </c>
      <c r="Q46" s="61">
        <f>IF('AN-A14'!Q10=0,"    -",ROUND('AN-A14'!Q39/'AN-A14'!Q10*100,1))</f>
        <v>70.2</v>
      </c>
    </row>
    <row r="47" spans="2:17" ht="16.5" customHeight="1">
      <c r="B47" s="605" t="s">
        <v>437</v>
      </c>
      <c r="C47" s="606"/>
      <c r="D47" s="57">
        <f>IF('AN-A14'!D11=0,"    -",ROUND('AN-A14'!D40/'AN-A14'!D11*100,1))</f>
        <v>0</v>
      </c>
      <c r="E47" s="58">
        <f>IF('AN-A14'!E11=0,"    -",ROUND('AN-A14'!E40/'AN-A14'!E11*100,1))</f>
        <v>0</v>
      </c>
      <c r="F47" s="58">
        <f>IF('AN-A14'!F11=0,"    -",ROUND('AN-A14'!F40/'AN-A14'!F11*100,1))</f>
        <v>42</v>
      </c>
      <c r="G47" s="58">
        <f>IF('AN-A14'!G11=0,"    -",ROUND('AN-A14'!G40/'AN-A14'!G11*100,1))</f>
        <v>49.1</v>
      </c>
      <c r="H47" s="58">
        <f>IF('AN-A14'!H11=0,"    -",ROUND('AN-A14'!H40/'AN-A14'!H11*100,1))</f>
        <v>69.5</v>
      </c>
      <c r="I47" s="58">
        <f>IF('AN-A14'!I11=0,"    -",ROUND('AN-A14'!I40/'AN-A14'!I11*100,1))</f>
        <v>86.1</v>
      </c>
      <c r="J47" s="58">
        <f>IF('AN-A14'!J11=0,"    -",ROUND('AN-A14'!J40/'AN-A14'!J11*100,1))</f>
        <v>91.5</v>
      </c>
      <c r="K47" s="59">
        <f>IF('AN-A14'!K11=0,"    -",ROUND('AN-A14'!K40/'AN-A14'!K11*100,1))</f>
        <v>93.7</v>
      </c>
      <c r="L47" s="60">
        <f>IF('AN-A14'!L11=0,"    -",ROUND('AN-A14'!L40/'AN-A14'!L11*100,1))</f>
        <v>93.7</v>
      </c>
      <c r="M47" s="58">
        <f>IF('AN-A14'!M11=0,"    -",ROUND('AN-A14'!M40/'AN-A14'!M11*100,1))</f>
        <v>93.7</v>
      </c>
      <c r="N47" s="58">
        <f>IF('AN-A14'!N11=0,"    -",ROUND('AN-A14'!N40/'AN-A14'!N11*100,1))</f>
        <v>93.7</v>
      </c>
      <c r="O47" s="58">
        <f>IF('AN-A14'!O11=0,"    -",ROUND('AN-A14'!O40/'AN-A14'!O11*100,1))</f>
        <v>93.7</v>
      </c>
      <c r="P47" s="58">
        <f>IF('AN-A14'!P11=0,"    -",ROUND('AN-A14'!P40/'AN-A14'!P11*100,1))</f>
        <v>93.7</v>
      </c>
      <c r="Q47" s="61">
        <f>IF('AN-A14'!Q11=0,"    -",ROUND('AN-A14'!Q40/'AN-A14'!Q11*100,1))</f>
        <v>93.7</v>
      </c>
    </row>
    <row r="48" spans="2:17" ht="16.5" customHeight="1">
      <c r="B48" s="605" t="s">
        <v>438</v>
      </c>
      <c r="C48" s="606"/>
      <c r="D48" s="57" t="str">
        <f>IF('AN-A14'!D12=0,"    -",ROUND('AN-A14'!D41/'AN-A14'!D12*100,1))</f>
        <v xml:space="preserve">    -</v>
      </c>
      <c r="E48" s="58" t="str">
        <f>IF('AN-A14'!E12=0,"    -",ROUND('AN-A14'!E41/'AN-A14'!E12*100,1))</f>
        <v xml:space="preserve">    -</v>
      </c>
      <c r="F48" s="58" t="str">
        <f>IF('AN-A14'!F12=0,"    -",ROUND('AN-A14'!F41/'AN-A14'!F12*100,1))</f>
        <v xml:space="preserve">    -</v>
      </c>
      <c r="G48" s="58" t="str">
        <f>IF('AN-A14'!G12=0,"    -",ROUND('AN-A14'!G41/'AN-A14'!G12*100,1))</f>
        <v xml:space="preserve">    -</v>
      </c>
      <c r="H48" s="58" t="str">
        <f>IF('AN-A14'!H12=0,"    -",ROUND('AN-A14'!H41/'AN-A14'!H12*100,1))</f>
        <v xml:space="preserve">    -</v>
      </c>
      <c r="I48" s="58" t="str">
        <f>IF('AN-A14'!I12=0,"    -",ROUND('AN-A14'!I41/'AN-A14'!I12*100,1))</f>
        <v xml:space="preserve">    -</v>
      </c>
      <c r="J48" s="58" t="str">
        <f>IF('AN-A14'!J12=0,"    -",ROUND('AN-A14'!J41/'AN-A14'!J12*100,1))</f>
        <v xml:space="preserve">    -</v>
      </c>
      <c r="K48" s="59" t="str">
        <f>IF('AN-A14'!K12=0,"    -",ROUND('AN-A14'!K41/'AN-A14'!K12*100,1))</f>
        <v xml:space="preserve">    -</v>
      </c>
      <c r="L48" s="60" t="str">
        <f>IF('AN-A14'!L12=0,"    -",ROUND('AN-A14'!L41/'AN-A14'!L12*100,1))</f>
        <v xml:space="preserve">    -</v>
      </c>
      <c r="M48" s="58" t="str">
        <f>IF('AN-A14'!M12=0,"    -",ROUND('AN-A14'!M41/'AN-A14'!M12*100,1))</f>
        <v xml:space="preserve">    -</v>
      </c>
      <c r="N48" s="58" t="str">
        <f>IF('AN-A14'!N12=0,"    -",ROUND('AN-A14'!N41/'AN-A14'!N12*100,1))</f>
        <v xml:space="preserve">    -</v>
      </c>
      <c r="O48" s="58" t="str">
        <f>IF('AN-A14'!O12=0,"    -",ROUND('AN-A14'!O41/'AN-A14'!O12*100,1))</f>
        <v xml:space="preserve">    -</v>
      </c>
      <c r="P48" s="58" t="str">
        <f>IF('AN-A14'!P12=0,"    -",ROUND('AN-A14'!P41/'AN-A14'!P12*100,1))</f>
        <v xml:space="preserve">    -</v>
      </c>
      <c r="Q48" s="61" t="str">
        <f>IF('AN-A14'!Q12=0,"    -",ROUND('AN-A14'!Q41/'AN-A14'!Q12*100,1))</f>
        <v xml:space="preserve">    -</v>
      </c>
    </row>
    <row r="49" spans="2:17" ht="16.5" customHeight="1">
      <c r="B49" s="605" t="s">
        <v>439</v>
      </c>
      <c r="C49" s="606"/>
      <c r="D49" s="57">
        <f>IF('AN-A14'!D13=0,"    -",ROUND('AN-A14'!D42/'AN-A14'!D13*100,1))</f>
        <v>100</v>
      </c>
      <c r="E49" s="58">
        <f>IF('AN-A14'!E13=0,"    -",ROUND('AN-A14'!E42/'AN-A14'!E13*100,1))</f>
        <v>100</v>
      </c>
      <c r="F49" s="58">
        <f>IF('AN-A14'!F13=0,"    -",ROUND('AN-A14'!F42/'AN-A14'!F13*100,1))</f>
        <v>100</v>
      </c>
      <c r="G49" s="58">
        <f>IF('AN-A14'!G13=0,"    -",ROUND('AN-A14'!G42/'AN-A14'!G13*100,1))</f>
        <v>92.5</v>
      </c>
      <c r="H49" s="58">
        <f>IF('AN-A14'!H13=0,"    -",ROUND('AN-A14'!H42/'AN-A14'!H13*100,1))</f>
        <v>85</v>
      </c>
      <c r="I49" s="58">
        <f>IF('AN-A14'!I13=0,"    -",ROUND('AN-A14'!I42/'AN-A14'!I13*100,1))</f>
        <v>97.5</v>
      </c>
      <c r="J49" s="58">
        <f>IF('AN-A14'!J13=0,"    -",ROUND('AN-A14'!J42/'AN-A14'!J13*100,1))</f>
        <v>5</v>
      </c>
      <c r="K49" s="59">
        <f>IF('AN-A14'!K13=0,"    -",ROUND('AN-A14'!K42/'AN-A14'!K13*100,1))</f>
        <v>75</v>
      </c>
      <c r="L49" s="60">
        <f>IF('AN-A14'!L13=0,"    -",ROUND('AN-A14'!L42/'AN-A14'!L13*100,1))</f>
        <v>87.5</v>
      </c>
      <c r="M49" s="58">
        <f>IF('AN-A14'!M13=0,"    -",ROUND('AN-A14'!M42/'AN-A14'!M13*100,1))</f>
        <v>95</v>
      </c>
      <c r="N49" s="58">
        <f>IF('AN-A14'!N13=0,"    -",ROUND('AN-A14'!N42/'AN-A14'!N13*100,1))</f>
        <v>95</v>
      </c>
      <c r="O49" s="58">
        <f>IF('AN-A14'!O13=0,"    -",ROUND('AN-A14'!O42/'AN-A14'!O13*100,1))</f>
        <v>95</v>
      </c>
      <c r="P49" s="58">
        <f>IF('AN-A14'!P13=0,"    -",ROUND('AN-A14'!P42/'AN-A14'!P13*100,1))</f>
        <v>95</v>
      </c>
      <c r="Q49" s="61">
        <f>IF('AN-A14'!Q13=0,"    -",ROUND('AN-A14'!Q42/'AN-A14'!Q13*100,1))</f>
        <v>95</v>
      </c>
    </row>
    <row r="50" spans="2:17" ht="18" hidden="1" customHeight="1">
      <c r="B50" s="16"/>
      <c r="C50" s="90" t="s">
        <v>306</v>
      </c>
      <c r="D50" s="57" t="str">
        <f>IF('AN-A14'!D14=0,"    -",ROUND('AN-A14'!D43/'AN-A14'!D14*100,1))</f>
        <v xml:space="preserve">    -</v>
      </c>
      <c r="E50" s="58" t="str">
        <f>IF('AN-A14'!E14=0,"    -",ROUND('AN-A14'!E43/'AN-A14'!E14*100,1))</f>
        <v xml:space="preserve">    -</v>
      </c>
      <c r="F50" s="58" t="str">
        <f>IF('AN-A14'!F14=0,"    -",ROUND('AN-A14'!F43/'AN-A14'!F14*100,1))</f>
        <v xml:space="preserve">    -</v>
      </c>
      <c r="G50" s="58" t="str">
        <f>IF('AN-A14'!G14=0,"    -",ROUND('AN-A14'!G43/'AN-A14'!G14*100,1))</f>
        <v xml:space="preserve">    -</v>
      </c>
      <c r="H50" s="58" t="str">
        <f>IF('AN-A14'!H14=0,"    -",ROUND('AN-A14'!H43/'AN-A14'!H14*100,1))</f>
        <v xml:space="preserve">    -</v>
      </c>
      <c r="I50" s="58" t="str">
        <f>IF('AN-A14'!I14=0,"    -",ROUND('AN-A14'!I43/'AN-A14'!I14*100,1))</f>
        <v xml:space="preserve">    -</v>
      </c>
      <c r="J50" s="58" t="str">
        <f>IF('AN-A14'!J14=0,"    -",ROUND('AN-A14'!J43/'AN-A14'!J14*100,1))</f>
        <v xml:space="preserve">    -</v>
      </c>
      <c r="K50" s="59" t="str">
        <f>IF('AN-A14'!K14=0,"    -",ROUND('AN-A14'!K43/'AN-A14'!K14*100,1))</f>
        <v xml:space="preserve">    -</v>
      </c>
      <c r="L50" s="60" t="str">
        <f>IF('AN-A14'!L14=0,"    -",ROUND('AN-A14'!L43/'AN-A14'!L14*100,1))</f>
        <v xml:space="preserve">    -</v>
      </c>
      <c r="M50" s="58" t="str">
        <f>IF('AN-A14'!M14=0,"    -",ROUND('AN-A14'!M43/'AN-A14'!M14*100,1))</f>
        <v xml:space="preserve">    -</v>
      </c>
      <c r="N50" s="58" t="str">
        <f>IF('AN-A14'!N14=0,"    -",ROUND('AN-A14'!N43/'AN-A14'!N14*100,1))</f>
        <v xml:space="preserve">    -</v>
      </c>
      <c r="O50" s="58" t="str">
        <f>IF('AN-A14'!O14=0,"    -",ROUND('AN-A14'!O43/'AN-A14'!O14*100,1))</f>
        <v xml:space="preserve">    -</v>
      </c>
      <c r="P50" s="58" t="str">
        <f>IF('AN-A14'!P14=0,"    -",ROUND('AN-A14'!P43/'AN-A14'!P14*100,1))</f>
        <v xml:space="preserve">    -</v>
      </c>
      <c r="Q50" s="61" t="str">
        <f>IF('AN-A14'!Q14=0,"    -",ROUND('AN-A14'!Q43/'AN-A14'!Q14*100,1))</f>
        <v xml:space="preserve">    -</v>
      </c>
    </row>
    <row r="51" spans="2:17" ht="16.5" customHeight="1">
      <c r="B51" s="605" t="s">
        <v>440</v>
      </c>
      <c r="C51" s="606"/>
      <c r="D51" s="57" t="str">
        <f>IF('AN-A14'!D15=0,"    -",ROUND('AN-A14'!D44/'AN-A14'!D15*100,1))</f>
        <v xml:space="preserve">    -</v>
      </c>
      <c r="E51" s="58" t="str">
        <f>IF('AN-A14'!E15=0,"    -",ROUND('AN-A14'!E44/'AN-A14'!E15*100,1))</f>
        <v xml:space="preserve">    -</v>
      </c>
      <c r="F51" s="58" t="str">
        <f>IF('AN-A14'!F15=0,"    -",ROUND('AN-A14'!F44/'AN-A14'!F15*100,1))</f>
        <v xml:space="preserve">    -</v>
      </c>
      <c r="G51" s="58" t="str">
        <f>IF('AN-A14'!G15=0,"    -",ROUND('AN-A14'!G44/'AN-A14'!G15*100,1))</f>
        <v xml:space="preserve">    -</v>
      </c>
      <c r="H51" s="58" t="str">
        <f>IF('AN-A14'!H15=0,"    -",ROUND('AN-A14'!H44/'AN-A14'!H15*100,1))</f>
        <v xml:space="preserve">    -</v>
      </c>
      <c r="I51" s="58" t="str">
        <f>IF('AN-A14'!I15=0,"    -",ROUND('AN-A14'!I44/'AN-A14'!I15*100,1))</f>
        <v xml:space="preserve">    -</v>
      </c>
      <c r="J51" s="58" t="str">
        <f>IF('AN-A14'!J15=0,"    -",ROUND('AN-A14'!J44/'AN-A14'!J15*100,1))</f>
        <v xml:space="preserve">    -</v>
      </c>
      <c r="K51" s="59" t="str">
        <f>IF('AN-A14'!K15=0,"    -",ROUND('AN-A14'!K44/'AN-A14'!K15*100,1))</f>
        <v xml:space="preserve">    -</v>
      </c>
      <c r="L51" s="60" t="str">
        <f>IF('AN-A14'!L15=0,"    -",ROUND('AN-A14'!L44/'AN-A14'!L15*100,1))</f>
        <v xml:space="preserve">    -</v>
      </c>
      <c r="M51" s="58" t="str">
        <f>IF('AN-A14'!M15=0,"    -",ROUND('AN-A14'!M44/'AN-A14'!M15*100,1))</f>
        <v xml:space="preserve">    -</v>
      </c>
      <c r="N51" s="58" t="str">
        <f>IF('AN-A14'!N15=0,"    -",ROUND('AN-A14'!N44/'AN-A14'!N15*100,1))</f>
        <v xml:space="preserve">    -</v>
      </c>
      <c r="O51" s="58" t="str">
        <f>IF('AN-A14'!O15=0,"    -",ROUND('AN-A14'!O44/'AN-A14'!O15*100,1))</f>
        <v xml:space="preserve">    -</v>
      </c>
      <c r="P51" s="58" t="str">
        <f>IF('AN-A14'!P15=0,"    -",ROUND('AN-A14'!P44/'AN-A14'!P15*100,1))</f>
        <v xml:space="preserve">    -</v>
      </c>
      <c r="Q51" s="61" t="str">
        <f>IF('AN-A14'!Q15=0,"    -",ROUND('AN-A14'!Q44/'AN-A14'!Q15*100,1))</f>
        <v xml:space="preserve">    -</v>
      </c>
    </row>
    <row r="52" spans="2:17" ht="16.5" customHeight="1">
      <c r="B52" s="605" t="s">
        <v>441</v>
      </c>
      <c r="C52" s="606"/>
      <c r="D52" s="57" t="str">
        <f>IF('AN-A14'!D16=0,"    -",ROUND('AN-A14'!D45/'AN-A14'!D16*100,1))</f>
        <v xml:space="preserve">    -</v>
      </c>
      <c r="E52" s="58" t="str">
        <f>IF('AN-A14'!E16=0,"    -",ROUND('AN-A14'!E45/'AN-A14'!E16*100,1))</f>
        <v xml:space="preserve">    -</v>
      </c>
      <c r="F52" s="58" t="str">
        <f>IF('AN-A14'!F16=0,"    -",ROUND('AN-A14'!F45/'AN-A14'!F16*100,1))</f>
        <v xml:space="preserve">    -</v>
      </c>
      <c r="G52" s="58" t="str">
        <f>IF('AN-A14'!G16=0,"    -",ROUND('AN-A14'!G45/'AN-A14'!G16*100,1))</f>
        <v xml:space="preserve">    -</v>
      </c>
      <c r="H52" s="58" t="str">
        <f>IF('AN-A14'!H16=0,"    -",ROUND('AN-A14'!H45/'AN-A14'!H16*100,1))</f>
        <v xml:space="preserve">    -</v>
      </c>
      <c r="I52" s="58" t="str">
        <f>IF('AN-A14'!I16=0,"    -",ROUND('AN-A14'!I45/'AN-A14'!I16*100,1))</f>
        <v xml:space="preserve">    -</v>
      </c>
      <c r="J52" s="58" t="str">
        <f>IF('AN-A14'!J16=0,"    -",ROUND('AN-A14'!J45/'AN-A14'!J16*100,1))</f>
        <v xml:space="preserve">    -</v>
      </c>
      <c r="K52" s="59" t="str">
        <f>IF('AN-A14'!K16=0,"    -",ROUND('AN-A14'!K45/'AN-A14'!K16*100,1))</f>
        <v xml:space="preserve">    -</v>
      </c>
      <c r="L52" s="60" t="str">
        <f>IF('AN-A14'!L16=0,"    -",ROUND('AN-A14'!L45/'AN-A14'!L16*100,1))</f>
        <v xml:space="preserve">    -</v>
      </c>
      <c r="M52" s="58" t="str">
        <f>IF('AN-A14'!M16=0,"    -",ROUND('AN-A14'!M45/'AN-A14'!M16*100,1))</f>
        <v xml:space="preserve">    -</v>
      </c>
      <c r="N52" s="58" t="str">
        <f>IF('AN-A14'!N16=0,"    -",ROUND('AN-A14'!N45/'AN-A14'!N16*100,1))</f>
        <v xml:space="preserve">    -</v>
      </c>
      <c r="O52" s="58" t="str">
        <f>IF('AN-A14'!O16=0,"    -",ROUND('AN-A14'!O45/'AN-A14'!O16*100,1))</f>
        <v xml:space="preserve">    -</v>
      </c>
      <c r="P52" s="58" t="str">
        <f>IF('AN-A14'!P16=0,"    -",ROUND('AN-A14'!P45/'AN-A14'!P16*100,1))</f>
        <v xml:space="preserve">    -</v>
      </c>
      <c r="Q52" s="61" t="str">
        <f>IF('AN-A14'!Q16=0,"    -",ROUND('AN-A14'!Q45/'AN-A14'!Q16*100,1))</f>
        <v xml:space="preserve">    -</v>
      </c>
    </row>
    <row r="53" spans="2:17" ht="16.5" customHeight="1">
      <c r="B53" s="605" t="s">
        <v>442</v>
      </c>
      <c r="C53" s="606"/>
      <c r="D53" s="57" t="str">
        <f>IF('AN-A14'!D17=0,"    -",ROUND('AN-A14'!D46/'AN-A14'!D17*100,1))</f>
        <v xml:space="preserve">    -</v>
      </c>
      <c r="E53" s="58" t="str">
        <f>IF('AN-A14'!E17=0,"    -",ROUND('AN-A14'!E46/'AN-A14'!E17*100,1))</f>
        <v xml:space="preserve">    -</v>
      </c>
      <c r="F53" s="58" t="str">
        <f>IF('AN-A14'!F17=0,"    -",ROUND('AN-A14'!F46/'AN-A14'!F17*100,1))</f>
        <v xml:space="preserve">    -</v>
      </c>
      <c r="G53" s="58" t="str">
        <f>IF('AN-A14'!G17=0,"    -",ROUND('AN-A14'!G46/'AN-A14'!G17*100,1))</f>
        <v xml:space="preserve">    -</v>
      </c>
      <c r="H53" s="58" t="str">
        <f>IF('AN-A14'!H17=0,"    -",ROUND('AN-A14'!H46/'AN-A14'!H17*100,1))</f>
        <v xml:space="preserve">    -</v>
      </c>
      <c r="I53" s="58" t="str">
        <f>IF('AN-A14'!I17=0,"    -",ROUND('AN-A14'!I46/'AN-A14'!I17*100,1))</f>
        <v xml:space="preserve">    -</v>
      </c>
      <c r="J53" s="58" t="str">
        <f>IF('AN-A14'!J17=0,"    -",ROUND('AN-A14'!J46/'AN-A14'!J17*100,1))</f>
        <v xml:space="preserve">    -</v>
      </c>
      <c r="K53" s="59" t="str">
        <f>IF('AN-A14'!K17=0,"    -",ROUND('AN-A14'!K46/'AN-A14'!K17*100,1))</f>
        <v xml:space="preserve">    -</v>
      </c>
      <c r="L53" s="60" t="str">
        <f>IF('AN-A14'!L17=0,"    -",ROUND('AN-A14'!L46/'AN-A14'!L17*100,1))</f>
        <v xml:space="preserve">    -</v>
      </c>
      <c r="M53" s="58" t="str">
        <f>IF('AN-A14'!M17=0,"    -",ROUND('AN-A14'!M46/'AN-A14'!M17*100,1))</f>
        <v xml:space="preserve">    -</v>
      </c>
      <c r="N53" s="58" t="str">
        <f>IF('AN-A14'!N17=0,"    -",ROUND('AN-A14'!N46/'AN-A14'!N17*100,1))</f>
        <v xml:space="preserve">    -</v>
      </c>
      <c r="O53" s="58" t="str">
        <f>IF('AN-A14'!O17=0,"    -",ROUND('AN-A14'!O46/'AN-A14'!O17*100,1))</f>
        <v xml:space="preserve">    -</v>
      </c>
      <c r="P53" s="58" t="str">
        <f>IF('AN-A14'!P17=0,"    -",ROUND('AN-A14'!P46/'AN-A14'!P17*100,1))</f>
        <v xml:space="preserve">    -</v>
      </c>
      <c r="Q53" s="61" t="str">
        <f>IF('AN-A14'!Q17=0,"    -",ROUND('AN-A14'!Q46/'AN-A14'!Q17*100,1))</f>
        <v xml:space="preserve">    -</v>
      </c>
    </row>
    <row r="54" spans="2:17" ht="16.5" customHeight="1">
      <c r="B54" s="607" t="s">
        <v>443</v>
      </c>
      <c r="C54" s="608"/>
      <c r="D54" s="57">
        <f>IF('AN-A14'!D18=0,"    -",ROUND('AN-A14'!D47/'AN-A14'!D18*100,1))</f>
        <v>91.8</v>
      </c>
      <c r="E54" s="58">
        <f>IF('AN-A14'!E18=0,"    -",ROUND('AN-A14'!E47/'AN-A14'!E18*100,1))</f>
        <v>100.9</v>
      </c>
      <c r="F54" s="58">
        <f>IF('AN-A14'!F18=0,"    -",ROUND('AN-A14'!F47/'AN-A14'!F18*100,1))</f>
        <v>76.599999999999994</v>
      </c>
      <c r="G54" s="58">
        <f>IF('AN-A14'!G18=0,"    -",ROUND('AN-A14'!G47/'AN-A14'!G18*100,1))</f>
        <v>71.5</v>
      </c>
      <c r="H54" s="58">
        <f>IF('AN-A14'!H18=0,"    -",ROUND('AN-A14'!H47/'AN-A14'!H18*100,1))</f>
        <v>95.1</v>
      </c>
      <c r="I54" s="58">
        <f>IF('AN-A14'!I18=0,"    -",ROUND('AN-A14'!I47/'AN-A14'!I18*100,1))</f>
        <v>88.7</v>
      </c>
      <c r="J54" s="58">
        <f>IF('AN-A14'!J18=0,"    -",ROUND('AN-A14'!J47/'AN-A14'!J18*100,1))</f>
        <v>84.6</v>
      </c>
      <c r="K54" s="59">
        <f>IF('AN-A14'!K18=0,"    -",ROUND('AN-A14'!K47/'AN-A14'!K18*100,1))</f>
        <v>87.3</v>
      </c>
      <c r="L54" s="60">
        <f>IF('AN-A14'!L18=0,"    -",ROUND('AN-A14'!L47/'AN-A14'!L18*100,1))</f>
        <v>94.4</v>
      </c>
      <c r="M54" s="58">
        <f>IF('AN-A14'!M18=0,"    -",ROUND('AN-A14'!M47/'AN-A14'!M18*100,1))</f>
        <v>89.5</v>
      </c>
      <c r="N54" s="58">
        <f>IF('AN-A14'!N18=0,"    -",ROUND('AN-A14'!N47/'AN-A14'!N18*100,1))</f>
        <v>89.7</v>
      </c>
      <c r="O54" s="58">
        <f>IF('AN-A14'!O18=0,"    -",ROUND('AN-A14'!O47/'AN-A14'!O18*100,1))</f>
        <v>89.5</v>
      </c>
      <c r="P54" s="58">
        <f>IF('AN-A14'!P18=0,"    -",ROUND('AN-A14'!P47/'AN-A14'!P18*100,1))</f>
        <v>89.7</v>
      </c>
      <c r="Q54" s="61">
        <f>IF('AN-A14'!Q18=0,"    -",ROUND('AN-A14'!Q47/'AN-A14'!Q18*100,1))</f>
        <v>89.5</v>
      </c>
    </row>
    <row r="55" spans="2:17" ht="17.25" customHeight="1">
      <c r="B55" s="674" t="s">
        <v>307</v>
      </c>
      <c r="C55" s="675"/>
      <c r="D55" s="74">
        <f>IF('AN-A14'!D19=0,"    -",ROUND('AN-A14'!D48/'AN-A14'!D19*100,1))</f>
        <v>91.1</v>
      </c>
      <c r="E55" s="75">
        <f>IF('AN-A14'!E19=0,"    -",ROUND('AN-A14'!E48/'AN-A14'!E19*100,1))</f>
        <v>89.7</v>
      </c>
      <c r="F55" s="75">
        <f>IF('AN-A14'!F19=0,"    -",ROUND('AN-A14'!F48/'AN-A14'!F19*100,1))</f>
        <v>85</v>
      </c>
      <c r="G55" s="75">
        <f>IF('AN-A14'!G19=0,"    -",ROUND('AN-A14'!G48/'AN-A14'!G19*100,1))</f>
        <v>84.5</v>
      </c>
      <c r="H55" s="75">
        <f>IF('AN-A14'!H19=0,"    -",ROUND('AN-A14'!H48/'AN-A14'!H19*100,1))</f>
        <v>89.3</v>
      </c>
      <c r="I55" s="75">
        <f>IF('AN-A14'!I19=0,"    -",ROUND('AN-A14'!I48/'AN-A14'!I19*100,1))</f>
        <v>86.8</v>
      </c>
      <c r="J55" s="75">
        <f>IF('AN-A14'!J19=0,"    -",ROUND('AN-A14'!J48/'AN-A14'!J19*100,1))</f>
        <v>85.4</v>
      </c>
      <c r="K55" s="76">
        <f>IF('AN-A14'!K19=0,"    -",ROUND('AN-A14'!K48/'AN-A14'!K19*100,1))</f>
        <v>93.6</v>
      </c>
      <c r="L55" s="77">
        <f>IF('AN-A14'!L19=0,"    -",ROUND('AN-A14'!L48/'AN-A14'!L19*100,1))</f>
        <v>96.5</v>
      </c>
      <c r="M55" s="75">
        <f>IF('AN-A14'!M19=0,"    -",ROUND('AN-A14'!M48/'AN-A14'!M19*100,1))</f>
        <v>90.1</v>
      </c>
      <c r="N55" s="75">
        <f>IF('AN-A14'!N19=0,"    -",ROUND('AN-A14'!N48/'AN-A14'!N19*100,1))</f>
        <v>82.4</v>
      </c>
      <c r="O55" s="75">
        <f>IF('AN-A14'!O19=0,"    -",ROUND('AN-A14'!O48/'AN-A14'!O19*100,1))</f>
        <v>83.9</v>
      </c>
      <c r="P55" s="75">
        <f>IF('AN-A14'!P19=0,"    -",ROUND('AN-A14'!P48/'AN-A14'!P19*100,1))</f>
        <v>81.099999999999994</v>
      </c>
      <c r="Q55" s="78">
        <f>IF('AN-A14'!Q19=0,"    -",ROUND('AN-A14'!Q48/'AN-A14'!Q19*100,1))</f>
        <v>77.7</v>
      </c>
    </row>
    <row r="56" spans="2:17" ht="17.25" customHeight="1">
      <c r="B56" s="672" t="s">
        <v>308</v>
      </c>
      <c r="C56" s="673"/>
      <c r="D56" s="135" t="str">
        <f>IF('AN-A14'!D20=0,"    -",ROUND('AN-A14'!D49/'AN-A14'!D20*100,1))</f>
        <v xml:space="preserve">    -</v>
      </c>
      <c r="E56" s="136" t="str">
        <f>IF('AN-A14'!E20=0,"    -",ROUND('AN-A14'!E49/'AN-A14'!E20*100,1))</f>
        <v xml:space="preserve">    -</v>
      </c>
      <c r="F56" s="136" t="str">
        <f>IF('AN-A14'!F20=0,"    -",ROUND('AN-A14'!F49/'AN-A14'!F20*100,1))</f>
        <v xml:space="preserve">    -</v>
      </c>
      <c r="G56" s="136" t="str">
        <f>IF('AN-A14'!G20=0,"    -",ROUND('AN-A14'!G49/'AN-A14'!G20*100,1))</f>
        <v xml:space="preserve">    -</v>
      </c>
      <c r="H56" s="136" t="str">
        <f>IF('AN-A14'!H20=0,"    -",ROUND('AN-A14'!H49/'AN-A14'!H20*100,1))</f>
        <v xml:space="preserve">    -</v>
      </c>
      <c r="I56" s="136" t="str">
        <f>IF('AN-A14'!I20=0,"    -",ROUND('AN-A14'!I49/'AN-A14'!I20*100,1))</f>
        <v xml:space="preserve">    -</v>
      </c>
      <c r="J56" s="136" t="str">
        <f>IF('AN-A14'!J20=0,"    -",ROUND('AN-A14'!J49/'AN-A14'!J20*100,1))</f>
        <v xml:space="preserve">    -</v>
      </c>
      <c r="K56" s="137" t="str">
        <f>IF('AN-A14'!K20=0,"    -",ROUND('AN-A14'!K49/'AN-A14'!K20*100,1))</f>
        <v xml:space="preserve">    -</v>
      </c>
      <c r="L56" s="135" t="str">
        <f>IF('AN-A14'!L20=0,"    -",ROUND('AN-A14'!L49/'AN-A14'!L20*100,1))</f>
        <v xml:space="preserve">    -</v>
      </c>
      <c r="M56" s="136" t="str">
        <f>IF('AN-A14'!M20=0,"    -",ROUND('AN-A14'!M49/'AN-A14'!M20*100,1))</f>
        <v xml:space="preserve">    -</v>
      </c>
      <c r="N56" s="136" t="str">
        <f>IF('AN-A14'!N20=0,"    -",ROUND('AN-A14'!N49/'AN-A14'!N20*100,1))</f>
        <v xml:space="preserve">    -</v>
      </c>
      <c r="O56" s="136" t="str">
        <f>IF('AN-A14'!O20=0,"    -",ROUND('AN-A14'!O49/'AN-A14'!O20*100,1))</f>
        <v xml:space="preserve">    -</v>
      </c>
      <c r="P56" s="136">
        <f>IF('AN-A14'!P20=0,"    -",ROUND('AN-A14'!P49/'AN-A14'!P20*100,1))</f>
        <v>100</v>
      </c>
      <c r="Q56" s="137" t="str">
        <f>IF('AN-A14'!Q20=0,"    -",ROUND('AN-A14'!Q49/'AN-A14'!Q20*100,1))</f>
        <v xml:space="preserve">    -</v>
      </c>
    </row>
    <row r="57" spans="2:17" ht="16.5" customHeight="1">
      <c r="B57" s="105"/>
      <c r="C57" s="97" t="s">
        <v>309</v>
      </c>
      <c r="D57" s="135" t="str">
        <f>IF('AN-A14'!D21=0,"    -",ROUND('AN-A14'!D50/'AN-A14'!D21*100,1))</f>
        <v xml:space="preserve">    -</v>
      </c>
      <c r="E57" s="136" t="str">
        <f>IF('AN-A14'!E21=0,"    -",ROUND('AN-A14'!E50/'AN-A14'!E21*100,1))</f>
        <v xml:space="preserve">    -</v>
      </c>
      <c r="F57" s="136" t="str">
        <f>IF('AN-A14'!F21=0,"    -",ROUND('AN-A14'!F50/'AN-A14'!F21*100,1))</f>
        <v xml:space="preserve">    -</v>
      </c>
      <c r="G57" s="136" t="str">
        <f>IF('AN-A14'!G21=0,"    -",ROUND('AN-A14'!G50/'AN-A14'!G21*100,1))</f>
        <v xml:space="preserve">    -</v>
      </c>
      <c r="H57" s="136" t="str">
        <f>IF('AN-A14'!H21=0,"    -",ROUND('AN-A14'!H50/'AN-A14'!H21*100,1))</f>
        <v xml:space="preserve">    -</v>
      </c>
      <c r="I57" s="136" t="str">
        <f>IF('AN-A14'!I21=0,"    -",ROUND('AN-A14'!I50/'AN-A14'!I21*100,1))</f>
        <v xml:space="preserve">    -</v>
      </c>
      <c r="J57" s="136" t="str">
        <f>IF('AN-A14'!J21=0,"    -",ROUND('AN-A14'!J50/'AN-A14'!J21*100,1))</f>
        <v xml:space="preserve">    -</v>
      </c>
      <c r="K57" s="137" t="str">
        <f>IF('AN-A14'!K21=0,"    -",ROUND('AN-A14'!K50/'AN-A14'!K21*100,1))</f>
        <v xml:space="preserve">    -</v>
      </c>
      <c r="L57" s="135" t="str">
        <f>IF('AN-A14'!L21=0,"    -",ROUND('AN-A14'!L50/'AN-A14'!L21*100,1))</f>
        <v xml:space="preserve">    -</v>
      </c>
      <c r="M57" s="136" t="str">
        <f>IF('AN-A14'!M21=0,"    -",ROUND('AN-A14'!M50/'AN-A14'!M21*100,1))</f>
        <v xml:space="preserve">    -</v>
      </c>
      <c r="N57" s="136" t="str">
        <f>IF('AN-A14'!N21=0,"    -",ROUND('AN-A14'!N50/'AN-A14'!N21*100,1))</f>
        <v xml:space="preserve">    -</v>
      </c>
      <c r="O57" s="136" t="str">
        <f>IF('AN-A14'!O21=0,"    -",ROUND('AN-A14'!O50/'AN-A14'!O21*100,1))</f>
        <v xml:space="preserve">    -</v>
      </c>
      <c r="P57" s="136">
        <f>IF('AN-A14'!P21=0,"    -",ROUND('AN-A14'!P50/'AN-A14'!P21*100,1))</f>
        <v>100</v>
      </c>
      <c r="Q57" s="137" t="str">
        <f>IF('AN-A14'!Q21=0,"    -",ROUND('AN-A14'!Q50/'AN-A14'!Q21*100,1))</f>
        <v xml:space="preserve">    -</v>
      </c>
    </row>
    <row r="58" spans="2:17" ht="17.25" customHeight="1">
      <c r="B58" s="672" t="s">
        <v>310</v>
      </c>
      <c r="C58" s="673"/>
      <c r="D58" s="57">
        <f>IF('AN-A14'!D22=0,"    -",ROUND('AN-A14'!D51/'AN-A14'!D22*100,1))</f>
        <v>80.599999999999994</v>
      </c>
      <c r="E58" s="58">
        <f>IF('AN-A14'!E22=0,"    -",ROUND('AN-A14'!E51/'AN-A14'!E22*100,1))</f>
        <v>79</v>
      </c>
      <c r="F58" s="58">
        <f>IF('AN-A14'!F22=0,"    -",ROUND('AN-A14'!F51/'AN-A14'!F22*100,1))</f>
        <v>83</v>
      </c>
      <c r="G58" s="58">
        <f>IF('AN-A14'!G22=0,"    -",ROUND('AN-A14'!G51/'AN-A14'!G22*100,1))</f>
        <v>79.5</v>
      </c>
      <c r="H58" s="58">
        <f>IF('AN-A14'!H22=0,"    -",ROUND('AN-A14'!H51/'AN-A14'!H22*100,1))</f>
        <v>79.5</v>
      </c>
      <c r="I58" s="58">
        <f>IF('AN-A14'!I22=0,"    -",ROUND('AN-A14'!I51/'AN-A14'!I22*100,1))</f>
        <v>76.900000000000006</v>
      </c>
      <c r="J58" s="58">
        <f>IF('AN-A14'!J22=0,"    -",ROUND('AN-A14'!J51/'AN-A14'!J22*100,1))</f>
        <v>86.4</v>
      </c>
      <c r="K58" s="59">
        <f>IF('AN-A14'!K22=0,"    -",ROUND('AN-A14'!K51/'AN-A14'!K22*100,1))</f>
        <v>86.4</v>
      </c>
      <c r="L58" s="57">
        <f>IF('AN-A14'!L22=0,"    -",ROUND('AN-A14'!L51/'AN-A14'!L22*100,1))</f>
        <v>86.9</v>
      </c>
      <c r="M58" s="58">
        <f>IF('AN-A14'!M22=0,"    -",ROUND('AN-A14'!M51/'AN-A14'!M22*100,1))</f>
        <v>87.5</v>
      </c>
      <c r="N58" s="58">
        <f>IF('AN-A14'!N22=0,"    -",ROUND('AN-A14'!N51/'AN-A14'!N22*100,1))</f>
        <v>88.1</v>
      </c>
      <c r="O58" s="58">
        <f>IF('AN-A14'!O22=0,"    -",ROUND('AN-A14'!O51/'AN-A14'!O22*100,1))</f>
        <v>88.6</v>
      </c>
      <c r="P58" s="58">
        <f>IF('AN-A14'!P22=0,"    -",ROUND('AN-A14'!P51/'AN-A14'!P22*100,1))</f>
        <v>88.6</v>
      </c>
      <c r="Q58" s="59">
        <f>IF('AN-A14'!Q22=0,"    -",ROUND('AN-A14'!Q51/'AN-A14'!Q22*100,1))</f>
        <v>88.6</v>
      </c>
    </row>
    <row r="59" spans="2:17" ht="16.5" customHeight="1">
      <c r="B59" s="105"/>
      <c r="C59" s="615" t="s">
        <v>311</v>
      </c>
      <c r="D59" s="74">
        <f>IF('AN-A14'!D23=0,"    -",ROUND('AN-A14'!D52/'AN-A14'!D23*100,1))</f>
        <v>80</v>
      </c>
      <c r="E59" s="75">
        <f>IF('AN-A14'!E23=0,"    -",ROUND('AN-A14'!E52/'AN-A14'!E23*100,1))</f>
        <v>78.5</v>
      </c>
      <c r="F59" s="75">
        <f>IF('AN-A14'!F23=0,"    -",ROUND('AN-A14'!F52/'AN-A14'!F23*100,1))</f>
        <v>83</v>
      </c>
      <c r="G59" s="75">
        <f>IF('AN-A14'!G23=0,"    -",ROUND('AN-A14'!G52/'AN-A14'!G23*100,1))</f>
        <v>79.5</v>
      </c>
      <c r="H59" s="75">
        <f>IF('AN-A14'!H23=0,"    -",ROUND('AN-A14'!H52/'AN-A14'!H23*100,1))</f>
        <v>79.5</v>
      </c>
      <c r="I59" s="75">
        <f>IF('AN-A14'!I23=0,"    -",ROUND('AN-A14'!I52/'AN-A14'!I23*100,1))</f>
        <v>76.900000000000006</v>
      </c>
      <c r="J59" s="75">
        <f>IF('AN-A14'!J23=0,"    -",ROUND('AN-A14'!J52/'AN-A14'!J23*100,1))</f>
        <v>86.4</v>
      </c>
      <c r="K59" s="76">
        <f>IF('AN-A14'!K23=0,"    -",ROUND('AN-A14'!K52/'AN-A14'!K23*100,1))</f>
        <v>86.4</v>
      </c>
      <c r="L59" s="74">
        <f>IF('AN-A14'!L23=0,"    -",ROUND('AN-A14'!L52/'AN-A14'!L23*100,1))</f>
        <v>86.9</v>
      </c>
      <c r="M59" s="75">
        <f>IF('AN-A14'!M23=0,"    -",ROUND('AN-A14'!M52/'AN-A14'!M23*100,1))</f>
        <v>87.5</v>
      </c>
      <c r="N59" s="75">
        <f>IF('AN-A14'!N23=0,"    -",ROUND('AN-A14'!N52/'AN-A14'!N23*100,1))</f>
        <v>88.1</v>
      </c>
      <c r="O59" s="75">
        <f>IF('AN-A14'!O23=0,"    -",ROUND('AN-A14'!O52/'AN-A14'!O23*100,1))</f>
        <v>88.6</v>
      </c>
      <c r="P59" s="75">
        <f>IF('AN-A14'!P23=0,"    -",ROUND('AN-A14'!P52/'AN-A14'!P23*100,1))</f>
        <v>88.6</v>
      </c>
      <c r="Q59" s="76">
        <f>IF('AN-A14'!Q23=0,"    -",ROUND('AN-A14'!Q52/'AN-A14'!Q23*100,1))</f>
        <v>88.6</v>
      </c>
    </row>
    <row r="60" spans="2:17" ht="17.25" customHeight="1">
      <c r="B60" s="672" t="s">
        <v>312</v>
      </c>
      <c r="C60" s="673"/>
      <c r="D60" s="57" t="str">
        <f>IF('AN-A14'!D24=0,"    -",ROUND('AN-A14'!D53/'AN-A14'!D24*100,1))</f>
        <v xml:space="preserve">    -</v>
      </c>
      <c r="E60" s="58">
        <f>IF('AN-A14'!E24=0,"    -",ROUND('AN-A14'!E53/'AN-A14'!E24*100,1))</f>
        <v>86</v>
      </c>
      <c r="F60" s="58">
        <f>IF('AN-A14'!F24=0,"    -",ROUND('AN-A14'!F53/'AN-A14'!F24*100,1))</f>
        <v>86</v>
      </c>
      <c r="G60" s="58">
        <f>IF('AN-A14'!G24=0,"    -",ROUND('AN-A14'!G53/'AN-A14'!G24*100,1))</f>
        <v>86</v>
      </c>
      <c r="H60" s="58">
        <f>IF('AN-A14'!H24=0,"    -",ROUND('AN-A14'!H53/'AN-A14'!H24*100,1))</f>
        <v>86</v>
      </c>
      <c r="I60" s="58">
        <f>IF('AN-A14'!I24=0,"    -",ROUND('AN-A14'!I53/'AN-A14'!I24*100,1))</f>
        <v>86</v>
      </c>
      <c r="J60" s="58">
        <f>IF('AN-A14'!J24=0,"    -",ROUND('AN-A14'!J53/'AN-A14'!J24*100,1))</f>
        <v>90</v>
      </c>
      <c r="K60" s="59">
        <f>IF('AN-A14'!K24=0,"    -",ROUND('AN-A14'!K53/'AN-A14'!K24*100,1))</f>
        <v>90</v>
      </c>
      <c r="L60" s="57">
        <f>IF('AN-A14'!L24=0,"    -",ROUND('AN-A14'!L53/'AN-A14'!L24*100,1))</f>
        <v>90</v>
      </c>
      <c r="M60" s="58">
        <f>IF('AN-A14'!M24=0,"    -",ROUND('AN-A14'!M53/'AN-A14'!M24*100,1))</f>
        <v>90</v>
      </c>
      <c r="N60" s="58">
        <f>IF('AN-A14'!N24=0,"    -",ROUND('AN-A14'!N53/'AN-A14'!N24*100,1))</f>
        <v>90</v>
      </c>
      <c r="O60" s="58">
        <f>IF('AN-A14'!O24=0,"    -",ROUND('AN-A14'!O53/'AN-A14'!O24*100,1))</f>
        <v>90</v>
      </c>
      <c r="P60" s="58">
        <f>IF('AN-A14'!P24=0,"    -",ROUND('AN-A14'!P53/'AN-A14'!P24*100,1))</f>
        <v>90</v>
      </c>
      <c r="Q60" s="59">
        <f>IF('AN-A14'!Q24=0,"    -",ROUND('AN-A14'!Q53/'AN-A14'!Q24*100,1))</f>
        <v>90</v>
      </c>
    </row>
    <row r="61" spans="2:17" ht="16.5" customHeight="1">
      <c r="B61" s="16"/>
      <c r="C61" s="615" t="s">
        <v>313</v>
      </c>
      <c r="D61" s="74" t="str">
        <f>IF('AN-A14'!D25=0,"    -",ROUND('AN-A14'!D54/'AN-A14'!D25*100,1))</f>
        <v xml:space="preserve">    -</v>
      </c>
      <c r="E61" s="75" t="str">
        <f>IF('AN-A14'!E25=0,"    -",ROUND('AN-A14'!E54/'AN-A14'!E25*100,1))</f>
        <v xml:space="preserve">    -</v>
      </c>
      <c r="F61" s="75" t="str">
        <f>IF('AN-A14'!F25=0,"    -",ROUND('AN-A14'!F54/'AN-A14'!F25*100,1))</f>
        <v xml:space="preserve">    -</v>
      </c>
      <c r="G61" s="75" t="str">
        <f>IF('AN-A14'!G25=0,"    -",ROUND('AN-A14'!G54/'AN-A14'!G25*100,1))</f>
        <v xml:space="preserve">    -</v>
      </c>
      <c r="H61" s="75" t="str">
        <f>IF('AN-A14'!H25=0,"    -",ROUND('AN-A14'!H54/'AN-A14'!H25*100,1))</f>
        <v xml:space="preserve">    -</v>
      </c>
      <c r="I61" s="75" t="str">
        <f>IF('AN-A14'!I25=0,"    -",ROUND('AN-A14'!I54/'AN-A14'!I25*100,1))</f>
        <v xml:space="preserve">    -</v>
      </c>
      <c r="J61" s="75" t="str">
        <f>IF('AN-A14'!J25=0,"    -",ROUND('AN-A14'!J54/'AN-A14'!J25*100,1))</f>
        <v xml:space="preserve">    -</v>
      </c>
      <c r="K61" s="76" t="str">
        <f>IF('AN-A14'!K25=0,"    -",ROUND('AN-A14'!K54/'AN-A14'!K25*100,1))</f>
        <v xml:space="preserve">    -</v>
      </c>
      <c r="L61" s="74" t="str">
        <f>IF('AN-A14'!L25=0,"    -",ROUND('AN-A14'!L54/'AN-A14'!L25*100,1))</f>
        <v xml:space="preserve">    -</v>
      </c>
      <c r="M61" s="75" t="str">
        <f>IF('AN-A14'!M25=0,"    -",ROUND('AN-A14'!M54/'AN-A14'!M25*100,1))</f>
        <v xml:space="preserve">    -</v>
      </c>
      <c r="N61" s="75" t="str">
        <f>IF('AN-A14'!N25=0,"    -",ROUND('AN-A14'!N54/'AN-A14'!N25*100,1))</f>
        <v xml:space="preserve">    -</v>
      </c>
      <c r="O61" s="75" t="str">
        <f>IF('AN-A14'!O25=0,"    -",ROUND('AN-A14'!O54/'AN-A14'!O25*100,1))</f>
        <v xml:space="preserve">    -</v>
      </c>
      <c r="P61" s="75" t="str">
        <f>IF('AN-A14'!P25=0,"    -",ROUND('AN-A14'!P54/'AN-A14'!P25*100,1))</f>
        <v xml:space="preserve">    -</v>
      </c>
      <c r="Q61" s="76" t="str">
        <f>IF('AN-A14'!Q25=0,"    -",ROUND('AN-A14'!Q54/'AN-A14'!Q25*100,1))</f>
        <v xml:space="preserve">    -</v>
      </c>
    </row>
    <row r="62" spans="2:17" ht="17.25" customHeight="1">
      <c r="B62" s="674" t="s">
        <v>314</v>
      </c>
      <c r="C62" s="675"/>
      <c r="D62" s="57" t="str">
        <f>IF('AN-A14'!D26=0,"    -",ROUND('AN-A14'!D55/'AN-A14'!D26*100,1))</f>
        <v xml:space="preserve">    -</v>
      </c>
      <c r="E62" s="58" t="str">
        <f>IF('AN-A14'!E26=0,"    -",ROUND('AN-A14'!E55/'AN-A14'!E26*100,1))</f>
        <v xml:space="preserve">    -</v>
      </c>
      <c r="F62" s="58" t="str">
        <f>IF('AN-A14'!F26=0,"    -",ROUND('AN-A14'!F55/'AN-A14'!F26*100,1))</f>
        <v xml:space="preserve">    -</v>
      </c>
      <c r="G62" s="58" t="str">
        <f>IF('AN-A14'!G26=0,"    -",ROUND('AN-A14'!G55/'AN-A14'!G26*100,1))</f>
        <v xml:space="preserve">    -</v>
      </c>
      <c r="H62" s="58" t="str">
        <f>IF('AN-A14'!H26=0,"    -",ROUND('AN-A14'!H55/'AN-A14'!H26*100,1))</f>
        <v xml:space="preserve">    -</v>
      </c>
      <c r="I62" s="58" t="str">
        <f>IF('AN-A14'!I26=0,"    -",ROUND('AN-A14'!I55/'AN-A14'!I26*100,1))</f>
        <v xml:space="preserve">    -</v>
      </c>
      <c r="J62" s="58" t="str">
        <f>IF('AN-A14'!J26=0,"    -",ROUND('AN-A14'!J55/'AN-A14'!J26*100,1))</f>
        <v xml:space="preserve">    -</v>
      </c>
      <c r="K62" s="59" t="str">
        <f>IF('AN-A14'!K26=0,"    -",ROUND('AN-A14'!K55/'AN-A14'!K26*100,1))</f>
        <v xml:space="preserve">    -</v>
      </c>
      <c r="L62" s="57" t="str">
        <f>IF('AN-A14'!L26=0,"    -",ROUND('AN-A14'!L55/'AN-A14'!L26*100,1))</f>
        <v xml:space="preserve">    -</v>
      </c>
      <c r="M62" s="58" t="str">
        <f>IF('AN-A14'!M26=0,"    -",ROUND('AN-A14'!M55/'AN-A14'!M26*100,1))</f>
        <v xml:space="preserve">    -</v>
      </c>
      <c r="N62" s="58" t="str">
        <f>IF('AN-A14'!N26=0,"    -",ROUND('AN-A14'!N55/'AN-A14'!N26*100,1))</f>
        <v xml:space="preserve">    -</v>
      </c>
      <c r="O62" s="58" t="str">
        <f>IF('AN-A14'!O26=0,"    -",ROUND('AN-A14'!O55/'AN-A14'!O26*100,1))</f>
        <v xml:space="preserve">    -</v>
      </c>
      <c r="P62" s="58" t="str">
        <f>IF('AN-A14'!P26=0,"    -",ROUND('AN-A14'!P55/'AN-A14'!P26*100,1))</f>
        <v xml:space="preserve">    -</v>
      </c>
      <c r="Q62" s="59" t="str">
        <f>IF('AN-A14'!Q26=0,"    -",ROUND('AN-A14'!Q55/'AN-A14'!Q26*100,1))</f>
        <v xml:space="preserve">    -</v>
      </c>
    </row>
    <row r="63" spans="2:17" ht="17.25" customHeight="1">
      <c r="B63" s="674" t="s">
        <v>315</v>
      </c>
      <c r="C63" s="675"/>
      <c r="D63" s="74">
        <f>IF('AN-A14'!D27=0,"    -",ROUND('AN-A14'!D56/'AN-A14'!D27*100,1))</f>
        <v>85.1</v>
      </c>
      <c r="E63" s="75">
        <f>IF('AN-A14'!E27=0,"    -",ROUND('AN-A14'!E56/'AN-A14'!E27*100,1))</f>
        <v>97.9</v>
      </c>
      <c r="F63" s="75">
        <f>IF('AN-A14'!F27=0,"    -",ROUND('AN-A14'!F56/'AN-A14'!F27*100,1))</f>
        <v>101.2</v>
      </c>
      <c r="G63" s="75">
        <f>IF('AN-A14'!G27=0,"    -",ROUND('AN-A14'!G56/'AN-A14'!G27*100,1))</f>
        <v>102.5</v>
      </c>
      <c r="H63" s="75">
        <f>IF('AN-A14'!H27=0,"    -",ROUND('AN-A14'!H56/'AN-A14'!H27*100,1))</f>
        <v>103.2</v>
      </c>
      <c r="I63" s="75">
        <f>IF('AN-A14'!I27=0,"    -",ROUND('AN-A14'!I56/'AN-A14'!I27*100,1))</f>
        <v>98.7</v>
      </c>
      <c r="J63" s="75">
        <f>IF('AN-A14'!J27=0,"    -",ROUND('AN-A14'!J56/'AN-A14'!J27*100,1))</f>
        <v>92.8</v>
      </c>
      <c r="K63" s="76">
        <f>IF('AN-A14'!K27=0,"    -",ROUND('AN-A14'!K56/'AN-A14'!K27*100,1))</f>
        <v>100</v>
      </c>
      <c r="L63" s="77">
        <f>IF('AN-A14'!L27=0,"    -",ROUND('AN-A14'!L56/'AN-A14'!L27*100,1))</f>
        <v>100</v>
      </c>
      <c r="M63" s="75">
        <f>IF('AN-A14'!M27=0,"    -",ROUND('AN-A14'!M56/'AN-A14'!M27*100,1))</f>
        <v>100</v>
      </c>
      <c r="N63" s="75">
        <f>IF('AN-A14'!N27=0,"    -",ROUND('AN-A14'!N56/'AN-A14'!N27*100,1))</f>
        <v>100</v>
      </c>
      <c r="O63" s="75">
        <f>IF('AN-A14'!O27=0,"    -",ROUND('AN-A14'!O56/'AN-A14'!O27*100,1))</f>
        <v>100</v>
      </c>
      <c r="P63" s="75">
        <f>IF('AN-A14'!P27=0,"    -",ROUND('AN-A14'!P56/'AN-A14'!P27*100,1))</f>
        <v>100</v>
      </c>
      <c r="Q63" s="78">
        <f>IF('AN-A14'!Q27=0,"    -",ROUND('AN-A14'!Q56/'AN-A14'!Q27*100,1))</f>
        <v>100</v>
      </c>
    </row>
    <row r="64" spans="2:17" ht="16.5" customHeight="1">
      <c r="B64" s="672" t="s">
        <v>316</v>
      </c>
      <c r="C64" s="673"/>
      <c r="D64" s="57">
        <f>IF('AN-A14'!D28=0,"    -",ROUND('AN-A14'!D57/'AN-A14'!D28*100,1))</f>
        <v>60</v>
      </c>
      <c r="E64" s="58">
        <f>IF('AN-A14'!E28=0,"    -",ROUND('AN-A14'!E57/'AN-A14'!E28*100,1))</f>
        <v>60</v>
      </c>
      <c r="F64" s="58">
        <f>IF('AN-A14'!F28=0,"    -",ROUND('AN-A14'!F57/'AN-A14'!F28*100,1))</f>
        <v>60</v>
      </c>
      <c r="G64" s="58">
        <f>IF('AN-A14'!G28=0,"    -",ROUND('AN-A14'!G57/'AN-A14'!G28*100,1))</f>
        <v>60</v>
      </c>
      <c r="H64" s="58">
        <f>IF('AN-A14'!H28=0,"    -",ROUND('AN-A14'!H57/'AN-A14'!H28*100,1))</f>
        <v>60</v>
      </c>
      <c r="I64" s="58">
        <f>IF('AN-A14'!I28=0,"    -",ROUND('AN-A14'!I57/'AN-A14'!I28*100,1))</f>
        <v>60</v>
      </c>
      <c r="J64" s="58">
        <f>IF('AN-A14'!J28=0,"    -",ROUND('AN-A14'!J57/'AN-A14'!J28*100,1))</f>
        <v>63.2</v>
      </c>
      <c r="K64" s="59">
        <f>IF('AN-A14'!K28=0,"    -",ROUND('AN-A14'!K57/'AN-A14'!K28*100,1))</f>
        <v>70</v>
      </c>
      <c r="L64" s="60">
        <f>IF('AN-A14'!L28=0,"    -",ROUND('AN-A14'!L57/'AN-A14'!L28*100,1))</f>
        <v>70</v>
      </c>
      <c r="M64" s="58">
        <f>IF('AN-A14'!M28=0,"    -",ROUND('AN-A14'!M57/'AN-A14'!M28*100,1))</f>
        <v>70</v>
      </c>
      <c r="N64" s="58">
        <f>IF('AN-A14'!N28=0,"    -",ROUND('AN-A14'!N57/'AN-A14'!N28*100,1))</f>
        <v>70</v>
      </c>
      <c r="O64" s="58">
        <f>IF('AN-A14'!O28=0,"    -",ROUND('AN-A14'!O57/'AN-A14'!O28*100,1))</f>
        <v>70</v>
      </c>
      <c r="P64" s="58">
        <f>IF('AN-A14'!P28=0,"    -",ROUND('AN-A14'!P57/'AN-A14'!P28*100,1))</f>
        <v>70</v>
      </c>
      <c r="Q64" s="61">
        <f>IF('AN-A14'!Q28=0,"    -",ROUND('AN-A14'!Q57/'AN-A14'!Q28*100,1))</f>
        <v>70</v>
      </c>
    </row>
    <row r="65" spans="2:17" ht="16.5" customHeight="1">
      <c r="B65" s="670" t="s">
        <v>317</v>
      </c>
      <c r="C65" s="671"/>
      <c r="D65" s="57" t="str">
        <f>IF('AN-A14'!D29=0,"    -",ROUND('AN-A14'!D58/'AN-A14'!D29*100,1))</f>
        <v xml:space="preserve">    -</v>
      </c>
      <c r="E65" s="58" t="str">
        <f>IF('AN-A14'!E29=0,"    -",ROUND('AN-A14'!E58/'AN-A14'!E29*100,1))</f>
        <v xml:space="preserve">    -</v>
      </c>
      <c r="F65" s="58" t="str">
        <f>IF('AN-A14'!F29=0,"    -",ROUND('AN-A14'!F58/'AN-A14'!F29*100,1))</f>
        <v xml:space="preserve">    -</v>
      </c>
      <c r="G65" s="58" t="str">
        <f>IF('AN-A14'!G29=0,"    -",ROUND('AN-A14'!G58/'AN-A14'!G29*100,1))</f>
        <v xml:space="preserve">    -</v>
      </c>
      <c r="H65" s="58" t="str">
        <f>IF('AN-A14'!H29=0,"    -",ROUND('AN-A14'!H58/'AN-A14'!H29*100,1))</f>
        <v xml:space="preserve">    -</v>
      </c>
      <c r="I65" s="58" t="str">
        <f>IF('AN-A14'!I29=0,"    -",ROUND('AN-A14'!I58/'AN-A14'!I29*100,1))</f>
        <v xml:space="preserve">    -</v>
      </c>
      <c r="J65" s="58" t="str">
        <f>IF('AN-A14'!J29=0,"    -",ROUND('AN-A14'!J58/'AN-A14'!J29*100,1))</f>
        <v xml:space="preserve">    -</v>
      </c>
      <c r="K65" s="59" t="str">
        <f>IF('AN-A14'!K29=0,"    -",ROUND('AN-A14'!K58/'AN-A14'!K29*100,1))</f>
        <v xml:space="preserve">    -</v>
      </c>
      <c r="L65" s="60" t="str">
        <f>IF('AN-A14'!L29=0,"    -",ROUND('AN-A14'!L58/'AN-A14'!L29*100,1))</f>
        <v xml:space="preserve">    -</v>
      </c>
      <c r="M65" s="58" t="str">
        <f>IF('AN-A14'!M29=0,"    -",ROUND('AN-A14'!M58/'AN-A14'!M29*100,1))</f>
        <v xml:space="preserve">    -</v>
      </c>
      <c r="N65" s="58" t="str">
        <f>IF('AN-A14'!N29=0,"    -",ROUND('AN-A14'!N58/'AN-A14'!N29*100,1))</f>
        <v xml:space="preserve">    -</v>
      </c>
      <c r="O65" s="58" t="str">
        <f>IF('AN-A14'!O29=0,"    -",ROUND('AN-A14'!O58/'AN-A14'!O29*100,1))</f>
        <v xml:space="preserve">    -</v>
      </c>
      <c r="P65" s="58" t="str">
        <f>IF('AN-A14'!P29=0,"    -",ROUND('AN-A14'!P58/'AN-A14'!P29*100,1))</f>
        <v xml:space="preserve">    -</v>
      </c>
      <c r="Q65" s="61" t="str">
        <f>IF('AN-A14'!Q29=0,"    -",ROUND('AN-A14'!Q58/'AN-A14'!Q29*100,1))</f>
        <v xml:space="preserve">    -</v>
      </c>
    </row>
    <row r="66" spans="2:17" ht="17.25" customHeight="1">
      <c r="B66" s="674" t="s">
        <v>318</v>
      </c>
      <c r="C66" s="675"/>
      <c r="D66" s="74">
        <f>IF('AN-A14'!D30=0,"    -",ROUND('AN-A14'!D59/'AN-A14'!D30*100,1))</f>
        <v>60</v>
      </c>
      <c r="E66" s="75">
        <f>IF('AN-A14'!E30=0,"    -",ROUND('AN-A14'!E59/'AN-A14'!E30*100,1))</f>
        <v>60</v>
      </c>
      <c r="F66" s="75">
        <f>IF('AN-A14'!F30=0,"    -",ROUND('AN-A14'!F59/'AN-A14'!F30*100,1))</f>
        <v>60</v>
      </c>
      <c r="G66" s="75">
        <f>IF('AN-A14'!G30=0,"    -",ROUND('AN-A14'!G59/'AN-A14'!G30*100,1))</f>
        <v>60</v>
      </c>
      <c r="H66" s="75">
        <f>IF('AN-A14'!H30=0,"    -",ROUND('AN-A14'!H59/'AN-A14'!H30*100,1))</f>
        <v>60</v>
      </c>
      <c r="I66" s="75">
        <f>IF('AN-A14'!I30=0,"    -",ROUND('AN-A14'!I59/'AN-A14'!I30*100,1))</f>
        <v>60</v>
      </c>
      <c r="J66" s="75">
        <f>IF('AN-A14'!J30=0,"    -",ROUND('AN-A14'!J59/'AN-A14'!J30*100,1))</f>
        <v>63.2</v>
      </c>
      <c r="K66" s="76">
        <f>IF('AN-A14'!K30=0,"    -",ROUND('AN-A14'!K59/'AN-A14'!K30*100,1))</f>
        <v>70</v>
      </c>
      <c r="L66" s="77">
        <f>IF('AN-A14'!L30=0,"    -",ROUND('AN-A14'!L59/'AN-A14'!L30*100,1))</f>
        <v>70</v>
      </c>
      <c r="M66" s="75">
        <f>IF('AN-A14'!M30=0,"    -",ROUND('AN-A14'!M59/'AN-A14'!M30*100,1))</f>
        <v>70</v>
      </c>
      <c r="N66" s="75">
        <f>IF('AN-A14'!N30=0,"    -",ROUND('AN-A14'!N59/'AN-A14'!N30*100,1))</f>
        <v>70</v>
      </c>
      <c r="O66" s="75">
        <f>IF('AN-A14'!O30=0,"    -",ROUND('AN-A14'!O59/'AN-A14'!O30*100,1))</f>
        <v>70</v>
      </c>
      <c r="P66" s="75">
        <f>IF('AN-A14'!P30=0,"    -",ROUND('AN-A14'!P59/'AN-A14'!P30*100,1))</f>
        <v>70</v>
      </c>
      <c r="Q66" s="78">
        <f>IF('AN-A14'!Q30=0,"    -",ROUND('AN-A14'!Q59/'AN-A14'!Q30*100,1))</f>
        <v>70</v>
      </c>
    </row>
    <row r="67" spans="2:17" ht="16.5" customHeight="1">
      <c r="B67" s="672" t="s">
        <v>319</v>
      </c>
      <c r="C67" s="673"/>
      <c r="D67" s="57">
        <f>IF('AN-A14'!D31=0,"    -",ROUND('AN-A14'!D60/'AN-A14'!D31*100,1))</f>
        <v>84.6</v>
      </c>
      <c r="E67" s="58">
        <f>IF('AN-A14'!E31=0,"    -",ROUND('AN-A14'!E60/'AN-A14'!E31*100,1))</f>
        <v>84.6</v>
      </c>
      <c r="F67" s="58">
        <f>IF('AN-A14'!F31=0,"    -",ROUND('AN-A14'!F60/'AN-A14'!F31*100,1))</f>
        <v>84.6</v>
      </c>
      <c r="G67" s="58">
        <f>IF('AN-A14'!G31=0,"    -",ROUND('AN-A14'!G60/'AN-A14'!G31*100,1))</f>
        <v>84.6</v>
      </c>
      <c r="H67" s="58">
        <f>IF('AN-A14'!H31=0,"    -",ROUND('AN-A14'!H60/'AN-A14'!H31*100,1))</f>
        <v>84.6</v>
      </c>
      <c r="I67" s="58">
        <f>IF('AN-A14'!I31=0,"    -",ROUND('AN-A14'!I60/'AN-A14'!I31*100,1))</f>
        <v>84.6</v>
      </c>
      <c r="J67" s="58">
        <f>IF('AN-A14'!J31=0,"    -",ROUND('AN-A14'!J60/'AN-A14'!J31*100,1))</f>
        <v>85</v>
      </c>
      <c r="K67" s="59" t="str">
        <f>IF('AN-A14'!K31=0,"    -",ROUND('AN-A14'!K60/'AN-A14'!K31*100,1))</f>
        <v xml:space="preserve">    -</v>
      </c>
      <c r="L67" s="60" t="str">
        <f>IF('AN-A14'!L31=0,"    -",ROUND('AN-A14'!L60/'AN-A14'!L31*100,1))</f>
        <v xml:space="preserve">    -</v>
      </c>
      <c r="M67" s="58" t="str">
        <f>IF('AN-A14'!M31=0,"    -",ROUND('AN-A14'!M60/'AN-A14'!M31*100,1))</f>
        <v xml:space="preserve">    -</v>
      </c>
      <c r="N67" s="58" t="str">
        <f>IF('AN-A14'!N31=0,"    -",ROUND('AN-A14'!N60/'AN-A14'!N31*100,1))</f>
        <v xml:space="preserve">    -</v>
      </c>
      <c r="O67" s="58" t="str">
        <f>IF('AN-A14'!O31=0,"    -",ROUND('AN-A14'!O60/'AN-A14'!O31*100,1))</f>
        <v xml:space="preserve">    -</v>
      </c>
      <c r="P67" s="58" t="str">
        <f>IF('AN-A14'!P31=0,"    -",ROUND('AN-A14'!P60/'AN-A14'!P31*100,1))</f>
        <v xml:space="preserve">    -</v>
      </c>
      <c r="Q67" s="61" t="str">
        <f>IF('AN-A14'!Q31=0,"    -",ROUND('AN-A14'!Q60/'AN-A14'!Q31*100,1))</f>
        <v xml:space="preserve">    -</v>
      </c>
    </row>
    <row r="68" spans="2:17" ht="16.5" customHeight="1">
      <c r="B68" s="668" t="s">
        <v>320</v>
      </c>
      <c r="C68" s="669"/>
      <c r="D68" s="57">
        <f>IF('AN-A14'!D32=0,"    -",ROUND('AN-A14'!D61/'AN-A14'!D32*100,1))</f>
        <v>88</v>
      </c>
      <c r="E68" s="58">
        <f>IF('AN-A14'!E32=0,"    -",ROUND('AN-A14'!E61/'AN-A14'!E32*100,1))</f>
        <v>85</v>
      </c>
      <c r="F68" s="58">
        <f>IF('AN-A14'!F32=0,"    -",ROUND('AN-A14'!F61/'AN-A14'!F32*100,1))</f>
        <v>85</v>
      </c>
      <c r="G68" s="58">
        <f>IF('AN-A14'!G32=0,"    -",ROUND('AN-A14'!G61/'AN-A14'!G32*100,1))</f>
        <v>85</v>
      </c>
      <c r="H68" s="58">
        <f>IF('AN-A14'!H32=0,"    -",ROUND('AN-A14'!H61/'AN-A14'!H32*100,1))</f>
        <v>85</v>
      </c>
      <c r="I68" s="58">
        <f>IF('AN-A14'!I32=0,"    -",ROUND('AN-A14'!I61/'AN-A14'!I32*100,1))</f>
        <v>85</v>
      </c>
      <c r="J68" s="58">
        <f>IF('AN-A14'!J32=0,"    -",ROUND('AN-A14'!J61/'AN-A14'!J32*100,1))</f>
        <v>85</v>
      </c>
      <c r="K68" s="59">
        <f>IF('AN-A14'!K32=0,"    -",ROUND('AN-A14'!K61/'AN-A14'!K32*100,1))</f>
        <v>85</v>
      </c>
      <c r="L68" s="60">
        <f>IF('AN-A14'!L32=0,"    -",ROUND('AN-A14'!L61/'AN-A14'!L32*100,1))</f>
        <v>85</v>
      </c>
      <c r="M68" s="58">
        <f>IF('AN-A14'!M32=0,"    -",ROUND('AN-A14'!M61/'AN-A14'!M32*100,1))</f>
        <v>85</v>
      </c>
      <c r="N68" s="58">
        <f>IF('AN-A14'!N32=0,"    -",ROUND('AN-A14'!N61/'AN-A14'!N32*100,1))</f>
        <v>85</v>
      </c>
      <c r="O68" s="58">
        <f>IF('AN-A14'!O32=0,"    -",ROUND('AN-A14'!O61/'AN-A14'!O32*100,1))</f>
        <v>85</v>
      </c>
      <c r="P68" s="58">
        <f>IF('AN-A14'!P32=0,"    -",ROUND('AN-A14'!P61/'AN-A14'!P32*100,1))</f>
        <v>85</v>
      </c>
      <c r="Q68" s="61">
        <f>IF('AN-A14'!Q32=0,"    -",ROUND('AN-A14'!Q61/'AN-A14'!Q32*100,1))</f>
        <v>85</v>
      </c>
    </row>
    <row r="69" spans="2:17" ht="16.5" customHeight="1">
      <c r="B69" s="670" t="s">
        <v>321</v>
      </c>
      <c r="C69" s="671"/>
      <c r="D69" s="57" t="str">
        <f>IF('AN-A14'!D33=0,"    -",ROUND('AN-A14'!D62/'AN-A14'!D33*100,1))</f>
        <v xml:space="preserve">    -</v>
      </c>
      <c r="E69" s="58" t="str">
        <f>IF('AN-A14'!E33=0,"    -",ROUND('AN-A14'!E62/'AN-A14'!E33*100,1))</f>
        <v xml:space="preserve">    -</v>
      </c>
      <c r="F69" s="58" t="str">
        <f>IF('AN-A14'!F33=0,"    -",ROUND('AN-A14'!F62/'AN-A14'!F33*100,1))</f>
        <v xml:space="preserve">    -</v>
      </c>
      <c r="G69" s="58" t="str">
        <f>IF('AN-A14'!G33=0,"    -",ROUND('AN-A14'!G62/'AN-A14'!G33*100,1))</f>
        <v xml:space="preserve">    -</v>
      </c>
      <c r="H69" s="58" t="str">
        <f>IF('AN-A14'!H33=0,"    -",ROUND('AN-A14'!H62/'AN-A14'!H33*100,1))</f>
        <v xml:space="preserve">    -</v>
      </c>
      <c r="I69" s="58" t="str">
        <f>IF('AN-A14'!I33=0,"    -",ROUND('AN-A14'!I62/'AN-A14'!I33*100,1))</f>
        <v xml:space="preserve">    -</v>
      </c>
      <c r="J69" s="58" t="str">
        <f>IF('AN-A14'!J33=0,"    -",ROUND('AN-A14'!J62/'AN-A14'!J33*100,1))</f>
        <v xml:space="preserve">    -</v>
      </c>
      <c r="K69" s="59" t="str">
        <f>IF('AN-A14'!K33=0,"    -",ROUND('AN-A14'!K62/'AN-A14'!K33*100,1))</f>
        <v xml:space="preserve">    -</v>
      </c>
      <c r="L69" s="60" t="str">
        <f>IF('AN-A14'!L33=0,"    -",ROUND('AN-A14'!L62/'AN-A14'!L33*100,1))</f>
        <v xml:space="preserve">    -</v>
      </c>
      <c r="M69" s="58" t="str">
        <f>IF('AN-A14'!M33=0,"    -",ROUND('AN-A14'!M62/'AN-A14'!M33*100,1))</f>
        <v xml:space="preserve">    -</v>
      </c>
      <c r="N69" s="58" t="str">
        <f>IF('AN-A14'!N33=0,"    -",ROUND('AN-A14'!N62/'AN-A14'!N33*100,1))</f>
        <v xml:space="preserve">    -</v>
      </c>
      <c r="O69" s="58" t="str">
        <f>IF('AN-A14'!O33=0,"    -",ROUND('AN-A14'!O62/'AN-A14'!O33*100,1))</f>
        <v xml:space="preserve">    -</v>
      </c>
      <c r="P69" s="58" t="str">
        <f>IF('AN-A14'!P33=0,"    -",ROUND('AN-A14'!P62/'AN-A14'!P33*100,1))</f>
        <v xml:space="preserve">    -</v>
      </c>
      <c r="Q69" s="61" t="str">
        <f>IF('AN-A14'!Q33=0,"    -",ROUND('AN-A14'!Q62/'AN-A14'!Q33*100,1))</f>
        <v xml:space="preserve">    -</v>
      </c>
    </row>
    <row r="70" spans="2:17" ht="17.25" customHeight="1" thickBot="1">
      <c r="B70" s="678" t="s">
        <v>322</v>
      </c>
      <c r="C70" s="679"/>
      <c r="D70" s="111">
        <f>IF('AN-A14'!D34=0,"    -",ROUND('AN-A14'!D63/'AN-A14'!D34*100,1))</f>
        <v>86.7</v>
      </c>
      <c r="E70" s="112">
        <f>IF('AN-A14'!E34=0,"    -",ROUND('AN-A14'!E63/'AN-A14'!E34*100,1))</f>
        <v>84.8</v>
      </c>
      <c r="F70" s="112">
        <f>IF('AN-A14'!F34=0,"    -",ROUND('AN-A14'!F63/'AN-A14'!F34*100,1))</f>
        <v>84.8</v>
      </c>
      <c r="G70" s="112">
        <f>IF('AN-A14'!G34=0,"    -",ROUND('AN-A14'!G63/'AN-A14'!G34*100,1))</f>
        <v>84.8</v>
      </c>
      <c r="H70" s="112">
        <f>IF('AN-A14'!H34=0,"    -",ROUND('AN-A14'!H63/'AN-A14'!H34*100,1))</f>
        <v>84.8</v>
      </c>
      <c r="I70" s="112">
        <f>IF('AN-A14'!I34=0,"    -",ROUND('AN-A14'!I63/'AN-A14'!I34*100,1))</f>
        <v>84.8</v>
      </c>
      <c r="J70" s="112">
        <f>IF('AN-A14'!J34=0,"    -",ROUND('AN-A14'!J63/'AN-A14'!J34*100,1))</f>
        <v>85</v>
      </c>
      <c r="K70" s="113">
        <f>IF('AN-A14'!K34=0,"    -",ROUND('AN-A14'!K63/'AN-A14'!K34*100,1))</f>
        <v>85</v>
      </c>
      <c r="L70" s="114">
        <f>IF('AN-A14'!L34=0,"    -",ROUND('AN-A14'!L63/'AN-A14'!L34*100,1))</f>
        <v>85</v>
      </c>
      <c r="M70" s="112">
        <f>IF('AN-A14'!M34=0,"    -",ROUND('AN-A14'!M63/'AN-A14'!M34*100,1))</f>
        <v>85</v>
      </c>
      <c r="N70" s="112">
        <f>IF('AN-A14'!N34=0,"    -",ROUND('AN-A14'!N63/'AN-A14'!N34*100,1))</f>
        <v>85</v>
      </c>
      <c r="O70" s="112">
        <f>IF('AN-A14'!O34=0,"    -",ROUND('AN-A14'!O63/'AN-A14'!O34*100,1))</f>
        <v>85</v>
      </c>
      <c r="P70" s="112">
        <f>IF('AN-A14'!P34=0,"    -",ROUND('AN-A14'!P63/'AN-A14'!P34*100,1))</f>
        <v>85</v>
      </c>
      <c r="Q70" s="115">
        <f>IF('AN-A14'!Q34=0,"    -",ROUND('AN-A14'!Q63/'AN-A14'!Q34*100,1))</f>
        <v>85</v>
      </c>
    </row>
    <row r="71" spans="2:17" ht="18" customHeight="1" thickTop="1" thickBot="1">
      <c r="B71" s="21"/>
      <c r="C71" s="619" t="s">
        <v>337</v>
      </c>
      <c r="D71" s="122">
        <f>IF('AN-A14'!D35=0,"    -",ROUND('AN-A14'!D64/'AN-A14'!D35*100,1))</f>
        <v>81.2</v>
      </c>
      <c r="E71" s="123">
        <f>IF('AN-A14'!E35=0,"    -",ROUND('AN-A14'!E64/'AN-A14'!E35*100,1))</f>
        <v>81</v>
      </c>
      <c r="F71" s="123">
        <f>IF('AN-A14'!F35=0,"    -",ROUND('AN-A14'!F64/'AN-A14'!F35*100,1))</f>
        <v>79</v>
      </c>
      <c r="G71" s="123">
        <f>IF('AN-A14'!G35=0,"    -",ROUND('AN-A14'!G64/'AN-A14'!G35*100,1))</f>
        <v>78.599999999999994</v>
      </c>
      <c r="H71" s="123">
        <f>IF('AN-A14'!H35=0,"    -",ROUND('AN-A14'!H64/'AN-A14'!H35*100,1))</f>
        <v>81.2</v>
      </c>
      <c r="I71" s="123">
        <f>IF('AN-A14'!I35=0,"    -",ROUND('AN-A14'!I64/'AN-A14'!I35*100,1))</f>
        <v>79.7</v>
      </c>
      <c r="J71" s="123">
        <f>IF('AN-A14'!J35=0,"    -",ROUND('AN-A14'!J64/'AN-A14'!J35*100,1))</f>
        <v>80.8</v>
      </c>
      <c r="K71" s="124">
        <f>IF('AN-A14'!K35=0,"    -",ROUND('AN-A14'!K64/'AN-A14'!K35*100,1))</f>
        <v>87.4</v>
      </c>
      <c r="L71" s="125">
        <f>IF('AN-A14'!L35=0,"    -",ROUND('AN-A14'!L64/'AN-A14'!L35*100,1))</f>
        <v>89.2</v>
      </c>
      <c r="M71" s="123">
        <f>IF('AN-A14'!M35=0,"    -",ROUND('AN-A14'!M64/'AN-A14'!M35*100,1))</f>
        <v>85.9</v>
      </c>
      <c r="N71" s="123">
        <f>IF('AN-A14'!N35=0,"    -",ROUND('AN-A14'!N64/'AN-A14'!N35*100,1))</f>
        <v>81.400000000000006</v>
      </c>
      <c r="O71" s="123">
        <f>IF('AN-A14'!O35=0,"    -",ROUND('AN-A14'!O64/'AN-A14'!O35*100,1))</f>
        <v>82.5</v>
      </c>
      <c r="P71" s="123">
        <f>IF('AN-A14'!P35=0,"    -",ROUND('AN-A14'!P64/'AN-A14'!P35*100,1))</f>
        <v>80.7</v>
      </c>
      <c r="Q71" s="126">
        <f>IF('AN-A14'!Q35=0,"    -",ROUND('AN-A14'!Q64/'AN-A14'!Q35*100,1))</f>
        <v>78.5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49" priority="5">
      <formula>CELL("protect",C75)=0</formula>
    </cfRule>
    <cfRule type="expression" dxfId="148" priority="6">
      <formula>CELL("protect",C75)=0</formula>
    </cfRule>
  </conditionalFormatting>
  <conditionalFormatting sqref="C73">
    <cfRule type="expression" dxfId="147" priority="3">
      <formula>CELL("protect",C73)=0</formula>
    </cfRule>
    <cfRule type="expression" dxfId="146" priority="4">
      <formula>CELL("protect",C73)=0</formula>
    </cfRule>
  </conditionalFormatting>
  <conditionalFormatting sqref="C75">
    <cfRule type="expression" dxfId="145" priority="1">
      <formula>CELL("protect",C75)=0</formula>
    </cfRule>
    <cfRule type="expression" dxfId="144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&amp;C176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3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50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'OTHER(C3)-A15'!D36-'OTHER(C3)-A15'!D65</f>
        <v>0</v>
      </c>
      <c r="E7" s="240">
        <f>'OTHER(C3)-A15'!E36-'OTHER(C3)-A15'!E65</f>
        <v>0</v>
      </c>
      <c r="F7" s="240">
        <f>'OTHER(C3)-A15'!F36-'OTHER(C3)-A15'!F65</f>
        <v>0</v>
      </c>
      <c r="G7" s="240">
        <f>'OTHER(C3)-A15'!G36-'OTHER(C3)-A15'!G65</f>
        <v>0</v>
      </c>
      <c r="H7" s="240">
        <f>'OTHER(C3)-A15'!H36-'OTHER(C3)-A15'!H65</f>
        <v>0</v>
      </c>
      <c r="I7" s="240">
        <f>'OTHER(C3)-A15'!I36-'OTHER(C3)-A15'!I65</f>
        <v>0</v>
      </c>
      <c r="J7" s="240">
        <f>'OTHER(C3)-A15'!J36-'OTHER(C3)-A15'!J65</f>
        <v>0</v>
      </c>
      <c r="K7" s="241">
        <f>'OTHER(C3)-A15'!K36-'OTHER(C3)-A15'!K65</f>
        <v>0</v>
      </c>
      <c r="L7" s="242">
        <f>'OTHER(C3)-A15'!L36-'OTHER(C3)-A15'!L65</f>
        <v>0</v>
      </c>
      <c r="M7" s="240">
        <f>'OTHER(C3)-A15'!M36-'OTHER(C3)-A15'!M65</f>
        <v>0</v>
      </c>
      <c r="N7" s="240">
        <f>'OTHER(C3)-A15'!N36-'OTHER(C3)-A15'!N65</f>
        <v>0</v>
      </c>
      <c r="O7" s="240">
        <f>'OTHER(C3)-A15'!O36-'OTHER(C3)-A15'!O65</f>
        <v>0</v>
      </c>
      <c r="P7" s="240">
        <f>'OTHER(C3)-A15'!P36-'OTHER(C3)-A15'!P65</f>
        <v>0</v>
      </c>
      <c r="Q7" s="243">
        <f>'OTHER(C3)-A15'!Q36-'OTHER(C3)-A15'!Q65</f>
        <v>0</v>
      </c>
    </row>
    <row r="8" spans="2:19" ht="16.5" customHeight="1">
      <c r="B8" s="605" t="s">
        <v>434</v>
      </c>
      <c r="C8" s="606"/>
      <c r="D8" s="239">
        <f>'OTHER(C3)-A15'!D37-'OTHER(C3)-A15'!D66</f>
        <v>0</v>
      </c>
      <c r="E8" s="240">
        <f>'OTHER(C3)-A15'!E37-'OTHER(C3)-A15'!E66</f>
        <v>0</v>
      </c>
      <c r="F8" s="240">
        <f>'OTHER(C3)-A15'!F37-'OTHER(C3)-A15'!F66</f>
        <v>0</v>
      </c>
      <c r="G8" s="240">
        <f>'OTHER(C3)-A15'!G37-'OTHER(C3)-A15'!G66</f>
        <v>0</v>
      </c>
      <c r="H8" s="240">
        <f>'OTHER(C3)-A15'!H37-'OTHER(C3)-A15'!H66</f>
        <v>0</v>
      </c>
      <c r="I8" s="240">
        <f>'OTHER(C3)-A15'!I37-'OTHER(C3)-A15'!I66</f>
        <v>0</v>
      </c>
      <c r="J8" s="240">
        <f>'OTHER(C3)-A15'!J37-'OTHER(C3)-A15'!J66</f>
        <v>0</v>
      </c>
      <c r="K8" s="241">
        <f>'OTHER(C3)-A15'!K37-'OTHER(C3)-A15'!K66</f>
        <v>0</v>
      </c>
      <c r="L8" s="242">
        <f>'OTHER(C3)-A15'!L37-'OTHER(C3)-A15'!L66</f>
        <v>0</v>
      </c>
      <c r="M8" s="240">
        <f>'OTHER(C3)-A15'!M37-'OTHER(C3)-A15'!M66</f>
        <v>0</v>
      </c>
      <c r="N8" s="240">
        <f>'OTHER(C3)-A15'!N37-'OTHER(C3)-A15'!N66</f>
        <v>0</v>
      </c>
      <c r="O8" s="240">
        <f>'OTHER(C3)-A15'!O37-'OTHER(C3)-A15'!O66</f>
        <v>0</v>
      </c>
      <c r="P8" s="240">
        <f>'OTHER(C3)-A15'!P37-'OTHER(C3)-A15'!P66</f>
        <v>0</v>
      </c>
      <c r="Q8" s="243">
        <f>'OTHER(C3)-A15'!Q37-'OTHER(C3)-A15'!Q66</f>
        <v>0</v>
      </c>
    </row>
    <row r="9" spans="2:19" ht="16.5" customHeight="1">
      <c r="B9" s="605" t="s">
        <v>435</v>
      </c>
      <c r="C9" s="606"/>
      <c r="D9" s="239">
        <f>'OTHER(C3)-A15'!D38-'OTHER(C3)-A15'!D67</f>
        <v>89</v>
      </c>
      <c r="E9" s="240">
        <f>'OTHER(C3)-A15'!E38-'OTHER(C3)-A15'!E67</f>
        <v>78.341360000000009</v>
      </c>
      <c r="F9" s="240">
        <f>'OTHER(C3)-A15'!F38-'OTHER(C3)-A15'!F67</f>
        <v>109.50073548</v>
      </c>
      <c r="G9" s="240">
        <f>'OTHER(C3)-A15'!G38-'OTHER(C3)-A15'!G67</f>
        <v>347.89310502823992</v>
      </c>
      <c r="H9" s="240">
        <f>'OTHER(C3)-A15'!H38-'OTHER(C3)-A15'!H67</f>
        <v>444.66736000000014</v>
      </c>
      <c r="I9" s="240">
        <f>'OTHER(C3)-A15'!I38-'OTHER(C3)-A15'!I67</f>
        <v>432.29192447488595</v>
      </c>
      <c r="J9" s="240">
        <f>'OTHER(C3)-A15'!J38-'OTHER(C3)-A15'!J67</f>
        <v>309</v>
      </c>
      <c r="K9" s="241">
        <f>'OTHER(C3)-A15'!K38-'OTHER(C3)-A15'!K67</f>
        <v>510</v>
      </c>
      <c r="L9" s="242">
        <f>'OTHER(C3)-A15'!L38-'OTHER(C3)-A15'!L67</f>
        <v>496</v>
      </c>
      <c r="M9" s="240">
        <f>'OTHER(C3)-A15'!M38-'OTHER(C3)-A15'!M67</f>
        <v>521</v>
      </c>
      <c r="N9" s="240">
        <f>'OTHER(C3)-A15'!N38-'OTHER(C3)-A15'!N67</f>
        <v>539</v>
      </c>
      <c r="O9" s="240">
        <f>'OTHER(C3)-A15'!O38-'OTHER(C3)-A15'!O67</f>
        <v>528</v>
      </c>
      <c r="P9" s="240">
        <f>'OTHER(C3)-A15'!P38-'OTHER(C3)-A15'!P67</f>
        <v>535</v>
      </c>
      <c r="Q9" s="243">
        <f>'OTHER(C3)-A15'!Q38-'OTHER(C3)-A15'!Q67</f>
        <v>538</v>
      </c>
    </row>
    <row r="10" spans="2:19" ht="16.5" customHeight="1">
      <c r="B10" s="605" t="s">
        <v>436</v>
      </c>
      <c r="C10" s="606"/>
      <c r="D10" s="239">
        <f>'OTHER(C3)-A15'!D39-'OTHER(C3)-A15'!D68</f>
        <v>0</v>
      </c>
      <c r="E10" s="240">
        <f>'OTHER(C3)-A15'!E39-'OTHER(C3)-A15'!E68</f>
        <v>0</v>
      </c>
      <c r="F10" s="240">
        <f>'OTHER(C3)-A15'!F39-'OTHER(C3)-A15'!F68</f>
        <v>0</v>
      </c>
      <c r="G10" s="240">
        <f>'OTHER(C3)-A15'!G39-'OTHER(C3)-A15'!G68</f>
        <v>0</v>
      </c>
      <c r="H10" s="240">
        <f>'OTHER(C3)-A15'!H39-'OTHER(C3)-A15'!H68</f>
        <v>0</v>
      </c>
      <c r="I10" s="240">
        <f>'OTHER(C3)-A15'!I39-'OTHER(C3)-A15'!I68</f>
        <v>0</v>
      </c>
      <c r="J10" s="240">
        <f>'OTHER(C3)-A15'!J39-'OTHER(C3)-A15'!J68</f>
        <v>0</v>
      </c>
      <c r="K10" s="241">
        <f>'OTHER(C3)-A15'!K39-'OTHER(C3)-A15'!K68</f>
        <v>0</v>
      </c>
      <c r="L10" s="242">
        <f>'OTHER(C3)-A15'!L39-'OTHER(C3)-A15'!L68</f>
        <v>0</v>
      </c>
      <c r="M10" s="240">
        <f>'OTHER(C3)-A15'!M39-'OTHER(C3)-A15'!M68</f>
        <v>0</v>
      </c>
      <c r="N10" s="240">
        <f>'OTHER(C3)-A15'!N39-'OTHER(C3)-A15'!N68</f>
        <v>0</v>
      </c>
      <c r="O10" s="240">
        <f>'OTHER(C3)-A15'!O39-'OTHER(C3)-A15'!O68</f>
        <v>0</v>
      </c>
      <c r="P10" s="240">
        <f>'OTHER(C3)-A15'!P39-'OTHER(C3)-A15'!P68</f>
        <v>0</v>
      </c>
      <c r="Q10" s="243">
        <f>'OTHER(C3)-A15'!Q39-'OTHER(C3)-A15'!Q68</f>
        <v>0</v>
      </c>
    </row>
    <row r="11" spans="2:19" ht="16.5" customHeight="1">
      <c r="B11" s="605" t="s">
        <v>437</v>
      </c>
      <c r="C11" s="606"/>
      <c r="D11" s="239">
        <f>'OTHER(C3)-A15'!D40-'OTHER(C3)-A15'!D69</f>
        <v>-12</v>
      </c>
      <c r="E11" s="240">
        <f>'OTHER(C3)-A15'!E40-'OTHER(C3)-A15'!E69</f>
        <v>-95</v>
      </c>
      <c r="F11" s="240">
        <f>'OTHER(C3)-A15'!F40-'OTHER(C3)-A15'!F69</f>
        <v>-95</v>
      </c>
      <c r="G11" s="240">
        <f>'OTHER(C3)-A15'!G40-'OTHER(C3)-A15'!G69</f>
        <v>47</v>
      </c>
      <c r="H11" s="240">
        <f>'OTHER(C3)-A15'!H40-'OTHER(C3)-A15'!H69</f>
        <v>51.933069999999987</v>
      </c>
      <c r="I11" s="240">
        <f>'OTHER(C3)-A15'!I40-'OTHER(C3)-A15'!I69</f>
        <v>41.922069999999962</v>
      </c>
      <c r="J11" s="240">
        <f>'OTHER(C3)-A15'!J40-'OTHER(C3)-A15'!J69</f>
        <v>44.191097036547717</v>
      </c>
      <c r="K11" s="241">
        <f>'OTHER(C3)-A15'!K40-'OTHER(C3)-A15'!K69</f>
        <v>46.020931081084768</v>
      </c>
      <c r="L11" s="242">
        <f>'OTHER(C3)-A15'!L40-'OTHER(C3)-A15'!L69</f>
        <v>25.336182043100393</v>
      </c>
      <c r="M11" s="240">
        <f>'OTHER(C3)-A15'!M40-'OTHER(C3)-A15'!M69</f>
        <v>7.1805482766212663</v>
      </c>
      <c r="N11" s="240">
        <f>'OTHER(C3)-A15'!N40-'OTHER(C3)-A15'!N69</f>
        <v>51.465183646443734</v>
      </c>
      <c r="O11" s="240">
        <f>'OTHER(C3)-A15'!O40-'OTHER(C3)-A15'!O69</f>
        <v>96.483197665892476</v>
      </c>
      <c r="P11" s="240">
        <f>'OTHER(C3)-A15'!P40-'OTHER(C3)-A15'!P69</f>
        <v>78.125109584198754</v>
      </c>
      <c r="Q11" s="243">
        <f>'OTHER(C3)-A15'!Q40-'OTHER(C3)-A15'!Q69</f>
        <v>58.798763485396194</v>
      </c>
    </row>
    <row r="12" spans="2:19" ht="16.5" customHeight="1">
      <c r="B12" s="605" t="s">
        <v>438</v>
      </c>
      <c r="C12" s="606"/>
      <c r="D12" s="239">
        <f>'OTHER(C3)-A15'!D41-'OTHER(C3)-A15'!D70</f>
        <v>8.6660399999999953</v>
      </c>
      <c r="E12" s="240">
        <f>'OTHER(C3)-A15'!E41-'OTHER(C3)-A15'!E70</f>
        <v>8.6660399999999953</v>
      </c>
      <c r="F12" s="240">
        <f>'OTHER(C3)-A15'!F41-'OTHER(C3)-A15'!F70</f>
        <v>8.6660399999999953</v>
      </c>
      <c r="G12" s="240">
        <f>'OTHER(C3)-A15'!G41-'OTHER(C3)-A15'!G70</f>
        <v>13</v>
      </c>
      <c r="H12" s="240">
        <f>'OTHER(C3)-A15'!H41-'OTHER(C3)-A15'!H70</f>
        <v>8.6660399999999811</v>
      </c>
      <c r="I12" s="240">
        <f>'OTHER(C3)-A15'!I41-'OTHER(C3)-A15'!I70</f>
        <v>8.6660399999999811</v>
      </c>
      <c r="J12" s="240">
        <f>'OTHER(C3)-A15'!J41-'OTHER(C3)-A15'!J70</f>
        <v>8.6660399999999811</v>
      </c>
      <c r="K12" s="241">
        <f>'OTHER(C3)-A15'!K41-'OTHER(C3)-A15'!K70</f>
        <v>-16.924188957314016</v>
      </c>
      <c r="L12" s="242">
        <f>'OTHER(C3)-A15'!L41-'OTHER(C3)-A15'!L70</f>
        <v>-7</v>
      </c>
      <c r="M12" s="240">
        <f>'OTHER(C3)-A15'!M41-'OTHER(C3)-A15'!M70</f>
        <v>-17</v>
      </c>
      <c r="N12" s="240">
        <f>'OTHER(C3)-A15'!N41-'OTHER(C3)-A15'!N70</f>
        <v>-22</v>
      </c>
      <c r="O12" s="240">
        <f>'OTHER(C3)-A15'!O41-'OTHER(C3)-A15'!O70</f>
        <v>-27</v>
      </c>
      <c r="P12" s="240">
        <f>'OTHER(C3)-A15'!P41-'OTHER(C3)-A15'!P70</f>
        <v>-37</v>
      </c>
      <c r="Q12" s="243">
        <f>'OTHER(C3)-A15'!Q41-'OTHER(C3)-A15'!Q70</f>
        <v>-47</v>
      </c>
    </row>
    <row r="13" spans="2:19" ht="16.5" customHeight="1">
      <c r="B13" s="605" t="s">
        <v>439</v>
      </c>
      <c r="C13" s="606"/>
      <c r="D13" s="239">
        <f>'OTHER(C3)-A15'!D42-'OTHER(C3)-A15'!D71</f>
        <v>0</v>
      </c>
      <c r="E13" s="240">
        <f>'OTHER(C3)-A15'!E42-'OTHER(C3)-A15'!E71</f>
        <v>0</v>
      </c>
      <c r="F13" s="240">
        <f>'OTHER(C3)-A15'!F42-'OTHER(C3)-A15'!F71</f>
        <v>0</v>
      </c>
      <c r="G13" s="240">
        <f>'OTHER(C3)-A15'!G42-'OTHER(C3)-A15'!G71</f>
        <v>0</v>
      </c>
      <c r="H13" s="240">
        <f>'OTHER(C3)-A15'!H42-'OTHER(C3)-A15'!H71</f>
        <v>0</v>
      </c>
      <c r="I13" s="240">
        <f>'OTHER(C3)-A15'!I42-'OTHER(C3)-A15'!I71</f>
        <v>0</v>
      </c>
      <c r="J13" s="240">
        <f>'OTHER(C3)-A15'!J42-'OTHER(C3)-A15'!J71</f>
        <v>0</v>
      </c>
      <c r="K13" s="241">
        <f>'OTHER(C3)-A15'!K42-'OTHER(C3)-A15'!K71</f>
        <v>0</v>
      </c>
      <c r="L13" s="242">
        <f>'OTHER(C3)-A15'!L42-'OTHER(C3)-A15'!L71</f>
        <v>0</v>
      </c>
      <c r="M13" s="240">
        <f>'OTHER(C3)-A15'!M42-'OTHER(C3)-A15'!M71</f>
        <v>0</v>
      </c>
      <c r="N13" s="240">
        <f>'OTHER(C3)-A15'!N42-'OTHER(C3)-A15'!N71</f>
        <v>0</v>
      </c>
      <c r="O13" s="240">
        <f>'OTHER(C3)-A15'!O42-'OTHER(C3)-A15'!O71</f>
        <v>0</v>
      </c>
      <c r="P13" s="240">
        <f>'OTHER(C3)-A15'!P42-'OTHER(C3)-A15'!P71</f>
        <v>0</v>
      </c>
      <c r="Q13" s="243">
        <f>'OTHER(C3)-A15'!Q42-'OTHER(C3)-A15'!Q71</f>
        <v>0</v>
      </c>
    </row>
    <row r="14" spans="2:19" ht="18" hidden="1" customHeight="1">
      <c r="B14" s="16"/>
      <c r="C14" s="90" t="s">
        <v>306</v>
      </c>
      <c r="D14" s="239">
        <f>'OTHER(C3)-A15'!D43-'OTHER(C3)-A15'!D72</f>
        <v>0</v>
      </c>
      <c r="E14" s="240">
        <f>'OTHER(C3)-A15'!E43-'OTHER(C3)-A15'!E72</f>
        <v>0</v>
      </c>
      <c r="F14" s="240">
        <f>'OTHER(C3)-A15'!F43-'OTHER(C3)-A15'!F72</f>
        <v>0</v>
      </c>
      <c r="G14" s="240">
        <f>'OTHER(C3)-A15'!G43-'OTHER(C3)-A15'!G72</f>
        <v>0</v>
      </c>
      <c r="H14" s="240">
        <f>'OTHER(C3)-A15'!H43-'OTHER(C3)-A15'!H72</f>
        <v>0</v>
      </c>
      <c r="I14" s="240">
        <f>'OTHER(C3)-A15'!I43-'OTHER(C3)-A15'!I72</f>
        <v>0</v>
      </c>
      <c r="J14" s="240">
        <f>'OTHER(C3)-A15'!J43-'OTHER(C3)-A15'!J72</f>
        <v>0</v>
      </c>
      <c r="K14" s="241">
        <f>'OTHER(C3)-A15'!K43-'OTHER(C3)-A15'!K72</f>
        <v>0</v>
      </c>
      <c r="L14" s="242">
        <f>'OTHER(C3)-A15'!L43-'OTHER(C3)-A15'!L72</f>
        <v>0</v>
      </c>
      <c r="M14" s="240">
        <f>'OTHER(C3)-A15'!M43-'OTHER(C3)-A15'!M72</f>
        <v>0</v>
      </c>
      <c r="N14" s="240">
        <f>'OTHER(C3)-A15'!N43-'OTHER(C3)-A15'!N72</f>
        <v>0</v>
      </c>
      <c r="O14" s="240">
        <f>'OTHER(C3)-A15'!O43-'OTHER(C3)-A15'!O72</f>
        <v>0</v>
      </c>
      <c r="P14" s="240">
        <f>'OTHER(C3)-A15'!P43-'OTHER(C3)-A15'!P72</f>
        <v>0</v>
      </c>
      <c r="Q14" s="243">
        <f>'OTHER(C3)-A15'!Q43-'OTHER(C3)-A15'!Q72</f>
        <v>0</v>
      </c>
    </row>
    <row r="15" spans="2:19" ht="16.5" customHeight="1">
      <c r="B15" s="605" t="s">
        <v>440</v>
      </c>
      <c r="C15" s="606"/>
      <c r="D15" s="239">
        <f>'OTHER(C3)-A15'!D44-'OTHER(C3)-A15'!D73</f>
        <v>0</v>
      </c>
      <c r="E15" s="240">
        <f>'OTHER(C3)-A15'!E44-'OTHER(C3)-A15'!E73</f>
        <v>0</v>
      </c>
      <c r="F15" s="240">
        <f>'OTHER(C3)-A15'!F44-'OTHER(C3)-A15'!F73</f>
        <v>0</v>
      </c>
      <c r="G15" s="240">
        <f>'OTHER(C3)-A15'!G44-'OTHER(C3)-A15'!G73</f>
        <v>0</v>
      </c>
      <c r="H15" s="240">
        <f>'OTHER(C3)-A15'!H44-'OTHER(C3)-A15'!H73</f>
        <v>0</v>
      </c>
      <c r="I15" s="240">
        <f>'OTHER(C3)-A15'!I44-'OTHER(C3)-A15'!I73</f>
        <v>0</v>
      </c>
      <c r="J15" s="240">
        <f>'OTHER(C3)-A15'!J44-'OTHER(C3)-A15'!J73</f>
        <v>0</v>
      </c>
      <c r="K15" s="241">
        <f>'OTHER(C3)-A15'!K44-'OTHER(C3)-A15'!K73</f>
        <v>0</v>
      </c>
      <c r="L15" s="242">
        <f>'OTHER(C3)-A15'!L44-'OTHER(C3)-A15'!L73</f>
        <v>0</v>
      </c>
      <c r="M15" s="240">
        <f>'OTHER(C3)-A15'!M44-'OTHER(C3)-A15'!M73</f>
        <v>0</v>
      </c>
      <c r="N15" s="240">
        <f>'OTHER(C3)-A15'!N44-'OTHER(C3)-A15'!N73</f>
        <v>0</v>
      </c>
      <c r="O15" s="240">
        <f>'OTHER(C3)-A15'!O44-'OTHER(C3)-A15'!O73</f>
        <v>0</v>
      </c>
      <c r="P15" s="240">
        <f>'OTHER(C3)-A15'!P44-'OTHER(C3)-A15'!P73</f>
        <v>0</v>
      </c>
      <c r="Q15" s="243">
        <f>'OTHER(C3)-A15'!Q44-'OTHER(C3)-A15'!Q73</f>
        <v>0</v>
      </c>
    </row>
    <row r="16" spans="2:19" ht="16.5" customHeight="1">
      <c r="B16" s="605" t="s">
        <v>441</v>
      </c>
      <c r="C16" s="606"/>
      <c r="D16" s="239">
        <f>'OTHER(C3)-A15'!D45-'OTHER(C3)-A15'!D74</f>
        <v>144.58035398752833</v>
      </c>
      <c r="E16" s="240">
        <f>'OTHER(C3)-A15'!E45-'OTHER(C3)-A15'!E74</f>
        <v>145.16096999424713</v>
      </c>
      <c r="F16" s="240">
        <f>'OTHER(C3)-A15'!F45-'OTHER(C3)-A15'!F74</f>
        <v>144.89999999999998</v>
      </c>
      <c r="G16" s="240">
        <f>'OTHER(C3)-A15'!G45-'OTHER(C3)-A15'!G74</f>
        <v>133.89999999999998</v>
      </c>
      <c r="H16" s="240">
        <f>'OTHER(C3)-A15'!H45-'OTHER(C3)-A15'!H74</f>
        <v>119.22449999999998</v>
      </c>
      <c r="I16" s="240">
        <f>'OTHER(C3)-A15'!I45-'OTHER(C3)-A15'!I74</f>
        <v>106.2671923499999</v>
      </c>
      <c r="J16" s="240">
        <f>'OTHER(C3)-A15'!J45-'OTHER(C3)-A15'!J74</f>
        <v>94.599676942829944</v>
      </c>
      <c r="K16" s="241">
        <f>'OTHER(C3)-A15'!K45-'OTHER(C3)-A15'!K74</f>
        <v>77.653964713580876</v>
      </c>
      <c r="L16" s="242">
        <f>'OTHER(C3)-A15'!L45-'OTHER(C3)-A15'!L74</f>
        <v>63.495401055119203</v>
      </c>
      <c r="M16" s="240">
        <f>'OTHER(C3)-A15'!M45-'OTHER(C3)-A15'!M74</f>
        <v>48.986789503654677</v>
      </c>
      <c r="N16" s="240">
        <f>'OTHER(C3)-A15'!N45-'OTHER(C3)-A15'!N74</f>
        <v>33.150955399830082</v>
      </c>
      <c r="O16" s="240">
        <f>'OTHER(C3)-A15'!O45-'OTHER(C3)-A15'!O74</f>
        <v>16.416701641181874</v>
      </c>
      <c r="P16" s="240">
        <f>'OTHER(C3)-A15'!P45-'OTHER(C3)-A15'!P74</f>
        <v>-1.1274899993849203</v>
      </c>
      <c r="Q16" s="243">
        <f>'OTHER(C3)-A15'!Q45-'OTHER(C3)-A15'!Q74</f>
        <v>-19.520820515355126</v>
      </c>
    </row>
    <row r="17" spans="2:17" ht="16.5" customHeight="1">
      <c r="B17" s="605" t="s">
        <v>442</v>
      </c>
      <c r="C17" s="606"/>
      <c r="D17" s="239">
        <f>'OTHER(C3)-A15'!D46-'OTHER(C3)-A15'!D75</f>
        <v>0</v>
      </c>
      <c r="E17" s="240">
        <f>'OTHER(C3)-A15'!E46-'OTHER(C3)-A15'!E75</f>
        <v>0</v>
      </c>
      <c r="F17" s="240">
        <f>'OTHER(C3)-A15'!F46-'OTHER(C3)-A15'!F75</f>
        <v>0</v>
      </c>
      <c r="G17" s="240">
        <f>'OTHER(C3)-A15'!G46-'OTHER(C3)-A15'!G75</f>
        <v>0</v>
      </c>
      <c r="H17" s="240">
        <f>'OTHER(C3)-A15'!H46-'OTHER(C3)-A15'!H75</f>
        <v>0</v>
      </c>
      <c r="I17" s="240">
        <f>'OTHER(C3)-A15'!I46-'OTHER(C3)-A15'!I75</f>
        <v>0</v>
      </c>
      <c r="J17" s="240">
        <f>'OTHER(C3)-A15'!J46-'OTHER(C3)-A15'!J75</f>
        <v>0</v>
      </c>
      <c r="K17" s="241">
        <f>'OTHER(C3)-A15'!K46-'OTHER(C3)-A15'!K75</f>
        <v>0</v>
      </c>
      <c r="L17" s="242">
        <f>'OTHER(C3)-A15'!L46-'OTHER(C3)-A15'!L75</f>
        <v>0</v>
      </c>
      <c r="M17" s="240">
        <f>'OTHER(C3)-A15'!M46-'OTHER(C3)-A15'!M75</f>
        <v>0</v>
      </c>
      <c r="N17" s="240">
        <f>'OTHER(C3)-A15'!N46-'OTHER(C3)-A15'!N75</f>
        <v>0</v>
      </c>
      <c r="O17" s="240">
        <f>'OTHER(C3)-A15'!O46-'OTHER(C3)-A15'!O75</f>
        <v>0</v>
      </c>
      <c r="P17" s="240">
        <f>'OTHER(C3)-A15'!P46-'OTHER(C3)-A15'!P75</f>
        <v>0</v>
      </c>
      <c r="Q17" s="243">
        <f>'OTHER(C3)-A15'!Q46-'OTHER(C3)-A15'!Q75</f>
        <v>0</v>
      </c>
    </row>
    <row r="18" spans="2:17" ht="16.5" customHeight="1">
      <c r="B18" s="607" t="s">
        <v>443</v>
      </c>
      <c r="C18" s="608"/>
      <c r="D18" s="239">
        <f>'OTHER(C3)-A15'!D47-'OTHER(C3)-A15'!D76</f>
        <v>325.34781999999996</v>
      </c>
      <c r="E18" s="240">
        <f>'OTHER(C3)-A15'!E47-'OTHER(C3)-A15'!E76</f>
        <v>235.83399999999983</v>
      </c>
      <c r="F18" s="240">
        <f>'OTHER(C3)-A15'!F47-'OTHER(C3)-A15'!F76</f>
        <v>222.88599999999997</v>
      </c>
      <c r="G18" s="240">
        <f>'OTHER(C3)-A15'!G47-'OTHER(C3)-A15'!G76</f>
        <v>211.48000000000002</v>
      </c>
      <c r="H18" s="240">
        <f>'OTHER(C3)-A15'!H47-'OTHER(C3)-A15'!H76</f>
        <v>168.02100000000019</v>
      </c>
      <c r="I18" s="240">
        <f>'OTHER(C3)-A15'!I47-'OTHER(C3)-A15'!I76</f>
        <v>155.79294000000004</v>
      </c>
      <c r="J18" s="240">
        <f>'OTHER(C3)-A15'!J47-'OTHER(C3)-A15'!J76</f>
        <v>58.163279999999986</v>
      </c>
      <c r="K18" s="241">
        <f>'OTHER(C3)-A15'!K47-'OTHER(C3)-A15'!K76</f>
        <v>92.383799999999837</v>
      </c>
      <c r="L18" s="242">
        <f>'OTHER(C3)-A15'!L47-'OTHER(C3)-A15'!L76</f>
        <v>35.867000000000189</v>
      </c>
      <c r="M18" s="240">
        <f>'OTHER(C3)-A15'!M47-'OTHER(C3)-A15'!M76</f>
        <v>47</v>
      </c>
      <c r="N18" s="240">
        <f>'OTHER(C3)-A15'!N47-'OTHER(C3)-A15'!N76</f>
        <v>47</v>
      </c>
      <c r="O18" s="240">
        <f>'OTHER(C3)-A15'!O47-'OTHER(C3)-A15'!O76</f>
        <v>47</v>
      </c>
      <c r="P18" s="240">
        <f>'OTHER(C3)-A15'!P47-'OTHER(C3)-A15'!P76</f>
        <v>47</v>
      </c>
      <c r="Q18" s="243">
        <f>'OTHER(C3)-A15'!Q47-'OTHER(C3)-A15'!Q76</f>
        <v>47</v>
      </c>
    </row>
    <row r="19" spans="2:17" ht="17.25" customHeight="1">
      <c r="B19" s="620" t="s">
        <v>307</v>
      </c>
      <c r="C19" s="621"/>
      <c r="D19" s="244">
        <f t="shared" ref="D19:K19" si="0">SUM(D7:D18)</f>
        <v>555.59421398752829</v>
      </c>
      <c r="E19" s="245">
        <f t="shared" si="0"/>
        <v>373.00236999424698</v>
      </c>
      <c r="F19" s="245">
        <f t="shared" si="0"/>
        <v>390.95277547999996</v>
      </c>
      <c r="G19" s="245">
        <f t="shared" si="0"/>
        <v>753.27310502823991</v>
      </c>
      <c r="H19" s="245">
        <f t="shared" si="0"/>
        <v>792.51197000000025</v>
      </c>
      <c r="I19" s="245">
        <f t="shared" si="0"/>
        <v>744.94016682488586</v>
      </c>
      <c r="J19" s="245">
        <f t="shared" si="0"/>
        <v>514.62009397937754</v>
      </c>
      <c r="K19" s="246">
        <f t="shared" si="0"/>
        <v>709.13450683735152</v>
      </c>
      <c r="L19" s="247">
        <f t="shared" ref="L19:Q19" si="1">SUM(L7:L18)</f>
        <v>613.69858309821984</v>
      </c>
      <c r="M19" s="245">
        <f t="shared" si="1"/>
        <v>607.16733778027594</v>
      </c>
      <c r="N19" s="245">
        <f t="shared" si="1"/>
        <v>648.61613904627382</v>
      </c>
      <c r="O19" s="245">
        <f t="shared" si="1"/>
        <v>660.89989930707429</v>
      </c>
      <c r="P19" s="245">
        <f t="shared" si="1"/>
        <v>621.99761958481383</v>
      </c>
      <c r="Q19" s="248">
        <f t="shared" si="1"/>
        <v>577.27794297004107</v>
      </c>
    </row>
    <row r="20" spans="2:17" ht="17.25" customHeight="1">
      <c r="B20" s="609" t="s">
        <v>308</v>
      </c>
      <c r="C20" s="610"/>
      <c r="D20" s="244">
        <f>'OTHER(C3)-A15'!D49-'OTHER(C3)-A15'!D78</f>
        <v>-18.817999999999998</v>
      </c>
      <c r="E20" s="245">
        <f>'OTHER(C3)-A15'!E49-'OTHER(C3)-A15'!E78</f>
        <v>-18.817999999999998</v>
      </c>
      <c r="F20" s="245">
        <f>'OTHER(C3)-A15'!F49-'OTHER(C3)-A15'!F78</f>
        <v>-18.817999999999998</v>
      </c>
      <c r="G20" s="245">
        <f>'OTHER(C3)-A15'!G49-'OTHER(C3)-A15'!G78</f>
        <v>-18.817999999999998</v>
      </c>
      <c r="H20" s="245">
        <f>'OTHER(C3)-A15'!H49-'OTHER(C3)-A15'!H78</f>
        <v>-18.817999999999998</v>
      </c>
      <c r="I20" s="245">
        <f>'OTHER(C3)-A15'!I49-'OTHER(C3)-A15'!I78</f>
        <v>-18.817999999999998</v>
      </c>
      <c r="J20" s="245">
        <f>'OTHER(C3)-A15'!J49-'OTHER(C3)-A15'!J78</f>
        <v>-18</v>
      </c>
      <c r="K20" s="246">
        <f>'OTHER(C3)-A15'!K49-'OTHER(C3)-A15'!K78</f>
        <v>-18</v>
      </c>
      <c r="L20" s="247">
        <f>'OTHER(C3)-A15'!L49-'OTHER(C3)-A15'!L78</f>
        <v>-18</v>
      </c>
      <c r="M20" s="245">
        <f>'OTHER(C3)-A15'!M49-'OTHER(C3)-A15'!M78</f>
        <v>-18</v>
      </c>
      <c r="N20" s="245">
        <f>'OTHER(C3)-A15'!N49-'OTHER(C3)-A15'!N78</f>
        <v>-18</v>
      </c>
      <c r="O20" s="245">
        <f>'OTHER(C3)-A15'!O49-'OTHER(C3)-A15'!O78</f>
        <v>-18</v>
      </c>
      <c r="P20" s="245">
        <f>'OTHER(C3)-A15'!P49-'OTHER(C3)-A15'!P78</f>
        <v>-18</v>
      </c>
      <c r="Q20" s="248">
        <f>'OTHER(C3)-A15'!Q49-'OTHER(C3)-A15'!Q78</f>
        <v>-18</v>
      </c>
    </row>
    <row r="21" spans="2:17" ht="16.5" customHeight="1">
      <c r="B21" s="105"/>
      <c r="C21" s="97" t="s">
        <v>309</v>
      </c>
      <c r="D21" s="244">
        <f>'OTHER(C3)-A15'!D50-'OTHER(C3)-A15'!D79</f>
        <v>-18.817999999999998</v>
      </c>
      <c r="E21" s="245">
        <f>'OTHER(C3)-A15'!E50-'OTHER(C3)-A15'!E79</f>
        <v>-18.817999999999998</v>
      </c>
      <c r="F21" s="245">
        <f>'OTHER(C3)-A15'!F50-'OTHER(C3)-A15'!F79</f>
        <v>-18.817999999999998</v>
      </c>
      <c r="G21" s="245">
        <f>'OTHER(C3)-A15'!G50-'OTHER(C3)-A15'!G79</f>
        <v>-18.817999999999998</v>
      </c>
      <c r="H21" s="245">
        <f>'OTHER(C3)-A15'!H50-'OTHER(C3)-A15'!H79</f>
        <v>-18.817999999999998</v>
      </c>
      <c r="I21" s="245">
        <f>'OTHER(C3)-A15'!I50-'OTHER(C3)-A15'!I79</f>
        <v>-18.817999999999998</v>
      </c>
      <c r="J21" s="245">
        <f>'OTHER(C3)-A15'!J50-'OTHER(C3)-A15'!J79</f>
        <v>-18</v>
      </c>
      <c r="K21" s="246">
        <f>'OTHER(C3)-A15'!K50-'OTHER(C3)-A15'!K79</f>
        <v>-18</v>
      </c>
      <c r="L21" s="247">
        <f>'OTHER(C3)-A15'!L50-'OTHER(C3)-A15'!L79</f>
        <v>-18</v>
      </c>
      <c r="M21" s="245">
        <f>'OTHER(C3)-A15'!M50-'OTHER(C3)-A15'!M79</f>
        <v>-18</v>
      </c>
      <c r="N21" s="245">
        <f>'OTHER(C3)-A15'!N50-'OTHER(C3)-A15'!N79</f>
        <v>-18</v>
      </c>
      <c r="O21" s="245">
        <f>'OTHER(C3)-A15'!O50-'OTHER(C3)-A15'!O79</f>
        <v>-18</v>
      </c>
      <c r="P21" s="245">
        <f>'OTHER(C3)-A15'!P50-'OTHER(C3)-A15'!P79</f>
        <v>-18</v>
      </c>
      <c r="Q21" s="248">
        <f>'OTHER(C3)-A15'!Q50-'OTHER(C3)-A15'!Q79</f>
        <v>-18</v>
      </c>
    </row>
    <row r="22" spans="2:17" ht="17.25" customHeight="1">
      <c r="B22" s="609" t="s">
        <v>310</v>
      </c>
      <c r="C22" s="610"/>
      <c r="D22" s="239">
        <f>'OTHER(C3)-A15'!D51-'OTHER(C3)-A15'!D80</f>
        <v>-15.138489735440089</v>
      </c>
      <c r="E22" s="240">
        <f>'OTHER(C3)-A15'!E51-'OTHER(C3)-A15'!E80</f>
        <v>-24.167595244433869</v>
      </c>
      <c r="F22" s="240">
        <f>'OTHER(C3)-A15'!F51-'OTHER(C3)-A15'!F80</f>
        <v>0</v>
      </c>
      <c r="G22" s="240">
        <f>'OTHER(C3)-A15'!G51-'OTHER(C3)-A15'!G80</f>
        <v>0</v>
      </c>
      <c r="H22" s="240">
        <f>'OTHER(C3)-A15'!H51-'OTHER(C3)-A15'!H80</f>
        <v>0</v>
      </c>
      <c r="I22" s="240">
        <f>'OTHER(C3)-A15'!I51-'OTHER(C3)-A15'!I80</f>
        <v>0</v>
      </c>
      <c r="J22" s="240">
        <f>'OTHER(C3)-A15'!J51-'OTHER(C3)-A15'!J80</f>
        <v>0</v>
      </c>
      <c r="K22" s="241">
        <f>'OTHER(C3)-A15'!K51-'OTHER(C3)-A15'!K80</f>
        <v>0</v>
      </c>
      <c r="L22" s="242">
        <f>'OTHER(C3)-A15'!L51-'OTHER(C3)-A15'!L80</f>
        <v>0</v>
      </c>
      <c r="M22" s="240">
        <f>'OTHER(C3)-A15'!M51-'OTHER(C3)-A15'!M80</f>
        <v>0</v>
      </c>
      <c r="N22" s="240">
        <f>'OTHER(C3)-A15'!N51-'OTHER(C3)-A15'!N80</f>
        <v>0</v>
      </c>
      <c r="O22" s="240">
        <f>'OTHER(C3)-A15'!O51-'OTHER(C3)-A15'!O80</f>
        <v>0</v>
      </c>
      <c r="P22" s="240">
        <f>'OTHER(C3)-A15'!P51-'OTHER(C3)-A15'!P80</f>
        <v>0</v>
      </c>
      <c r="Q22" s="243">
        <f>'OTHER(C3)-A15'!Q51-'OTHER(C3)-A15'!Q80</f>
        <v>0</v>
      </c>
    </row>
    <row r="23" spans="2:17" ht="16.5" customHeight="1">
      <c r="B23" s="105"/>
      <c r="C23" s="615" t="s">
        <v>311</v>
      </c>
      <c r="D23" s="244">
        <f>'OTHER(C3)-A15'!D52-'OTHER(C3)-A15'!D81</f>
        <v>0</v>
      </c>
      <c r="E23" s="245">
        <f>'OTHER(C3)-A15'!E52-'OTHER(C3)-A15'!E81</f>
        <v>0</v>
      </c>
      <c r="F23" s="245">
        <f>'OTHER(C3)-A15'!F52-'OTHER(C3)-A15'!F81</f>
        <v>47.271999999999935</v>
      </c>
      <c r="G23" s="245">
        <f>'OTHER(C3)-A15'!G52-'OTHER(C3)-A15'!G81</f>
        <v>47.271999999999935</v>
      </c>
      <c r="H23" s="245">
        <f>'OTHER(C3)-A15'!H52-'OTHER(C3)-A15'!H81</f>
        <v>47.271999999999935</v>
      </c>
      <c r="I23" s="245">
        <f>'OTHER(C3)-A15'!I52-'OTHER(C3)-A15'!I81</f>
        <v>145.03200000000015</v>
      </c>
      <c r="J23" s="245">
        <f>'OTHER(C3)-A15'!J52-'OTHER(C3)-A15'!J81</f>
        <v>145.03200000000015</v>
      </c>
      <c r="K23" s="246">
        <f>'OTHER(C3)-A15'!K52-'OTHER(C3)-A15'!K81</f>
        <v>145.03200000000015</v>
      </c>
      <c r="L23" s="247">
        <f>'OTHER(C3)-A15'!L52-'OTHER(C3)-A15'!L81</f>
        <v>145.03200000000015</v>
      </c>
      <c r="M23" s="245">
        <f>'OTHER(C3)-A15'!M52-'OTHER(C3)-A15'!M81</f>
        <v>145.03200000000015</v>
      </c>
      <c r="N23" s="245">
        <f>'OTHER(C3)-A15'!N52-'OTHER(C3)-A15'!N81</f>
        <v>145.03200000000015</v>
      </c>
      <c r="O23" s="245">
        <f>'OTHER(C3)-A15'!O52-'OTHER(C3)-A15'!O81</f>
        <v>145.03200000000015</v>
      </c>
      <c r="P23" s="245">
        <f>'OTHER(C3)-A15'!P52-'OTHER(C3)-A15'!P81</f>
        <v>145.03200000000015</v>
      </c>
      <c r="Q23" s="248">
        <f>'OTHER(C3)-A15'!Q52-'OTHER(C3)-A15'!Q81</f>
        <v>145.03200000000015</v>
      </c>
    </row>
    <row r="24" spans="2:17" ht="17.25" customHeight="1">
      <c r="B24" s="609" t="s">
        <v>312</v>
      </c>
      <c r="C24" s="610"/>
      <c r="D24" s="239">
        <f>'OTHER(C3)-A15'!D53-'OTHER(C3)-A15'!D82</f>
        <v>0</v>
      </c>
      <c r="E24" s="240">
        <f>'OTHER(C3)-A15'!E53-'OTHER(C3)-A15'!E82</f>
        <v>0</v>
      </c>
      <c r="F24" s="240">
        <f>'OTHER(C3)-A15'!F53-'OTHER(C3)-A15'!F82</f>
        <v>0</v>
      </c>
      <c r="G24" s="240">
        <f>'OTHER(C3)-A15'!G53-'OTHER(C3)-A15'!G82</f>
        <v>0</v>
      </c>
      <c r="H24" s="240">
        <f>'OTHER(C3)-A15'!H53-'OTHER(C3)-A15'!H82</f>
        <v>0</v>
      </c>
      <c r="I24" s="240">
        <f>'OTHER(C3)-A15'!I53-'OTHER(C3)-A15'!I82</f>
        <v>0</v>
      </c>
      <c r="J24" s="240">
        <f>'OTHER(C3)-A15'!J53-'OTHER(C3)-A15'!J82</f>
        <v>0</v>
      </c>
      <c r="K24" s="241">
        <f>'OTHER(C3)-A15'!K53-'OTHER(C3)-A15'!K82</f>
        <v>0</v>
      </c>
      <c r="L24" s="242">
        <f>'OTHER(C3)-A15'!L53-'OTHER(C3)-A15'!L82</f>
        <v>0</v>
      </c>
      <c r="M24" s="240">
        <f>'OTHER(C3)-A15'!M53-'OTHER(C3)-A15'!M82</f>
        <v>0</v>
      </c>
      <c r="N24" s="240">
        <f>'OTHER(C3)-A15'!N53-'OTHER(C3)-A15'!N82</f>
        <v>0</v>
      </c>
      <c r="O24" s="240">
        <f>'OTHER(C3)-A15'!O53-'OTHER(C3)-A15'!O82</f>
        <v>0</v>
      </c>
      <c r="P24" s="240">
        <f>'OTHER(C3)-A15'!P53-'OTHER(C3)-A15'!P82</f>
        <v>0</v>
      </c>
      <c r="Q24" s="243">
        <f>'OTHER(C3)-A15'!Q53-'OTHER(C3)-A15'!Q82</f>
        <v>0</v>
      </c>
    </row>
    <row r="25" spans="2:17" ht="16.5" customHeight="1">
      <c r="B25" s="16"/>
      <c r="C25" s="615" t="s">
        <v>313</v>
      </c>
      <c r="D25" s="244">
        <f>'OTHER(C3)-A15'!D54-'OTHER(C3)-A15'!D83</f>
        <v>0</v>
      </c>
      <c r="E25" s="245">
        <f>'OTHER(C3)-A15'!E54-'OTHER(C3)-A15'!E83</f>
        <v>0</v>
      </c>
      <c r="F25" s="245">
        <f>'OTHER(C3)-A15'!F54-'OTHER(C3)-A15'!F83</f>
        <v>0</v>
      </c>
      <c r="G25" s="245">
        <f>'OTHER(C3)-A15'!G54-'OTHER(C3)-A15'!G83</f>
        <v>0</v>
      </c>
      <c r="H25" s="245">
        <f>'OTHER(C3)-A15'!H54-'OTHER(C3)-A15'!H83</f>
        <v>0</v>
      </c>
      <c r="I25" s="245">
        <f>'OTHER(C3)-A15'!I54-'OTHER(C3)-A15'!I83</f>
        <v>0</v>
      </c>
      <c r="J25" s="245">
        <f>'OTHER(C3)-A15'!J54-'OTHER(C3)-A15'!J83</f>
        <v>0</v>
      </c>
      <c r="K25" s="246">
        <f>'OTHER(C3)-A15'!K54-'OTHER(C3)-A15'!K83</f>
        <v>0</v>
      </c>
      <c r="L25" s="247">
        <f>'OTHER(C3)-A15'!L54-'OTHER(C3)-A15'!L83</f>
        <v>0</v>
      </c>
      <c r="M25" s="245">
        <f>'OTHER(C3)-A15'!M54-'OTHER(C3)-A15'!M83</f>
        <v>0</v>
      </c>
      <c r="N25" s="245">
        <f>'OTHER(C3)-A15'!N54-'OTHER(C3)-A15'!N83</f>
        <v>0</v>
      </c>
      <c r="O25" s="245">
        <f>'OTHER(C3)-A15'!O54-'OTHER(C3)-A15'!O83</f>
        <v>0</v>
      </c>
      <c r="P25" s="245">
        <f>'OTHER(C3)-A15'!P54-'OTHER(C3)-A15'!P83</f>
        <v>0</v>
      </c>
      <c r="Q25" s="248">
        <f>'OTHER(C3)-A15'!Q54-'OTHER(C3)-A15'!Q83</f>
        <v>0</v>
      </c>
    </row>
    <row r="26" spans="2:17" ht="17.25" customHeight="1">
      <c r="B26" s="620" t="s">
        <v>314</v>
      </c>
      <c r="C26" s="621"/>
      <c r="D26" s="244">
        <f>'OTHER(C3)-A15'!D55-'OTHER(C3)-A15'!D84</f>
        <v>0</v>
      </c>
      <c r="E26" s="245">
        <f>'OTHER(C3)-A15'!E55-'OTHER(C3)-A15'!E84</f>
        <v>0</v>
      </c>
      <c r="F26" s="245">
        <f>'OTHER(C3)-A15'!F55-'OTHER(C3)-A15'!F84</f>
        <v>0</v>
      </c>
      <c r="G26" s="245">
        <f>'OTHER(C3)-A15'!G55-'OTHER(C3)-A15'!G84</f>
        <v>60</v>
      </c>
      <c r="H26" s="245">
        <f>'OTHER(C3)-A15'!H55-'OTHER(C3)-A15'!H84</f>
        <v>0</v>
      </c>
      <c r="I26" s="245">
        <f>'OTHER(C3)-A15'!I55-'OTHER(C3)-A15'!I84</f>
        <v>0</v>
      </c>
      <c r="J26" s="245">
        <f>'OTHER(C3)-A15'!J55-'OTHER(C3)-A15'!J84</f>
        <v>0</v>
      </c>
      <c r="K26" s="246">
        <f>'OTHER(C3)-A15'!K55-'OTHER(C3)-A15'!K84</f>
        <v>0</v>
      </c>
      <c r="L26" s="247">
        <f>'OTHER(C3)-A15'!L55-'OTHER(C3)-A15'!L84</f>
        <v>0</v>
      </c>
      <c r="M26" s="245">
        <f>'OTHER(C3)-A15'!M55-'OTHER(C3)-A15'!M84</f>
        <v>0</v>
      </c>
      <c r="N26" s="245">
        <f>'OTHER(C3)-A15'!N55-'OTHER(C3)-A15'!N84</f>
        <v>0</v>
      </c>
      <c r="O26" s="245">
        <f>'OTHER(C3)-A15'!O55-'OTHER(C3)-A15'!O84</f>
        <v>0</v>
      </c>
      <c r="P26" s="245">
        <f>'OTHER(C3)-A15'!P55-'OTHER(C3)-A15'!P84</f>
        <v>0</v>
      </c>
      <c r="Q26" s="248">
        <f>'OTHER(C3)-A15'!Q55-'OTHER(C3)-A15'!Q84</f>
        <v>0</v>
      </c>
    </row>
    <row r="27" spans="2:17" ht="17.25" customHeight="1">
      <c r="B27" s="620" t="s">
        <v>315</v>
      </c>
      <c r="C27" s="621"/>
      <c r="D27" s="244">
        <f>'OTHER(C3)-A15'!D56-'OTHER(C3)-A15'!D85</f>
        <v>0</v>
      </c>
      <c r="E27" s="245">
        <f>'OTHER(C3)-A15'!E56-'OTHER(C3)-A15'!E85</f>
        <v>0</v>
      </c>
      <c r="F27" s="245">
        <f>'OTHER(C3)-A15'!F56-'OTHER(C3)-A15'!F85</f>
        <v>0</v>
      </c>
      <c r="G27" s="245">
        <f>'OTHER(C3)-A15'!G56-'OTHER(C3)-A15'!G85</f>
        <v>0</v>
      </c>
      <c r="H27" s="245">
        <f>'OTHER(C3)-A15'!H56-'OTHER(C3)-A15'!H85</f>
        <v>0</v>
      </c>
      <c r="I27" s="245">
        <f>'OTHER(C3)-A15'!I56-'OTHER(C3)-A15'!I85</f>
        <v>0</v>
      </c>
      <c r="J27" s="245">
        <f>'OTHER(C3)-A15'!J56-'OTHER(C3)-A15'!J85</f>
        <v>0.29599999999999227</v>
      </c>
      <c r="K27" s="246">
        <f>'OTHER(C3)-A15'!K56-'OTHER(C3)-A15'!K85</f>
        <v>43.301919999999996</v>
      </c>
      <c r="L27" s="247">
        <f>'OTHER(C3)-A15'!L56-'OTHER(C3)-A15'!L85</f>
        <v>43</v>
      </c>
      <c r="M27" s="245">
        <f>'OTHER(C3)-A15'!M56-'OTHER(C3)-A15'!M85</f>
        <v>43</v>
      </c>
      <c r="N27" s="245">
        <f>'OTHER(C3)-A15'!N56-'OTHER(C3)-A15'!N85</f>
        <v>44</v>
      </c>
      <c r="O27" s="245">
        <f>'OTHER(C3)-A15'!O56-'OTHER(C3)-A15'!O85</f>
        <v>45</v>
      </c>
      <c r="P27" s="245">
        <f>'OTHER(C3)-A15'!P56-'OTHER(C3)-A15'!P85</f>
        <v>46</v>
      </c>
      <c r="Q27" s="248">
        <f>'OTHER(C3)-A15'!Q56-'OTHER(C3)-A15'!Q85</f>
        <v>47</v>
      </c>
    </row>
    <row r="28" spans="2:17" ht="16.5" customHeight="1">
      <c r="B28" s="609" t="s">
        <v>316</v>
      </c>
      <c r="C28" s="610"/>
      <c r="D28" s="239">
        <f>'OTHER(C3)-A15'!D57-'OTHER(C3)-A15'!D86</f>
        <v>-1690.9499999999998</v>
      </c>
      <c r="E28" s="240">
        <f>'OTHER(C3)-A15'!E57-'OTHER(C3)-A15'!E86</f>
        <v>516</v>
      </c>
      <c r="F28" s="240">
        <f>'OTHER(C3)-A15'!F57-'OTHER(C3)-A15'!F86</f>
        <v>516</v>
      </c>
      <c r="G28" s="240">
        <f>'OTHER(C3)-A15'!G57-'OTHER(C3)-A15'!G86</f>
        <v>215</v>
      </c>
      <c r="H28" s="240">
        <f>'OTHER(C3)-A15'!H57-'OTHER(C3)-A15'!H86</f>
        <v>101</v>
      </c>
      <c r="I28" s="240">
        <f>'OTHER(C3)-A15'!I57-'OTHER(C3)-A15'!I86</f>
        <v>-63</v>
      </c>
      <c r="J28" s="240">
        <f>'OTHER(C3)-A15'!J57-'OTHER(C3)-A15'!J86</f>
        <v>-232</v>
      </c>
      <c r="K28" s="241">
        <f>'OTHER(C3)-A15'!K57-'OTHER(C3)-A15'!K86</f>
        <v>-401</v>
      </c>
      <c r="L28" s="242">
        <f>'OTHER(C3)-A15'!L57-'OTHER(C3)-A15'!L86</f>
        <v>-558</v>
      </c>
      <c r="M28" s="240">
        <f>'OTHER(C3)-A15'!M57-'OTHER(C3)-A15'!M86</f>
        <v>-713</v>
      </c>
      <c r="N28" s="240">
        <f>'OTHER(C3)-A15'!N57-'OTHER(C3)-A15'!N86</f>
        <v>-713</v>
      </c>
      <c r="O28" s="240">
        <f>'OTHER(C3)-A15'!O57-'OTHER(C3)-A15'!O86</f>
        <v>-713</v>
      </c>
      <c r="P28" s="240">
        <f>'OTHER(C3)-A15'!P57-'OTHER(C3)-A15'!P86</f>
        <v>-713</v>
      </c>
      <c r="Q28" s="243">
        <f>'OTHER(C3)-A15'!Q57-'OTHER(C3)-A15'!Q86</f>
        <v>-713</v>
      </c>
    </row>
    <row r="29" spans="2:17" ht="16.5" customHeight="1">
      <c r="B29" s="607" t="s">
        <v>317</v>
      </c>
      <c r="C29" s="608"/>
      <c r="D29" s="239">
        <f>'OTHER(C3)-A15'!D58-'OTHER(C3)-A15'!D87</f>
        <v>73.800000000000011</v>
      </c>
      <c r="E29" s="240">
        <f>'OTHER(C3)-A15'!E58-'OTHER(C3)-A15'!E87</f>
        <v>73.800000000000011</v>
      </c>
      <c r="F29" s="240">
        <f>'OTHER(C3)-A15'!F58-'OTHER(C3)-A15'!F87</f>
        <v>77.800000000000011</v>
      </c>
      <c r="G29" s="240">
        <f>'OTHER(C3)-A15'!G58-'OTHER(C3)-A15'!G87</f>
        <v>48.800000000000011</v>
      </c>
      <c r="H29" s="240">
        <f>'OTHER(C3)-A15'!H58-'OTHER(C3)-A15'!H87</f>
        <v>35.800000000000011</v>
      </c>
      <c r="I29" s="240">
        <f>'OTHER(C3)-A15'!I58-'OTHER(C3)-A15'!I87</f>
        <v>18.800000000000011</v>
      </c>
      <c r="J29" s="240">
        <f>'OTHER(C3)-A15'!J58-'OTHER(C3)-A15'!J87</f>
        <v>-3.1999999999999886</v>
      </c>
      <c r="K29" s="241">
        <f>'OTHER(C3)-A15'!K58-'OTHER(C3)-A15'!K87</f>
        <v>-20.199999999999989</v>
      </c>
      <c r="L29" s="242">
        <f>'OTHER(C3)-A15'!L58-'OTHER(C3)-A15'!L87</f>
        <v>-20.199999999999989</v>
      </c>
      <c r="M29" s="240">
        <f>'OTHER(C3)-A15'!M58-'OTHER(C3)-A15'!M87</f>
        <v>-20.199999999999989</v>
      </c>
      <c r="N29" s="240">
        <f>'OTHER(C3)-A15'!N58-'OTHER(C3)-A15'!N87</f>
        <v>-20.199999999999989</v>
      </c>
      <c r="O29" s="240">
        <f>'OTHER(C3)-A15'!O58-'OTHER(C3)-A15'!O87</f>
        <v>-20.199999999999989</v>
      </c>
      <c r="P29" s="240">
        <f>'OTHER(C3)-A15'!P58-'OTHER(C3)-A15'!P87</f>
        <v>-20</v>
      </c>
      <c r="Q29" s="243">
        <f>'OTHER(C3)-A15'!Q58-'OTHER(C3)-A15'!Q87</f>
        <v>-20</v>
      </c>
    </row>
    <row r="30" spans="2:17" ht="17.25" customHeight="1">
      <c r="B30" s="620" t="s">
        <v>318</v>
      </c>
      <c r="C30" s="621"/>
      <c r="D30" s="244">
        <f>'OTHER(C3)-A15'!D59-'OTHER(C3)-A15'!D88</f>
        <v>-1617.1499999999996</v>
      </c>
      <c r="E30" s="245">
        <f>'OTHER(C3)-A15'!E59-'OTHER(C3)-A15'!E88</f>
        <v>589.80000000000018</v>
      </c>
      <c r="F30" s="245">
        <f>'OTHER(C3)-A15'!F59-'OTHER(C3)-A15'!F88</f>
        <v>593.80000000000018</v>
      </c>
      <c r="G30" s="245">
        <f>'OTHER(C3)-A15'!G59-'OTHER(C3)-A15'!G88</f>
        <v>263.80000000000018</v>
      </c>
      <c r="H30" s="245">
        <f>'OTHER(C3)-A15'!H59-'OTHER(C3)-A15'!H88</f>
        <v>136.80000000000018</v>
      </c>
      <c r="I30" s="245">
        <f>'OTHER(C3)-A15'!I59-'OTHER(C3)-A15'!I88</f>
        <v>-44.199999999999818</v>
      </c>
      <c r="J30" s="245">
        <f>'OTHER(C3)-A15'!J59-'OTHER(C3)-A15'!J88</f>
        <v>-235.19999999999982</v>
      </c>
      <c r="K30" s="246">
        <f>'OTHER(C3)-A15'!K59-'OTHER(C3)-A15'!K88</f>
        <v>-421.19999999999982</v>
      </c>
      <c r="L30" s="247">
        <f>'OTHER(C3)-A15'!L59-'OTHER(C3)-A15'!L88</f>
        <v>-578.19999999999982</v>
      </c>
      <c r="M30" s="245">
        <f>'OTHER(C3)-A15'!M59-'OTHER(C3)-A15'!M88</f>
        <v>-733.19999999999982</v>
      </c>
      <c r="N30" s="245">
        <f>'OTHER(C3)-A15'!N59-'OTHER(C3)-A15'!N88</f>
        <v>-733.19999999999982</v>
      </c>
      <c r="O30" s="245">
        <f>'OTHER(C3)-A15'!O59-'OTHER(C3)-A15'!O88</f>
        <v>-733.19999999999982</v>
      </c>
      <c r="P30" s="245">
        <f>'OTHER(C3)-A15'!P59-'OTHER(C3)-A15'!P88</f>
        <v>-733</v>
      </c>
      <c r="Q30" s="248">
        <f>'OTHER(C3)-A15'!Q59-'OTHER(C3)-A15'!Q88</f>
        <v>-733</v>
      </c>
    </row>
    <row r="31" spans="2:17" ht="16.5" customHeight="1">
      <c r="B31" s="609" t="s">
        <v>319</v>
      </c>
      <c r="C31" s="610"/>
      <c r="D31" s="239">
        <f>'OTHER(C3)-A15'!D60-'OTHER(C3)-A15'!D89</f>
        <v>0</v>
      </c>
      <c r="E31" s="240">
        <f>'OTHER(C3)-A15'!E60-'OTHER(C3)-A15'!E89</f>
        <v>0</v>
      </c>
      <c r="F31" s="240">
        <f>'OTHER(C3)-A15'!F60-'OTHER(C3)-A15'!F89</f>
        <v>0</v>
      </c>
      <c r="G31" s="240">
        <f>'OTHER(C3)-A15'!G60-'OTHER(C3)-A15'!G89</f>
        <v>-122</v>
      </c>
      <c r="H31" s="240">
        <f>'OTHER(C3)-A15'!H60-'OTHER(C3)-A15'!H89</f>
        <v>-110</v>
      </c>
      <c r="I31" s="240">
        <f>'OTHER(C3)-A15'!I60-'OTHER(C3)-A15'!I89</f>
        <v>-107</v>
      </c>
      <c r="J31" s="240">
        <f>'OTHER(C3)-A15'!J60-'OTHER(C3)-A15'!J89</f>
        <v>-5</v>
      </c>
      <c r="K31" s="241">
        <f>'OTHER(C3)-A15'!K60-'OTHER(C3)-A15'!K89</f>
        <v>-5</v>
      </c>
      <c r="L31" s="242">
        <f>'OTHER(C3)-A15'!L60-'OTHER(C3)-A15'!L89</f>
        <v>0</v>
      </c>
      <c r="M31" s="240">
        <f>'OTHER(C3)-A15'!M60-'OTHER(C3)-A15'!M89</f>
        <v>0</v>
      </c>
      <c r="N31" s="240">
        <f>'OTHER(C3)-A15'!N60-'OTHER(C3)-A15'!N89</f>
        <v>0</v>
      </c>
      <c r="O31" s="240">
        <f>'OTHER(C3)-A15'!O60-'OTHER(C3)-A15'!O89</f>
        <v>0</v>
      </c>
      <c r="P31" s="240">
        <f>'OTHER(C3)-A15'!P60-'OTHER(C3)-A15'!P89</f>
        <v>0</v>
      </c>
      <c r="Q31" s="243">
        <f>'OTHER(C3)-A15'!Q60-'OTHER(C3)-A15'!Q89</f>
        <v>0</v>
      </c>
    </row>
    <row r="32" spans="2:17" ht="16.5" customHeight="1">
      <c r="B32" s="605" t="s">
        <v>320</v>
      </c>
      <c r="C32" s="606"/>
      <c r="D32" s="239">
        <f>'OTHER(C3)-A15'!D61-'OTHER(C3)-A15'!D90</f>
        <v>0</v>
      </c>
      <c r="E32" s="240">
        <f>'OTHER(C3)-A15'!E61-'OTHER(C3)-A15'!E90</f>
        <v>0</v>
      </c>
      <c r="F32" s="240">
        <f>'OTHER(C3)-A15'!F61-'OTHER(C3)-A15'!F90</f>
        <v>0</v>
      </c>
      <c r="G32" s="240">
        <f>'OTHER(C3)-A15'!G61-'OTHER(C3)-A15'!G90</f>
        <v>6</v>
      </c>
      <c r="H32" s="240">
        <f>'OTHER(C3)-A15'!H61-'OTHER(C3)-A15'!H90</f>
        <v>51</v>
      </c>
      <c r="I32" s="240">
        <f>'OTHER(C3)-A15'!I61-'OTHER(C3)-A15'!I90</f>
        <v>77</v>
      </c>
      <c r="J32" s="240">
        <f>'OTHER(C3)-A15'!J61-'OTHER(C3)-A15'!J90</f>
        <v>65</v>
      </c>
      <c r="K32" s="241">
        <f>'OTHER(C3)-A15'!K61-'OTHER(C3)-A15'!K90</f>
        <v>53</v>
      </c>
      <c r="L32" s="242">
        <f>'OTHER(C3)-A15'!L61-'OTHER(C3)-A15'!L90</f>
        <v>37</v>
      </c>
      <c r="M32" s="240">
        <f>'OTHER(C3)-A15'!M61-'OTHER(C3)-A15'!M90</f>
        <v>22</v>
      </c>
      <c r="N32" s="240">
        <f>'OTHER(C3)-A15'!N61-'OTHER(C3)-A15'!N90</f>
        <v>22</v>
      </c>
      <c r="O32" s="240">
        <f>'OTHER(C3)-A15'!O61-'OTHER(C3)-A15'!O90</f>
        <v>22</v>
      </c>
      <c r="P32" s="240">
        <f>'OTHER(C3)-A15'!P61-'OTHER(C3)-A15'!P90</f>
        <v>22</v>
      </c>
      <c r="Q32" s="243">
        <f>'OTHER(C3)-A15'!Q61-'OTHER(C3)-A15'!Q90</f>
        <v>22</v>
      </c>
    </row>
    <row r="33" spans="2:17" ht="16.5" customHeight="1">
      <c r="B33" s="607" t="s">
        <v>321</v>
      </c>
      <c r="C33" s="608"/>
      <c r="D33" s="239">
        <f>'OTHER(C3)-A15'!D62-'OTHER(C3)-A15'!D91</f>
        <v>0</v>
      </c>
      <c r="E33" s="240">
        <f>'OTHER(C3)-A15'!E62-'OTHER(C3)-A15'!E91</f>
        <v>0</v>
      </c>
      <c r="F33" s="240">
        <f>'OTHER(C3)-A15'!F62-'OTHER(C3)-A15'!F91</f>
        <v>0</v>
      </c>
      <c r="G33" s="240">
        <f>'OTHER(C3)-A15'!G62-'OTHER(C3)-A15'!G91</f>
        <v>0</v>
      </c>
      <c r="H33" s="240">
        <f>'OTHER(C3)-A15'!H62-'OTHER(C3)-A15'!H91</f>
        <v>0</v>
      </c>
      <c r="I33" s="240">
        <f>'OTHER(C3)-A15'!I62-'OTHER(C3)-A15'!I91</f>
        <v>0</v>
      </c>
      <c r="J33" s="240">
        <f>'OTHER(C3)-A15'!J62-'OTHER(C3)-A15'!J91</f>
        <v>-62.699999999999989</v>
      </c>
      <c r="K33" s="241">
        <f>'OTHER(C3)-A15'!K62-'OTHER(C3)-A15'!K91</f>
        <v>-73.935000000000002</v>
      </c>
      <c r="L33" s="242">
        <f>'OTHER(C3)-A15'!L62-'OTHER(C3)-A15'!L91</f>
        <v>-74</v>
      </c>
      <c r="M33" s="240">
        <f>'OTHER(C3)-A15'!M62-'OTHER(C3)-A15'!M91</f>
        <v>-74</v>
      </c>
      <c r="N33" s="240">
        <f>'OTHER(C3)-A15'!N62-'OTHER(C3)-A15'!N91</f>
        <v>-74</v>
      </c>
      <c r="O33" s="240">
        <f>'OTHER(C3)-A15'!O62-'OTHER(C3)-A15'!O91</f>
        <v>-74</v>
      </c>
      <c r="P33" s="240">
        <f>'OTHER(C3)-A15'!P62-'OTHER(C3)-A15'!P91</f>
        <v>-74</v>
      </c>
      <c r="Q33" s="243">
        <f>'OTHER(C3)-A15'!Q62-'OTHER(C3)-A15'!Q91</f>
        <v>-74</v>
      </c>
    </row>
    <row r="34" spans="2:17" ht="17.25" customHeight="1" thickBot="1">
      <c r="B34" s="622" t="s">
        <v>322</v>
      </c>
      <c r="C34" s="623"/>
      <c r="D34" s="249">
        <f>'OTHER(C3)-A15'!D63-'OTHER(C3)-A15'!D92</f>
        <v>0</v>
      </c>
      <c r="E34" s="250">
        <f>'OTHER(C3)-A15'!E63-'OTHER(C3)-A15'!E92</f>
        <v>0</v>
      </c>
      <c r="F34" s="250">
        <f>'OTHER(C3)-A15'!F63-'OTHER(C3)-A15'!F92</f>
        <v>0</v>
      </c>
      <c r="G34" s="250">
        <f>'OTHER(C3)-A15'!G63-'OTHER(C3)-A15'!G92</f>
        <v>-116</v>
      </c>
      <c r="H34" s="250">
        <f>'OTHER(C3)-A15'!H63-'OTHER(C3)-A15'!H92</f>
        <v>-59</v>
      </c>
      <c r="I34" s="250">
        <f>'OTHER(C3)-A15'!I63-'OTHER(C3)-A15'!I92</f>
        <v>-30</v>
      </c>
      <c r="J34" s="250">
        <f>'OTHER(C3)-A15'!J63-'OTHER(C3)-A15'!J92</f>
        <v>-2.7000000000000455</v>
      </c>
      <c r="K34" s="251">
        <f>'OTHER(C3)-A15'!K63-'OTHER(C3)-A15'!K92</f>
        <v>-25.934999999999945</v>
      </c>
      <c r="L34" s="252">
        <f>'OTHER(C3)-A15'!L63-'OTHER(C3)-A15'!L92</f>
        <v>-37</v>
      </c>
      <c r="M34" s="250">
        <f>'OTHER(C3)-A15'!M63-'OTHER(C3)-A15'!M92</f>
        <v>-52</v>
      </c>
      <c r="N34" s="250">
        <f>'OTHER(C3)-A15'!N63-'OTHER(C3)-A15'!N92</f>
        <v>-52</v>
      </c>
      <c r="O34" s="250">
        <f>'OTHER(C3)-A15'!O63-'OTHER(C3)-A15'!O92</f>
        <v>-52</v>
      </c>
      <c r="P34" s="250">
        <f>'OTHER(C3)-A15'!P63-'OTHER(C3)-A15'!P92</f>
        <v>-52</v>
      </c>
      <c r="Q34" s="253">
        <f>'OTHER(C3)-A15'!Q63-'OTHER(C3)-A15'!Q92</f>
        <v>-52</v>
      </c>
    </row>
    <row r="35" spans="2:17" ht="18" customHeight="1" thickTop="1" thickBot="1">
      <c r="B35" s="21"/>
      <c r="C35" s="619" t="s">
        <v>337</v>
      </c>
      <c r="D35" s="255">
        <f>SUM(D19+D20+D22+D24+D26+D27+D30+D34)</f>
        <v>-1095.5122757479114</v>
      </c>
      <c r="E35" s="171">
        <f t="shared" ref="E35:Q35" si="2">SUM(E19+E20+E22+E24+E26+E27+E30+E34)</f>
        <v>919.81677474981325</v>
      </c>
      <c r="F35" s="171">
        <f t="shared" si="2"/>
        <v>965.9347754800001</v>
      </c>
      <c r="G35" s="171">
        <f t="shared" si="2"/>
        <v>942.25510502824</v>
      </c>
      <c r="H35" s="171">
        <f t="shared" si="2"/>
        <v>851.49397000000044</v>
      </c>
      <c r="I35" s="171">
        <f t="shared" si="2"/>
        <v>651.92216682488606</v>
      </c>
      <c r="J35" s="171">
        <f t="shared" si="2"/>
        <v>259.01609397937767</v>
      </c>
      <c r="K35" s="173">
        <f t="shared" si="2"/>
        <v>287.30142683735176</v>
      </c>
      <c r="L35" s="172">
        <f t="shared" si="2"/>
        <v>23.498583098220024</v>
      </c>
      <c r="M35" s="171">
        <f t="shared" si="2"/>
        <v>-153.03266221972387</v>
      </c>
      <c r="N35" s="171">
        <f t="shared" si="2"/>
        <v>-110.583860953726</v>
      </c>
      <c r="O35" s="171">
        <f t="shared" si="2"/>
        <v>-97.300100692925525</v>
      </c>
      <c r="P35" s="171">
        <f t="shared" si="2"/>
        <v>-135.00238041518617</v>
      </c>
      <c r="Q35" s="174">
        <f t="shared" si="2"/>
        <v>-178.72205702995893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50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3">+E41+1</f>
        <v>2011</v>
      </c>
      <c r="G41" s="17">
        <f t="shared" si="3"/>
        <v>2012</v>
      </c>
      <c r="H41" s="18">
        <f t="shared" si="3"/>
        <v>2013</v>
      </c>
      <c r="I41" s="17">
        <f t="shared" si="3"/>
        <v>2014</v>
      </c>
      <c r="J41" s="17">
        <f t="shared" si="3"/>
        <v>2015</v>
      </c>
      <c r="K41" s="20">
        <f t="shared" si="3"/>
        <v>2016</v>
      </c>
      <c r="L41" s="19">
        <f t="shared" si="3"/>
        <v>2017</v>
      </c>
      <c r="M41" s="18">
        <f t="shared" si="3"/>
        <v>2018</v>
      </c>
      <c r="N41" s="18">
        <f t="shared" si="3"/>
        <v>2019</v>
      </c>
      <c r="O41" s="18">
        <f t="shared" si="3"/>
        <v>2020</v>
      </c>
      <c r="P41" s="18">
        <f t="shared" si="3"/>
        <v>2021</v>
      </c>
      <c r="Q41" s="23">
        <f t="shared" si="3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IF('OTHER(C3)-A15'!D7=0,"    -",ROUND('OTHER(C3)-A15'!D36/'OTHER(C3)-A15'!D7*100,1))</f>
        <v>72.099999999999994</v>
      </c>
      <c r="E43" s="58">
        <f>IF('OTHER(C3)-A15'!E7=0,"    -",ROUND('OTHER(C3)-A15'!E36/'OTHER(C3)-A15'!E7*100,1))</f>
        <v>72.099999999999994</v>
      </c>
      <c r="F43" s="58">
        <f>IF('OTHER(C3)-A15'!F7=0,"    -",ROUND('OTHER(C3)-A15'!F36/'OTHER(C3)-A15'!F7*100,1))</f>
        <v>72.099999999999994</v>
      </c>
      <c r="G43" s="58">
        <f>IF('OTHER(C3)-A15'!G7=0,"    -",ROUND('OTHER(C3)-A15'!G36/'OTHER(C3)-A15'!G7*100,1))</f>
        <v>72.099999999999994</v>
      </c>
      <c r="H43" s="58">
        <f>IF('OTHER(C3)-A15'!H7=0,"    -",ROUND('OTHER(C3)-A15'!H36/'OTHER(C3)-A15'!H7*100,1))</f>
        <v>90.1</v>
      </c>
      <c r="I43" s="58">
        <f>IF('OTHER(C3)-A15'!I7=0,"    -",ROUND('OTHER(C3)-A15'!I36/'OTHER(C3)-A15'!I7*100,1))</f>
        <v>99.1</v>
      </c>
      <c r="J43" s="58">
        <f>IF('OTHER(C3)-A15'!J7=0,"    -",ROUND('OTHER(C3)-A15'!J36/'OTHER(C3)-A15'!J7*100,1))</f>
        <v>100</v>
      </c>
      <c r="K43" s="59">
        <f>IF('OTHER(C3)-A15'!K7=0,"    -",ROUND('OTHER(C3)-A15'!K36/'OTHER(C3)-A15'!K7*100,1))</f>
        <v>93.3</v>
      </c>
      <c r="L43" s="60">
        <f>IF('OTHER(C3)-A15'!L7=0,"    -",ROUND('OTHER(C3)-A15'!L36/'OTHER(C3)-A15'!L7*100,1))</f>
        <v>77.8</v>
      </c>
      <c r="M43" s="58">
        <f>IF('OTHER(C3)-A15'!M7=0,"    -",ROUND('OTHER(C3)-A15'!M36/'OTHER(C3)-A15'!M7*100,1))</f>
        <v>74.599999999999994</v>
      </c>
      <c r="N43" s="58">
        <f>IF('OTHER(C3)-A15'!N7=0,"    -",ROUND('OTHER(C3)-A15'!N36/'OTHER(C3)-A15'!N7*100,1))</f>
        <v>74.599999999999994</v>
      </c>
      <c r="O43" s="58">
        <f>IF('OTHER(C3)-A15'!O7=0,"    -",ROUND('OTHER(C3)-A15'!O36/'OTHER(C3)-A15'!O7*100,1))</f>
        <v>94.3</v>
      </c>
      <c r="P43" s="58">
        <f>IF('OTHER(C3)-A15'!P7=0,"    -",ROUND('OTHER(C3)-A15'!P36/'OTHER(C3)-A15'!P7*100,1))</f>
        <v>94.3</v>
      </c>
      <c r="Q43" s="61">
        <f>IF('OTHER(C3)-A15'!Q7=0,"    -",ROUND('OTHER(C3)-A15'!Q36/'OTHER(C3)-A15'!Q7*100,1))</f>
        <v>94.3</v>
      </c>
    </row>
    <row r="44" spans="2:17" ht="16.5" customHeight="1">
      <c r="B44" s="605" t="s">
        <v>434</v>
      </c>
      <c r="C44" s="606"/>
      <c r="D44" s="57">
        <f>IF('OTHER(C3)-A15'!D8=0,"    -",ROUND('OTHER(C3)-A15'!D37/'OTHER(C3)-A15'!D8*100,1))</f>
        <v>88.5</v>
      </c>
      <c r="E44" s="58">
        <f>IF('OTHER(C3)-A15'!E8=0,"    -",ROUND('OTHER(C3)-A15'!E37/'OTHER(C3)-A15'!E8*100,1))</f>
        <v>83.4</v>
      </c>
      <c r="F44" s="58">
        <f>IF('OTHER(C3)-A15'!F8=0,"    -",ROUND('OTHER(C3)-A15'!F37/'OTHER(C3)-A15'!F8*100,1))</f>
        <v>92.2</v>
      </c>
      <c r="G44" s="58">
        <f>IF('OTHER(C3)-A15'!G8=0,"    -",ROUND('OTHER(C3)-A15'!G37/'OTHER(C3)-A15'!G8*100,1))</f>
        <v>92.2</v>
      </c>
      <c r="H44" s="58">
        <f>IF('OTHER(C3)-A15'!H8=0,"    -",ROUND('OTHER(C3)-A15'!H37/'OTHER(C3)-A15'!H8*100,1))</f>
        <v>87.6</v>
      </c>
      <c r="I44" s="58">
        <f>IF('OTHER(C3)-A15'!I8=0,"    -",ROUND('OTHER(C3)-A15'!I37/'OTHER(C3)-A15'!I8*100,1))</f>
        <v>92.2</v>
      </c>
      <c r="J44" s="58">
        <f>IF('OTHER(C3)-A15'!J8=0,"    -",ROUND('OTHER(C3)-A15'!J37/'OTHER(C3)-A15'!J8*100,1))</f>
        <v>92.2</v>
      </c>
      <c r="K44" s="59">
        <f>IF('OTHER(C3)-A15'!K8=0,"    -",ROUND('OTHER(C3)-A15'!K37/'OTHER(C3)-A15'!K8*100,1))</f>
        <v>92.2</v>
      </c>
      <c r="L44" s="60">
        <f>IF('OTHER(C3)-A15'!L8=0,"    -",ROUND('OTHER(C3)-A15'!L37/'OTHER(C3)-A15'!L8*100,1))</f>
        <v>92.2</v>
      </c>
      <c r="M44" s="58">
        <f>IF('OTHER(C3)-A15'!M8=0,"    -",ROUND('OTHER(C3)-A15'!M37/'OTHER(C3)-A15'!M8*100,1))</f>
        <v>92.2</v>
      </c>
      <c r="N44" s="58">
        <f>IF('OTHER(C3)-A15'!N8=0,"    -",ROUND('OTHER(C3)-A15'!N37/'OTHER(C3)-A15'!N8*100,1))</f>
        <v>92.2</v>
      </c>
      <c r="O44" s="58">
        <f>IF('OTHER(C3)-A15'!O8=0,"    -",ROUND('OTHER(C3)-A15'!O37/'OTHER(C3)-A15'!O8*100,1))</f>
        <v>92.2</v>
      </c>
      <c r="P44" s="58">
        <f>IF('OTHER(C3)-A15'!P8=0,"    -",ROUND('OTHER(C3)-A15'!P37/'OTHER(C3)-A15'!P8*100,1))</f>
        <v>90.9</v>
      </c>
      <c r="Q44" s="61">
        <f>IF('OTHER(C3)-A15'!Q8=0,"    -",ROUND('OTHER(C3)-A15'!Q37/'OTHER(C3)-A15'!Q8*100,1))</f>
        <v>90.9</v>
      </c>
    </row>
    <row r="45" spans="2:17" ht="16.5" customHeight="1">
      <c r="B45" s="605" t="s">
        <v>435</v>
      </c>
      <c r="C45" s="606"/>
      <c r="D45" s="57">
        <f>IF('OTHER(C3)-A15'!D9=0,"    -",ROUND('OTHER(C3)-A15'!D38/'OTHER(C3)-A15'!D9*100,1))</f>
        <v>95.7</v>
      </c>
      <c r="E45" s="58">
        <f>IF('OTHER(C3)-A15'!E9=0,"    -",ROUND('OTHER(C3)-A15'!E38/'OTHER(C3)-A15'!E9*100,1))</f>
        <v>95.8</v>
      </c>
      <c r="F45" s="58">
        <f>IF('OTHER(C3)-A15'!F9=0,"    -",ROUND('OTHER(C3)-A15'!F38/'OTHER(C3)-A15'!F9*100,1))</f>
        <v>98.1</v>
      </c>
      <c r="G45" s="58">
        <f>IF('OTHER(C3)-A15'!G9=0,"    -",ROUND('OTHER(C3)-A15'!G38/'OTHER(C3)-A15'!G9*100,1))</f>
        <v>88.4</v>
      </c>
      <c r="H45" s="58">
        <f>IF('OTHER(C3)-A15'!H9=0,"    -",ROUND('OTHER(C3)-A15'!H38/'OTHER(C3)-A15'!H9*100,1))</f>
        <v>92.1</v>
      </c>
      <c r="I45" s="58">
        <f>IF('OTHER(C3)-A15'!I9=0,"    -",ROUND('OTHER(C3)-A15'!I38/'OTHER(C3)-A15'!I9*100,1))</f>
        <v>90.3</v>
      </c>
      <c r="J45" s="58">
        <f>IF('OTHER(C3)-A15'!J9=0,"    -",ROUND('OTHER(C3)-A15'!J38/'OTHER(C3)-A15'!J9*100,1))</f>
        <v>67.7</v>
      </c>
      <c r="K45" s="59">
        <f>IF('OTHER(C3)-A15'!K9=0,"    -",ROUND('OTHER(C3)-A15'!K38/'OTHER(C3)-A15'!K9*100,1))</f>
        <v>93.4</v>
      </c>
      <c r="L45" s="60">
        <f>IF('OTHER(C3)-A15'!L9=0,"    -",ROUND('OTHER(C3)-A15'!L38/'OTHER(C3)-A15'!L9*100,1))</f>
        <v>95.3</v>
      </c>
      <c r="M45" s="58">
        <f>IF('OTHER(C3)-A15'!M9=0,"    -",ROUND('OTHER(C3)-A15'!M38/'OTHER(C3)-A15'!M9*100,1))</f>
        <v>93.3</v>
      </c>
      <c r="N45" s="58">
        <f>IF('OTHER(C3)-A15'!N9=0,"    -",ROUND('OTHER(C3)-A15'!N38/'OTHER(C3)-A15'!N9*100,1))</f>
        <v>94.9</v>
      </c>
      <c r="O45" s="58">
        <f>IF('OTHER(C3)-A15'!O9=0,"    -",ROUND('OTHER(C3)-A15'!O38/'OTHER(C3)-A15'!O9*100,1))</f>
        <v>94</v>
      </c>
      <c r="P45" s="58">
        <f>IF('OTHER(C3)-A15'!P9=0,"    -",ROUND('OTHER(C3)-A15'!P38/'OTHER(C3)-A15'!P9*100,1))</f>
        <v>94.6</v>
      </c>
      <c r="Q45" s="61">
        <f>IF('OTHER(C3)-A15'!Q9=0,"    -",ROUND('OTHER(C3)-A15'!Q38/'OTHER(C3)-A15'!Q9*100,1))</f>
        <v>94.9</v>
      </c>
    </row>
    <row r="46" spans="2:17" ht="16.5" customHeight="1">
      <c r="B46" s="605" t="s">
        <v>436</v>
      </c>
      <c r="C46" s="606"/>
      <c r="D46" s="57">
        <f>IF('OTHER(C3)-A15'!D10=0,"    -",ROUND('OTHER(C3)-A15'!D39/'OTHER(C3)-A15'!D10*100,1))</f>
        <v>80</v>
      </c>
      <c r="E46" s="58">
        <f>IF('OTHER(C3)-A15'!E10=0,"    -",ROUND('OTHER(C3)-A15'!E39/'OTHER(C3)-A15'!E10*100,1))</f>
        <v>80</v>
      </c>
      <c r="F46" s="58">
        <f>IF('OTHER(C3)-A15'!F10=0,"    -",ROUND('OTHER(C3)-A15'!F39/'OTHER(C3)-A15'!F10*100,1))</f>
        <v>80</v>
      </c>
      <c r="G46" s="58">
        <f>IF('OTHER(C3)-A15'!G10=0,"    -",ROUND('OTHER(C3)-A15'!G39/'OTHER(C3)-A15'!G10*100,1))</f>
        <v>80</v>
      </c>
      <c r="H46" s="58">
        <f>IF('OTHER(C3)-A15'!H10=0,"    -",ROUND('OTHER(C3)-A15'!H39/'OTHER(C3)-A15'!H10*100,1))</f>
        <v>80</v>
      </c>
      <c r="I46" s="58">
        <f>IF('OTHER(C3)-A15'!I10=0,"    -",ROUND('OTHER(C3)-A15'!I39/'OTHER(C3)-A15'!I10*100,1))</f>
        <v>80</v>
      </c>
      <c r="J46" s="58">
        <f>IF('OTHER(C3)-A15'!J10=0,"    -",ROUND('OTHER(C3)-A15'!J39/'OTHER(C3)-A15'!J10*100,1))</f>
        <v>80</v>
      </c>
      <c r="K46" s="59">
        <f>IF('OTHER(C3)-A15'!K10=0,"    -",ROUND('OTHER(C3)-A15'!K39/'OTHER(C3)-A15'!K10*100,1))</f>
        <v>80</v>
      </c>
      <c r="L46" s="60">
        <f>IF('OTHER(C3)-A15'!L10=0,"    -",ROUND('OTHER(C3)-A15'!L39/'OTHER(C3)-A15'!L10*100,1))</f>
        <v>80</v>
      </c>
      <c r="M46" s="58">
        <f>IF('OTHER(C3)-A15'!M10=0,"    -",ROUND('OTHER(C3)-A15'!M39/'OTHER(C3)-A15'!M10*100,1))</f>
        <v>80</v>
      </c>
      <c r="N46" s="58">
        <f>IF('OTHER(C3)-A15'!N10=0,"    -",ROUND('OTHER(C3)-A15'!N39/'OTHER(C3)-A15'!N10*100,1))</f>
        <v>80</v>
      </c>
      <c r="O46" s="58">
        <f>IF('OTHER(C3)-A15'!O10=0,"    -",ROUND('OTHER(C3)-A15'!O39/'OTHER(C3)-A15'!O10*100,1))</f>
        <v>80</v>
      </c>
      <c r="P46" s="58">
        <f>IF('OTHER(C3)-A15'!P10=0,"    -",ROUND('OTHER(C3)-A15'!P39/'OTHER(C3)-A15'!P10*100,1))</f>
        <v>80</v>
      </c>
      <c r="Q46" s="61">
        <f>IF('OTHER(C3)-A15'!Q10=0,"    -",ROUND('OTHER(C3)-A15'!Q39/'OTHER(C3)-A15'!Q10*100,1))</f>
        <v>80</v>
      </c>
    </row>
    <row r="47" spans="2:17" ht="16.5" customHeight="1">
      <c r="B47" s="605" t="s">
        <v>437</v>
      </c>
      <c r="C47" s="606"/>
      <c r="D47" s="57">
        <f>IF('OTHER(C3)-A15'!D11=0,"    -",ROUND('OTHER(C3)-A15'!D40/'OTHER(C3)-A15'!D11*100,1))</f>
        <v>90</v>
      </c>
      <c r="E47" s="58">
        <f>IF('OTHER(C3)-A15'!E11=0,"    -",ROUND('OTHER(C3)-A15'!E40/'OTHER(C3)-A15'!E11*100,1))</f>
        <v>100</v>
      </c>
      <c r="F47" s="58">
        <f>IF('OTHER(C3)-A15'!F11=0,"    -",ROUND('OTHER(C3)-A15'!F40/'OTHER(C3)-A15'!F11*100,1))</f>
        <v>100</v>
      </c>
      <c r="G47" s="58">
        <f>IF('OTHER(C3)-A15'!G11=0,"    -",ROUND('OTHER(C3)-A15'!G40/'OTHER(C3)-A15'!G11*100,1))</f>
        <v>89.3</v>
      </c>
      <c r="H47" s="58">
        <f>IF('OTHER(C3)-A15'!H11=0,"    -",ROUND('OTHER(C3)-A15'!H40/'OTHER(C3)-A15'!H11*100,1))</f>
        <v>90.4</v>
      </c>
      <c r="I47" s="58">
        <f>IF('OTHER(C3)-A15'!I11=0,"    -",ROUND('OTHER(C3)-A15'!I40/'OTHER(C3)-A15'!I11*100,1))</f>
        <v>90.4</v>
      </c>
      <c r="J47" s="58">
        <f>IF('OTHER(C3)-A15'!J11=0,"    -",ROUND('OTHER(C3)-A15'!J40/'OTHER(C3)-A15'!J11*100,1))</f>
        <v>78.8</v>
      </c>
      <c r="K47" s="59">
        <f>IF('OTHER(C3)-A15'!K11=0,"    -",ROUND('OTHER(C3)-A15'!K40/'OTHER(C3)-A15'!K11*100,1))</f>
        <v>90.1</v>
      </c>
      <c r="L47" s="60">
        <f>IF('OTHER(C3)-A15'!L11=0,"    -",ROUND('OTHER(C3)-A15'!L40/'OTHER(C3)-A15'!L11*100,1))</f>
        <v>90.1</v>
      </c>
      <c r="M47" s="58">
        <f>IF('OTHER(C3)-A15'!M11=0,"    -",ROUND('OTHER(C3)-A15'!M40/'OTHER(C3)-A15'!M11*100,1))</f>
        <v>90.1</v>
      </c>
      <c r="N47" s="58">
        <f>IF('OTHER(C3)-A15'!N11=0,"    -",ROUND('OTHER(C3)-A15'!N40/'OTHER(C3)-A15'!N11*100,1))</f>
        <v>90</v>
      </c>
      <c r="O47" s="58">
        <f>IF('OTHER(C3)-A15'!O11=0,"    -",ROUND('OTHER(C3)-A15'!O40/'OTHER(C3)-A15'!O11*100,1))</f>
        <v>90</v>
      </c>
      <c r="P47" s="58">
        <f>IF('OTHER(C3)-A15'!P11=0,"    -",ROUND('OTHER(C3)-A15'!P40/'OTHER(C3)-A15'!P11*100,1))</f>
        <v>90</v>
      </c>
      <c r="Q47" s="61">
        <f>IF('OTHER(C3)-A15'!Q11=0,"    -",ROUND('OTHER(C3)-A15'!Q40/'OTHER(C3)-A15'!Q11*100,1))</f>
        <v>90</v>
      </c>
    </row>
    <row r="48" spans="2:17" ht="16.5" customHeight="1">
      <c r="B48" s="605" t="s">
        <v>438</v>
      </c>
      <c r="C48" s="606"/>
      <c r="D48" s="57">
        <f>IF('OTHER(C3)-A15'!D12=0,"    -",ROUND('OTHER(C3)-A15'!D41/'OTHER(C3)-A15'!D12*100,1))</f>
        <v>81.599999999999994</v>
      </c>
      <c r="E48" s="58">
        <f>IF('OTHER(C3)-A15'!E12=0,"    -",ROUND('OTHER(C3)-A15'!E41/'OTHER(C3)-A15'!E12*100,1))</f>
        <v>81.599999999999994</v>
      </c>
      <c r="F48" s="58">
        <f>IF('OTHER(C3)-A15'!F12=0,"    -",ROUND('OTHER(C3)-A15'!F41/'OTHER(C3)-A15'!F12*100,1))</f>
        <v>81.599999999999994</v>
      </c>
      <c r="G48" s="58">
        <f>IF('OTHER(C3)-A15'!G12=0,"    -",ROUND('OTHER(C3)-A15'!G41/'OTHER(C3)-A15'!G12*100,1))</f>
        <v>70.3</v>
      </c>
      <c r="H48" s="58">
        <f>IF('OTHER(C3)-A15'!H12=0,"    -",ROUND('OTHER(C3)-A15'!H41/'OTHER(C3)-A15'!H12*100,1))</f>
        <v>87.5</v>
      </c>
      <c r="I48" s="58">
        <f>IF('OTHER(C3)-A15'!I12=0,"    -",ROUND('OTHER(C3)-A15'!I41/'OTHER(C3)-A15'!I12*100,1))</f>
        <v>87.5</v>
      </c>
      <c r="J48" s="58">
        <f>IF('OTHER(C3)-A15'!J12=0,"    -",ROUND('OTHER(C3)-A15'!J41/'OTHER(C3)-A15'!J12*100,1))</f>
        <v>87.5</v>
      </c>
      <c r="K48" s="59">
        <f>IF('OTHER(C3)-A15'!K12=0,"    -",ROUND('OTHER(C3)-A15'!K41/'OTHER(C3)-A15'!K12*100,1))</f>
        <v>87.5</v>
      </c>
      <c r="L48" s="60">
        <f>IF('OTHER(C3)-A15'!L12=0,"    -",ROUND('OTHER(C3)-A15'!L41/'OTHER(C3)-A15'!L12*100,1))</f>
        <v>87.4</v>
      </c>
      <c r="M48" s="58">
        <f>IF('OTHER(C3)-A15'!M12=0,"    -",ROUND('OTHER(C3)-A15'!M41/'OTHER(C3)-A15'!M12*100,1))</f>
        <v>87.4</v>
      </c>
      <c r="N48" s="58">
        <f>IF('OTHER(C3)-A15'!N12=0,"    -",ROUND('OTHER(C3)-A15'!N41/'OTHER(C3)-A15'!N12*100,1))</f>
        <v>87.4</v>
      </c>
      <c r="O48" s="58">
        <f>IF('OTHER(C3)-A15'!O12=0,"    -",ROUND('OTHER(C3)-A15'!O41/'OTHER(C3)-A15'!O12*100,1))</f>
        <v>87.4</v>
      </c>
      <c r="P48" s="58">
        <f>IF('OTHER(C3)-A15'!P12=0,"    -",ROUND('OTHER(C3)-A15'!P41/'OTHER(C3)-A15'!P12*100,1))</f>
        <v>87.4</v>
      </c>
      <c r="Q48" s="61">
        <f>IF('OTHER(C3)-A15'!Q12=0,"    -",ROUND('OTHER(C3)-A15'!Q41/'OTHER(C3)-A15'!Q12*100,1))</f>
        <v>87.4</v>
      </c>
    </row>
    <row r="49" spans="2:17" ht="16.5" customHeight="1">
      <c r="B49" s="605" t="s">
        <v>439</v>
      </c>
      <c r="C49" s="606"/>
      <c r="D49" s="57" t="str">
        <f>IF('OTHER(C3)-A15'!D13=0,"    -",ROUND('OTHER(C3)-A15'!D42/'OTHER(C3)-A15'!D13*100,1))</f>
        <v xml:space="preserve">    -</v>
      </c>
      <c r="E49" s="58" t="str">
        <f>IF('OTHER(C3)-A15'!E13=0,"    -",ROUND('OTHER(C3)-A15'!E42/'OTHER(C3)-A15'!E13*100,1))</f>
        <v xml:space="preserve">    -</v>
      </c>
      <c r="F49" s="58" t="str">
        <f>IF('OTHER(C3)-A15'!F13=0,"    -",ROUND('OTHER(C3)-A15'!F42/'OTHER(C3)-A15'!F13*100,1))</f>
        <v xml:space="preserve">    -</v>
      </c>
      <c r="G49" s="58" t="str">
        <f>IF('OTHER(C3)-A15'!G13=0,"    -",ROUND('OTHER(C3)-A15'!G42/'OTHER(C3)-A15'!G13*100,1))</f>
        <v xml:space="preserve">    -</v>
      </c>
      <c r="H49" s="58" t="str">
        <f>IF('OTHER(C3)-A15'!H13=0,"    -",ROUND('OTHER(C3)-A15'!H42/'OTHER(C3)-A15'!H13*100,1))</f>
        <v xml:space="preserve">    -</v>
      </c>
      <c r="I49" s="58" t="str">
        <f>IF('OTHER(C3)-A15'!I13=0,"    -",ROUND('OTHER(C3)-A15'!I42/'OTHER(C3)-A15'!I13*100,1))</f>
        <v xml:space="preserve">    -</v>
      </c>
      <c r="J49" s="58" t="str">
        <f>IF('OTHER(C3)-A15'!J13=0,"    -",ROUND('OTHER(C3)-A15'!J42/'OTHER(C3)-A15'!J13*100,1))</f>
        <v xml:space="preserve">    -</v>
      </c>
      <c r="K49" s="59" t="str">
        <f>IF('OTHER(C3)-A15'!K13=0,"    -",ROUND('OTHER(C3)-A15'!K42/'OTHER(C3)-A15'!K13*100,1))</f>
        <v xml:space="preserve">    -</v>
      </c>
      <c r="L49" s="60" t="str">
        <f>IF('OTHER(C3)-A15'!L13=0,"    -",ROUND('OTHER(C3)-A15'!L42/'OTHER(C3)-A15'!L13*100,1))</f>
        <v xml:space="preserve">    -</v>
      </c>
      <c r="M49" s="58" t="str">
        <f>IF('OTHER(C3)-A15'!M13=0,"    -",ROUND('OTHER(C3)-A15'!M42/'OTHER(C3)-A15'!M13*100,1))</f>
        <v xml:space="preserve">    -</v>
      </c>
      <c r="N49" s="58" t="str">
        <f>IF('OTHER(C3)-A15'!N13=0,"    -",ROUND('OTHER(C3)-A15'!N42/'OTHER(C3)-A15'!N13*100,1))</f>
        <v xml:space="preserve">    -</v>
      </c>
      <c r="O49" s="58" t="str">
        <f>IF('OTHER(C3)-A15'!O13=0,"    -",ROUND('OTHER(C3)-A15'!O42/'OTHER(C3)-A15'!O13*100,1))</f>
        <v xml:space="preserve">    -</v>
      </c>
      <c r="P49" s="58" t="str">
        <f>IF('OTHER(C3)-A15'!P13=0,"    -",ROUND('OTHER(C3)-A15'!P42/'OTHER(C3)-A15'!P13*100,1))</f>
        <v xml:space="preserve">    -</v>
      </c>
      <c r="Q49" s="61" t="str">
        <f>IF('OTHER(C3)-A15'!Q13=0,"    -",ROUND('OTHER(C3)-A15'!Q42/'OTHER(C3)-A15'!Q13*100,1))</f>
        <v xml:space="preserve">    -</v>
      </c>
    </row>
    <row r="50" spans="2:17" ht="18" hidden="1" customHeight="1">
      <c r="B50" s="16"/>
      <c r="C50" s="90" t="s">
        <v>306</v>
      </c>
      <c r="D50" s="57" t="str">
        <f>IF('OTHER(C3)-A15'!D14=0,"    -",ROUND('OTHER(C3)-A15'!D43/'OTHER(C3)-A15'!D14*100,1))</f>
        <v xml:space="preserve">    -</v>
      </c>
      <c r="E50" s="58" t="str">
        <f>IF('OTHER(C3)-A15'!E14=0,"    -",ROUND('OTHER(C3)-A15'!E43/'OTHER(C3)-A15'!E14*100,1))</f>
        <v xml:space="preserve">    -</v>
      </c>
      <c r="F50" s="58" t="str">
        <f>IF('OTHER(C3)-A15'!F14=0,"    -",ROUND('OTHER(C3)-A15'!F43/'OTHER(C3)-A15'!F14*100,1))</f>
        <v xml:space="preserve">    -</v>
      </c>
      <c r="G50" s="58" t="str">
        <f>IF('OTHER(C3)-A15'!G14=0,"    -",ROUND('OTHER(C3)-A15'!G43/'OTHER(C3)-A15'!G14*100,1))</f>
        <v xml:space="preserve">    -</v>
      </c>
      <c r="H50" s="58" t="str">
        <f>IF('OTHER(C3)-A15'!H14=0,"    -",ROUND('OTHER(C3)-A15'!H43/'OTHER(C3)-A15'!H14*100,1))</f>
        <v xml:space="preserve">    -</v>
      </c>
      <c r="I50" s="58" t="str">
        <f>IF('OTHER(C3)-A15'!I14=0,"    -",ROUND('OTHER(C3)-A15'!I43/'OTHER(C3)-A15'!I14*100,1))</f>
        <v xml:space="preserve">    -</v>
      </c>
      <c r="J50" s="58" t="str">
        <f>IF('OTHER(C3)-A15'!J14=0,"    -",ROUND('OTHER(C3)-A15'!J43/'OTHER(C3)-A15'!J14*100,1))</f>
        <v xml:space="preserve">    -</v>
      </c>
      <c r="K50" s="59" t="str">
        <f>IF('OTHER(C3)-A15'!K14=0,"    -",ROUND('OTHER(C3)-A15'!K43/'OTHER(C3)-A15'!K14*100,1))</f>
        <v xml:space="preserve">    -</v>
      </c>
      <c r="L50" s="60" t="str">
        <f>IF('OTHER(C3)-A15'!L14=0,"    -",ROUND('OTHER(C3)-A15'!L43/'OTHER(C3)-A15'!L14*100,1))</f>
        <v xml:space="preserve">    -</v>
      </c>
      <c r="M50" s="58" t="str">
        <f>IF('OTHER(C3)-A15'!M14=0,"    -",ROUND('OTHER(C3)-A15'!M43/'OTHER(C3)-A15'!M14*100,1))</f>
        <v xml:space="preserve">    -</v>
      </c>
      <c r="N50" s="58" t="str">
        <f>IF('OTHER(C3)-A15'!N14=0,"    -",ROUND('OTHER(C3)-A15'!N43/'OTHER(C3)-A15'!N14*100,1))</f>
        <v xml:space="preserve">    -</v>
      </c>
      <c r="O50" s="58" t="str">
        <f>IF('OTHER(C3)-A15'!O14=0,"    -",ROUND('OTHER(C3)-A15'!O43/'OTHER(C3)-A15'!O14*100,1))</f>
        <v xml:space="preserve">    -</v>
      </c>
      <c r="P50" s="58" t="str">
        <f>IF('OTHER(C3)-A15'!P14=0,"    -",ROUND('OTHER(C3)-A15'!P43/'OTHER(C3)-A15'!P14*100,1))</f>
        <v xml:space="preserve">    -</v>
      </c>
      <c r="Q50" s="61" t="str">
        <f>IF('OTHER(C3)-A15'!Q14=0,"    -",ROUND('OTHER(C3)-A15'!Q43/'OTHER(C3)-A15'!Q14*100,1))</f>
        <v xml:space="preserve">    -</v>
      </c>
    </row>
    <row r="51" spans="2:17" ht="16.5" customHeight="1">
      <c r="B51" s="605" t="s">
        <v>440</v>
      </c>
      <c r="C51" s="606"/>
      <c r="D51" s="57" t="str">
        <f>IF('OTHER(C3)-A15'!D15=0,"    -",ROUND('OTHER(C3)-A15'!D44/'OTHER(C3)-A15'!D15*100,1))</f>
        <v xml:space="preserve">    -</v>
      </c>
      <c r="E51" s="58" t="str">
        <f>IF('OTHER(C3)-A15'!E15=0,"    -",ROUND('OTHER(C3)-A15'!E44/'OTHER(C3)-A15'!E15*100,1))</f>
        <v xml:space="preserve">    -</v>
      </c>
      <c r="F51" s="58" t="str">
        <f>IF('OTHER(C3)-A15'!F15=0,"    -",ROUND('OTHER(C3)-A15'!F44/'OTHER(C3)-A15'!F15*100,1))</f>
        <v xml:space="preserve">    -</v>
      </c>
      <c r="G51" s="58" t="str">
        <f>IF('OTHER(C3)-A15'!G15=0,"    -",ROUND('OTHER(C3)-A15'!G44/'OTHER(C3)-A15'!G15*100,1))</f>
        <v xml:space="preserve">    -</v>
      </c>
      <c r="H51" s="58" t="str">
        <f>IF('OTHER(C3)-A15'!H15=0,"    -",ROUND('OTHER(C3)-A15'!H44/'OTHER(C3)-A15'!H15*100,1))</f>
        <v xml:space="preserve">    -</v>
      </c>
      <c r="I51" s="58" t="str">
        <f>IF('OTHER(C3)-A15'!I15=0,"    -",ROUND('OTHER(C3)-A15'!I44/'OTHER(C3)-A15'!I15*100,1))</f>
        <v xml:space="preserve">    -</v>
      </c>
      <c r="J51" s="58" t="str">
        <f>IF('OTHER(C3)-A15'!J15=0,"    -",ROUND('OTHER(C3)-A15'!J44/'OTHER(C3)-A15'!J15*100,1))</f>
        <v xml:space="preserve">    -</v>
      </c>
      <c r="K51" s="59" t="str">
        <f>IF('OTHER(C3)-A15'!K15=0,"    -",ROUND('OTHER(C3)-A15'!K44/'OTHER(C3)-A15'!K15*100,1))</f>
        <v xml:space="preserve">    -</v>
      </c>
      <c r="L51" s="60" t="str">
        <f>IF('OTHER(C3)-A15'!L15=0,"    -",ROUND('OTHER(C3)-A15'!L44/'OTHER(C3)-A15'!L15*100,1))</f>
        <v xml:space="preserve">    -</v>
      </c>
      <c r="M51" s="58" t="str">
        <f>IF('OTHER(C3)-A15'!M15=0,"    -",ROUND('OTHER(C3)-A15'!M44/'OTHER(C3)-A15'!M15*100,1))</f>
        <v xml:space="preserve">    -</v>
      </c>
      <c r="N51" s="58" t="str">
        <f>IF('OTHER(C3)-A15'!N15=0,"    -",ROUND('OTHER(C3)-A15'!N44/'OTHER(C3)-A15'!N15*100,1))</f>
        <v xml:space="preserve">    -</v>
      </c>
      <c r="O51" s="58" t="str">
        <f>IF('OTHER(C3)-A15'!O15=0,"    -",ROUND('OTHER(C3)-A15'!O44/'OTHER(C3)-A15'!O15*100,1))</f>
        <v xml:space="preserve">    -</v>
      </c>
      <c r="P51" s="58" t="str">
        <f>IF('OTHER(C3)-A15'!P15=0,"    -",ROUND('OTHER(C3)-A15'!P44/'OTHER(C3)-A15'!P15*100,1))</f>
        <v xml:space="preserve">    -</v>
      </c>
      <c r="Q51" s="61" t="str">
        <f>IF('OTHER(C3)-A15'!Q15=0,"    -",ROUND('OTHER(C3)-A15'!Q44/'OTHER(C3)-A15'!Q15*100,1))</f>
        <v xml:space="preserve">    -</v>
      </c>
    </row>
    <row r="52" spans="2:17" ht="16.5" customHeight="1">
      <c r="B52" s="605" t="s">
        <v>441</v>
      </c>
      <c r="C52" s="606"/>
      <c r="D52" s="57">
        <f>IF('OTHER(C3)-A15'!D16=0,"    -",ROUND('OTHER(C3)-A15'!D45/'OTHER(C3)-A15'!D16*100,1))</f>
        <v>87.2</v>
      </c>
      <c r="E52" s="58">
        <f>IF('OTHER(C3)-A15'!E16=0,"    -",ROUND('OTHER(C3)-A15'!E45/'OTHER(C3)-A15'!E16*100,1))</f>
        <v>90</v>
      </c>
      <c r="F52" s="58">
        <f>IF('OTHER(C3)-A15'!F16=0,"    -",ROUND('OTHER(C3)-A15'!F45/'OTHER(C3)-A15'!F16*100,1))</f>
        <v>90</v>
      </c>
      <c r="G52" s="58">
        <f>IF('OTHER(C3)-A15'!G16=0,"    -",ROUND('OTHER(C3)-A15'!G45/'OTHER(C3)-A15'!G16*100,1))</f>
        <v>90</v>
      </c>
      <c r="H52" s="58">
        <f>IF('OTHER(C3)-A15'!H16=0,"    -",ROUND('OTHER(C3)-A15'!H45/'OTHER(C3)-A15'!H16*100,1))</f>
        <v>90</v>
      </c>
      <c r="I52" s="58">
        <f>IF('OTHER(C3)-A15'!I16=0,"    -",ROUND('OTHER(C3)-A15'!I45/'OTHER(C3)-A15'!I16*100,1))</f>
        <v>90</v>
      </c>
      <c r="J52" s="58">
        <f>IF('OTHER(C3)-A15'!J16=0,"    -",ROUND('OTHER(C3)-A15'!J45/'OTHER(C3)-A15'!J16*100,1))</f>
        <v>90</v>
      </c>
      <c r="K52" s="59">
        <f>IF('OTHER(C3)-A15'!K16=0,"    -",ROUND('OTHER(C3)-A15'!K45/'OTHER(C3)-A15'!K16*100,1))</f>
        <v>90</v>
      </c>
      <c r="L52" s="60">
        <f>IF('OTHER(C3)-A15'!L16=0,"    -",ROUND('OTHER(C3)-A15'!L45/'OTHER(C3)-A15'!L16*100,1))</f>
        <v>90</v>
      </c>
      <c r="M52" s="58">
        <f>IF('OTHER(C3)-A15'!M16=0,"    -",ROUND('OTHER(C3)-A15'!M45/'OTHER(C3)-A15'!M16*100,1))</f>
        <v>90</v>
      </c>
      <c r="N52" s="58">
        <f>IF('OTHER(C3)-A15'!N16=0,"    -",ROUND('OTHER(C3)-A15'!N45/'OTHER(C3)-A15'!N16*100,1))</f>
        <v>90</v>
      </c>
      <c r="O52" s="58">
        <f>IF('OTHER(C3)-A15'!O16=0,"    -",ROUND('OTHER(C3)-A15'!O45/'OTHER(C3)-A15'!O16*100,1))</f>
        <v>90</v>
      </c>
      <c r="P52" s="58">
        <f>IF('OTHER(C3)-A15'!P16=0,"    -",ROUND('OTHER(C3)-A15'!P45/'OTHER(C3)-A15'!P16*100,1))</f>
        <v>90</v>
      </c>
      <c r="Q52" s="61">
        <f>IF('OTHER(C3)-A15'!Q16=0,"    -",ROUND('OTHER(C3)-A15'!Q45/'OTHER(C3)-A15'!Q16*100,1))</f>
        <v>90</v>
      </c>
    </row>
    <row r="53" spans="2:17" ht="16.5" customHeight="1">
      <c r="B53" s="605" t="s">
        <v>442</v>
      </c>
      <c r="C53" s="606"/>
      <c r="D53" s="57" t="str">
        <f>IF('OTHER(C3)-A15'!D17=0,"    -",ROUND('OTHER(C3)-A15'!D46/'OTHER(C3)-A15'!D17*100,1))</f>
        <v xml:space="preserve">    -</v>
      </c>
      <c r="E53" s="58" t="str">
        <f>IF('OTHER(C3)-A15'!E17=0,"    -",ROUND('OTHER(C3)-A15'!E46/'OTHER(C3)-A15'!E17*100,1))</f>
        <v xml:space="preserve">    -</v>
      </c>
      <c r="F53" s="58" t="str">
        <f>IF('OTHER(C3)-A15'!F17=0,"    -",ROUND('OTHER(C3)-A15'!F46/'OTHER(C3)-A15'!F17*100,1))</f>
        <v xml:space="preserve">    -</v>
      </c>
      <c r="G53" s="58" t="str">
        <f>IF('OTHER(C3)-A15'!G17=0,"    -",ROUND('OTHER(C3)-A15'!G46/'OTHER(C3)-A15'!G17*100,1))</f>
        <v xml:space="preserve">    -</v>
      </c>
      <c r="H53" s="58" t="str">
        <f>IF('OTHER(C3)-A15'!H17=0,"    -",ROUND('OTHER(C3)-A15'!H46/'OTHER(C3)-A15'!H17*100,1))</f>
        <v xml:space="preserve">    -</v>
      </c>
      <c r="I53" s="58" t="str">
        <f>IF('OTHER(C3)-A15'!I17=0,"    -",ROUND('OTHER(C3)-A15'!I46/'OTHER(C3)-A15'!I17*100,1))</f>
        <v xml:space="preserve">    -</v>
      </c>
      <c r="J53" s="58" t="str">
        <f>IF('OTHER(C3)-A15'!J17=0,"    -",ROUND('OTHER(C3)-A15'!J46/'OTHER(C3)-A15'!J17*100,1))</f>
        <v xml:space="preserve">    -</v>
      </c>
      <c r="K53" s="59" t="str">
        <f>IF('OTHER(C3)-A15'!K17=0,"    -",ROUND('OTHER(C3)-A15'!K46/'OTHER(C3)-A15'!K17*100,1))</f>
        <v xml:space="preserve">    -</v>
      </c>
      <c r="L53" s="60" t="str">
        <f>IF('OTHER(C3)-A15'!L17=0,"    -",ROUND('OTHER(C3)-A15'!L46/'OTHER(C3)-A15'!L17*100,1))</f>
        <v xml:space="preserve">    -</v>
      </c>
      <c r="M53" s="58" t="str">
        <f>IF('OTHER(C3)-A15'!M17=0,"    -",ROUND('OTHER(C3)-A15'!M46/'OTHER(C3)-A15'!M17*100,1))</f>
        <v xml:space="preserve">    -</v>
      </c>
      <c r="N53" s="58" t="str">
        <f>IF('OTHER(C3)-A15'!N17=0,"    -",ROUND('OTHER(C3)-A15'!N46/'OTHER(C3)-A15'!N17*100,1))</f>
        <v xml:space="preserve">    -</v>
      </c>
      <c r="O53" s="58" t="str">
        <f>IF('OTHER(C3)-A15'!O17=0,"    -",ROUND('OTHER(C3)-A15'!O46/'OTHER(C3)-A15'!O17*100,1))</f>
        <v xml:space="preserve">    -</v>
      </c>
      <c r="P53" s="58" t="str">
        <f>IF('OTHER(C3)-A15'!P17=0,"    -",ROUND('OTHER(C3)-A15'!P46/'OTHER(C3)-A15'!P17*100,1))</f>
        <v xml:space="preserve">    -</v>
      </c>
      <c r="Q53" s="61" t="str">
        <f>IF('OTHER(C3)-A15'!Q17=0,"    -",ROUND('OTHER(C3)-A15'!Q46/'OTHER(C3)-A15'!Q17*100,1))</f>
        <v xml:space="preserve">    -</v>
      </c>
    </row>
    <row r="54" spans="2:17" ht="16.5" customHeight="1">
      <c r="B54" s="607" t="s">
        <v>443</v>
      </c>
      <c r="C54" s="608"/>
      <c r="D54" s="57">
        <f>IF('OTHER(C3)-A15'!D18=0,"    -",ROUND('OTHER(C3)-A15'!D47/'OTHER(C3)-A15'!D18*100,1))</f>
        <v>103</v>
      </c>
      <c r="E54" s="58">
        <f>IF('OTHER(C3)-A15'!E18=0,"    -",ROUND('OTHER(C3)-A15'!E47/'OTHER(C3)-A15'!E18*100,1))</f>
        <v>94.1</v>
      </c>
      <c r="F54" s="58">
        <f>IF('OTHER(C3)-A15'!F18=0,"    -",ROUND('OTHER(C3)-A15'!F47/'OTHER(C3)-A15'!F18*100,1))</f>
        <v>82</v>
      </c>
      <c r="G54" s="58">
        <f>IF('OTHER(C3)-A15'!G18=0,"    -",ROUND('OTHER(C3)-A15'!G47/'OTHER(C3)-A15'!G18*100,1))</f>
        <v>77</v>
      </c>
      <c r="H54" s="58">
        <f>IF('OTHER(C3)-A15'!H18=0,"    -",ROUND('OTHER(C3)-A15'!H47/'OTHER(C3)-A15'!H18*100,1))</f>
        <v>83.4</v>
      </c>
      <c r="I54" s="58">
        <f>IF('OTHER(C3)-A15'!I18=0,"    -",ROUND('OTHER(C3)-A15'!I47/'OTHER(C3)-A15'!I18*100,1))</f>
        <v>79.599999999999994</v>
      </c>
      <c r="J54" s="58">
        <f>IF('OTHER(C3)-A15'!J18=0,"    -",ROUND('OTHER(C3)-A15'!J47/'OTHER(C3)-A15'!J18*100,1))</f>
        <v>82.1</v>
      </c>
      <c r="K54" s="59">
        <f>IF('OTHER(C3)-A15'!K18=0,"    -",ROUND('OTHER(C3)-A15'!K47/'OTHER(C3)-A15'!K18*100,1))</f>
        <v>98.5</v>
      </c>
      <c r="L54" s="60">
        <f>IF('OTHER(C3)-A15'!L18=0,"    -",ROUND('OTHER(C3)-A15'!L47/'OTHER(C3)-A15'!L18*100,1))</f>
        <v>97.6</v>
      </c>
      <c r="M54" s="58">
        <f>IF('OTHER(C3)-A15'!M18=0,"    -",ROUND('OTHER(C3)-A15'!M47/'OTHER(C3)-A15'!M18*100,1))</f>
        <v>98.1</v>
      </c>
      <c r="N54" s="58">
        <f>IF('OTHER(C3)-A15'!N18=0,"    -",ROUND('OTHER(C3)-A15'!N47/'OTHER(C3)-A15'!N18*100,1))</f>
        <v>98.6</v>
      </c>
      <c r="O54" s="58">
        <f>IF('OTHER(C3)-A15'!O18=0,"    -",ROUND('OTHER(C3)-A15'!O47/'OTHER(C3)-A15'!O18*100,1))</f>
        <v>99.1</v>
      </c>
      <c r="P54" s="58">
        <f>IF('OTHER(C3)-A15'!P18=0,"    -",ROUND('OTHER(C3)-A15'!P47/'OTHER(C3)-A15'!P18*100,1))</f>
        <v>99.6</v>
      </c>
      <c r="Q54" s="61">
        <f>IF('OTHER(C3)-A15'!Q18=0,"    -",ROUND('OTHER(C3)-A15'!Q47/'OTHER(C3)-A15'!Q18*100,1))</f>
        <v>100.1</v>
      </c>
    </row>
    <row r="55" spans="2:17" ht="17.25" customHeight="1">
      <c r="B55" s="674" t="s">
        <v>307</v>
      </c>
      <c r="C55" s="675"/>
      <c r="D55" s="74">
        <f>IF('OTHER(C3)-A15'!D19=0,"    -",ROUND('OTHER(C3)-A15'!D48/'OTHER(C3)-A15'!D19*100,1))</f>
        <v>86.6</v>
      </c>
      <c r="E55" s="75">
        <f>IF('OTHER(C3)-A15'!E19=0,"    -",ROUND('OTHER(C3)-A15'!E48/'OTHER(C3)-A15'!E19*100,1))</f>
        <v>84.1</v>
      </c>
      <c r="F55" s="75">
        <f>IF('OTHER(C3)-A15'!F19=0,"    -",ROUND('OTHER(C3)-A15'!F48/'OTHER(C3)-A15'!F19*100,1))</f>
        <v>83.1</v>
      </c>
      <c r="G55" s="75">
        <f>IF('OTHER(C3)-A15'!G19=0,"    -",ROUND('OTHER(C3)-A15'!G48/'OTHER(C3)-A15'!G19*100,1))</f>
        <v>81.5</v>
      </c>
      <c r="H55" s="75">
        <f>IF('OTHER(C3)-A15'!H19=0,"    -",ROUND('OTHER(C3)-A15'!H48/'OTHER(C3)-A15'!H19*100,1))</f>
        <v>84</v>
      </c>
      <c r="I55" s="75">
        <f>IF('OTHER(C3)-A15'!I19=0,"    -",ROUND('OTHER(C3)-A15'!I48/'OTHER(C3)-A15'!I19*100,1))</f>
        <v>84.4</v>
      </c>
      <c r="J55" s="75">
        <f>IF('OTHER(C3)-A15'!J19=0,"    -",ROUND('OTHER(C3)-A15'!J48/'OTHER(C3)-A15'!J19*100,1))</f>
        <v>82.8</v>
      </c>
      <c r="K55" s="76">
        <f>IF('OTHER(C3)-A15'!K19=0,"    -",ROUND('OTHER(C3)-A15'!K48/'OTHER(C3)-A15'!K19*100,1))</f>
        <v>87.1</v>
      </c>
      <c r="L55" s="77">
        <f>IF('OTHER(C3)-A15'!L19=0,"    -",ROUND('OTHER(C3)-A15'!L48/'OTHER(C3)-A15'!L19*100,1))</f>
        <v>85.2</v>
      </c>
      <c r="M55" s="75">
        <f>IF('OTHER(C3)-A15'!M19=0,"    -",ROUND('OTHER(C3)-A15'!M48/'OTHER(C3)-A15'!M19*100,1))</f>
        <v>84.3</v>
      </c>
      <c r="N55" s="75">
        <f>IF('OTHER(C3)-A15'!N19=0,"    -",ROUND('OTHER(C3)-A15'!N48/'OTHER(C3)-A15'!N19*100,1))</f>
        <v>84.3</v>
      </c>
      <c r="O55" s="75">
        <f>IF('OTHER(C3)-A15'!O19=0,"    -",ROUND('OTHER(C3)-A15'!O48/'OTHER(C3)-A15'!O19*100,1))</f>
        <v>87.4</v>
      </c>
      <c r="P55" s="75">
        <f>IF('OTHER(C3)-A15'!P19=0,"    -",ROUND('OTHER(C3)-A15'!P48/'OTHER(C3)-A15'!P19*100,1))</f>
        <v>87.5</v>
      </c>
      <c r="Q55" s="78">
        <f>IF('OTHER(C3)-A15'!Q19=0,"    -",ROUND('OTHER(C3)-A15'!Q48/'OTHER(C3)-A15'!Q19*100,1))</f>
        <v>87.2</v>
      </c>
    </row>
    <row r="56" spans="2:17" ht="17.25" customHeight="1">
      <c r="B56" s="672" t="s">
        <v>308</v>
      </c>
      <c r="C56" s="673"/>
      <c r="D56" s="135" t="str">
        <f>IF('OTHER(C3)-A15'!D20=0,"    -",ROUND('OTHER(C3)-A15'!D49/'OTHER(C3)-A15'!D20*100,1))</f>
        <v xml:space="preserve">    -</v>
      </c>
      <c r="E56" s="136" t="str">
        <f>IF('OTHER(C3)-A15'!E20=0,"    -",ROUND('OTHER(C3)-A15'!E49/'OTHER(C3)-A15'!E20*100,1))</f>
        <v xml:space="preserve">    -</v>
      </c>
      <c r="F56" s="136" t="str">
        <f>IF('OTHER(C3)-A15'!F20=0,"    -",ROUND('OTHER(C3)-A15'!F49/'OTHER(C3)-A15'!F20*100,1))</f>
        <v xml:space="preserve">    -</v>
      </c>
      <c r="G56" s="136" t="str">
        <f>IF('OTHER(C3)-A15'!G20=0,"    -",ROUND('OTHER(C3)-A15'!G49/'OTHER(C3)-A15'!G20*100,1))</f>
        <v xml:space="preserve">    -</v>
      </c>
      <c r="H56" s="136" t="str">
        <f>IF('OTHER(C3)-A15'!H20=0,"    -",ROUND('OTHER(C3)-A15'!H49/'OTHER(C3)-A15'!H20*100,1))</f>
        <v xml:space="preserve">    -</v>
      </c>
      <c r="I56" s="136" t="str">
        <f>IF('OTHER(C3)-A15'!I20=0,"    -",ROUND('OTHER(C3)-A15'!I49/'OTHER(C3)-A15'!I20*100,1))</f>
        <v xml:space="preserve">    -</v>
      </c>
      <c r="J56" s="136" t="str">
        <f>IF('OTHER(C3)-A15'!J20=0,"    -",ROUND('OTHER(C3)-A15'!J49/'OTHER(C3)-A15'!J20*100,1))</f>
        <v xml:space="preserve">    -</v>
      </c>
      <c r="K56" s="137" t="str">
        <f>IF('OTHER(C3)-A15'!K20=0,"    -",ROUND('OTHER(C3)-A15'!K49/'OTHER(C3)-A15'!K20*100,1))</f>
        <v xml:space="preserve">    -</v>
      </c>
      <c r="L56" s="135" t="str">
        <f>IF('OTHER(C3)-A15'!L20=0,"    -",ROUND('OTHER(C3)-A15'!L49/'OTHER(C3)-A15'!L20*100,1))</f>
        <v xml:space="preserve">    -</v>
      </c>
      <c r="M56" s="136" t="str">
        <f>IF('OTHER(C3)-A15'!M20=0,"    -",ROUND('OTHER(C3)-A15'!M49/'OTHER(C3)-A15'!M20*100,1))</f>
        <v xml:space="preserve">    -</v>
      </c>
      <c r="N56" s="136" t="str">
        <f>IF('OTHER(C3)-A15'!N20=0,"    -",ROUND('OTHER(C3)-A15'!N49/'OTHER(C3)-A15'!N20*100,1))</f>
        <v xml:space="preserve">    -</v>
      </c>
      <c r="O56" s="136" t="str">
        <f>IF('OTHER(C3)-A15'!O20=0,"    -",ROUND('OTHER(C3)-A15'!O49/'OTHER(C3)-A15'!O20*100,1))</f>
        <v xml:space="preserve">    -</v>
      </c>
      <c r="P56" s="136" t="str">
        <f>IF('OTHER(C3)-A15'!P20=0,"    -",ROUND('OTHER(C3)-A15'!P49/'OTHER(C3)-A15'!P20*100,1))</f>
        <v xml:space="preserve">    -</v>
      </c>
      <c r="Q56" s="137" t="str">
        <f>IF('OTHER(C3)-A15'!Q20=0,"    -",ROUND('OTHER(C3)-A15'!Q49/'OTHER(C3)-A15'!Q20*100,1))</f>
        <v xml:space="preserve">    -</v>
      </c>
    </row>
    <row r="57" spans="2:17" ht="16.5" customHeight="1">
      <c r="B57" s="105"/>
      <c r="C57" s="97" t="s">
        <v>309</v>
      </c>
      <c r="D57" s="135" t="str">
        <f>IF('OTHER(C3)-A15'!D21=0,"    -",ROUND('OTHER(C3)-A15'!D50/'OTHER(C3)-A15'!D21*100,1))</f>
        <v xml:space="preserve">    -</v>
      </c>
      <c r="E57" s="136" t="str">
        <f>IF('OTHER(C3)-A15'!E21=0,"    -",ROUND('OTHER(C3)-A15'!E50/'OTHER(C3)-A15'!E21*100,1))</f>
        <v xml:space="preserve">    -</v>
      </c>
      <c r="F57" s="136" t="str">
        <f>IF('OTHER(C3)-A15'!F21=0,"    -",ROUND('OTHER(C3)-A15'!F50/'OTHER(C3)-A15'!F21*100,1))</f>
        <v xml:space="preserve">    -</v>
      </c>
      <c r="G57" s="136" t="str">
        <f>IF('OTHER(C3)-A15'!G21=0,"    -",ROUND('OTHER(C3)-A15'!G50/'OTHER(C3)-A15'!G21*100,1))</f>
        <v xml:space="preserve">    -</v>
      </c>
      <c r="H57" s="136" t="str">
        <f>IF('OTHER(C3)-A15'!H21=0,"    -",ROUND('OTHER(C3)-A15'!H50/'OTHER(C3)-A15'!H21*100,1))</f>
        <v xml:space="preserve">    -</v>
      </c>
      <c r="I57" s="136" t="str">
        <f>IF('OTHER(C3)-A15'!I21=0,"    -",ROUND('OTHER(C3)-A15'!I50/'OTHER(C3)-A15'!I21*100,1))</f>
        <v xml:space="preserve">    -</v>
      </c>
      <c r="J57" s="136" t="str">
        <f>IF('OTHER(C3)-A15'!J21=0,"    -",ROUND('OTHER(C3)-A15'!J50/'OTHER(C3)-A15'!J21*100,1))</f>
        <v xml:space="preserve">    -</v>
      </c>
      <c r="K57" s="137" t="str">
        <f>IF('OTHER(C3)-A15'!K21=0,"    -",ROUND('OTHER(C3)-A15'!K50/'OTHER(C3)-A15'!K21*100,1))</f>
        <v xml:space="preserve">    -</v>
      </c>
      <c r="L57" s="135" t="str">
        <f>IF('OTHER(C3)-A15'!L21=0,"    -",ROUND('OTHER(C3)-A15'!L50/'OTHER(C3)-A15'!L21*100,1))</f>
        <v xml:space="preserve">    -</v>
      </c>
      <c r="M57" s="136" t="str">
        <f>IF('OTHER(C3)-A15'!M21=0,"    -",ROUND('OTHER(C3)-A15'!M50/'OTHER(C3)-A15'!M21*100,1))</f>
        <v xml:space="preserve">    -</v>
      </c>
      <c r="N57" s="136" t="str">
        <f>IF('OTHER(C3)-A15'!N21=0,"    -",ROUND('OTHER(C3)-A15'!N50/'OTHER(C3)-A15'!N21*100,1))</f>
        <v xml:space="preserve">    -</v>
      </c>
      <c r="O57" s="136" t="str">
        <f>IF('OTHER(C3)-A15'!O21=0,"    -",ROUND('OTHER(C3)-A15'!O50/'OTHER(C3)-A15'!O21*100,1))</f>
        <v xml:space="preserve">    -</v>
      </c>
      <c r="P57" s="136" t="str">
        <f>IF('OTHER(C3)-A15'!P21=0,"    -",ROUND('OTHER(C3)-A15'!P50/'OTHER(C3)-A15'!P21*100,1))</f>
        <v xml:space="preserve">    -</v>
      </c>
      <c r="Q57" s="137" t="str">
        <f>IF('OTHER(C3)-A15'!Q21=0,"    -",ROUND('OTHER(C3)-A15'!Q50/'OTHER(C3)-A15'!Q21*100,1))</f>
        <v xml:space="preserve">    -</v>
      </c>
    </row>
    <row r="58" spans="2:17" ht="17.25" customHeight="1">
      <c r="B58" s="672" t="s">
        <v>310</v>
      </c>
      <c r="C58" s="673"/>
      <c r="D58" s="57">
        <f>IF('OTHER(C3)-A15'!D22=0,"    -",ROUND('OTHER(C3)-A15'!D51/'OTHER(C3)-A15'!D22*100,1))</f>
        <v>88.8</v>
      </c>
      <c r="E58" s="58">
        <f>IF('OTHER(C3)-A15'!E22=0,"    -",ROUND('OTHER(C3)-A15'!E51/'OTHER(C3)-A15'!E22*100,1))</f>
        <v>89.5</v>
      </c>
      <c r="F58" s="58">
        <f>IF('OTHER(C3)-A15'!F22=0,"    -",ROUND('OTHER(C3)-A15'!F51/'OTHER(C3)-A15'!F22*100,1))</f>
        <v>93</v>
      </c>
      <c r="G58" s="58">
        <f>IF('OTHER(C3)-A15'!G22=0,"    -",ROUND('OTHER(C3)-A15'!G51/'OTHER(C3)-A15'!G22*100,1))</f>
        <v>93</v>
      </c>
      <c r="H58" s="58">
        <f>IF('OTHER(C3)-A15'!H22=0,"    -",ROUND('OTHER(C3)-A15'!H51/'OTHER(C3)-A15'!H22*100,1))</f>
        <v>93</v>
      </c>
      <c r="I58" s="58">
        <f>IF('OTHER(C3)-A15'!I22=0,"    -",ROUND('OTHER(C3)-A15'!I51/'OTHER(C3)-A15'!I22*100,1))</f>
        <v>90.1</v>
      </c>
      <c r="J58" s="58">
        <f>IF('OTHER(C3)-A15'!J22=0,"    -",ROUND('OTHER(C3)-A15'!J51/'OTHER(C3)-A15'!J22*100,1))</f>
        <v>90.1</v>
      </c>
      <c r="K58" s="59">
        <f>IF('OTHER(C3)-A15'!K22=0,"    -",ROUND('OTHER(C3)-A15'!K51/'OTHER(C3)-A15'!K22*100,1))</f>
        <v>90.1</v>
      </c>
      <c r="L58" s="57">
        <f>IF('OTHER(C3)-A15'!L22=0,"    -",ROUND('OTHER(C3)-A15'!L51/'OTHER(C3)-A15'!L22*100,1))</f>
        <v>90.1</v>
      </c>
      <c r="M58" s="58">
        <f>IF('OTHER(C3)-A15'!M22=0,"    -",ROUND('OTHER(C3)-A15'!M51/'OTHER(C3)-A15'!M22*100,1))</f>
        <v>90.1</v>
      </c>
      <c r="N58" s="58">
        <f>IF('OTHER(C3)-A15'!N22=0,"    -",ROUND('OTHER(C3)-A15'!N51/'OTHER(C3)-A15'!N22*100,1))</f>
        <v>90.1</v>
      </c>
      <c r="O58" s="58">
        <f>IF('OTHER(C3)-A15'!O22=0,"    -",ROUND('OTHER(C3)-A15'!O51/'OTHER(C3)-A15'!O22*100,1))</f>
        <v>90.1</v>
      </c>
      <c r="P58" s="58">
        <f>IF('OTHER(C3)-A15'!P22=0,"    -",ROUND('OTHER(C3)-A15'!P51/'OTHER(C3)-A15'!P22*100,1))</f>
        <v>90.1</v>
      </c>
      <c r="Q58" s="59">
        <f>IF('OTHER(C3)-A15'!Q22=0,"    -",ROUND('OTHER(C3)-A15'!Q51/'OTHER(C3)-A15'!Q22*100,1))</f>
        <v>90.1</v>
      </c>
    </row>
    <row r="59" spans="2:17" ht="16.5" customHeight="1">
      <c r="B59" s="105"/>
      <c r="C59" s="615" t="s">
        <v>311</v>
      </c>
      <c r="D59" s="74">
        <f>IF('OTHER(C3)-A15'!D23=0,"    -",ROUND('OTHER(C3)-A15'!D52/'OTHER(C3)-A15'!D23*100,1))</f>
        <v>100</v>
      </c>
      <c r="E59" s="75">
        <f>IF('OTHER(C3)-A15'!E23=0,"    -",ROUND('OTHER(C3)-A15'!E52/'OTHER(C3)-A15'!E23*100,1))</f>
        <v>100</v>
      </c>
      <c r="F59" s="75">
        <f>IF('OTHER(C3)-A15'!F23=0,"    -",ROUND('OTHER(C3)-A15'!F52/'OTHER(C3)-A15'!F23*100,1))</f>
        <v>94</v>
      </c>
      <c r="G59" s="75">
        <f>IF('OTHER(C3)-A15'!G23=0,"    -",ROUND('OTHER(C3)-A15'!G52/'OTHER(C3)-A15'!G23*100,1))</f>
        <v>94</v>
      </c>
      <c r="H59" s="75">
        <f>IF('OTHER(C3)-A15'!H23=0,"    -",ROUND('OTHER(C3)-A15'!H52/'OTHER(C3)-A15'!H23*100,1))</f>
        <v>94</v>
      </c>
      <c r="I59" s="75">
        <f>IF('OTHER(C3)-A15'!I23=0,"    -",ROUND('OTHER(C3)-A15'!I52/'OTHER(C3)-A15'!I23*100,1))</f>
        <v>92.9</v>
      </c>
      <c r="J59" s="75">
        <f>IF('OTHER(C3)-A15'!J23=0,"    -",ROUND('OTHER(C3)-A15'!J52/'OTHER(C3)-A15'!J23*100,1))</f>
        <v>92.9</v>
      </c>
      <c r="K59" s="76">
        <f>IF('OTHER(C3)-A15'!K23=0,"    -",ROUND('OTHER(C3)-A15'!K52/'OTHER(C3)-A15'!K23*100,1))</f>
        <v>92.9</v>
      </c>
      <c r="L59" s="74">
        <f>IF('OTHER(C3)-A15'!L23=0,"    -",ROUND('OTHER(C3)-A15'!L52/'OTHER(C3)-A15'!L23*100,1))</f>
        <v>92.9</v>
      </c>
      <c r="M59" s="75">
        <f>IF('OTHER(C3)-A15'!M23=0,"    -",ROUND('OTHER(C3)-A15'!M52/'OTHER(C3)-A15'!M23*100,1))</f>
        <v>92.9</v>
      </c>
      <c r="N59" s="75">
        <f>IF('OTHER(C3)-A15'!N23=0,"    -",ROUND('OTHER(C3)-A15'!N52/'OTHER(C3)-A15'!N23*100,1))</f>
        <v>92.9</v>
      </c>
      <c r="O59" s="75">
        <f>IF('OTHER(C3)-A15'!O23=0,"    -",ROUND('OTHER(C3)-A15'!O52/'OTHER(C3)-A15'!O23*100,1))</f>
        <v>92.9</v>
      </c>
      <c r="P59" s="75">
        <f>IF('OTHER(C3)-A15'!P23=0,"    -",ROUND('OTHER(C3)-A15'!P52/'OTHER(C3)-A15'!P23*100,1))</f>
        <v>92.9</v>
      </c>
      <c r="Q59" s="76">
        <f>IF('OTHER(C3)-A15'!Q23=0,"    -",ROUND('OTHER(C3)-A15'!Q52/'OTHER(C3)-A15'!Q23*100,1))</f>
        <v>92.9</v>
      </c>
    </row>
    <row r="60" spans="2:17" ht="17.25" customHeight="1">
      <c r="B60" s="672" t="s">
        <v>312</v>
      </c>
      <c r="C60" s="673"/>
      <c r="D60" s="57">
        <f>IF('OTHER(C3)-A15'!D24=0,"    -",ROUND('OTHER(C3)-A15'!D53/'OTHER(C3)-A15'!D24*100,1))</f>
        <v>100</v>
      </c>
      <c r="E60" s="58">
        <f>IF('OTHER(C3)-A15'!E24=0,"    -",ROUND('OTHER(C3)-A15'!E53/'OTHER(C3)-A15'!E24*100,1))</f>
        <v>100</v>
      </c>
      <c r="F60" s="58">
        <f>IF('OTHER(C3)-A15'!F24=0,"    -",ROUND('OTHER(C3)-A15'!F53/'OTHER(C3)-A15'!F24*100,1))</f>
        <v>100</v>
      </c>
      <c r="G60" s="58">
        <f>IF('OTHER(C3)-A15'!G24=0,"    -",ROUND('OTHER(C3)-A15'!G53/'OTHER(C3)-A15'!G24*100,1))</f>
        <v>100</v>
      </c>
      <c r="H60" s="58">
        <f>IF('OTHER(C3)-A15'!H24=0,"    -",ROUND('OTHER(C3)-A15'!H53/'OTHER(C3)-A15'!H24*100,1))</f>
        <v>100</v>
      </c>
      <c r="I60" s="58">
        <f>IF('OTHER(C3)-A15'!I24=0,"    -",ROUND('OTHER(C3)-A15'!I53/'OTHER(C3)-A15'!I24*100,1))</f>
        <v>100</v>
      </c>
      <c r="J60" s="58">
        <f>IF('OTHER(C3)-A15'!J24=0,"    -",ROUND('OTHER(C3)-A15'!J53/'OTHER(C3)-A15'!J24*100,1))</f>
        <v>100</v>
      </c>
      <c r="K60" s="59">
        <f>IF('OTHER(C3)-A15'!K24=0,"    -",ROUND('OTHER(C3)-A15'!K53/'OTHER(C3)-A15'!K24*100,1))</f>
        <v>100</v>
      </c>
      <c r="L60" s="57">
        <f>IF('OTHER(C3)-A15'!L24=0,"    -",ROUND('OTHER(C3)-A15'!L53/'OTHER(C3)-A15'!L24*100,1))</f>
        <v>100</v>
      </c>
      <c r="M60" s="58">
        <f>IF('OTHER(C3)-A15'!M24=0,"    -",ROUND('OTHER(C3)-A15'!M53/'OTHER(C3)-A15'!M24*100,1))</f>
        <v>100</v>
      </c>
      <c r="N60" s="58">
        <f>IF('OTHER(C3)-A15'!N24=0,"    -",ROUND('OTHER(C3)-A15'!N53/'OTHER(C3)-A15'!N24*100,1))</f>
        <v>100</v>
      </c>
      <c r="O60" s="58">
        <f>IF('OTHER(C3)-A15'!O24=0,"    -",ROUND('OTHER(C3)-A15'!O53/'OTHER(C3)-A15'!O24*100,1))</f>
        <v>100</v>
      </c>
      <c r="P60" s="58">
        <f>IF('OTHER(C3)-A15'!P24=0,"    -",ROUND('OTHER(C3)-A15'!P53/'OTHER(C3)-A15'!P24*100,1))</f>
        <v>100</v>
      </c>
      <c r="Q60" s="59">
        <f>IF('OTHER(C3)-A15'!Q24=0,"    -",ROUND('OTHER(C3)-A15'!Q53/'OTHER(C3)-A15'!Q24*100,1))</f>
        <v>100</v>
      </c>
    </row>
    <row r="61" spans="2:17" ht="16.5" customHeight="1">
      <c r="B61" s="16"/>
      <c r="C61" s="615" t="s">
        <v>313</v>
      </c>
      <c r="D61" s="74" t="str">
        <f>IF('OTHER(C3)-A15'!D25=0,"    -",ROUND('OTHER(C3)-A15'!D54/'OTHER(C3)-A15'!D25*100,1))</f>
        <v xml:space="preserve">    -</v>
      </c>
      <c r="E61" s="75" t="str">
        <f>IF('OTHER(C3)-A15'!E25=0,"    -",ROUND('OTHER(C3)-A15'!E54/'OTHER(C3)-A15'!E25*100,1))</f>
        <v xml:space="preserve">    -</v>
      </c>
      <c r="F61" s="75" t="str">
        <f>IF('OTHER(C3)-A15'!F25=0,"    -",ROUND('OTHER(C3)-A15'!F54/'OTHER(C3)-A15'!F25*100,1))</f>
        <v xml:space="preserve">    -</v>
      </c>
      <c r="G61" s="75" t="str">
        <f>IF('OTHER(C3)-A15'!G25=0,"    -",ROUND('OTHER(C3)-A15'!G54/'OTHER(C3)-A15'!G25*100,1))</f>
        <v xml:space="preserve">    -</v>
      </c>
      <c r="H61" s="75" t="str">
        <f>IF('OTHER(C3)-A15'!H25=0,"    -",ROUND('OTHER(C3)-A15'!H54/'OTHER(C3)-A15'!H25*100,1))</f>
        <v xml:space="preserve">    -</v>
      </c>
      <c r="I61" s="75" t="str">
        <f>IF('OTHER(C3)-A15'!I25=0,"    -",ROUND('OTHER(C3)-A15'!I54/'OTHER(C3)-A15'!I25*100,1))</f>
        <v xml:space="preserve">    -</v>
      </c>
      <c r="J61" s="75" t="str">
        <f>IF('OTHER(C3)-A15'!J25=0,"    -",ROUND('OTHER(C3)-A15'!J54/'OTHER(C3)-A15'!J25*100,1))</f>
        <v xml:space="preserve">    -</v>
      </c>
      <c r="K61" s="76" t="str">
        <f>IF('OTHER(C3)-A15'!K25=0,"    -",ROUND('OTHER(C3)-A15'!K54/'OTHER(C3)-A15'!K25*100,1))</f>
        <v xml:space="preserve">    -</v>
      </c>
      <c r="L61" s="74" t="str">
        <f>IF('OTHER(C3)-A15'!L25=0,"    -",ROUND('OTHER(C3)-A15'!L54/'OTHER(C3)-A15'!L25*100,1))</f>
        <v xml:space="preserve">    -</v>
      </c>
      <c r="M61" s="75" t="str">
        <f>IF('OTHER(C3)-A15'!M25=0,"    -",ROUND('OTHER(C3)-A15'!M54/'OTHER(C3)-A15'!M25*100,1))</f>
        <v xml:space="preserve">    -</v>
      </c>
      <c r="N61" s="75" t="str">
        <f>IF('OTHER(C3)-A15'!N25=0,"    -",ROUND('OTHER(C3)-A15'!N54/'OTHER(C3)-A15'!N25*100,1))</f>
        <v xml:space="preserve">    -</v>
      </c>
      <c r="O61" s="75" t="str">
        <f>IF('OTHER(C3)-A15'!O25=0,"    -",ROUND('OTHER(C3)-A15'!O54/'OTHER(C3)-A15'!O25*100,1))</f>
        <v xml:space="preserve">    -</v>
      </c>
      <c r="P61" s="75" t="str">
        <f>IF('OTHER(C3)-A15'!P25=0,"    -",ROUND('OTHER(C3)-A15'!P54/'OTHER(C3)-A15'!P25*100,1))</f>
        <v xml:space="preserve">    -</v>
      </c>
      <c r="Q61" s="76" t="str">
        <f>IF('OTHER(C3)-A15'!Q25=0,"    -",ROUND('OTHER(C3)-A15'!Q54/'OTHER(C3)-A15'!Q25*100,1))</f>
        <v xml:space="preserve">    -</v>
      </c>
    </row>
    <row r="62" spans="2:17" ht="17.25" customHeight="1">
      <c r="B62" s="674" t="s">
        <v>314</v>
      </c>
      <c r="C62" s="675"/>
      <c r="D62" s="57">
        <f>IF('OTHER(C3)-A15'!D26=0,"    -",ROUND('OTHER(C3)-A15'!D55/'OTHER(C3)-A15'!D26*100,1))</f>
        <v>100</v>
      </c>
      <c r="E62" s="58">
        <f>IF('OTHER(C3)-A15'!E26=0,"    -",ROUND('OTHER(C3)-A15'!E55/'OTHER(C3)-A15'!E26*100,1))</f>
        <v>100</v>
      </c>
      <c r="F62" s="58">
        <f>IF('OTHER(C3)-A15'!F26=0,"    -",ROUND('OTHER(C3)-A15'!F55/'OTHER(C3)-A15'!F26*100,1))</f>
        <v>100</v>
      </c>
      <c r="G62" s="58">
        <f>IF('OTHER(C3)-A15'!G26=0,"    -",ROUND('OTHER(C3)-A15'!G55/'OTHER(C3)-A15'!G26*100,1))</f>
        <v>133.30000000000001</v>
      </c>
      <c r="H62" s="58">
        <f>IF('OTHER(C3)-A15'!H26=0,"    -",ROUND('OTHER(C3)-A15'!H55/'OTHER(C3)-A15'!H26*100,1))</f>
        <v>100</v>
      </c>
      <c r="I62" s="58">
        <f>IF('OTHER(C3)-A15'!I26=0,"    -",ROUND('OTHER(C3)-A15'!I55/'OTHER(C3)-A15'!I26*100,1))</f>
        <v>100</v>
      </c>
      <c r="J62" s="58">
        <f>IF('OTHER(C3)-A15'!J26=0,"    -",ROUND('OTHER(C3)-A15'!J55/'OTHER(C3)-A15'!J26*100,1))</f>
        <v>100</v>
      </c>
      <c r="K62" s="59">
        <f>IF('OTHER(C3)-A15'!K26=0,"    -",ROUND('OTHER(C3)-A15'!K55/'OTHER(C3)-A15'!K26*100,1))</f>
        <v>100</v>
      </c>
      <c r="L62" s="57">
        <f>IF('OTHER(C3)-A15'!L26=0,"    -",ROUND('OTHER(C3)-A15'!L55/'OTHER(C3)-A15'!L26*100,1))</f>
        <v>100</v>
      </c>
      <c r="M62" s="58">
        <f>IF('OTHER(C3)-A15'!M26=0,"    -",ROUND('OTHER(C3)-A15'!M55/'OTHER(C3)-A15'!M26*100,1))</f>
        <v>100</v>
      </c>
      <c r="N62" s="58">
        <f>IF('OTHER(C3)-A15'!N26=0,"    -",ROUND('OTHER(C3)-A15'!N55/'OTHER(C3)-A15'!N26*100,1))</f>
        <v>100</v>
      </c>
      <c r="O62" s="58">
        <f>IF('OTHER(C3)-A15'!O26=0,"    -",ROUND('OTHER(C3)-A15'!O55/'OTHER(C3)-A15'!O26*100,1))</f>
        <v>100</v>
      </c>
      <c r="P62" s="58">
        <f>IF('OTHER(C3)-A15'!P26=0,"    -",ROUND('OTHER(C3)-A15'!P55/'OTHER(C3)-A15'!P26*100,1))</f>
        <v>100</v>
      </c>
      <c r="Q62" s="59">
        <f>IF('OTHER(C3)-A15'!Q26=0,"    -",ROUND('OTHER(C3)-A15'!Q55/'OTHER(C3)-A15'!Q26*100,1))</f>
        <v>100</v>
      </c>
    </row>
    <row r="63" spans="2:17" ht="17.25" customHeight="1">
      <c r="B63" s="674" t="s">
        <v>315</v>
      </c>
      <c r="C63" s="675"/>
      <c r="D63" s="74">
        <f>IF('OTHER(C3)-A15'!D27=0,"    -",ROUND('OTHER(C3)-A15'!D56/'OTHER(C3)-A15'!D27*100,1))</f>
        <v>85.5</v>
      </c>
      <c r="E63" s="75">
        <f>IF('OTHER(C3)-A15'!E27=0,"    -",ROUND('OTHER(C3)-A15'!E56/'OTHER(C3)-A15'!E27*100,1))</f>
        <v>81.400000000000006</v>
      </c>
      <c r="F63" s="75">
        <f>IF('OTHER(C3)-A15'!F27=0,"    -",ROUND('OTHER(C3)-A15'!F56/'OTHER(C3)-A15'!F27*100,1))</f>
        <v>56.4</v>
      </c>
      <c r="G63" s="75">
        <f>IF('OTHER(C3)-A15'!G27=0,"    -",ROUND('OTHER(C3)-A15'!G56/'OTHER(C3)-A15'!G27*100,1))</f>
        <v>68.400000000000006</v>
      </c>
      <c r="H63" s="75">
        <f>IF('OTHER(C3)-A15'!H27=0,"    -",ROUND('OTHER(C3)-A15'!H56/'OTHER(C3)-A15'!H27*100,1))</f>
        <v>38.799999999999997</v>
      </c>
      <c r="I63" s="75">
        <f>IF('OTHER(C3)-A15'!I27=0,"    -",ROUND('OTHER(C3)-A15'!I56/'OTHER(C3)-A15'!I27*100,1))</f>
        <v>30.6</v>
      </c>
      <c r="J63" s="75">
        <f>IF('OTHER(C3)-A15'!J27=0,"    -",ROUND('OTHER(C3)-A15'!J56/'OTHER(C3)-A15'!J27*100,1))</f>
        <v>73</v>
      </c>
      <c r="K63" s="76">
        <f>IF('OTHER(C3)-A15'!K27=0,"    -",ROUND('OTHER(C3)-A15'!K56/'OTHER(C3)-A15'!K27*100,1))</f>
        <v>82.3</v>
      </c>
      <c r="L63" s="77">
        <f>IF('OTHER(C3)-A15'!L27=0,"    -",ROUND('OTHER(C3)-A15'!L56/'OTHER(C3)-A15'!L27*100,1))</f>
        <v>83.6</v>
      </c>
      <c r="M63" s="75">
        <f>IF('OTHER(C3)-A15'!M27=0,"    -",ROUND('OTHER(C3)-A15'!M56/'OTHER(C3)-A15'!M27*100,1))</f>
        <v>84.5</v>
      </c>
      <c r="N63" s="75">
        <f>IF('OTHER(C3)-A15'!N27=0,"    -",ROUND('OTHER(C3)-A15'!N56/'OTHER(C3)-A15'!N27*100,1))</f>
        <v>85.8</v>
      </c>
      <c r="O63" s="75">
        <f>IF('OTHER(C3)-A15'!O27=0,"    -",ROUND('OTHER(C3)-A15'!O56/'OTHER(C3)-A15'!O27*100,1))</f>
        <v>87</v>
      </c>
      <c r="P63" s="75">
        <f>IF('OTHER(C3)-A15'!P27=0,"    -",ROUND('OTHER(C3)-A15'!P56/'OTHER(C3)-A15'!P27*100,1))</f>
        <v>88.5</v>
      </c>
      <c r="Q63" s="78">
        <f>IF('OTHER(C3)-A15'!Q27=0,"    -",ROUND('OTHER(C3)-A15'!Q56/'OTHER(C3)-A15'!Q27*100,1))</f>
        <v>89.8</v>
      </c>
    </row>
    <row r="64" spans="2:17" ht="16.5" customHeight="1">
      <c r="B64" s="672" t="s">
        <v>316</v>
      </c>
      <c r="C64" s="673"/>
      <c r="D64" s="57">
        <f>IF('OTHER(C3)-A15'!D28=0,"    -",ROUND('OTHER(C3)-A15'!D57/'OTHER(C3)-A15'!D28*100,1))</f>
        <v>81</v>
      </c>
      <c r="E64" s="58">
        <f>IF('OTHER(C3)-A15'!E28=0,"    -",ROUND('OTHER(C3)-A15'!E57/'OTHER(C3)-A15'!E28*100,1))</f>
        <v>81</v>
      </c>
      <c r="F64" s="58">
        <f>IF('OTHER(C3)-A15'!F28=0,"    -",ROUND('OTHER(C3)-A15'!F57/'OTHER(C3)-A15'!F28*100,1))</f>
        <v>81</v>
      </c>
      <c r="G64" s="58">
        <f>IF('OTHER(C3)-A15'!G28=0,"    -",ROUND('OTHER(C3)-A15'!G57/'OTHER(C3)-A15'!G28*100,1))</f>
        <v>81</v>
      </c>
      <c r="H64" s="58">
        <f>IF('OTHER(C3)-A15'!H28=0,"    -",ROUND('OTHER(C3)-A15'!H57/'OTHER(C3)-A15'!H28*100,1))</f>
        <v>81</v>
      </c>
      <c r="I64" s="58">
        <f>IF('OTHER(C3)-A15'!I28=0,"    -",ROUND('OTHER(C3)-A15'!I57/'OTHER(C3)-A15'!I28*100,1))</f>
        <v>81</v>
      </c>
      <c r="J64" s="58">
        <f>IF('OTHER(C3)-A15'!J28=0,"    -",ROUND('OTHER(C3)-A15'!J57/'OTHER(C3)-A15'!J28*100,1))</f>
        <v>81</v>
      </c>
      <c r="K64" s="59">
        <f>IF('OTHER(C3)-A15'!K28=0,"    -",ROUND('OTHER(C3)-A15'!K57/'OTHER(C3)-A15'!K28*100,1))</f>
        <v>81</v>
      </c>
      <c r="L64" s="60">
        <f>IF('OTHER(C3)-A15'!L28=0,"    -",ROUND('OTHER(C3)-A15'!L57/'OTHER(C3)-A15'!L28*100,1))</f>
        <v>81</v>
      </c>
      <c r="M64" s="58">
        <f>IF('OTHER(C3)-A15'!M28=0,"    -",ROUND('OTHER(C3)-A15'!M57/'OTHER(C3)-A15'!M28*100,1))</f>
        <v>81</v>
      </c>
      <c r="N64" s="58">
        <f>IF('OTHER(C3)-A15'!N28=0,"    -",ROUND('OTHER(C3)-A15'!N57/'OTHER(C3)-A15'!N28*100,1))</f>
        <v>81</v>
      </c>
      <c r="O64" s="58">
        <f>IF('OTHER(C3)-A15'!O28=0,"    -",ROUND('OTHER(C3)-A15'!O57/'OTHER(C3)-A15'!O28*100,1))</f>
        <v>81</v>
      </c>
      <c r="P64" s="58">
        <f>IF('OTHER(C3)-A15'!P28=0,"    -",ROUND('OTHER(C3)-A15'!P57/'OTHER(C3)-A15'!P28*100,1))</f>
        <v>81</v>
      </c>
      <c r="Q64" s="61">
        <f>IF('OTHER(C3)-A15'!Q28=0,"    -",ROUND('OTHER(C3)-A15'!Q57/'OTHER(C3)-A15'!Q28*100,1))</f>
        <v>81</v>
      </c>
    </row>
    <row r="65" spans="2:17" ht="16.5" customHeight="1">
      <c r="B65" s="670" t="s">
        <v>317</v>
      </c>
      <c r="C65" s="671"/>
      <c r="D65" s="57">
        <f>IF('OTHER(C3)-A15'!D29=0,"    -",ROUND('OTHER(C3)-A15'!D58/'OTHER(C3)-A15'!D29*100,1))</f>
        <v>90</v>
      </c>
      <c r="E65" s="58">
        <f>IF('OTHER(C3)-A15'!E29=0,"    -",ROUND('OTHER(C3)-A15'!E58/'OTHER(C3)-A15'!E29*100,1))</f>
        <v>90</v>
      </c>
      <c r="F65" s="58">
        <f>IF('OTHER(C3)-A15'!F29=0,"    -",ROUND('OTHER(C3)-A15'!F58/'OTHER(C3)-A15'!F29*100,1))</f>
        <v>90</v>
      </c>
      <c r="G65" s="58">
        <f>IF('OTHER(C3)-A15'!G29=0,"    -",ROUND('OTHER(C3)-A15'!G58/'OTHER(C3)-A15'!G29*100,1))</f>
        <v>90</v>
      </c>
      <c r="H65" s="58">
        <f>IF('OTHER(C3)-A15'!H29=0,"    -",ROUND('OTHER(C3)-A15'!H58/'OTHER(C3)-A15'!H29*100,1))</f>
        <v>90</v>
      </c>
      <c r="I65" s="58">
        <f>IF('OTHER(C3)-A15'!I29=0,"    -",ROUND('OTHER(C3)-A15'!I58/'OTHER(C3)-A15'!I29*100,1))</f>
        <v>90</v>
      </c>
      <c r="J65" s="58">
        <f>IF('OTHER(C3)-A15'!J29=0,"    -",ROUND('OTHER(C3)-A15'!J58/'OTHER(C3)-A15'!J29*100,1))</f>
        <v>90</v>
      </c>
      <c r="K65" s="59">
        <f>IF('OTHER(C3)-A15'!K29=0,"    -",ROUND('OTHER(C3)-A15'!K58/'OTHER(C3)-A15'!K29*100,1))</f>
        <v>90</v>
      </c>
      <c r="L65" s="60">
        <f>IF('OTHER(C3)-A15'!L29=0,"    -",ROUND('OTHER(C3)-A15'!L58/'OTHER(C3)-A15'!L29*100,1))</f>
        <v>90</v>
      </c>
      <c r="M65" s="58">
        <f>IF('OTHER(C3)-A15'!M29=0,"    -",ROUND('OTHER(C3)-A15'!M58/'OTHER(C3)-A15'!M29*100,1))</f>
        <v>90</v>
      </c>
      <c r="N65" s="58">
        <f>IF('OTHER(C3)-A15'!N29=0,"    -",ROUND('OTHER(C3)-A15'!N58/'OTHER(C3)-A15'!N29*100,1))</f>
        <v>90</v>
      </c>
      <c r="O65" s="58">
        <f>IF('OTHER(C3)-A15'!O29=0,"    -",ROUND('OTHER(C3)-A15'!O58/'OTHER(C3)-A15'!O29*100,1))</f>
        <v>90</v>
      </c>
      <c r="P65" s="58">
        <f>IF('OTHER(C3)-A15'!P29=0,"    -",ROUND('OTHER(C3)-A15'!P58/'OTHER(C3)-A15'!P29*100,1))</f>
        <v>90</v>
      </c>
      <c r="Q65" s="61">
        <f>IF('OTHER(C3)-A15'!Q29=0,"    -",ROUND('OTHER(C3)-A15'!Q58/'OTHER(C3)-A15'!Q29*100,1))</f>
        <v>90</v>
      </c>
    </row>
    <row r="66" spans="2:17" ht="17.25" customHeight="1">
      <c r="B66" s="674" t="s">
        <v>318</v>
      </c>
      <c r="C66" s="675"/>
      <c r="D66" s="74">
        <f>IF('OTHER(C3)-A15'!D30=0,"    -",ROUND('OTHER(C3)-A15'!D59/'OTHER(C3)-A15'!D30*100,1))</f>
        <v>81.599999999999994</v>
      </c>
      <c r="E66" s="75">
        <f>IF('OTHER(C3)-A15'!E30=0,"    -",ROUND('OTHER(C3)-A15'!E59/'OTHER(C3)-A15'!E30*100,1))</f>
        <v>81.599999999999994</v>
      </c>
      <c r="F66" s="75">
        <f>IF('OTHER(C3)-A15'!F30=0,"    -",ROUND('OTHER(C3)-A15'!F59/'OTHER(C3)-A15'!F30*100,1))</f>
        <v>81.599999999999994</v>
      </c>
      <c r="G66" s="75">
        <f>IF('OTHER(C3)-A15'!G30=0,"    -",ROUND('OTHER(C3)-A15'!G59/'OTHER(C3)-A15'!G30*100,1))</f>
        <v>81.599999999999994</v>
      </c>
      <c r="H66" s="75">
        <f>IF('OTHER(C3)-A15'!H30=0,"    -",ROUND('OTHER(C3)-A15'!H59/'OTHER(C3)-A15'!H30*100,1))</f>
        <v>81.599999999999994</v>
      </c>
      <c r="I66" s="75">
        <f>IF('OTHER(C3)-A15'!I30=0,"    -",ROUND('OTHER(C3)-A15'!I59/'OTHER(C3)-A15'!I30*100,1))</f>
        <v>81.599999999999994</v>
      </c>
      <c r="J66" s="75">
        <f>IF('OTHER(C3)-A15'!J30=0,"    -",ROUND('OTHER(C3)-A15'!J59/'OTHER(C3)-A15'!J30*100,1))</f>
        <v>81.599999999999994</v>
      </c>
      <c r="K66" s="76">
        <f>IF('OTHER(C3)-A15'!K30=0,"    -",ROUND('OTHER(C3)-A15'!K59/'OTHER(C3)-A15'!K30*100,1))</f>
        <v>81.599999999999994</v>
      </c>
      <c r="L66" s="77">
        <f>IF('OTHER(C3)-A15'!L30=0,"    -",ROUND('OTHER(C3)-A15'!L59/'OTHER(C3)-A15'!L30*100,1))</f>
        <v>81.599999999999994</v>
      </c>
      <c r="M66" s="75">
        <f>IF('OTHER(C3)-A15'!M30=0,"    -",ROUND('OTHER(C3)-A15'!M59/'OTHER(C3)-A15'!M30*100,1))</f>
        <v>81.599999999999994</v>
      </c>
      <c r="N66" s="75">
        <f>IF('OTHER(C3)-A15'!N30=0,"    -",ROUND('OTHER(C3)-A15'!N59/'OTHER(C3)-A15'!N30*100,1))</f>
        <v>81.599999999999994</v>
      </c>
      <c r="O66" s="75">
        <f>IF('OTHER(C3)-A15'!O30=0,"    -",ROUND('OTHER(C3)-A15'!O59/'OTHER(C3)-A15'!O30*100,1))</f>
        <v>81.599999999999994</v>
      </c>
      <c r="P66" s="75">
        <f>IF('OTHER(C3)-A15'!P30=0,"    -",ROUND('OTHER(C3)-A15'!P59/'OTHER(C3)-A15'!P30*100,1))</f>
        <v>81.599999999999994</v>
      </c>
      <c r="Q66" s="78">
        <f>IF('OTHER(C3)-A15'!Q30=0,"    -",ROUND('OTHER(C3)-A15'!Q59/'OTHER(C3)-A15'!Q30*100,1))</f>
        <v>81.599999999999994</v>
      </c>
    </row>
    <row r="67" spans="2:17" ht="16.5" customHeight="1">
      <c r="B67" s="672" t="s">
        <v>319</v>
      </c>
      <c r="C67" s="673"/>
      <c r="D67" s="57">
        <f>IF('OTHER(C3)-A15'!D31=0,"    -",ROUND('OTHER(C3)-A15'!D60/'OTHER(C3)-A15'!D31*100,1))</f>
        <v>89.1</v>
      </c>
      <c r="E67" s="58">
        <f>IF('OTHER(C3)-A15'!E31=0,"    -",ROUND('OTHER(C3)-A15'!E60/'OTHER(C3)-A15'!E31*100,1))</f>
        <v>82.3</v>
      </c>
      <c r="F67" s="58">
        <f>IF('OTHER(C3)-A15'!F31=0,"    -",ROUND('OTHER(C3)-A15'!F60/'OTHER(C3)-A15'!F31*100,1))</f>
        <v>90.9</v>
      </c>
      <c r="G67" s="58">
        <f>IF('OTHER(C3)-A15'!G31=0,"    -",ROUND('OTHER(C3)-A15'!G60/'OTHER(C3)-A15'!G31*100,1))</f>
        <v>81.5</v>
      </c>
      <c r="H67" s="58">
        <f>IF('OTHER(C3)-A15'!H31=0,"    -",ROUND('OTHER(C3)-A15'!H60/'OTHER(C3)-A15'!H31*100,1))</f>
        <v>82.9</v>
      </c>
      <c r="I67" s="58">
        <f>IF('OTHER(C3)-A15'!I31=0,"    -",ROUND('OTHER(C3)-A15'!I60/'OTHER(C3)-A15'!I31*100,1))</f>
        <v>83.7</v>
      </c>
      <c r="J67" s="58">
        <f>IF('OTHER(C3)-A15'!J31=0,"    -",ROUND('OTHER(C3)-A15'!J60/'OTHER(C3)-A15'!J31*100,1))</f>
        <v>90</v>
      </c>
      <c r="K67" s="59">
        <f>IF('OTHER(C3)-A15'!K31=0,"    -",ROUND('OTHER(C3)-A15'!K60/'OTHER(C3)-A15'!K31*100,1))</f>
        <v>90</v>
      </c>
      <c r="L67" s="60">
        <f>IF('OTHER(C3)-A15'!L31=0,"    -",ROUND('OTHER(C3)-A15'!L60/'OTHER(C3)-A15'!L31*100,1))</f>
        <v>91.4</v>
      </c>
      <c r="M67" s="58">
        <f>IF('OTHER(C3)-A15'!M31=0,"    -",ROUND('OTHER(C3)-A15'!M60/'OTHER(C3)-A15'!M31*100,1))</f>
        <v>91.4</v>
      </c>
      <c r="N67" s="58">
        <f>IF('OTHER(C3)-A15'!N31=0,"    -",ROUND('OTHER(C3)-A15'!N60/'OTHER(C3)-A15'!N31*100,1))</f>
        <v>91.4</v>
      </c>
      <c r="O67" s="58">
        <f>IF('OTHER(C3)-A15'!O31=0,"    -",ROUND('OTHER(C3)-A15'!O60/'OTHER(C3)-A15'!O31*100,1))</f>
        <v>91.4</v>
      </c>
      <c r="P67" s="58">
        <f>IF('OTHER(C3)-A15'!P31=0,"    -",ROUND('OTHER(C3)-A15'!P60/'OTHER(C3)-A15'!P31*100,1))</f>
        <v>91.4</v>
      </c>
      <c r="Q67" s="61">
        <f>IF('OTHER(C3)-A15'!Q31=0,"    -",ROUND('OTHER(C3)-A15'!Q60/'OTHER(C3)-A15'!Q31*100,1))</f>
        <v>91.4</v>
      </c>
    </row>
    <row r="68" spans="2:17" ht="16.5" customHeight="1">
      <c r="B68" s="668" t="s">
        <v>320</v>
      </c>
      <c r="C68" s="669"/>
      <c r="D68" s="57">
        <f>IF('OTHER(C3)-A15'!D32=0,"    -",ROUND('OTHER(C3)-A15'!D61/'OTHER(C3)-A15'!D32*100,1))</f>
        <v>94.1</v>
      </c>
      <c r="E68" s="58">
        <f>IF('OTHER(C3)-A15'!E32=0,"    -",ROUND('OTHER(C3)-A15'!E61/'OTHER(C3)-A15'!E32*100,1))</f>
        <v>90</v>
      </c>
      <c r="F68" s="58">
        <f>IF('OTHER(C3)-A15'!F32=0,"    -",ROUND('OTHER(C3)-A15'!F61/'OTHER(C3)-A15'!F32*100,1))</f>
        <v>90.9</v>
      </c>
      <c r="G68" s="58">
        <f>IF('OTHER(C3)-A15'!G32=0,"    -",ROUND('OTHER(C3)-A15'!G61/'OTHER(C3)-A15'!G32*100,1))</f>
        <v>84</v>
      </c>
      <c r="H68" s="58">
        <f>IF('OTHER(C3)-A15'!H32=0,"    -",ROUND('OTHER(C3)-A15'!H61/'OTHER(C3)-A15'!H32*100,1))</f>
        <v>92.9</v>
      </c>
      <c r="I68" s="58">
        <f>IF('OTHER(C3)-A15'!I32=0,"    -",ROUND('OTHER(C3)-A15'!I61/'OTHER(C3)-A15'!I32*100,1))</f>
        <v>90.4</v>
      </c>
      <c r="J68" s="58">
        <f>IF('OTHER(C3)-A15'!J32=0,"    -",ROUND('OTHER(C3)-A15'!J61/'OTHER(C3)-A15'!J32*100,1))</f>
        <v>90</v>
      </c>
      <c r="K68" s="59">
        <f>IF('OTHER(C3)-A15'!K32=0,"    -",ROUND('OTHER(C3)-A15'!K61/'OTHER(C3)-A15'!K32*100,1))</f>
        <v>90</v>
      </c>
      <c r="L68" s="60">
        <f>IF('OTHER(C3)-A15'!L32=0,"    -",ROUND('OTHER(C3)-A15'!L61/'OTHER(C3)-A15'!L32*100,1))</f>
        <v>89.5</v>
      </c>
      <c r="M68" s="58">
        <f>IF('OTHER(C3)-A15'!M32=0,"    -",ROUND('OTHER(C3)-A15'!M61/'OTHER(C3)-A15'!M32*100,1))</f>
        <v>89.5</v>
      </c>
      <c r="N68" s="58">
        <f>IF('OTHER(C3)-A15'!N32=0,"    -",ROUND('OTHER(C3)-A15'!N61/'OTHER(C3)-A15'!N32*100,1))</f>
        <v>89.5</v>
      </c>
      <c r="O68" s="58">
        <f>IF('OTHER(C3)-A15'!O32=0,"    -",ROUND('OTHER(C3)-A15'!O61/'OTHER(C3)-A15'!O32*100,1))</f>
        <v>89.5</v>
      </c>
      <c r="P68" s="58">
        <f>IF('OTHER(C3)-A15'!P32=0,"    -",ROUND('OTHER(C3)-A15'!P61/'OTHER(C3)-A15'!P32*100,1))</f>
        <v>89.5</v>
      </c>
      <c r="Q68" s="61">
        <f>IF('OTHER(C3)-A15'!Q32=0,"    -",ROUND('OTHER(C3)-A15'!Q61/'OTHER(C3)-A15'!Q32*100,1))</f>
        <v>89.5</v>
      </c>
    </row>
    <row r="69" spans="2:17" ht="16.5" customHeight="1">
      <c r="B69" s="670" t="s">
        <v>321</v>
      </c>
      <c r="C69" s="671"/>
      <c r="D69" s="57">
        <f>IF('OTHER(C3)-A15'!D33=0,"    -",ROUND('OTHER(C3)-A15'!D62/'OTHER(C3)-A15'!D33*100,1))</f>
        <v>96.5</v>
      </c>
      <c r="E69" s="58">
        <f>IF('OTHER(C3)-A15'!E33=0,"    -",ROUND('OTHER(C3)-A15'!E62/'OTHER(C3)-A15'!E33*100,1))</f>
        <v>102.3</v>
      </c>
      <c r="F69" s="58">
        <f>IF('OTHER(C3)-A15'!F33=0,"    -",ROUND('OTHER(C3)-A15'!F62/'OTHER(C3)-A15'!F33*100,1))</f>
        <v>109.7</v>
      </c>
      <c r="G69" s="58">
        <f>IF('OTHER(C3)-A15'!G33=0,"    -",ROUND('OTHER(C3)-A15'!G62/'OTHER(C3)-A15'!G33*100,1))</f>
        <v>115</v>
      </c>
      <c r="H69" s="58">
        <f>IF('OTHER(C3)-A15'!H33=0,"    -",ROUND('OTHER(C3)-A15'!H62/'OTHER(C3)-A15'!H33*100,1))</f>
        <v>116.1</v>
      </c>
      <c r="I69" s="58">
        <f>IF('OTHER(C3)-A15'!I33=0,"    -",ROUND('OTHER(C3)-A15'!I62/'OTHER(C3)-A15'!I33*100,1))</f>
        <v>118.9</v>
      </c>
      <c r="J69" s="58">
        <f>IF('OTHER(C3)-A15'!J33=0,"    -",ROUND('OTHER(C3)-A15'!J62/'OTHER(C3)-A15'!J33*100,1))</f>
        <v>90</v>
      </c>
      <c r="K69" s="59">
        <f>IF('OTHER(C3)-A15'!K33=0,"    -",ROUND('OTHER(C3)-A15'!K62/'OTHER(C3)-A15'!K33*100,1))</f>
        <v>90</v>
      </c>
      <c r="L69" s="60">
        <f>IF('OTHER(C3)-A15'!L33=0,"    -",ROUND('OTHER(C3)-A15'!L62/'OTHER(C3)-A15'!L33*100,1))</f>
        <v>90</v>
      </c>
      <c r="M69" s="58">
        <f>IF('OTHER(C3)-A15'!M33=0,"    -",ROUND('OTHER(C3)-A15'!M62/'OTHER(C3)-A15'!M33*100,1))</f>
        <v>90</v>
      </c>
      <c r="N69" s="58">
        <f>IF('OTHER(C3)-A15'!N33=0,"    -",ROUND('OTHER(C3)-A15'!N62/'OTHER(C3)-A15'!N33*100,1))</f>
        <v>90</v>
      </c>
      <c r="O69" s="58">
        <f>IF('OTHER(C3)-A15'!O33=0,"    -",ROUND('OTHER(C3)-A15'!O62/'OTHER(C3)-A15'!O33*100,1))</f>
        <v>90</v>
      </c>
      <c r="P69" s="58">
        <f>IF('OTHER(C3)-A15'!P33=0,"    -",ROUND('OTHER(C3)-A15'!P62/'OTHER(C3)-A15'!P33*100,1))</f>
        <v>90</v>
      </c>
      <c r="Q69" s="61">
        <f>IF('OTHER(C3)-A15'!Q33=0,"    -",ROUND('OTHER(C3)-A15'!Q62/'OTHER(C3)-A15'!Q33*100,1))</f>
        <v>90</v>
      </c>
    </row>
    <row r="70" spans="2:17" ht="17.25" customHeight="1" thickBot="1">
      <c r="B70" s="678" t="s">
        <v>322</v>
      </c>
      <c r="C70" s="679"/>
      <c r="D70" s="111">
        <f>IF('OTHER(C3)-A15'!D34=0,"    -",ROUND('OTHER(C3)-A15'!D63/'OTHER(C3)-A15'!D34*100,1))</f>
        <v>92.8</v>
      </c>
      <c r="E70" s="112">
        <f>IF('OTHER(C3)-A15'!E34=0,"    -",ROUND('OTHER(C3)-A15'!E63/'OTHER(C3)-A15'!E34*100,1))</f>
        <v>89.6</v>
      </c>
      <c r="F70" s="112">
        <f>IF('OTHER(C3)-A15'!F34=0,"    -",ROUND('OTHER(C3)-A15'!F63/'OTHER(C3)-A15'!F34*100,1))</f>
        <v>94</v>
      </c>
      <c r="G70" s="112">
        <f>IF('OTHER(C3)-A15'!G34=0,"    -",ROUND('OTHER(C3)-A15'!G63/'OTHER(C3)-A15'!G34*100,1))</f>
        <v>88.6</v>
      </c>
      <c r="H70" s="112">
        <f>IF('OTHER(C3)-A15'!H34=0,"    -",ROUND('OTHER(C3)-A15'!H63/'OTHER(C3)-A15'!H34*100,1))</f>
        <v>93.5</v>
      </c>
      <c r="I70" s="112">
        <f>IF('OTHER(C3)-A15'!I34=0,"    -",ROUND('OTHER(C3)-A15'!I63/'OTHER(C3)-A15'!I34*100,1))</f>
        <v>92.9</v>
      </c>
      <c r="J70" s="112">
        <f>IF('OTHER(C3)-A15'!J34=0,"    -",ROUND('OTHER(C3)-A15'!J63/'OTHER(C3)-A15'!J34*100,1))</f>
        <v>90</v>
      </c>
      <c r="K70" s="113">
        <f>IF('OTHER(C3)-A15'!K34=0,"    -",ROUND('OTHER(C3)-A15'!K63/'OTHER(C3)-A15'!K34*100,1))</f>
        <v>90</v>
      </c>
      <c r="L70" s="114">
        <f>IF('OTHER(C3)-A15'!L34=0,"    -",ROUND('OTHER(C3)-A15'!L63/'OTHER(C3)-A15'!L34*100,1))</f>
        <v>90.2</v>
      </c>
      <c r="M70" s="112">
        <f>IF('OTHER(C3)-A15'!M34=0,"    -",ROUND('OTHER(C3)-A15'!M63/'OTHER(C3)-A15'!M34*100,1))</f>
        <v>90.2</v>
      </c>
      <c r="N70" s="112">
        <f>IF('OTHER(C3)-A15'!N34=0,"    -",ROUND('OTHER(C3)-A15'!N63/'OTHER(C3)-A15'!N34*100,1))</f>
        <v>90.2</v>
      </c>
      <c r="O70" s="112">
        <f>IF('OTHER(C3)-A15'!O34=0,"    -",ROUND('OTHER(C3)-A15'!O63/'OTHER(C3)-A15'!O34*100,1))</f>
        <v>90.2</v>
      </c>
      <c r="P70" s="112">
        <f>IF('OTHER(C3)-A15'!P34=0,"    -",ROUND('OTHER(C3)-A15'!P63/'OTHER(C3)-A15'!P34*100,1))</f>
        <v>90.2</v>
      </c>
      <c r="Q70" s="115">
        <f>IF('OTHER(C3)-A15'!Q34=0,"    -",ROUND('OTHER(C3)-A15'!Q63/'OTHER(C3)-A15'!Q34*100,1))</f>
        <v>90.2</v>
      </c>
    </row>
    <row r="71" spans="2:17" ht="18" customHeight="1" thickTop="1" thickBot="1">
      <c r="B71" s="21"/>
      <c r="C71" s="619" t="s">
        <v>337</v>
      </c>
      <c r="D71" s="122">
        <f>IF('OTHER(C3)-A15'!D35=0,"    -",ROUND('OTHER(C3)-A15'!D64/'OTHER(C3)-A15'!D35*100,1))</f>
        <v>86</v>
      </c>
      <c r="E71" s="123">
        <f>IF('OTHER(C3)-A15'!E35=0,"    -",ROUND('OTHER(C3)-A15'!E64/'OTHER(C3)-A15'!E35*100,1))</f>
        <v>85.1</v>
      </c>
      <c r="F71" s="123">
        <f>IF('OTHER(C3)-A15'!F35=0,"    -",ROUND('OTHER(C3)-A15'!F64/'OTHER(C3)-A15'!F35*100,1))</f>
        <v>84.7</v>
      </c>
      <c r="G71" s="123">
        <f>IF('OTHER(C3)-A15'!G35=0,"    -",ROUND('OTHER(C3)-A15'!G64/'OTHER(C3)-A15'!G35*100,1))</f>
        <v>84.1</v>
      </c>
      <c r="H71" s="123">
        <f>IF('OTHER(C3)-A15'!H35=0,"    -",ROUND('OTHER(C3)-A15'!H64/'OTHER(C3)-A15'!H35*100,1))</f>
        <v>84.3</v>
      </c>
      <c r="I71" s="123">
        <f>IF('OTHER(C3)-A15'!I35=0,"    -",ROUND('OTHER(C3)-A15'!I64/'OTHER(C3)-A15'!I35*100,1))</f>
        <v>83.4</v>
      </c>
      <c r="J71" s="123">
        <f>IF('OTHER(C3)-A15'!J35=0,"    -",ROUND('OTHER(C3)-A15'!J64/'OTHER(C3)-A15'!J35*100,1))</f>
        <v>84.1</v>
      </c>
      <c r="K71" s="124">
        <f>IF('OTHER(C3)-A15'!K35=0,"    -",ROUND('OTHER(C3)-A15'!K64/'OTHER(C3)-A15'!K35*100,1))</f>
        <v>86.5</v>
      </c>
      <c r="L71" s="125">
        <f>IF('OTHER(C3)-A15'!L35=0,"    -",ROUND('OTHER(C3)-A15'!L64/'OTHER(C3)-A15'!L35*100,1))</f>
        <v>85.6</v>
      </c>
      <c r="M71" s="123">
        <f>IF('OTHER(C3)-A15'!M35=0,"    -",ROUND('OTHER(C3)-A15'!M64/'OTHER(C3)-A15'!M35*100,1))</f>
        <v>85.3</v>
      </c>
      <c r="N71" s="123">
        <f>IF('OTHER(C3)-A15'!N35=0,"    -",ROUND('OTHER(C3)-A15'!N64/'OTHER(C3)-A15'!N35*100,1))</f>
        <v>85.3</v>
      </c>
      <c r="O71" s="123">
        <f>IF('OTHER(C3)-A15'!O35=0,"    -",ROUND('OTHER(C3)-A15'!O64/'OTHER(C3)-A15'!O35*100,1))</f>
        <v>86.9</v>
      </c>
      <c r="P71" s="123">
        <f>IF('OTHER(C3)-A15'!P35=0,"    -",ROUND('OTHER(C3)-A15'!P64/'OTHER(C3)-A15'!P35*100,1))</f>
        <v>87</v>
      </c>
      <c r="Q71" s="126">
        <f>IF('OTHER(C3)-A15'!Q35=0,"    -",ROUND('OTHER(C3)-A15'!Q64/'OTHER(C3)-A15'!Q35*100,1))</f>
        <v>87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43" priority="5">
      <formula>CELL("protect",C75)=0</formula>
    </cfRule>
    <cfRule type="expression" dxfId="142" priority="6">
      <formula>CELL("protect",C75)=0</formula>
    </cfRule>
  </conditionalFormatting>
  <conditionalFormatting sqref="C73">
    <cfRule type="expression" dxfId="141" priority="3">
      <formula>CELL("protect",C73)=0</formula>
    </cfRule>
    <cfRule type="expression" dxfId="140" priority="4">
      <formula>CELL("protect",C73)=0</formula>
    </cfRule>
  </conditionalFormatting>
  <conditionalFormatting sqref="C75">
    <cfRule type="expression" dxfId="139" priority="1">
      <formula>CELL("protect",C75)=0</formula>
    </cfRule>
    <cfRule type="expression" dxfId="138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&amp;C177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14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'BENZENE-A16'!D36-'BENZENE-A16'!D65</f>
        <v>1165</v>
      </c>
      <c r="E7" s="240">
        <f>'BENZENE-A16'!E36-'BENZENE-A16'!E65</f>
        <v>1252</v>
      </c>
      <c r="F7" s="240">
        <f>'BENZENE-A16'!F36-'BENZENE-A16'!F65</f>
        <v>1401</v>
      </c>
      <c r="G7" s="240">
        <f>'BENZENE-A16'!G36-'BENZENE-A16'!G65</f>
        <v>1433</v>
      </c>
      <c r="H7" s="240">
        <f>'BENZENE-A16'!H36-'BENZENE-A16'!H65</f>
        <v>1832</v>
      </c>
      <c r="I7" s="240">
        <f>'BENZENE-A16'!I36-'BENZENE-A16'!I65</f>
        <v>2275</v>
      </c>
      <c r="J7" s="240">
        <f>'BENZENE-A16'!J36-'BENZENE-A16'!J65</f>
        <v>2010</v>
      </c>
      <c r="K7" s="241">
        <f>'BENZENE-A16'!K36-'BENZENE-A16'!K65</f>
        <v>2596</v>
      </c>
      <c r="L7" s="242">
        <f>'BENZENE-A16'!L36-'BENZENE-A16'!L65</f>
        <v>2400</v>
      </c>
      <c r="M7" s="240">
        <f>'BENZENE-A16'!M36-'BENZENE-A16'!M65</f>
        <v>2400</v>
      </c>
      <c r="N7" s="240">
        <f>'BENZENE-A16'!N36-'BENZENE-A16'!N65</f>
        <v>2350</v>
      </c>
      <c r="O7" s="240">
        <f>'BENZENE-A16'!O36-'BENZENE-A16'!O65</f>
        <v>2450</v>
      </c>
      <c r="P7" s="240">
        <f>'BENZENE-A16'!P36-'BENZENE-A16'!P65</f>
        <v>2400</v>
      </c>
      <c r="Q7" s="243">
        <f>'BENZENE-A16'!Q36-'BENZENE-A16'!Q65</f>
        <v>2400</v>
      </c>
    </row>
    <row r="8" spans="2:19" ht="16.5" customHeight="1">
      <c r="B8" s="605" t="s">
        <v>434</v>
      </c>
      <c r="C8" s="606"/>
      <c r="D8" s="239">
        <f>'BENZENE-A16'!D37-'BENZENE-A16'!D66</f>
        <v>-772</v>
      </c>
      <c r="E8" s="240">
        <f>'BENZENE-A16'!E37-'BENZENE-A16'!E66</f>
        <v>-671</v>
      </c>
      <c r="F8" s="240">
        <f>'BENZENE-A16'!F37-'BENZENE-A16'!F66</f>
        <v>-573</v>
      </c>
      <c r="G8" s="240">
        <f>'BENZENE-A16'!G37-'BENZENE-A16'!G66</f>
        <v>-708</v>
      </c>
      <c r="H8" s="240">
        <f>'BENZENE-A16'!H37-'BENZENE-A16'!H66</f>
        <v>-692</v>
      </c>
      <c r="I8" s="240">
        <f>'BENZENE-A16'!I37-'BENZENE-A16'!I66</f>
        <v>-672</v>
      </c>
      <c r="J8" s="240">
        <f>'BENZENE-A16'!J37-'BENZENE-A16'!J66</f>
        <v>-786</v>
      </c>
      <c r="K8" s="241">
        <f>'BENZENE-A16'!K37-'BENZENE-A16'!K66</f>
        <v>-592</v>
      </c>
      <c r="L8" s="242">
        <f>'BENZENE-A16'!L37-'BENZENE-A16'!L66</f>
        <v>-700</v>
      </c>
      <c r="M8" s="240">
        <f>'BENZENE-A16'!M37-'BENZENE-A16'!M66</f>
        <v>-700</v>
      </c>
      <c r="N8" s="240">
        <f>'BENZENE-A16'!N37-'BENZENE-A16'!N66</f>
        <v>-700</v>
      </c>
      <c r="O8" s="240">
        <f>'BENZENE-A16'!O37-'BENZENE-A16'!O66</f>
        <v>-700</v>
      </c>
      <c r="P8" s="240">
        <f>'BENZENE-A16'!P37-'BENZENE-A16'!P66</f>
        <v>-700</v>
      </c>
      <c r="Q8" s="243">
        <f>'BENZENE-A16'!Q37-'BENZENE-A16'!Q66</f>
        <v>-700</v>
      </c>
    </row>
    <row r="9" spans="2:19" ht="16.5" customHeight="1">
      <c r="B9" s="605" t="s">
        <v>435</v>
      </c>
      <c r="C9" s="606"/>
      <c r="D9" s="239">
        <f>'BENZENE-A16'!D38-'BENZENE-A16'!D67</f>
        <v>-188</v>
      </c>
      <c r="E9" s="240">
        <f>'BENZENE-A16'!E38-'BENZENE-A16'!E67</f>
        <v>-76.046999999999912</v>
      </c>
      <c r="F9" s="240">
        <f>'BENZENE-A16'!F38-'BENZENE-A16'!F67</f>
        <v>-113.84699999999998</v>
      </c>
      <c r="G9" s="240">
        <f>'BENZENE-A16'!G38-'BENZENE-A16'!G67</f>
        <v>-300.66699999999992</v>
      </c>
      <c r="H9" s="240">
        <f>'BENZENE-A16'!H38-'BENZENE-A16'!H67</f>
        <v>-150.34000000000015</v>
      </c>
      <c r="I9" s="240">
        <f>'BENZENE-A16'!I38-'BENZENE-A16'!I67</f>
        <v>-56.018000000000029</v>
      </c>
      <c r="J9" s="240">
        <f>'BENZENE-A16'!J38-'BENZENE-A16'!J67</f>
        <v>215</v>
      </c>
      <c r="K9" s="241">
        <f>'BENZENE-A16'!K38-'BENZENE-A16'!K67</f>
        <v>26</v>
      </c>
      <c r="L9" s="242">
        <f>'BENZENE-A16'!L38-'BENZENE-A16'!L67</f>
        <v>345</v>
      </c>
      <c r="M9" s="240">
        <f>'BENZENE-A16'!M38-'BENZENE-A16'!M67</f>
        <v>390</v>
      </c>
      <c r="N9" s="240">
        <f>'BENZENE-A16'!N38-'BENZENE-A16'!N67</f>
        <v>373</v>
      </c>
      <c r="O9" s="240">
        <f>'BENZENE-A16'!O38-'BENZENE-A16'!O67</f>
        <v>384</v>
      </c>
      <c r="P9" s="240">
        <f>'BENZENE-A16'!P38-'BENZENE-A16'!P67</f>
        <v>344</v>
      </c>
      <c r="Q9" s="243">
        <f>'BENZENE-A16'!Q38-'BENZENE-A16'!Q67</f>
        <v>345</v>
      </c>
    </row>
    <row r="10" spans="2:19" ht="16.5" customHeight="1">
      <c r="B10" s="605" t="s">
        <v>436</v>
      </c>
      <c r="C10" s="606"/>
      <c r="D10" s="239">
        <f>'BENZENE-A16'!D39-'BENZENE-A16'!D68</f>
        <v>-83</v>
      </c>
      <c r="E10" s="240">
        <f>'BENZENE-A16'!E39-'BENZENE-A16'!E68</f>
        <v>-79</v>
      </c>
      <c r="F10" s="240">
        <f>'BENZENE-A16'!F39-'BENZENE-A16'!F68</f>
        <v>-391</v>
      </c>
      <c r="G10" s="240">
        <f>'BENZENE-A16'!G39-'BENZENE-A16'!G68</f>
        <v>-854</v>
      </c>
      <c r="H10" s="240">
        <f>'BENZENE-A16'!H39-'BENZENE-A16'!H68</f>
        <v>-524</v>
      </c>
      <c r="I10" s="240">
        <f>'BENZENE-A16'!I39-'BENZENE-A16'!I68</f>
        <v>-1052</v>
      </c>
      <c r="J10" s="240">
        <f>'BENZENE-A16'!J39-'BENZENE-A16'!J68</f>
        <v>-1052</v>
      </c>
      <c r="K10" s="241">
        <f>'BENZENE-A16'!K39-'BENZENE-A16'!K68</f>
        <v>-2488</v>
      </c>
      <c r="L10" s="242">
        <f>'BENZENE-A16'!L39-'BENZENE-A16'!L68</f>
        <v>-2119</v>
      </c>
      <c r="M10" s="240">
        <f>'BENZENE-A16'!M39-'BENZENE-A16'!M68</f>
        <v>-2425</v>
      </c>
      <c r="N10" s="240">
        <f>'BENZENE-A16'!N39-'BENZENE-A16'!N68</f>
        <v>-2646</v>
      </c>
      <c r="O10" s="240">
        <f>'BENZENE-A16'!O39-'BENZENE-A16'!O68</f>
        <v>-2920</v>
      </c>
      <c r="P10" s="240">
        <f>'BENZENE-A16'!P39-'BENZENE-A16'!P68</f>
        <v>-3255</v>
      </c>
      <c r="Q10" s="243">
        <f>'BENZENE-A16'!Q39-'BENZENE-A16'!Q68</f>
        <v>-3541</v>
      </c>
    </row>
    <row r="11" spans="2:19" ht="16.5" customHeight="1">
      <c r="B11" s="605" t="s">
        <v>437</v>
      </c>
      <c r="C11" s="606"/>
      <c r="D11" s="239">
        <f>'BENZENE-A16'!D40-'BENZENE-A16'!D69</f>
        <v>510</v>
      </c>
      <c r="E11" s="240">
        <f>'BENZENE-A16'!E40-'BENZENE-A16'!E69</f>
        <v>610</v>
      </c>
      <c r="F11" s="240">
        <f>'BENZENE-A16'!F40-'BENZENE-A16'!F69</f>
        <v>650</v>
      </c>
      <c r="G11" s="240">
        <f>'BENZENE-A16'!G40-'BENZENE-A16'!G69</f>
        <v>766.11599999999999</v>
      </c>
      <c r="H11" s="240">
        <f>'BENZENE-A16'!H40-'BENZENE-A16'!H69</f>
        <v>671.77499999999998</v>
      </c>
      <c r="I11" s="240">
        <f>'BENZENE-A16'!I40-'BENZENE-A16'!I69</f>
        <v>592.47299999999996</v>
      </c>
      <c r="J11" s="240">
        <f>'BENZENE-A16'!J40-'BENZENE-A16'!J69</f>
        <v>516</v>
      </c>
      <c r="K11" s="241">
        <f>'BENZENE-A16'!K40-'BENZENE-A16'!K69</f>
        <v>474.8929999999998</v>
      </c>
      <c r="L11" s="242">
        <f>'BENZENE-A16'!L40-'BENZENE-A16'!L69</f>
        <v>514.92259100000001</v>
      </c>
      <c r="M11" s="240">
        <f>'BENZENE-A16'!M40-'BENZENE-A16'!M69</f>
        <v>496.40770500000008</v>
      </c>
      <c r="N11" s="240">
        <f>'BENZENE-A16'!N40-'BENZENE-A16'!N69</f>
        <v>530.00000000000011</v>
      </c>
      <c r="O11" s="240">
        <f>'BENZENE-A16'!O40-'BENZENE-A16'!O69</f>
        <v>508.60226999999998</v>
      </c>
      <c r="P11" s="240">
        <f>'BENZENE-A16'!P40-'BENZENE-A16'!P69</f>
        <v>550.14464999999996</v>
      </c>
      <c r="Q11" s="243">
        <f>'BENZENE-A16'!Q40-'BENZENE-A16'!Q69</f>
        <v>419.99999999999989</v>
      </c>
    </row>
    <row r="12" spans="2:19" ht="16.5" customHeight="1">
      <c r="B12" s="605" t="s">
        <v>438</v>
      </c>
      <c r="C12" s="606"/>
      <c r="D12" s="239">
        <f>'BENZENE-A16'!D41-'BENZENE-A16'!D70</f>
        <v>16.476999999999975</v>
      </c>
      <c r="E12" s="240">
        <f>'BENZENE-A16'!E41-'BENZENE-A16'!E70</f>
        <v>-2</v>
      </c>
      <c r="F12" s="240">
        <f>'BENZENE-A16'!F41-'BENZENE-A16'!F70</f>
        <v>-90</v>
      </c>
      <c r="G12" s="240">
        <f>'BENZENE-A16'!G41-'BENZENE-A16'!G70</f>
        <v>-181</v>
      </c>
      <c r="H12" s="240">
        <f>'BENZENE-A16'!H41-'BENZENE-A16'!H70</f>
        <v>-181</v>
      </c>
      <c r="I12" s="240">
        <f>'BENZENE-A16'!I41-'BENZENE-A16'!I70</f>
        <v>-181</v>
      </c>
      <c r="J12" s="240">
        <f>'BENZENE-A16'!J41-'BENZENE-A16'!J70</f>
        <v>-200</v>
      </c>
      <c r="K12" s="241">
        <f>'BENZENE-A16'!K41-'BENZENE-A16'!K70</f>
        <v>-260</v>
      </c>
      <c r="L12" s="242">
        <f>'BENZENE-A16'!L41-'BENZENE-A16'!L70</f>
        <v>-251</v>
      </c>
      <c r="M12" s="240">
        <f>'BENZENE-A16'!M41-'BENZENE-A16'!M70</f>
        <v>-279</v>
      </c>
      <c r="N12" s="240">
        <f>'BENZENE-A16'!N41-'BENZENE-A16'!N70</f>
        <v>-280</v>
      </c>
      <c r="O12" s="240">
        <f>'BENZENE-A16'!O41-'BENZENE-A16'!O70</f>
        <v>-100</v>
      </c>
      <c r="P12" s="240">
        <f>'BENZENE-A16'!P41-'BENZENE-A16'!P70</f>
        <v>-120</v>
      </c>
      <c r="Q12" s="243">
        <f>'BENZENE-A16'!Q41-'BENZENE-A16'!Q70</f>
        <v>-120</v>
      </c>
    </row>
    <row r="13" spans="2:19" ht="16.5" customHeight="1">
      <c r="B13" s="605" t="s">
        <v>439</v>
      </c>
      <c r="C13" s="606"/>
      <c r="D13" s="239">
        <f>'BENZENE-A16'!D42-'BENZENE-A16'!D71</f>
        <v>397</v>
      </c>
      <c r="E13" s="240">
        <f>'BENZENE-A16'!E42-'BENZENE-A16'!E71</f>
        <v>407</v>
      </c>
      <c r="F13" s="240">
        <f>'BENZENE-A16'!F42-'BENZENE-A16'!F71</f>
        <v>470</v>
      </c>
      <c r="G13" s="240">
        <f>'BENZENE-A16'!G42-'BENZENE-A16'!G71</f>
        <v>617</v>
      </c>
      <c r="H13" s="240">
        <f>'BENZENE-A16'!H42-'BENZENE-A16'!H71</f>
        <v>476</v>
      </c>
      <c r="I13" s="240">
        <f>'BENZENE-A16'!I42-'BENZENE-A16'!I71</f>
        <v>701</v>
      </c>
      <c r="J13" s="240">
        <f>'BENZENE-A16'!J42-'BENZENE-A16'!J71</f>
        <v>915</v>
      </c>
      <c r="K13" s="241">
        <f>'BENZENE-A16'!K42-'BENZENE-A16'!K71</f>
        <v>0</v>
      </c>
      <c r="L13" s="242">
        <f>'BENZENE-A16'!L42-'BENZENE-A16'!L71</f>
        <v>100</v>
      </c>
      <c r="M13" s="240">
        <f>'BENZENE-A16'!M42-'BENZENE-A16'!M71</f>
        <v>200</v>
      </c>
      <c r="N13" s="240">
        <f>'BENZENE-A16'!N42-'BENZENE-A16'!N71</f>
        <v>200</v>
      </c>
      <c r="O13" s="240">
        <f>'BENZENE-A16'!O42-'BENZENE-A16'!O71</f>
        <v>200</v>
      </c>
      <c r="P13" s="240">
        <f>'BENZENE-A16'!P42-'BENZENE-A16'!P71</f>
        <v>300</v>
      </c>
      <c r="Q13" s="243">
        <f>'BENZENE-A16'!Q42-'BENZENE-A16'!Q71</f>
        <v>300</v>
      </c>
    </row>
    <row r="14" spans="2:19" ht="18" hidden="1" customHeight="1">
      <c r="B14" s="16"/>
      <c r="C14" s="90" t="s">
        <v>306</v>
      </c>
      <c r="D14" s="239">
        <f>'BENZENE-A16'!D43-'BENZENE-A16'!D72</f>
        <v>0</v>
      </c>
      <c r="E14" s="240">
        <f>'BENZENE-A16'!E43-'BENZENE-A16'!E72</f>
        <v>0</v>
      </c>
      <c r="F14" s="240">
        <f>'BENZENE-A16'!F43-'BENZENE-A16'!F72</f>
        <v>0</v>
      </c>
      <c r="G14" s="240">
        <f>'BENZENE-A16'!G43-'BENZENE-A16'!G72</f>
        <v>0</v>
      </c>
      <c r="H14" s="240">
        <f>'BENZENE-A16'!H43-'BENZENE-A16'!H72</f>
        <v>0</v>
      </c>
      <c r="I14" s="240">
        <f>'BENZENE-A16'!I43-'BENZENE-A16'!I72</f>
        <v>0</v>
      </c>
      <c r="J14" s="240">
        <f>'BENZENE-A16'!J43-'BENZENE-A16'!J72</f>
        <v>0</v>
      </c>
      <c r="K14" s="241">
        <f>'BENZENE-A16'!K43-'BENZENE-A16'!K72</f>
        <v>0</v>
      </c>
      <c r="L14" s="242">
        <f>'BENZENE-A16'!L43-'BENZENE-A16'!L72</f>
        <v>0</v>
      </c>
      <c r="M14" s="240">
        <f>'BENZENE-A16'!M43-'BENZENE-A16'!M72</f>
        <v>0</v>
      </c>
      <c r="N14" s="240">
        <f>'BENZENE-A16'!N43-'BENZENE-A16'!N72</f>
        <v>0</v>
      </c>
      <c r="O14" s="240">
        <f>'BENZENE-A16'!O43-'BENZENE-A16'!O72</f>
        <v>0</v>
      </c>
      <c r="P14" s="240">
        <f>'BENZENE-A16'!P43-'BENZENE-A16'!P72</f>
        <v>0</v>
      </c>
      <c r="Q14" s="243">
        <f>'BENZENE-A16'!Q43-'BENZENE-A16'!Q72</f>
        <v>0</v>
      </c>
    </row>
    <row r="15" spans="2:19" ht="16.5" customHeight="1">
      <c r="B15" s="605" t="s">
        <v>440</v>
      </c>
      <c r="C15" s="606"/>
      <c r="D15" s="239">
        <f>'BENZENE-A16'!D44-'BENZENE-A16'!D73</f>
        <v>0</v>
      </c>
      <c r="E15" s="240">
        <f>'BENZENE-A16'!E44-'BENZENE-A16'!E73</f>
        <v>0</v>
      </c>
      <c r="F15" s="240">
        <f>'BENZENE-A16'!F44-'BENZENE-A16'!F73</f>
        <v>0</v>
      </c>
      <c r="G15" s="240">
        <f>'BENZENE-A16'!G44-'BENZENE-A16'!G73</f>
        <v>0</v>
      </c>
      <c r="H15" s="240">
        <f>'BENZENE-A16'!H44-'BENZENE-A16'!H73</f>
        <v>0</v>
      </c>
      <c r="I15" s="240">
        <f>'BENZENE-A16'!I44-'BENZENE-A16'!I73</f>
        <v>0</v>
      </c>
      <c r="J15" s="240">
        <f>'BENZENE-A16'!J44-'BENZENE-A16'!J73</f>
        <v>0</v>
      </c>
      <c r="K15" s="241">
        <f>'BENZENE-A16'!K44-'BENZENE-A16'!K73</f>
        <v>0</v>
      </c>
      <c r="L15" s="242">
        <f>'BENZENE-A16'!L44-'BENZENE-A16'!L73</f>
        <v>0</v>
      </c>
      <c r="M15" s="240">
        <f>'BENZENE-A16'!M44-'BENZENE-A16'!M73</f>
        <v>0</v>
      </c>
      <c r="N15" s="240">
        <f>'BENZENE-A16'!N44-'BENZENE-A16'!N73</f>
        <v>0</v>
      </c>
      <c r="O15" s="240">
        <f>'BENZENE-A16'!O44-'BENZENE-A16'!O73</f>
        <v>63</v>
      </c>
      <c r="P15" s="240">
        <f>'BENZENE-A16'!P44-'BENZENE-A16'!P73</f>
        <v>101</v>
      </c>
      <c r="Q15" s="243">
        <f>'BENZENE-A16'!Q44-'BENZENE-A16'!Q73</f>
        <v>101</v>
      </c>
    </row>
    <row r="16" spans="2:19" ht="16.5" customHeight="1">
      <c r="B16" s="605" t="s">
        <v>441</v>
      </c>
      <c r="C16" s="606"/>
      <c r="D16" s="239">
        <f>'BENZENE-A16'!D45-'BENZENE-A16'!D74</f>
        <v>75</v>
      </c>
      <c r="E16" s="240">
        <f>'BENZENE-A16'!E45-'BENZENE-A16'!E74</f>
        <v>64.237500000000011</v>
      </c>
      <c r="F16" s="240">
        <f>'BENZENE-A16'!F45-'BENZENE-A16'!F74</f>
        <v>64</v>
      </c>
      <c r="G16" s="240">
        <f>'BENZENE-A16'!G45-'BENZENE-A16'!G74</f>
        <v>95.668999999999983</v>
      </c>
      <c r="H16" s="240">
        <f>'BENZENE-A16'!H45-'BENZENE-A16'!H74</f>
        <v>50.567999999999984</v>
      </c>
      <c r="I16" s="240">
        <f>'BENZENE-A16'!I45-'BENZENE-A16'!I74</f>
        <v>120.37900000000002</v>
      </c>
      <c r="J16" s="240">
        <f>'BENZENE-A16'!J45-'BENZENE-A16'!J74</f>
        <v>136.005</v>
      </c>
      <c r="K16" s="241">
        <f>'BENZENE-A16'!K45-'BENZENE-A16'!K74</f>
        <v>94.230000000000018</v>
      </c>
      <c r="L16" s="242">
        <f>'BENZENE-A16'!L45-'BENZENE-A16'!L74</f>
        <v>169.40376800000001</v>
      </c>
      <c r="M16" s="240">
        <f>'BENZENE-A16'!M45-'BENZENE-A16'!M74</f>
        <v>166.15509200000002</v>
      </c>
      <c r="N16" s="240">
        <f>'BENZENE-A16'!N45-'BENZENE-A16'!N74</f>
        <v>351.10478499999999</v>
      </c>
      <c r="O16" s="240">
        <f>'BENZENE-A16'!O45-'BENZENE-A16'!O74</f>
        <v>362.93931299999997</v>
      </c>
      <c r="P16" s="240">
        <f>'BENZENE-A16'!P45-'BENZENE-A16'!P74</f>
        <v>374.79661899999996</v>
      </c>
      <c r="Q16" s="243">
        <f>'BENZENE-A16'!Q45-'BENZENE-A16'!Q74</f>
        <v>374.79661899999996</v>
      </c>
    </row>
    <row r="17" spans="2:17" ht="16.5" customHeight="1">
      <c r="B17" s="605" t="s">
        <v>442</v>
      </c>
      <c r="C17" s="606"/>
      <c r="D17" s="239">
        <f>'BENZENE-A16'!D46-'BENZENE-A16'!D75</f>
        <v>0</v>
      </c>
      <c r="E17" s="240">
        <f>'BENZENE-A16'!E46-'BENZENE-A16'!E75</f>
        <v>0</v>
      </c>
      <c r="F17" s="240">
        <f>'BENZENE-A16'!F46-'BENZENE-A16'!F75</f>
        <v>0</v>
      </c>
      <c r="G17" s="240">
        <f>'BENZENE-A16'!G46-'BENZENE-A16'!G75</f>
        <v>0</v>
      </c>
      <c r="H17" s="240">
        <f>'BENZENE-A16'!H46-'BENZENE-A16'!H75</f>
        <v>0</v>
      </c>
      <c r="I17" s="240">
        <f>'BENZENE-A16'!I46-'BENZENE-A16'!I75</f>
        <v>0</v>
      </c>
      <c r="J17" s="240">
        <f>'BENZENE-A16'!J46-'BENZENE-A16'!J75</f>
        <v>0</v>
      </c>
      <c r="K17" s="241">
        <f>'BENZENE-A16'!K46-'BENZENE-A16'!K75</f>
        <v>0</v>
      </c>
      <c r="L17" s="242">
        <f>'BENZENE-A16'!L46-'BENZENE-A16'!L75</f>
        <v>0</v>
      </c>
      <c r="M17" s="240">
        <f>'BENZENE-A16'!M46-'BENZENE-A16'!M75</f>
        <v>0</v>
      </c>
      <c r="N17" s="240">
        <f>'BENZENE-A16'!N46-'BENZENE-A16'!N75</f>
        <v>0</v>
      </c>
      <c r="O17" s="240">
        <f>'BENZENE-A16'!O46-'BENZENE-A16'!O75</f>
        <v>0</v>
      </c>
      <c r="P17" s="240">
        <f>'BENZENE-A16'!P46-'BENZENE-A16'!P75</f>
        <v>0</v>
      </c>
      <c r="Q17" s="243">
        <f>'BENZENE-A16'!Q46-'BENZENE-A16'!Q75</f>
        <v>0</v>
      </c>
    </row>
    <row r="18" spans="2:17" ht="16.5" customHeight="1">
      <c r="B18" s="607" t="s">
        <v>443</v>
      </c>
      <c r="C18" s="608"/>
      <c r="D18" s="239">
        <f>'BENZENE-A16'!D47-'BENZENE-A16'!D76</f>
        <v>272</v>
      </c>
      <c r="E18" s="240">
        <f>'BENZENE-A16'!E47-'BENZENE-A16'!E76</f>
        <v>187</v>
      </c>
      <c r="F18" s="240">
        <f>'BENZENE-A16'!F47-'BENZENE-A16'!F76</f>
        <v>344</v>
      </c>
      <c r="G18" s="240">
        <f>'BENZENE-A16'!G47-'BENZENE-A16'!G76</f>
        <v>646</v>
      </c>
      <c r="H18" s="240">
        <f>'BENZENE-A16'!H47-'BENZENE-A16'!H76</f>
        <v>571</v>
      </c>
      <c r="I18" s="240">
        <f>'BENZENE-A16'!I47-'BENZENE-A16'!I76</f>
        <v>326</v>
      </c>
      <c r="J18" s="240">
        <f>'BENZENE-A16'!J47-'BENZENE-A16'!J76</f>
        <v>827</v>
      </c>
      <c r="K18" s="241">
        <f>'BENZENE-A16'!K47-'BENZENE-A16'!K76</f>
        <v>601</v>
      </c>
      <c r="L18" s="242">
        <f>'BENZENE-A16'!L47-'BENZENE-A16'!L76</f>
        <v>640</v>
      </c>
      <c r="M18" s="240">
        <f>'BENZENE-A16'!M47-'BENZENE-A16'!M76</f>
        <v>640</v>
      </c>
      <c r="N18" s="240">
        <f>'BENZENE-A16'!N47-'BENZENE-A16'!N76</f>
        <v>640</v>
      </c>
      <c r="O18" s="240">
        <f>'BENZENE-A16'!O47-'BENZENE-A16'!O76</f>
        <v>640</v>
      </c>
      <c r="P18" s="240">
        <f>'BENZENE-A16'!P47-'BENZENE-A16'!P76</f>
        <v>640</v>
      </c>
      <c r="Q18" s="243">
        <f>'BENZENE-A16'!Q47-'BENZENE-A16'!Q76</f>
        <v>640</v>
      </c>
    </row>
    <row r="19" spans="2:17" ht="17.25" customHeight="1">
      <c r="B19" s="620" t="s">
        <v>307</v>
      </c>
      <c r="C19" s="621"/>
      <c r="D19" s="244">
        <f t="shared" ref="D19:K19" si="0">SUM(D7:D18)</f>
        <v>1392.4769999999999</v>
      </c>
      <c r="E19" s="245">
        <f t="shared" si="0"/>
        <v>1692.1904999999999</v>
      </c>
      <c r="F19" s="245">
        <f t="shared" si="0"/>
        <v>1761.153</v>
      </c>
      <c r="G19" s="245">
        <f t="shared" si="0"/>
        <v>1514.1179999999999</v>
      </c>
      <c r="H19" s="245">
        <f t="shared" si="0"/>
        <v>2054.0029999999997</v>
      </c>
      <c r="I19" s="245">
        <f t="shared" si="0"/>
        <v>2053.8339999999998</v>
      </c>
      <c r="J19" s="245">
        <f t="shared" si="0"/>
        <v>2581.0050000000001</v>
      </c>
      <c r="K19" s="246">
        <f t="shared" si="0"/>
        <v>452.12299999999982</v>
      </c>
      <c r="L19" s="247">
        <f t="shared" ref="L19:Q19" si="1">SUM(L7:L18)</f>
        <v>1099.3263590000001</v>
      </c>
      <c r="M19" s="245">
        <f t="shared" si="1"/>
        <v>888.56279700000005</v>
      </c>
      <c r="N19" s="245">
        <f t="shared" si="1"/>
        <v>818.10478500000011</v>
      </c>
      <c r="O19" s="245">
        <f t="shared" si="1"/>
        <v>888.54158299999995</v>
      </c>
      <c r="P19" s="245">
        <f t="shared" si="1"/>
        <v>634.94126899999992</v>
      </c>
      <c r="Q19" s="248">
        <f t="shared" si="1"/>
        <v>219.79661899999996</v>
      </c>
    </row>
    <row r="20" spans="2:17" ht="17.25" customHeight="1">
      <c r="B20" s="609" t="s">
        <v>308</v>
      </c>
      <c r="C20" s="610"/>
      <c r="D20" s="244">
        <f>'BENZENE-A16'!D49-'BENZENE-A16'!D78</f>
        <v>0</v>
      </c>
      <c r="E20" s="245">
        <f>'BENZENE-A16'!E49-'BENZENE-A16'!E78</f>
        <v>0</v>
      </c>
      <c r="F20" s="245">
        <f>'BENZENE-A16'!F49-'BENZENE-A16'!F78</f>
        <v>0</v>
      </c>
      <c r="G20" s="245">
        <f>'BENZENE-A16'!G49-'BENZENE-A16'!G78</f>
        <v>0</v>
      </c>
      <c r="H20" s="245">
        <f>'BENZENE-A16'!H49-'BENZENE-A16'!H78</f>
        <v>0</v>
      </c>
      <c r="I20" s="245">
        <f>'BENZENE-A16'!I49-'BENZENE-A16'!I78</f>
        <v>0</v>
      </c>
      <c r="J20" s="245">
        <f>'BENZENE-A16'!J49-'BENZENE-A16'!J78</f>
        <v>0</v>
      </c>
      <c r="K20" s="246">
        <f>'BENZENE-A16'!K49-'BENZENE-A16'!K78</f>
        <v>0</v>
      </c>
      <c r="L20" s="247">
        <f>'BENZENE-A16'!L49-'BENZENE-A16'!L78</f>
        <v>0</v>
      </c>
      <c r="M20" s="245">
        <f>'BENZENE-A16'!M49-'BENZENE-A16'!M78</f>
        <v>0</v>
      </c>
      <c r="N20" s="245">
        <f>'BENZENE-A16'!N49-'BENZENE-A16'!N78</f>
        <v>0</v>
      </c>
      <c r="O20" s="245">
        <f>'BENZENE-A16'!O49-'BENZENE-A16'!O78</f>
        <v>0</v>
      </c>
      <c r="P20" s="245">
        <f>'BENZENE-A16'!P49-'BENZENE-A16'!P78</f>
        <v>0</v>
      </c>
      <c r="Q20" s="248">
        <f>'BENZENE-A16'!Q49-'BENZENE-A16'!Q78</f>
        <v>0</v>
      </c>
    </row>
    <row r="21" spans="2:17" ht="16.5" customHeight="1">
      <c r="B21" s="105"/>
      <c r="C21" s="97" t="s">
        <v>309</v>
      </c>
      <c r="D21" s="244">
        <f>'BENZENE-A16'!D50-'BENZENE-A16'!D79</f>
        <v>0</v>
      </c>
      <c r="E21" s="245">
        <f>'BENZENE-A16'!E50-'BENZENE-A16'!E79</f>
        <v>0</v>
      </c>
      <c r="F21" s="245">
        <f>'BENZENE-A16'!F50-'BENZENE-A16'!F79</f>
        <v>0</v>
      </c>
      <c r="G21" s="245">
        <f>'BENZENE-A16'!G50-'BENZENE-A16'!G79</f>
        <v>0</v>
      </c>
      <c r="H21" s="245">
        <f>'BENZENE-A16'!H50-'BENZENE-A16'!H79</f>
        <v>0</v>
      </c>
      <c r="I21" s="245">
        <f>'BENZENE-A16'!I50-'BENZENE-A16'!I79</f>
        <v>0</v>
      </c>
      <c r="J21" s="245">
        <f>'BENZENE-A16'!J50-'BENZENE-A16'!J79</f>
        <v>0</v>
      </c>
      <c r="K21" s="246">
        <f>'BENZENE-A16'!K50-'BENZENE-A16'!K79</f>
        <v>0</v>
      </c>
      <c r="L21" s="247">
        <f>'BENZENE-A16'!L50-'BENZENE-A16'!L79</f>
        <v>0</v>
      </c>
      <c r="M21" s="245">
        <f>'BENZENE-A16'!M50-'BENZENE-A16'!M79</f>
        <v>0</v>
      </c>
      <c r="N21" s="245">
        <f>'BENZENE-A16'!N50-'BENZENE-A16'!N79</f>
        <v>0</v>
      </c>
      <c r="O21" s="245">
        <f>'BENZENE-A16'!O50-'BENZENE-A16'!O79</f>
        <v>0</v>
      </c>
      <c r="P21" s="245">
        <f>'BENZENE-A16'!P50-'BENZENE-A16'!P79</f>
        <v>0</v>
      </c>
      <c r="Q21" s="248">
        <f>'BENZENE-A16'!Q50-'BENZENE-A16'!Q79</f>
        <v>0</v>
      </c>
    </row>
    <row r="22" spans="2:17" ht="17.25" customHeight="1">
      <c r="B22" s="609" t="s">
        <v>310</v>
      </c>
      <c r="C22" s="610"/>
      <c r="D22" s="239">
        <f>'BENZENE-A16'!D51-'BENZENE-A16'!D80</f>
        <v>-359</v>
      </c>
      <c r="E22" s="240">
        <f>'BENZENE-A16'!E51-'BENZENE-A16'!E80</f>
        <v>-592</v>
      </c>
      <c r="F22" s="240">
        <f>'BENZENE-A16'!F51-'BENZENE-A16'!F80</f>
        <v>-398</v>
      </c>
      <c r="G22" s="240">
        <f>'BENZENE-A16'!G51-'BENZENE-A16'!G80</f>
        <v>-373</v>
      </c>
      <c r="H22" s="240">
        <f>'BENZENE-A16'!H51-'BENZENE-A16'!H80</f>
        <v>-600.46484700000019</v>
      </c>
      <c r="I22" s="240">
        <f>'BENZENE-A16'!I51-'BENZENE-A16'!I80</f>
        <v>-542</v>
      </c>
      <c r="J22" s="240">
        <f>'BENZENE-A16'!J51-'BENZENE-A16'!J80</f>
        <v>-790.13086999999996</v>
      </c>
      <c r="K22" s="241">
        <f>'BENZENE-A16'!K51-'BENZENE-A16'!K80</f>
        <v>-673</v>
      </c>
      <c r="L22" s="242">
        <f>'BENZENE-A16'!L51-'BENZENE-A16'!L80</f>
        <v>-493.11923699999988</v>
      </c>
      <c r="M22" s="240">
        <f>'BENZENE-A16'!M51-'BENZENE-A16'!M80</f>
        <v>-489.79370800000015</v>
      </c>
      <c r="N22" s="240">
        <f>'BENZENE-A16'!N51-'BENZENE-A16'!N80</f>
        <v>-709.43608800000038</v>
      </c>
      <c r="O22" s="240">
        <f>'BENZENE-A16'!O51-'BENZENE-A16'!O80</f>
        <v>-884.2340009999989</v>
      </c>
      <c r="P22" s="240">
        <f>'BENZENE-A16'!P51-'BENZENE-A16'!P80</f>
        <v>-854.6331739999996</v>
      </c>
      <c r="Q22" s="243">
        <f>'BENZENE-A16'!Q51-'BENZENE-A16'!Q80</f>
        <v>-826.13405599999987</v>
      </c>
    </row>
    <row r="23" spans="2:17" ht="16.5" customHeight="1">
      <c r="B23" s="105"/>
      <c r="C23" s="615" t="s">
        <v>311</v>
      </c>
      <c r="D23" s="244">
        <f>'BENZENE-A16'!D52-'BENZENE-A16'!D81</f>
        <v>-476</v>
      </c>
      <c r="E23" s="245">
        <f>'BENZENE-A16'!E52-'BENZENE-A16'!E81</f>
        <v>-908</v>
      </c>
      <c r="F23" s="245">
        <f>'BENZENE-A16'!F52-'BENZENE-A16'!F81</f>
        <v>-630</v>
      </c>
      <c r="G23" s="245">
        <f>'BENZENE-A16'!G52-'BENZENE-A16'!G81</f>
        <v>-667</v>
      </c>
      <c r="H23" s="245">
        <f>'BENZENE-A16'!H52-'BENZENE-A16'!H81</f>
        <v>-898.68022699999983</v>
      </c>
      <c r="I23" s="245">
        <f>'BENZENE-A16'!I52-'BENZENE-A16'!I81</f>
        <v>-919</v>
      </c>
      <c r="J23" s="245">
        <f>'BENZENE-A16'!J52-'BENZENE-A16'!J81</f>
        <v>-1161.13087</v>
      </c>
      <c r="K23" s="246">
        <f>'BENZENE-A16'!K52-'BENZENE-A16'!K81</f>
        <v>-1067</v>
      </c>
      <c r="L23" s="247">
        <f>'BENZENE-A16'!L52-'BENZENE-A16'!L81</f>
        <v>-891.80570100000023</v>
      </c>
      <c r="M23" s="245">
        <f>'BENZENE-A16'!M52-'BENZENE-A16'!M81</f>
        <v>-885.82583299999988</v>
      </c>
      <c r="N23" s="245">
        <f>'BENZENE-A16'!N52-'BENZENE-A16'!N81</f>
        <v>-1075.446019</v>
      </c>
      <c r="O23" s="245">
        <f>'BENZENE-A16'!O52-'BENZENE-A16'!O81</f>
        <v>-1245.2786299999998</v>
      </c>
      <c r="P23" s="245">
        <f>'BENZENE-A16'!P52-'BENZENE-A16'!P81</f>
        <v>-1237.483843</v>
      </c>
      <c r="Q23" s="248">
        <f>'BENZENE-A16'!Q52-'BENZENE-A16'!Q81</f>
        <v>-1206.223387</v>
      </c>
    </row>
    <row r="24" spans="2:17" ht="17.25" customHeight="1">
      <c r="B24" s="609" t="s">
        <v>312</v>
      </c>
      <c r="C24" s="610"/>
      <c r="D24" s="239">
        <f>'BENZENE-A16'!D53-'BENZENE-A16'!D82</f>
        <v>161</v>
      </c>
      <c r="E24" s="240">
        <f>'BENZENE-A16'!E53-'BENZENE-A16'!E82</f>
        <v>146</v>
      </c>
      <c r="F24" s="240">
        <f>'BENZENE-A16'!F53-'BENZENE-A16'!F82</f>
        <v>136</v>
      </c>
      <c r="G24" s="240">
        <f>'BENZENE-A16'!G53-'BENZENE-A16'!G82</f>
        <v>186</v>
      </c>
      <c r="H24" s="240">
        <f>'BENZENE-A16'!H53-'BENZENE-A16'!H82</f>
        <v>48</v>
      </c>
      <c r="I24" s="240">
        <f>'BENZENE-A16'!I53-'BENZENE-A16'!I82</f>
        <v>-20</v>
      </c>
      <c r="J24" s="240">
        <f>'BENZENE-A16'!J53-'BENZENE-A16'!J82</f>
        <v>35</v>
      </c>
      <c r="K24" s="241">
        <f>'BENZENE-A16'!K53-'BENZENE-A16'!K82</f>
        <v>129</v>
      </c>
      <c r="L24" s="242">
        <f>'BENZENE-A16'!L53-'BENZENE-A16'!L82</f>
        <v>238</v>
      </c>
      <c r="M24" s="240">
        <f>'BENZENE-A16'!M53-'BENZENE-A16'!M82</f>
        <v>433</v>
      </c>
      <c r="N24" s="240">
        <f>'BENZENE-A16'!N53-'BENZENE-A16'!N82</f>
        <v>552</v>
      </c>
      <c r="O24" s="240">
        <f>'BENZENE-A16'!O53-'BENZENE-A16'!O82</f>
        <v>640</v>
      </c>
      <c r="P24" s="240">
        <f>'BENZENE-A16'!P53-'BENZENE-A16'!P82</f>
        <v>728</v>
      </c>
      <c r="Q24" s="243">
        <f>'BENZENE-A16'!Q53-'BENZENE-A16'!Q82</f>
        <v>780</v>
      </c>
    </row>
    <row r="25" spans="2:17" ht="16.5" customHeight="1">
      <c r="B25" s="16"/>
      <c r="C25" s="615" t="s">
        <v>313</v>
      </c>
      <c r="D25" s="244">
        <f>'BENZENE-A16'!D54-'BENZENE-A16'!D83</f>
        <v>0</v>
      </c>
      <c r="E25" s="245">
        <f>'BENZENE-A16'!E54-'BENZENE-A16'!E83</f>
        <v>-176</v>
      </c>
      <c r="F25" s="245">
        <f>'BENZENE-A16'!F54-'BENZENE-A16'!F83</f>
        <v>-212</v>
      </c>
      <c r="G25" s="245">
        <f>'BENZENE-A16'!G54-'BENZENE-A16'!G83</f>
        <v>-194</v>
      </c>
      <c r="H25" s="245">
        <f>'BENZENE-A16'!H54-'BENZENE-A16'!H83</f>
        <v>-160</v>
      </c>
      <c r="I25" s="245">
        <f>'BENZENE-A16'!I54-'BENZENE-A16'!I83</f>
        <v>-411</v>
      </c>
      <c r="J25" s="245">
        <f>'BENZENE-A16'!J54-'BENZENE-A16'!J83</f>
        <v>-368</v>
      </c>
      <c r="K25" s="246">
        <f>'BENZENE-A16'!K54-'BENZENE-A16'!K83</f>
        <v>-305</v>
      </c>
      <c r="L25" s="247">
        <f>'BENZENE-A16'!L54-'BENZENE-A16'!L83</f>
        <v>-198</v>
      </c>
      <c r="M25" s="245">
        <f>'BENZENE-A16'!M54-'BENZENE-A16'!M83</f>
        <v>-93</v>
      </c>
      <c r="N25" s="245">
        <f>'BENZENE-A16'!N54-'BENZENE-A16'!N83</f>
        <v>-6</v>
      </c>
      <c r="O25" s="245">
        <f>'BENZENE-A16'!O54-'BENZENE-A16'!O83</f>
        <v>29</v>
      </c>
      <c r="P25" s="245">
        <f>'BENZENE-A16'!P54-'BENZENE-A16'!P83</f>
        <v>67</v>
      </c>
      <c r="Q25" s="248">
        <f>'BENZENE-A16'!Q54-'BENZENE-A16'!Q83</f>
        <v>-22</v>
      </c>
    </row>
    <row r="26" spans="2:17" ht="17.25" customHeight="1">
      <c r="B26" s="620" t="s">
        <v>314</v>
      </c>
      <c r="C26" s="621"/>
      <c r="D26" s="244">
        <f>'BENZENE-A16'!D55-'BENZENE-A16'!D84</f>
        <v>35</v>
      </c>
      <c r="E26" s="245">
        <f>'BENZENE-A16'!E55-'BENZENE-A16'!E84</f>
        <v>35</v>
      </c>
      <c r="F26" s="245">
        <f>'BENZENE-A16'!F55-'BENZENE-A16'!F84</f>
        <v>35</v>
      </c>
      <c r="G26" s="245">
        <f>'BENZENE-A16'!G55-'BENZENE-A16'!G84</f>
        <v>40</v>
      </c>
      <c r="H26" s="245">
        <f>'BENZENE-A16'!H55-'BENZENE-A16'!H84</f>
        <v>90</v>
      </c>
      <c r="I26" s="245">
        <f>'BENZENE-A16'!I55-'BENZENE-A16'!I84</f>
        <v>58</v>
      </c>
      <c r="J26" s="245">
        <f>'BENZENE-A16'!J55-'BENZENE-A16'!J84</f>
        <v>66</v>
      </c>
      <c r="K26" s="246">
        <f>'BENZENE-A16'!K55-'BENZENE-A16'!K84</f>
        <v>96</v>
      </c>
      <c r="L26" s="247">
        <f>'BENZENE-A16'!L55-'BENZENE-A16'!L84</f>
        <v>132</v>
      </c>
      <c r="M26" s="245">
        <f>'BENZENE-A16'!M55-'BENZENE-A16'!M84</f>
        <v>132</v>
      </c>
      <c r="N26" s="245">
        <f>'BENZENE-A16'!N55-'BENZENE-A16'!N84</f>
        <v>132</v>
      </c>
      <c r="O26" s="245">
        <f>'BENZENE-A16'!O55-'BENZENE-A16'!O84</f>
        <v>198</v>
      </c>
      <c r="P26" s="245">
        <f>'BENZENE-A16'!P55-'BENZENE-A16'!P84</f>
        <v>244</v>
      </c>
      <c r="Q26" s="248">
        <f>'BENZENE-A16'!Q55-'BENZENE-A16'!Q84</f>
        <v>260</v>
      </c>
    </row>
    <row r="27" spans="2:17" ht="17.25" customHeight="1">
      <c r="B27" s="620" t="s">
        <v>315</v>
      </c>
      <c r="C27" s="621"/>
      <c r="D27" s="244">
        <f>'BENZENE-A16'!D56-'BENZENE-A16'!D85</f>
        <v>6</v>
      </c>
      <c r="E27" s="245">
        <f>'BENZENE-A16'!E56-'BENZENE-A16'!E85</f>
        <v>-38</v>
      </c>
      <c r="F27" s="245">
        <f>'BENZENE-A16'!F56-'BENZENE-A16'!F85</f>
        <v>-3.2000000000000455</v>
      </c>
      <c r="G27" s="245">
        <f>'BENZENE-A16'!G56-'BENZENE-A16'!G85</f>
        <v>36</v>
      </c>
      <c r="H27" s="245">
        <f>'BENZENE-A16'!H56-'BENZENE-A16'!H85</f>
        <v>69</v>
      </c>
      <c r="I27" s="245">
        <f>'BENZENE-A16'!I56-'BENZENE-A16'!I85</f>
        <v>30</v>
      </c>
      <c r="J27" s="245">
        <f>'BENZENE-A16'!J56-'BENZENE-A16'!J85</f>
        <v>-20</v>
      </c>
      <c r="K27" s="246">
        <f>'BENZENE-A16'!K56-'BENZENE-A16'!K85</f>
        <v>137</v>
      </c>
      <c r="L27" s="247">
        <f>'BENZENE-A16'!L56-'BENZENE-A16'!L85</f>
        <v>139.19200000000001</v>
      </c>
      <c r="M27" s="245">
        <f>'BENZENE-A16'!M56-'BENZENE-A16'!M85</f>
        <v>136.95375199999989</v>
      </c>
      <c r="N27" s="245">
        <f>'BENZENE-A16'!N56-'BENZENE-A16'!N85</f>
        <v>137.63722231199995</v>
      </c>
      <c r="O27" s="245">
        <f>'BENZENE-A16'!O56-'BENZENE-A16'!O85</f>
        <v>138.30901130319194</v>
      </c>
      <c r="P27" s="245">
        <f>'BENZENE-A16'!P56-'BENZENE-A16'!P85</f>
        <v>138.96859281975571</v>
      </c>
      <c r="Q27" s="248">
        <f>'BENZENE-A16'!Q56-'BENZENE-A16'!Q85</f>
        <v>148.31305081507412</v>
      </c>
    </row>
    <row r="28" spans="2:17" ht="16.5" customHeight="1">
      <c r="B28" s="609" t="s">
        <v>316</v>
      </c>
      <c r="C28" s="610"/>
      <c r="D28" s="239">
        <f>'BENZENE-A16'!D57-'BENZENE-A16'!D86</f>
        <v>-1325</v>
      </c>
      <c r="E28" s="240">
        <f>'BENZENE-A16'!E57-'BENZENE-A16'!E86</f>
        <v>-593</v>
      </c>
      <c r="F28" s="240">
        <f>'BENZENE-A16'!F57-'BENZENE-A16'!F86</f>
        <v>-1030</v>
      </c>
      <c r="G28" s="240">
        <f>'BENZENE-A16'!G57-'BENZENE-A16'!G86</f>
        <v>-1370</v>
      </c>
      <c r="H28" s="240">
        <f>'BENZENE-A16'!H57-'BENZENE-A16'!H86</f>
        <v>-1627</v>
      </c>
      <c r="I28" s="240">
        <f>'BENZENE-A16'!I57-'BENZENE-A16'!I86</f>
        <v>-2023</v>
      </c>
      <c r="J28" s="240">
        <f>'BENZENE-A16'!J57-'BENZENE-A16'!J86</f>
        <v>-2336</v>
      </c>
      <c r="K28" s="241">
        <f>'BENZENE-A16'!K57-'BENZENE-A16'!K86</f>
        <v>-2439.3000000000002</v>
      </c>
      <c r="L28" s="242">
        <f>'BENZENE-A16'!L57-'BENZENE-A16'!L86</f>
        <v>-2136.3000000000002</v>
      </c>
      <c r="M28" s="240">
        <f>'BENZENE-A16'!M57-'BENZENE-A16'!M86</f>
        <v>-2145.3000000000002</v>
      </c>
      <c r="N28" s="240">
        <f>'BENZENE-A16'!N57-'BENZENE-A16'!N86</f>
        <v>-2216.3000000000002</v>
      </c>
      <c r="O28" s="240">
        <f>'BENZENE-A16'!O57-'BENZENE-A16'!O86</f>
        <v>-2276.3000000000002</v>
      </c>
      <c r="P28" s="240">
        <f>'BENZENE-A16'!P57-'BENZENE-A16'!P86</f>
        <v>-2300.3000000000002</v>
      </c>
      <c r="Q28" s="243">
        <f>'BENZENE-A16'!Q57-'BENZENE-A16'!Q86</f>
        <v>-2558</v>
      </c>
    </row>
    <row r="29" spans="2:17" ht="16.5" customHeight="1">
      <c r="B29" s="607" t="s">
        <v>317</v>
      </c>
      <c r="C29" s="608"/>
      <c r="D29" s="239">
        <f>'BENZENE-A16'!D58-'BENZENE-A16'!D87</f>
        <v>83</v>
      </c>
      <c r="E29" s="240">
        <f>'BENZENE-A16'!E58-'BENZENE-A16'!E87</f>
        <v>134.39999999999998</v>
      </c>
      <c r="F29" s="240">
        <f>'BENZENE-A16'!F58-'BENZENE-A16'!F87</f>
        <v>129.39999999999998</v>
      </c>
      <c r="G29" s="240">
        <f>'BENZENE-A16'!G58-'BENZENE-A16'!G87</f>
        <v>124.39999999999998</v>
      </c>
      <c r="H29" s="240">
        <f>'BENZENE-A16'!H58-'BENZENE-A16'!H87</f>
        <v>110.39999999999998</v>
      </c>
      <c r="I29" s="240">
        <f>'BENZENE-A16'!I58-'BENZENE-A16'!I87</f>
        <v>104.39999999999998</v>
      </c>
      <c r="J29" s="240">
        <f>'BENZENE-A16'!J58-'BENZENE-A16'!J87</f>
        <v>97.399999999999977</v>
      </c>
      <c r="K29" s="241">
        <f>'BENZENE-A16'!K58-'BENZENE-A16'!K87</f>
        <v>80.399999999999977</v>
      </c>
      <c r="L29" s="242">
        <f>'BENZENE-A16'!L58-'BENZENE-A16'!L87</f>
        <v>66.399999999999977</v>
      </c>
      <c r="M29" s="240">
        <f>'BENZENE-A16'!M58-'BENZENE-A16'!M87</f>
        <v>54.399999999999977</v>
      </c>
      <c r="N29" s="240">
        <f>'BENZENE-A16'!N58-'BENZENE-A16'!N87</f>
        <v>44.399999999999977</v>
      </c>
      <c r="O29" s="240">
        <f>'BENZENE-A16'!O58-'BENZENE-A16'!O87</f>
        <v>33.399999999999977</v>
      </c>
      <c r="P29" s="240">
        <f>'BENZENE-A16'!P58-'BENZENE-A16'!P87</f>
        <v>22.399999999999977</v>
      </c>
      <c r="Q29" s="243">
        <f>'BENZENE-A16'!Q58-'BENZENE-A16'!Q87</f>
        <v>33</v>
      </c>
    </row>
    <row r="30" spans="2:17" ht="17.25" customHeight="1">
      <c r="B30" s="620" t="s">
        <v>318</v>
      </c>
      <c r="C30" s="621"/>
      <c r="D30" s="244">
        <f t="shared" ref="D30:K30" si="2">SUM(D28:D29)</f>
        <v>-1242</v>
      </c>
      <c r="E30" s="245">
        <f t="shared" si="2"/>
        <v>-458.6</v>
      </c>
      <c r="F30" s="245">
        <f t="shared" si="2"/>
        <v>-900.6</v>
      </c>
      <c r="G30" s="245">
        <f t="shared" si="2"/>
        <v>-1245.5999999999999</v>
      </c>
      <c r="H30" s="245">
        <f t="shared" si="2"/>
        <v>-1516.6</v>
      </c>
      <c r="I30" s="245">
        <f t="shared" si="2"/>
        <v>-1918.6</v>
      </c>
      <c r="J30" s="245">
        <f t="shared" si="2"/>
        <v>-2238.6</v>
      </c>
      <c r="K30" s="246">
        <f t="shared" si="2"/>
        <v>-2358.9</v>
      </c>
      <c r="L30" s="247">
        <f t="shared" ref="L30:Q30" si="3">SUM(L28:L29)</f>
        <v>-2069.9</v>
      </c>
      <c r="M30" s="245">
        <f t="shared" si="3"/>
        <v>-2090.9</v>
      </c>
      <c r="N30" s="245">
        <f t="shared" si="3"/>
        <v>-2171.9</v>
      </c>
      <c r="O30" s="245">
        <f t="shared" si="3"/>
        <v>-2242.9</v>
      </c>
      <c r="P30" s="245">
        <f t="shared" si="3"/>
        <v>-2277.9</v>
      </c>
      <c r="Q30" s="248">
        <f t="shared" si="3"/>
        <v>-2525</v>
      </c>
    </row>
    <row r="31" spans="2:17" ht="16.5" customHeight="1">
      <c r="B31" s="609" t="s">
        <v>319</v>
      </c>
      <c r="C31" s="610"/>
      <c r="D31" s="239">
        <f>'BENZENE-A16'!D60-'BENZENE-A16'!D89</f>
        <v>47</v>
      </c>
      <c r="E31" s="240">
        <f>'BENZENE-A16'!E60-'BENZENE-A16'!E89</f>
        <v>47</v>
      </c>
      <c r="F31" s="240">
        <f>'BENZENE-A16'!F60-'BENZENE-A16'!F89</f>
        <v>-45</v>
      </c>
      <c r="G31" s="240">
        <f>'BENZENE-A16'!G60-'BENZENE-A16'!G89</f>
        <v>4</v>
      </c>
      <c r="H31" s="240">
        <f>'BENZENE-A16'!H60-'BENZENE-A16'!H89</f>
        <v>44</v>
      </c>
      <c r="I31" s="240">
        <f>'BENZENE-A16'!I60-'BENZENE-A16'!I89</f>
        <v>7</v>
      </c>
      <c r="J31" s="240">
        <f>'BENZENE-A16'!J60-'BENZENE-A16'!J89</f>
        <v>0</v>
      </c>
      <c r="K31" s="241">
        <f>'BENZENE-A16'!K60-'BENZENE-A16'!K89</f>
        <v>-2</v>
      </c>
      <c r="L31" s="242">
        <f>'BENZENE-A16'!L60-'BENZENE-A16'!L89</f>
        <v>-4</v>
      </c>
      <c r="M31" s="240">
        <f>'BENZENE-A16'!M60-'BENZENE-A16'!M89</f>
        <v>-6</v>
      </c>
      <c r="N31" s="240">
        <f>'BENZENE-A16'!N60-'BENZENE-A16'!N89</f>
        <v>-8</v>
      </c>
      <c r="O31" s="240">
        <f>'BENZENE-A16'!O60-'BENZENE-A16'!O89</f>
        <v>-11</v>
      </c>
      <c r="P31" s="240">
        <f>'BENZENE-A16'!P60-'BENZENE-A16'!P89</f>
        <v>-14</v>
      </c>
      <c r="Q31" s="243">
        <f>'BENZENE-A16'!Q60-'BENZENE-A16'!Q89</f>
        <v>-17</v>
      </c>
    </row>
    <row r="32" spans="2:17" ht="16.5" customHeight="1">
      <c r="B32" s="605" t="s">
        <v>320</v>
      </c>
      <c r="C32" s="606"/>
      <c r="D32" s="239">
        <f>'BENZENE-A16'!D61-'BENZENE-A16'!D90</f>
        <v>230</v>
      </c>
      <c r="E32" s="240">
        <f>'BENZENE-A16'!E61-'BENZENE-A16'!E90</f>
        <v>224</v>
      </c>
      <c r="F32" s="240">
        <f>'BENZENE-A16'!F61-'BENZENE-A16'!F90</f>
        <v>113</v>
      </c>
      <c r="G32" s="240">
        <f>'BENZENE-A16'!G61-'BENZENE-A16'!G90</f>
        <v>276</v>
      </c>
      <c r="H32" s="240">
        <f>'BENZENE-A16'!H61-'BENZENE-A16'!H90</f>
        <v>198</v>
      </c>
      <c r="I32" s="240">
        <f>'BENZENE-A16'!I61-'BENZENE-A16'!I90</f>
        <v>238</v>
      </c>
      <c r="J32" s="240">
        <f>'BENZENE-A16'!J61-'BENZENE-A16'!J90</f>
        <v>212</v>
      </c>
      <c r="K32" s="241">
        <f>'BENZENE-A16'!K61-'BENZENE-A16'!K90</f>
        <v>200</v>
      </c>
      <c r="L32" s="242">
        <f>'BENZENE-A16'!L61-'BENZENE-A16'!L90</f>
        <v>188</v>
      </c>
      <c r="M32" s="240">
        <f>'BENZENE-A16'!M61-'BENZENE-A16'!M90</f>
        <v>174</v>
      </c>
      <c r="N32" s="240">
        <f>'BENZENE-A16'!N61-'BENZENE-A16'!N90</f>
        <v>161</v>
      </c>
      <c r="O32" s="240">
        <f>'BENZENE-A16'!O61-'BENZENE-A16'!O90</f>
        <v>147</v>
      </c>
      <c r="P32" s="240">
        <f>'BENZENE-A16'!P61-'BENZENE-A16'!P90</f>
        <v>133</v>
      </c>
      <c r="Q32" s="243">
        <f>'BENZENE-A16'!Q61-'BENZENE-A16'!Q90</f>
        <v>123</v>
      </c>
    </row>
    <row r="33" spans="2:17" ht="16.5" customHeight="1">
      <c r="B33" s="607" t="s">
        <v>321</v>
      </c>
      <c r="C33" s="608"/>
      <c r="D33" s="239">
        <f>'BENZENE-A16'!D62-'BENZENE-A16'!D91</f>
        <v>54.400000000000006</v>
      </c>
      <c r="E33" s="240">
        <f>'BENZENE-A16'!E62-'BENZENE-A16'!E91</f>
        <v>32.400000000000006</v>
      </c>
      <c r="F33" s="240">
        <f>'BENZENE-A16'!F62-'BENZENE-A16'!F91</f>
        <v>27.400000000000006</v>
      </c>
      <c r="G33" s="240">
        <f>'BENZENE-A16'!G62-'BENZENE-A16'!G91</f>
        <v>20.400000000000006</v>
      </c>
      <c r="H33" s="240">
        <f>'BENZENE-A16'!H62-'BENZENE-A16'!H91</f>
        <v>17.400000000000006</v>
      </c>
      <c r="I33" s="240">
        <f>'BENZENE-A16'!I62-'BENZENE-A16'!I91</f>
        <v>12.400000000000006</v>
      </c>
      <c r="J33" s="240">
        <f>'BENZENE-A16'!J62-'BENZENE-A16'!J91</f>
        <v>13</v>
      </c>
      <c r="K33" s="241">
        <f>'BENZENE-A16'!K62-'BENZENE-A16'!K91</f>
        <v>10.400000000000006</v>
      </c>
      <c r="L33" s="242">
        <f>'BENZENE-A16'!L62-'BENZENE-A16'!L91</f>
        <v>7.4000000000000057</v>
      </c>
      <c r="M33" s="240">
        <f>'BENZENE-A16'!M62-'BENZENE-A16'!M91</f>
        <v>2.4000000000000057</v>
      </c>
      <c r="N33" s="240">
        <f>'BENZENE-A16'!N62-'BENZENE-A16'!N91</f>
        <v>-4.5999999999999943</v>
      </c>
      <c r="O33" s="240">
        <f>'BENZENE-A16'!O62-'BENZENE-A16'!O91</f>
        <v>-11.599999999999994</v>
      </c>
      <c r="P33" s="240">
        <f>'BENZENE-A16'!P62-'BENZENE-A16'!P91</f>
        <v>-18.599999999999994</v>
      </c>
      <c r="Q33" s="243">
        <f>'BENZENE-A16'!Q62-'BENZENE-A16'!Q91</f>
        <v>-27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331.4</v>
      </c>
      <c r="E34" s="250">
        <f t="shared" si="4"/>
        <v>303.39999999999998</v>
      </c>
      <c r="F34" s="250">
        <f t="shared" si="4"/>
        <v>95.4</v>
      </c>
      <c r="G34" s="250">
        <f t="shared" si="4"/>
        <v>300.39999999999998</v>
      </c>
      <c r="H34" s="250">
        <f t="shared" si="4"/>
        <v>259.39999999999998</v>
      </c>
      <c r="I34" s="250">
        <f t="shared" si="4"/>
        <v>257.39999999999998</v>
      </c>
      <c r="J34" s="250">
        <f t="shared" si="4"/>
        <v>225</v>
      </c>
      <c r="K34" s="251">
        <f t="shared" si="4"/>
        <v>208.4</v>
      </c>
      <c r="L34" s="252">
        <f t="shared" ref="L34:Q34" si="5">SUM(L31:L33)</f>
        <v>191.4</v>
      </c>
      <c r="M34" s="250">
        <f t="shared" si="5"/>
        <v>170.4</v>
      </c>
      <c r="N34" s="250">
        <f t="shared" si="5"/>
        <v>148.4</v>
      </c>
      <c r="O34" s="250">
        <f t="shared" si="5"/>
        <v>124.4</v>
      </c>
      <c r="P34" s="250">
        <f t="shared" si="5"/>
        <v>100.4</v>
      </c>
      <c r="Q34" s="253">
        <f t="shared" si="5"/>
        <v>79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324.87699999999984</v>
      </c>
      <c r="E35" s="171">
        <f t="shared" ref="E35:Q35" si="6">SUM(E19+E20+E22+E24+E26+E27+E30+E34)</f>
        <v>1087.9904999999999</v>
      </c>
      <c r="F35" s="171">
        <f t="shared" si="6"/>
        <v>725.75299999999993</v>
      </c>
      <c r="G35" s="171">
        <f t="shared" si="6"/>
        <v>457.91800000000001</v>
      </c>
      <c r="H35" s="171">
        <f t="shared" si="6"/>
        <v>403.33815299999958</v>
      </c>
      <c r="I35" s="171">
        <f t="shared" si="6"/>
        <v>-81.366000000000099</v>
      </c>
      <c r="J35" s="171">
        <f t="shared" si="6"/>
        <v>-141.72586999999976</v>
      </c>
      <c r="K35" s="173">
        <f t="shared" si="6"/>
        <v>-2009.377</v>
      </c>
      <c r="L35" s="172">
        <f t="shared" si="6"/>
        <v>-763.10087799999985</v>
      </c>
      <c r="M35" s="171">
        <f t="shared" si="6"/>
        <v>-819.77715900000032</v>
      </c>
      <c r="N35" s="171">
        <f t="shared" si="6"/>
        <v>-1093.1940806880002</v>
      </c>
      <c r="O35" s="171">
        <f t="shared" si="6"/>
        <v>-1137.883406696807</v>
      </c>
      <c r="P35" s="171">
        <f t="shared" si="6"/>
        <v>-1286.223312180244</v>
      </c>
      <c r="Q35" s="174">
        <f t="shared" si="6"/>
        <v>-1864.0243861849258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14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IF('BENZENE-A16'!D7=0,"    -",ROUND('BENZENE-A16'!D36/'BENZENE-A16'!D7*100,1))</f>
        <v>100.5</v>
      </c>
      <c r="E43" s="58">
        <f>IF('BENZENE-A16'!E7=0,"    -",ROUND('BENZENE-A16'!E36/'BENZENE-A16'!E7*100,1))</f>
        <v>93.1</v>
      </c>
      <c r="F43" s="58">
        <f>IF('BENZENE-A16'!F7=0,"    -",ROUND('BENZENE-A16'!F36/'BENZENE-A16'!F7*100,1))</f>
        <v>92.2</v>
      </c>
      <c r="G43" s="58">
        <f>IF('BENZENE-A16'!G7=0,"    -",ROUND('BENZENE-A16'!G36/'BENZENE-A16'!G7*100,1))</f>
        <v>93.6</v>
      </c>
      <c r="H43" s="58">
        <f>IF('BENZENE-A16'!H7=0,"    -",ROUND('BENZENE-A16'!H36/'BENZENE-A16'!H7*100,1))</f>
        <v>94.7</v>
      </c>
      <c r="I43" s="58">
        <f>IF('BENZENE-A16'!I7=0,"    -",ROUND('BENZENE-A16'!I36/'BENZENE-A16'!I7*100,1))</f>
        <v>93.1</v>
      </c>
      <c r="J43" s="58">
        <f>IF('BENZENE-A16'!J7=0,"    -",ROUND('BENZENE-A16'!J36/'BENZENE-A16'!J7*100,1))</f>
        <v>93.9</v>
      </c>
      <c r="K43" s="59">
        <f>IF('BENZENE-A16'!K7=0,"    -",ROUND('BENZENE-A16'!K36/'BENZENE-A16'!K7*100,1))</f>
        <v>100.1</v>
      </c>
      <c r="L43" s="60">
        <f>IF('BENZENE-A16'!L7=0,"    -",ROUND('BENZENE-A16'!L36/'BENZENE-A16'!L7*100,1))</f>
        <v>96.5</v>
      </c>
      <c r="M43" s="58">
        <f>IF('BENZENE-A16'!M7=0,"    -",ROUND('BENZENE-A16'!M36/'BENZENE-A16'!M7*100,1))</f>
        <v>96.5</v>
      </c>
      <c r="N43" s="58">
        <f>IF('BENZENE-A16'!N7=0,"    -",ROUND('BENZENE-A16'!N36/'BENZENE-A16'!N7*100,1))</f>
        <v>96.5</v>
      </c>
      <c r="O43" s="58">
        <f>IF('BENZENE-A16'!O7=0,"    -",ROUND('BENZENE-A16'!O36/'BENZENE-A16'!O7*100,1))</f>
        <v>98</v>
      </c>
      <c r="P43" s="58">
        <f>IF('BENZENE-A16'!P7=0,"    -",ROUND('BENZENE-A16'!P36/'BENZENE-A16'!P7*100,1))</f>
        <v>98</v>
      </c>
      <c r="Q43" s="61">
        <f>IF('BENZENE-A16'!Q7=0,"    -",ROUND('BENZENE-A16'!Q36/'BENZENE-A16'!Q7*100,1))</f>
        <v>98</v>
      </c>
    </row>
    <row r="44" spans="2:17" ht="16.5" customHeight="1">
      <c r="B44" s="605" t="s">
        <v>434</v>
      </c>
      <c r="C44" s="606"/>
      <c r="D44" s="57">
        <f>IF('BENZENE-A16'!D8=0,"    -",ROUND('BENZENE-A16'!D37/'BENZENE-A16'!D8*100,1))</f>
        <v>89.4</v>
      </c>
      <c r="E44" s="58">
        <f>IF('BENZENE-A16'!E8=0,"    -",ROUND('BENZENE-A16'!E37/'BENZENE-A16'!E8*100,1))</f>
        <v>81.400000000000006</v>
      </c>
      <c r="F44" s="58">
        <f>IF('BENZENE-A16'!F8=0,"    -",ROUND('BENZENE-A16'!F37/'BENZENE-A16'!F8*100,1))</f>
        <v>88.2</v>
      </c>
      <c r="G44" s="58">
        <f>IF('BENZENE-A16'!G8=0,"    -",ROUND('BENZENE-A16'!G37/'BENZENE-A16'!G8*100,1))</f>
        <v>81.400000000000006</v>
      </c>
      <c r="H44" s="58">
        <f>IF('BENZENE-A16'!H8=0,"    -",ROUND('BENZENE-A16'!H37/'BENZENE-A16'!H8*100,1))</f>
        <v>88.7</v>
      </c>
      <c r="I44" s="58">
        <f>IF('BENZENE-A16'!I8=0,"    -",ROUND('BENZENE-A16'!I37/'BENZENE-A16'!I8*100,1))</f>
        <v>87.9</v>
      </c>
      <c r="J44" s="58">
        <f>IF('BENZENE-A16'!J8=0,"    -",ROUND('BENZENE-A16'!J37/'BENZENE-A16'!J8*100,1))</f>
        <v>85.6</v>
      </c>
      <c r="K44" s="59">
        <f>IF('BENZENE-A16'!K8=0,"    -",ROUND('BENZENE-A16'!K37/'BENZENE-A16'!K8*100,1))</f>
        <v>84.8</v>
      </c>
      <c r="L44" s="60">
        <f>IF('BENZENE-A16'!L8=0,"    -",ROUND('BENZENE-A16'!L37/'BENZENE-A16'!L8*100,1))</f>
        <v>85.9</v>
      </c>
      <c r="M44" s="58">
        <f>IF('BENZENE-A16'!M8=0,"    -",ROUND('BENZENE-A16'!M37/'BENZENE-A16'!M8*100,1))</f>
        <v>85.9</v>
      </c>
      <c r="N44" s="58">
        <f>IF('BENZENE-A16'!N8=0,"    -",ROUND('BENZENE-A16'!N37/'BENZENE-A16'!N8*100,1))</f>
        <v>85.9</v>
      </c>
      <c r="O44" s="58">
        <f>IF('BENZENE-A16'!O8=0,"    -",ROUND('BENZENE-A16'!O37/'BENZENE-A16'!O8*100,1))</f>
        <v>88.4</v>
      </c>
      <c r="P44" s="58">
        <f>IF('BENZENE-A16'!P8=0,"    -",ROUND('BENZENE-A16'!P37/'BENZENE-A16'!P8*100,1))</f>
        <v>88.4</v>
      </c>
      <c r="Q44" s="61">
        <f>IF('BENZENE-A16'!Q8=0,"    -",ROUND('BENZENE-A16'!Q37/'BENZENE-A16'!Q8*100,1))</f>
        <v>88.4</v>
      </c>
    </row>
    <row r="45" spans="2:17" ht="16.5" customHeight="1">
      <c r="B45" s="605" t="s">
        <v>435</v>
      </c>
      <c r="C45" s="606"/>
      <c r="D45" s="57">
        <f>IF('BENZENE-A16'!D9=0,"    -",ROUND('BENZENE-A16'!D38/'BENZENE-A16'!D9*100,1))</f>
        <v>82.3</v>
      </c>
      <c r="E45" s="58">
        <f>IF('BENZENE-A16'!E9=0,"    -",ROUND('BENZENE-A16'!E38/'BENZENE-A16'!E9*100,1))</f>
        <v>82.3</v>
      </c>
      <c r="F45" s="58">
        <f>IF('BENZENE-A16'!F9=0,"    -",ROUND('BENZENE-A16'!F38/'BENZENE-A16'!F9*100,1))</f>
        <v>86</v>
      </c>
      <c r="G45" s="58">
        <f>IF('BENZENE-A16'!G9=0,"    -",ROUND('BENZENE-A16'!G38/'BENZENE-A16'!G9*100,1))</f>
        <v>64.3</v>
      </c>
      <c r="H45" s="58">
        <f>IF('BENZENE-A16'!H9=0,"    -",ROUND('BENZENE-A16'!H38/'BENZENE-A16'!H9*100,1))</f>
        <v>50</v>
      </c>
      <c r="I45" s="58">
        <f>IF('BENZENE-A16'!I9=0,"    -",ROUND('BENZENE-A16'!I38/'BENZENE-A16'!I9*100,1))</f>
        <v>65.5</v>
      </c>
      <c r="J45" s="58">
        <f>IF('BENZENE-A16'!J9=0,"    -",ROUND('BENZENE-A16'!J38/'BENZENE-A16'!J9*100,1))</f>
        <v>64.7</v>
      </c>
      <c r="K45" s="59">
        <f>IF('BENZENE-A16'!K9=0,"    -",ROUND('BENZENE-A16'!K38/'BENZENE-A16'!K9*100,1))</f>
        <v>71.400000000000006</v>
      </c>
      <c r="L45" s="60">
        <f>IF('BENZENE-A16'!L9=0,"    -",ROUND('BENZENE-A16'!L38/'BENZENE-A16'!L9*100,1))</f>
        <v>88.4</v>
      </c>
      <c r="M45" s="58">
        <f>IF('BENZENE-A16'!M9=0,"    -",ROUND('BENZENE-A16'!M38/'BENZENE-A16'!M9*100,1))</f>
        <v>88.6</v>
      </c>
      <c r="N45" s="58">
        <f>IF('BENZENE-A16'!N9=0,"    -",ROUND('BENZENE-A16'!N38/'BENZENE-A16'!N9*100,1))</f>
        <v>90</v>
      </c>
      <c r="O45" s="58">
        <f>IF('BENZENE-A16'!O9=0,"    -",ROUND('BENZENE-A16'!O38/'BENZENE-A16'!O9*100,1))</f>
        <v>89.1</v>
      </c>
      <c r="P45" s="58">
        <f>IF('BENZENE-A16'!P9=0,"    -",ROUND('BENZENE-A16'!P38/'BENZENE-A16'!P9*100,1))</f>
        <v>88.3</v>
      </c>
      <c r="Q45" s="61">
        <f>IF('BENZENE-A16'!Q9=0,"    -",ROUND('BENZENE-A16'!Q38/'BENZENE-A16'!Q9*100,1))</f>
        <v>88.4</v>
      </c>
    </row>
    <row r="46" spans="2:17" ht="16.5" customHeight="1">
      <c r="B46" s="605" t="s">
        <v>436</v>
      </c>
      <c r="C46" s="606"/>
      <c r="D46" s="57">
        <f>IF('BENZENE-A16'!D10=0,"    -",ROUND('BENZENE-A16'!D39/'BENZENE-A16'!D10*100,1))</f>
        <v>66.8</v>
      </c>
      <c r="E46" s="58">
        <f>IF('BENZENE-A16'!E10=0,"    -",ROUND('BENZENE-A16'!E39/'BENZENE-A16'!E10*100,1))</f>
        <v>67.099999999999994</v>
      </c>
      <c r="F46" s="58">
        <f>IF('BENZENE-A16'!F10=0,"    -",ROUND('BENZENE-A16'!F39/'BENZENE-A16'!F10*100,1))</f>
        <v>65.3</v>
      </c>
      <c r="G46" s="58">
        <f>IF('BENZENE-A16'!G10=0,"    -",ROUND('BENZENE-A16'!G39/'BENZENE-A16'!G10*100,1))</f>
        <v>65.099999999999994</v>
      </c>
      <c r="H46" s="58">
        <f>IF('BENZENE-A16'!H10=0,"    -",ROUND('BENZENE-A16'!H39/'BENZENE-A16'!H10*100,1))</f>
        <v>66.8</v>
      </c>
      <c r="I46" s="58">
        <f>IF('BENZENE-A16'!I10=0,"    -",ROUND('BENZENE-A16'!I39/'BENZENE-A16'!I10*100,1))</f>
        <v>67.5</v>
      </c>
      <c r="J46" s="58">
        <f>IF('BENZENE-A16'!J10=0,"    -",ROUND('BENZENE-A16'!J39/'BENZENE-A16'!J10*100,1))</f>
        <v>69.2</v>
      </c>
      <c r="K46" s="59">
        <f>IF('BENZENE-A16'!K10=0,"    -",ROUND('BENZENE-A16'!K39/'BENZENE-A16'!K10*100,1))</f>
        <v>65.5</v>
      </c>
      <c r="L46" s="60">
        <f>IF('BENZENE-A16'!L10=0,"    -",ROUND('BENZENE-A16'!L39/'BENZENE-A16'!L10*100,1))</f>
        <v>69.599999999999994</v>
      </c>
      <c r="M46" s="58">
        <f>IF('BENZENE-A16'!M10=0,"    -",ROUND('BENZENE-A16'!M39/'BENZENE-A16'!M10*100,1))</f>
        <v>64.900000000000006</v>
      </c>
      <c r="N46" s="58">
        <f>IF('BENZENE-A16'!N10=0,"    -",ROUND('BENZENE-A16'!N39/'BENZENE-A16'!N10*100,1))</f>
        <v>62.7</v>
      </c>
      <c r="O46" s="58">
        <f>IF('BENZENE-A16'!O10=0,"    -",ROUND('BENZENE-A16'!O39/'BENZENE-A16'!O10*100,1))</f>
        <v>62.9</v>
      </c>
      <c r="P46" s="58">
        <f>IF('BENZENE-A16'!P10=0,"    -",ROUND('BENZENE-A16'!P39/'BENZENE-A16'!P10*100,1))</f>
        <v>65.400000000000006</v>
      </c>
      <c r="Q46" s="61">
        <f>IF('BENZENE-A16'!Q10=0,"    -",ROUND('BENZENE-A16'!Q39/'BENZENE-A16'!Q10*100,1))</f>
        <v>65.2</v>
      </c>
    </row>
    <row r="47" spans="2:17" ht="16.5" customHeight="1">
      <c r="B47" s="605" t="s">
        <v>437</v>
      </c>
      <c r="C47" s="606"/>
      <c r="D47" s="57">
        <f>IF('BENZENE-A16'!D11=0,"    -",ROUND('BENZENE-A16'!D40/'BENZENE-A16'!D11*100,1))</f>
        <v>96.4</v>
      </c>
      <c r="E47" s="58">
        <f>IF('BENZENE-A16'!E11=0,"    -",ROUND('BENZENE-A16'!E40/'BENZENE-A16'!E11*100,1))</f>
        <v>106.3</v>
      </c>
      <c r="F47" s="58">
        <f>IF('BENZENE-A16'!F11=0,"    -",ROUND('BENZENE-A16'!F40/'BENZENE-A16'!F11*100,1))</f>
        <v>111.2</v>
      </c>
      <c r="G47" s="58">
        <f>IF('BENZENE-A16'!G11=0,"    -",ROUND('BENZENE-A16'!G40/'BENZENE-A16'!G11*100,1))</f>
        <v>102.9</v>
      </c>
      <c r="H47" s="58">
        <f>IF('BENZENE-A16'!H11=0,"    -",ROUND('BENZENE-A16'!H40/'BENZENE-A16'!H11*100,1))</f>
        <v>101.7</v>
      </c>
      <c r="I47" s="58">
        <f>IF('BENZENE-A16'!I11=0,"    -",ROUND('BENZENE-A16'!I40/'BENZENE-A16'!I11*100,1))</f>
        <v>90.6</v>
      </c>
      <c r="J47" s="58">
        <f>IF('BENZENE-A16'!J11=0,"    -",ROUND('BENZENE-A16'!J40/'BENZENE-A16'!J11*100,1))</f>
        <v>91</v>
      </c>
      <c r="K47" s="59">
        <f>IF('BENZENE-A16'!K11=0,"    -",ROUND('BENZENE-A16'!K40/'BENZENE-A16'!K11*100,1))</f>
        <v>95.5</v>
      </c>
      <c r="L47" s="60">
        <f>IF('BENZENE-A16'!L11=0,"    -",ROUND('BENZENE-A16'!L40/'BENZENE-A16'!L11*100,1))</f>
        <v>99.8</v>
      </c>
      <c r="M47" s="58">
        <f>IF('BENZENE-A16'!M11=0,"    -",ROUND('BENZENE-A16'!M40/'BENZENE-A16'!M11*100,1))</f>
        <v>99</v>
      </c>
      <c r="N47" s="58">
        <f>IF('BENZENE-A16'!N11=0,"    -",ROUND('BENZENE-A16'!N40/'BENZENE-A16'!N11*100,1))</f>
        <v>100</v>
      </c>
      <c r="O47" s="58">
        <f>IF('BENZENE-A16'!O11=0,"    -",ROUND('BENZENE-A16'!O40/'BENZENE-A16'!O11*100,1))</f>
        <v>96.1</v>
      </c>
      <c r="P47" s="58">
        <f>IF('BENZENE-A16'!P11=0,"    -",ROUND('BENZENE-A16'!P40/'BENZENE-A16'!P11*100,1))</f>
        <v>99.2</v>
      </c>
      <c r="Q47" s="61">
        <f>IF('BENZENE-A16'!Q11=0,"    -",ROUND('BENZENE-A16'!Q40/'BENZENE-A16'!Q11*100,1))</f>
        <v>99.5</v>
      </c>
    </row>
    <row r="48" spans="2:17" ht="16.5" customHeight="1">
      <c r="B48" s="605" t="s">
        <v>438</v>
      </c>
      <c r="C48" s="606"/>
      <c r="D48" s="57">
        <f>IF('BENZENE-A16'!D12=0,"    -",ROUND('BENZENE-A16'!D41/'BENZENE-A16'!D12*100,1))</f>
        <v>59.2</v>
      </c>
      <c r="E48" s="58">
        <f>IF('BENZENE-A16'!E12=0,"    -",ROUND('BENZENE-A16'!E41/'BENZENE-A16'!E12*100,1))</f>
        <v>59.2</v>
      </c>
      <c r="F48" s="58">
        <f>IF('BENZENE-A16'!F12=0,"    -",ROUND('BENZENE-A16'!F41/'BENZENE-A16'!F12*100,1))</f>
        <v>59.2</v>
      </c>
      <c r="G48" s="58">
        <f>IF('BENZENE-A16'!G12=0,"    -",ROUND('BENZENE-A16'!G41/'BENZENE-A16'!G12*100,1))</f>
        <v>59.2</v>
      </c>
      <c r="H48" s="58">
        <f>IF('BENZENE-A16'!H12=0,"    -",ROUND('BENZENE-A16'!H41/'BENZENE-A16'!H12*100,1))</f>
        <v>47.6</v>
      </c>
      <c r="I48" s="58">
        <f>IF('BENZENE-A16'!I12=0,"    -",ROUND('BENZENE-A16'!I41/'BENZENE-A16'!I12*100,1))</f>
        <v>47.6</v>
      </c>
      <c r="J48" s="58">
        <f>IF('BENZENE-A16'!J12=0,"    -",ROUND('BENZENE-A16'!J41/'BENZENE-A16'!J12*100,1))</f>
        <v>47.6</v>
      </c>
      <c r="K48" s="59">
        <f>IF('BENZENE-A16'!K12=0,"    -",ROUND('BENZENE-A16'!K41/'BENZENE-A16'!K12*100,1))</f>
        <v>47.6</v>
      </c>
      <c r="L48" s="60">
        <f>IF('BENZENE-A16'!L12=0,"    -",ROUND('BENZENE-A16'!L41/'BENZENE-A16'!L12*100,1))</f>
        <v>47.6</v>
      </c>
      <c r="M48" s="58">
        <f>IF('BENZENE-A16'!M12=0,"    -",ROUND('BENZENE-A16'!M41/'BENZENE-A16'!M12*100,1))</f>
        <v>47.6</v>
      </c>
      <c r="N48" s="58">
        <f>IF('BENZENE-A16'!N12=0,"    -",ROUND('BENZENE-A16'!N41/'BENZENE-A16'!N12*100,1))</f>
        <v>47.6</v>
      </c>
      <c r="O48" s="58">
        <f>IF('BENZENE-A16'!O12=0,"    -",ROUND('BENZENE-A16'!O41/'BENZENE-A16'!O12*100,1))</f>
        <v>79.400000000000006</v>
      </c>
      <c r="P48" s="58">
        <f>IF('BENZENE-A16'!P12=0,"    -",ROUND('BENZENE-A16'!P41/'BENZENE-A16'!P12*100,1))</f>
        <v>79.400000000000006</v>
      </c>
      <c r="Q48" s="61">
        <f>IF('BENZENE-A16'!Q12=0,"    -",ROUND('BENZENE-A16'!Q41/'BENZENE-A16'!Q12*100,1))</f>
        <v>79.400000000000006</v>
      </c>
    </row>
    <row r="49" spans="2:17" ht="16.5" customHeight="1">
      <c r="B49" s="605" t="s">
        <v>439</v>
      </c>
      <c r="C49" s="606"/>
      <c r="D49" s="57">
        <f>IF('BENZENE-A16'!D13=0,"    -",ROUND('BENZENE-A16'!D42/'BENZENE-A16'!D13*100,1))</f>
        <v>76.2</v>
      </c>
      <c r="E49" s="58">
        <f>IF('BENZENE-A16'!E13=0,"    -",ROUND('BENZENE-A16'!E42/'BENZENE-A16'!E13*100,1))</f>
        <v>76.2</v>
      </c>
      <c r="F49" s="58">
        <f>IF('BENZENE-A16'!F13=0,"    -",ROUND('BENZENE-A16'!F42/'BENZENE-A16'!F13*100,1))</f>
        <v>85.4</v>
      </c>
      <c r="G49" s="58">
        <f>IF('BENZENE-A16'!G13=0,"    -",ROUND('BENZENE-A16'!G42/'BENZENE-A16'!G13*100,1))</f>
        <v>100.1</v>
      </c>
      <c r="H49" s="58">
        <f>IF('BENZENE-A16'!H13=0,"    -",ROUND('BENZENE-A16'!H42/'BENZENE-A16'!H13*100,1))</f>
        <v>100</v>
      </c>
      <c r="I49" s="58">
        <f>IF('BENZENE-A16'!I13=0,"    -",ROUND('BENZENE-A16'!I42/'BENZENE-A16'!I13*100,1))</f>
        <v>100</v>
      </c>
      <c r="J49" s="58">
        <f>IF('BENZENE-A16'!J13=0,"    -",ROUND('BENZENE-A16'!J42/'BENZENE-A16'!J13*100,1))</f>
        <v>60.2</v>
      </c>
      <c r="K49" s="59">
        <f>IF('BENZENE-A16'!K13=0,"    -",ROUND('BENZENE-A16'!K42/'BENZENE-A16'!K13*100,1))</f>
        <v>63.3</v>
      </c>
      <c r="L49" s="60">
        <f>IF('BENZENE-A16'!L13=0,"    -",ROUND('BENZENE-A16'!L42/'BENZENE-A16'!L13*100,1))</f>
        <v>76.8</v>
      </c>
      <c r="M49" s="58">
        <f>IF('BENZENE-A16'!M13=0,"    -",ROUND('BENZENE-A16'!M42/'BENZENE-A16'!M13*100,1))</f>
        <v>66.3</v>
      </c>
      <c r="N49" s="58">
        <f>IF('BENZENE-A16'!N13=0,"    -",ROUND('BENZENE-A16'!N42/'BENZENE-A16'!N13*100,1))</f>
        <v>81.099999999999994</v>
      </c>
      <c r="O49" s="58">
        <f>IF('BENZENE-A16'!O13=0,"    -",ROUND('BENZENE-A16'!O42/'BENZENE-A16'!O13*100,1))</f>
        <v>77.599999999999994</v>
      </c>
      <c r="P49" s="58">
        <f>IF('BENZENE-A16'!P13=0,"    -",ROUND('BENZENE-A16'!P42/'BENZENE-A16'!P13*100,1))</f>
        <v>90.5</v>
      </c>
      <c r="Q49" s="61">
        <f>IF('BENZENE-A16'!Q13=0,"    -",ROUND('BENZENE-A16'!Q42/'BENZENE-A16'!Q13*100,1))</f>
        <v>90.5</v>
      </c>
    </row>
    <row r="50" spans="2:17" ht="18" hidden="1" customHeight="1">
      <c r="B50" s="16"/>
      <c r="C50" s="90" t="s">
        <v>306</v>
      </c>
      <c r="D50" s="57" t="str">
        <f>IF('BENZENE-A16'!D14=0,"    -",ROUND('BENZENE-A16'!D43/'BENZENE-A16'!D14*100,1))</f>
        <v xml:space="preserve">    -</v>
      </c>
      <c r="E50" s="58" t="str">
        <f>IF('BENZENE-A16'!E14=0,"    -",ROUND('BENZENE-A16'!E43/'BENZENE-A16'!E14*100,1))</f>
        <v xml:space="preserve">    -</v>
      </c>
      <c r="F50" s="58" t="str">
        <f>IF('BENZENE-A16'!F14=0,"    -",ROUND('BENZENE-A16'!F43/'BENZENE-A16'!F14*100,1))</f>
        <v xml:space="preserve">    -</v>
      </c>
      <c r="G50" s="58" t="str">
        <f>IF('BENZENE-A16'!G14=0,"    -",ROUND('BENZENE-A16'!G43/'BENZENE-A16'!G14*100,1))</f>
        <v xml:space="preserve">    -</v>
      </c>
      <c r="H50" s="58" t="str">
        <f>IF('BENZENE-A16'!H14=0,"    -",ROUND('BENZENE-A16'!H43/'BENZENE-A16'!H14*100,1))</f>
        <v xml:space="preserve">    -</v>
      </c>
      <c r="I50" s="58" t="str">
        <f>IF('BENZENE-A16'!I14=0,"    -",ROUND('BENZENE-A16'!I43/'BENZENE-A16'!I14*100,1))</f>
        <v xml:space="preserve">    -</v>
      </c>
      <c r="J50" s="58" t="str">
        <f>IF('BENZENE-A16'!J14=0,"    -",ROUND('BENZENE-A16'!J43/'BENZENE-A16'!J14*100,1))</f>
        <v xml:space="preserve">    -</v>
      </c>
      <c r="K50" s="59" t="str">
        <f>IF('BENZENE-A16'!K14=0,"    -",ROUND('BENZENE-A16'!K43/'BENZENE-A16'!K14*100,1))</f>
        <v xml:space="preserve">    -</v>
      </c>
      <c r="L50" s="60" t="str">
        <f>IF('BENZENE-A16'!L14=0,"    -",ROUND('BENZENE-A16'!L43/'BENZENE-A16'!L14*100,1))</f>
        <v xml:space="preserve">    -</v>
      </c>
      <c r="M50" s="58" t="str">
        <f>IF('BENZENE-A16'!M14=0,"    -",ROUND('BENZENE-A16'!M43/'BENZENE-A16'!M14*100,1))</f>
        <v xml:space="preserve">    -</v>
      </c>
      <c r="N50" s="58" t="str">
        <f>IF('BENZENE-A16'!N14=0,"    -",ROUND('BENZENE-A16'!N43/'BENZENE-A16'!N14*100,1))</f>
        <v xml:space="preserve">    -</v>
      </c>
      <c r="O50" s="58" t="str">
        <f>IF('BENZENE-A16'!O14=0,"    -",ROUND('BENZENE-A16'!O43/'BENZENE-A16'!O14*100,1))</f>
        <v xml:space="preserve">    -</v>
      </c>
      <c r="P50" s="58" t="str">
        <f>IF('BENZENE-A16'!P14=0,"    -",ROUND('BENZENE-A16'!P43/'BENZENE-A16'!P14*100,1))</f>
        <v xml:space="preserve">    -</v>
      </c>
      <c r="Q50" s="61" t="str">
        <f>IF('BENZENE-A16'!Q14=0,"    -",ROUND('BENZENE-A16'!Q43/'BENZENE-A16'!Q14*100,1))</f>
        <v xml:space="preserve">    -</v>
      </c>
    </row>
    <row r="51" spans="2:17" ht="16.5" customHeight="1">
      <c r="B51" s="605" t="s">
        <v>440</v>
      </c>
      <c r="C51" s="606"/>
      <c r="D51" s="57">
        <f>IF('BENZENE-A16'!D15=0,"    -",ROUND('BENZENE-A16'!D44/'BENZENE-A16'!D15*100,1))</f>
        <v>100</v>
      </c>
      <c r="E51" s="58">
        <f>IF('BENZENE-A16'!E15=0,"    -",ROUND('BENZENE-A16'!E44/'BENZENE-A16'!E15*100,1))</f>
        <v>100</v>
      </c>
      <c r="F51" s="58">
        <f>IF('BENZENE-A16'!F15=0,"    -",ROUND('BENZENE-A16'!F44/'BENZENE-A16'!F15*100,1))</f>
        <v>100</v>
      </c>
      <c r="G51" s="58">
        <f>IF('BENZENE-A16'!G15=0,"    -",ROUND('BENZENE-A16'!G44/'BENZENE-A16'!G15*100,1))</f>
        <v>100</v>
      </c>
      <c r="H51" s="58">
        <f>IF('BENZENE-A16'!H15=0,"    -",ROUND('BENZENE-A16'!H44/'BENZENE-A16'!H15*100,1))</f>
        <v>100</v>
      </c>
      <c r="I51" s="58">
        <f>IF('BENZENE-A16'!I15=0,"    -",ROUND('BENZENE-A16'!I44/'BENZENE-A16'!I15*100,1))</f>
        <v>100</v>
      </c>
      <c r="J51" s="58">
        <f>IF('BENZENE-A16'!J15=0,"    -",ROUND('BENZENE-A16'!J44/'BENZENE-A16'!J15*100,1))</f>
        <v>100</v>
      </c>
      <c r="K51" s="59">
        <f>IF('BENZENE-A16'!K15=0,"    -",ROUND('BENZENE-A16'!K44/'BENZENE-A16'!K15*100,1))</f>
        <v>100</v>
      </c>
      <c r="L51" s="60">
        <f>IF('BENZENE-A16'!L15=0,"    -",ROUND('BENZENE-A16'!L44/'BENZENE-A16'!L15*100,1))</f>
        <v>100</v>
      </c>
      <c r="M51" s="58">
        <f>IF('BENZENE-A16'!M15=0,"    -",ROUND('BENZENE-A16'!M44/'BENZENE-A16'!M15*100,1))</f>
        <v>100</v>
      </c>
      <c r="N51" s="58">
        <f>IF('BENZENE-A16'!N15=0,"    -",ROUND('BENZENE-A16'!N44/'BENZENE-A16'!N15*100,1))</f>
        <v>100</v>
      </c>
      <c r="O51" s="58">
        <f>IF('BENZENE-A16'!O15=0,"    -",ROUND('BENZENE-A16'!O44/'BENZENE-A16'!O15*100,1))</f>
        <v>57.7</v>
      </c>
      <c r="P51" s="58">
        <f>IF('BENZENE-A16'!P15=0,"    -",ROUND('BENZENE-A16'!P44/'BENZENE-A16'!P15*100,1))</f>
        <v>83.2</v>
      </c>
      <c r="Q51" s="61">
        <f>IF('BENZENE-A16'!Q15=0,"    -",ROUND('BENZENE-A16'!Q44/'BENZENE-A16'!Q15*100,1))</f>
        <v>83.2</v>
      </c>
    </row>
    <row r="52" spans="2:17" ht="16.5" customHeight="1">
      <c r="B52" s="605" t="s">
        <v>441</v>
      </c>
      <c r="C52" s="606"/>
      <c r="D52" s="57">
        <f>IF('BENZENE-A16'!D16=0,"    -",ROUND('BENZENE-A16'!D45/'BENZENE-A16'!D16*100,1))</f>
        <v>87.5</v>
      </c>
      <c r="E52" s="58">
        <f>IF('BENZENE-A16'!E16=0,"    -",ROUND('BENZENE-A16'!E45/'BENZENE-A16'!E16*100,1))</f>
        <v>87.5</v>
      </c>
      <c r="F52" s="58">
        <f>IF('BENZENE-A16'!F16=0,"    -",ROUND('BENZENE-A16'!F45/'BENZENE-A16'!F16*100,1))</f>
        <v>87.5</v>
      </c>
      <c r="G52" s="58">
        <f>IF('BENZENE-A16'!G16=0,"    -",ROUND('BENZENE-A16'!G45/'BENZENE-A16'!G16*100,1))</f>
        <v>97.4</v>
      </c>
      <c r="H52" s="58">
        <f>IF('BENZENE-A16'!H16=0,"    -",ROUND('BENZENE-A16'!H45/'BENZENE-A16'!H16*100,1))</f>
        <v>83.3</v>
      </c>
      <c r="I52" s="58">
        <f>IF('BENZENE-A16'!I16=0,"    -",ROUND('BENZENE-A16'!I45/'BENZENE-A16'!I16*100,1))</f>
        <v>93.9</v>
      </c>
      <c r="J52" s="58">
        <f>IF('BENZENE-A16'!J16=0,"    -",ROUND('BENZENE-A16'!J45/'BENZENE-A16'!J16*100,1))</f>
        <v>98.8</v>
      </c>
      <c r="K52" s="59">
        <f>IF('BENZENE-A16'!K16=0,"    -",ROUND('BENZENE-A16'!K45/'BENZENE-A16'!K16*100,1))</f>
        <v>85.7</v>
      </c>
      <c r="L52" s="60">
        <f>IF('BENZENE-A16'!L16=0,"    -",ROUND('BENZENE-A16'!L45/'BENZENE-A16'!L16*100,1))</f>
        <v>85.2</v>
      </c>
      <c r="M52" s="58">
        <f>IF('BENZENE-A16'!M16=0,"    -",ROUND('BENZENE-A16'!M45/'BENZENE-A16'!M16*100,1))</f>
        <v>84.4</v>
      </c>
      <c r="N52" s="58">
        <f>IF('BENZENE-A16'!N16=0,"    -",ROUND('BENZENE-A16'!N45/'BENZENE-A16'!N16*100,1))</f>
        <v>83</v>
      </c>
      <c r="O52" s="58">
        <f>IF('BENZENE-A16'!O16=0,"    -",ROUND('BENZENE-A16'!O45/'BENZENE-A16'!O16*100,1))</f>
        <v>84.8</v>
      </c>
      <c r="P52" s="58">
        <f>IF('BENZENE-A16'!P16=0,"    -",ROUND('BENZENE-A16'!P45/'BENZENE-A16'!P16*100,1))</f>
        <v>86.7</v>
      </c>
      <c r="Q52" s="61">
        <f>IF('BENZENE-A16'!Q16=0,"    -",ROUND('BENZENE-A16'!Q45/'BENZENE-A16'!Q16*100,1))</f>
        <v>86.7</v>
      </c>
    </row>
    <row r="53" spans="2:17" ht="16.5" customHeight="1">
      <c r="B53" s="605" t="s">
        <v>442</v>
      </c>
      <c r="C53" s="606"/>
      <c r="D53" s="57" t="str">
        <f>IF('BENZENE-A16'!D17=0,"    -",ROUND('BENZENE-A16'!D46/'BENZENE-A16'!D17*100,1))</f>
        <v xml:space="preserve">    -</v>
      </c>
      <c r="E53" s="58" t="str">
        <f>IF('BENZENE-A16'!E17=0,"    -",ROUND('BENZENE-A16'!E46/'BENZENE-A16'!E17*100,1))</f>
        <v xml:space="preserve">    -</v>
      </c>
      <c r="F53" s="58" t="str">
        <f>IF('BENZENE-A16'!F17=0,"    -",ROUND('BENZENE-A16'!F46/'BENZENE-A16'!F17*100,1))</f>
        <v xml:space="preserve">    -</v>
      </c>
      <c r="G53" s="58" t="str">
        <f>IF('BENZENE-A16'!G17=0,"    -",ROUND('BENZENE-A16'!G46/'BENZENE-A16'!G17*100,1))</f>
        <v xml:space="preserve">    -</v>
      </c>
      <c r="H53" s="58" t="str">
        <f>IF('BENZENE-A16'!H17=0,"    -",ROUND('BENZENE-A16'!H46/'BENZENE-A16'!H17*100,1))</f>
        <v xml:space="preserve">    -</v>
      </c>
      <c r="I53" s="58" t="str">
        <f>IF('BENZENE-A16'!I17=0,"    -",ROUND('BENZENE-A16'!I46/'BENZENE-A16'!I17*100,1))</f>
        <v xml:space="preserve">    -</v>
      </c>
      <c r="J53" s="58" t="str">
        <f>IF('BENZENE-A16'!J17=0,"    -",ROUND('BENZENE-A16'!J46/'BENZENE-A16'!J17*100,1))</f>
        <v xml:space="preserve">    -</v>
      </c>
      <c r="K53" s="59" t="str">
        <f>IF('BENZENE-A16'!K17=0,"    -",ROUND('BENZENE-A16'!K46/'BENZENE-A16'!K17*100,1))</f>
        <v xml:space="preserve">    -</v>
      </c>
      <c r="L53" s="60" t="str">
        <f>IF('BENZENE-A16'!L17=0,"    -",ROUND('BENZENE-A16'!L46/'BENZENE-A16'!L17*100,1))</f>
        <v xml:space="preserve">    -</v>
      </c>
      <c r="M53" s="58" t="str">
        <f>IF('BENZENE-A16'!M17=0,"    -",ROUND('BENZENE-A16'!M46/'BENZENE-A16'!M17*100,1))</f>
        <v xml:space="preserve">    -</v>
      </c>
      <c r="N53" s="58" t="str">
        <f>IF('BENZENE-A16'!N17=0,"    -",ROUND('BENZENE-A16'!N46/'BENZENE-A16'!N17*100,1))</f>
        <v xml:space="preserve">    -</v>
      </c>
      <c r="O53" s="58" t="str">
        <f>IF('BENZENE-A16'!O17=0,"    -",ROUND('BENZENE-A16'!O46/'BENZENE-A16'!O17*100,1))</f>
        <v xml:space="preserve">    -</v>
      </c>
      <c r="P53" s="58" t="str">
        <f>IF('BENZENE-A16'!P17=0,"    -",ROUND('BENZENE-A16'!P46/'BENZENE-A16'!P17*100,1))</f>
        <v xml:space="preserve">    -</v>
      </c>
      <c r="Q53" s="61" t="str">
        <f>IF('BENZENE-A16'!Q17=0,"    -",ROUND('BENZENE-A16'!Q46/'BENZENE-A16'!Q17*100,1))</f>
        <v xml:space="preserve">    -</v>
      </c>
    </row>
    <row r="54" spans="2:17" ht="16.5" customHeight="1">
      <c r="B54" s="607" t="s">
        <v>443</v>
      </c>
      <c r="C54" s="608"/>
      <c r="D54" s="57">
        <f>IF('BENZENE-A16'!D18=0,"    -",ROUND('BENZENE-A16'!D47/'BENZENE-A16'!D18*100,1))</f>
        <v>71</v>
      </c>
      <c r="E54" s="58">
        <f>IF('BENZENE-A16'!E18=0,"    -",ROUND('BENZENE-A16'!E47/'BENZENE-A16'!E18*100,1))</f>
        <v>66</v>
      </c>
      <c r="F54" s="58">
        <f>IF('BENZENE-A16'!F18=0,"    -",ROUND('BENZENE-A16'!F47/'BENZENE-A16'!F18*100,1))</f>
        <v>67.400000000000006</v>
      </c>
      <c r="G54" s="58">
        <f>IF('BENZENE-A16'!G18=0,"    -",ROUND('BENZENE-A16'!G47/'BENZENE-A16'!G18*100,1))</f>
        <v>75.099999999999994</v>
      </c>
      <c r="H54" s="58">
        <f>IF('BENZENE-A16'!H18=0,"    -",ROUND('BENZENE-A16'!H47/'BENZENE-A16'!H18*100,1))</f>
        <v>70.7</v>
      </c>
      <c r="I54" s="58">
        <f>IF('BENZENE-A16'!I18=0,"    -",ROUND('BENZENE-A16'!I47/'BENZENE-A16'!I18*100,1))</f>
        <v>71.7</v>
      </c>
      <c r="J54" s="58">
        <f>IF('BENZENE-A16'!J18=0,"    -",ROUND('BENZENE-A16'!J47/'BENZENE-A16'!J18*100,1))</f>
        <v>71.2</v>
      </c>
      <c r="K54" s="59">
        <f>IF('BENZENE-A16'!K18=0,"    -",ROUND('BENZENE-A16'!K47/'BENZENE-A16'!K18*100,1))</f>
        <v>76.400000000000006</v>
      </c>
      <c r="L54" s="60">
        <f>IF('BENZENE-A16'!L18=0,"    -",ROUND('BENZENE-A16'!L47/'BENZENE-A16'!L18*100,1))</f>
        <v>69.900000000000006</v>
      </c>
      <c r="M54" s="58">
        <f>IF('BENZENE-A16'!M18=0,"    -",ROUND('BENZENE-A16'!M47/'BENZENE-A16'!M18*100,1))</f>
        <v>69.8</v>
      </c>
      <c r="N54" s="58">
        <f>IF('BENZENE-A16'!N18=0,"    -",ROUND('BENZENE-A16'!N47/'BENZENE-A16'!N18*100,1))</f>
        <v>69.8</v>
      </c>
      <c r="O54" s="58">
        <f>IF('BENZENE-A16'!O18=0,"    -",ROUND('BENZENE-A16'!O47/'BENZENE-A16'!O18*100,1))</f>
        <v>69.8</v>
      </c>
      <c r="P54" s="58">
        <f>IF('BENZENE-A16'!P18=0,"    -",ROUND('BENZENE-A16'!P47/'BENZENE-A16'!P18*100,1))</f>
        <v>69.8</v>
      </c>
      <c r="Q54" s="61">
        <f>IF('BENZENE-A16'!Q18=0,"    -",ROUND('BENZENE-A16'!Q47/'BENZENE-A16'!Q18*100,1))</f>
        <v>69.8</v>
      </c>
    </row>
    <row r="55" spans="2:17" ht="17.25" customHeight="1">
      <c r="B55" s="674" t="s">
        <v>307</v>
      </c>
      <c r="C55" s="675"/>
      <c r="D55" s="74">
        <f>IF('BENZENE-A16'!D19=0,"    -",ROUND('BENZENE-A16'!D48/'BENZENE-A16'!D19*100,1))</f>
        <v>77</v>
      </c>
      <c r="E55" s="75">
        <f>IF('BENZENE-A16'!E19=0,"    -",ROUND('BENZENE-A16'!E48/'BENZENE-A16'!E19*100,1))</f>
        <v>74.599999999999994</v>
      </c>
      <c r="F55" s="75">
        <f>IF('BENZENE-A16'!F19=0,"    -",ROUND('BENZENE-A16'!F48/'BENZENE-A16'!F19*100,1))</f>
        <v>75.3</v>
      </c>
      <c r="G55" s="75">
        <f>IF('BENZENE-A16'!G19=0,"    -",ROUND('BENZENE-A16'!G48/'BENZENE-A16'!G19*100,1))</f>
        <v>76.099999999999994</v>
      </c>
      <c r="H55" s="75">
        <f>IF('BENZENE-A16'!H19=0,"    -",ROUND('BENZENE-A16'!H48/'BENZENE-A16'!H19*100,1))</f>
        <v>75</v>
      </c>
      <c r="I55" s="75">
        <f>IF('BENZENE-A16'!I19=0,"    -",ROUND('BENZENE-A16'!I48/'BENZENE-A16'!I19*100,1))</f>
        <v>76.2</v>
      </c>
      <c r="J55" s="75">
        <f>IF('BENZENE-A16'!J19=0,"    -",ROUND('BENZENE-A16'!J48/'BENZENE-A16'!J19*100,1))</f>
        <v>74.8</v>
      </c>
      <c r="K55" s="76">
        <f>IF('BENZENE-A16'!K19=0,"    -",ROUND('BENZENE-A16'!K48/'BENZENE-A16'!K19*100,1))</f>
        <v>75.400000000000006</v>
      </c>
      <c r="L55" s="77">
        <f>IF('BENZENE-A16'!L19=0,"    -",ROUND('BENZENE-A16'!L48/'BENZENE-A16'!L19*100,1))</f>
        <v>77.2</v>
      </c>
      <c r="M55" s="75">
        <f>IF('BENZENE-A16'!M19=0,"    -",ROUND('BENZENE-A16'!M48/'BENZENE-A16'!M19*100,1))</f>
        <v>73.8</v>
      </c>
      <c r="N55" s="75">
        <f>IF('BENZENE-A16'!N19=0,"    -",ROUND('BENZENE-A16'!N48/'BENZENE-A16'!N19*100,1))</f>
        <v>73.2</v>
      </c>
      <c r="O55" s="75">
        <f>IF('BENZENE-A16'!O19=0,"    -",ROUND('BENZENE-A16'!O48/'BENZENE-A16'!O19*100,1))</f>
        <v>73.400000000000006</v>
      </c>
      <c r="P55" s="75">
        <f>IF('BENZENE-A16'!P19=0,"    -",ROUND('BENZENE-A16'!P48/'BENZENE-A16'!P19*100,1))</f>
        <v>75.599999999999994</v>
      </c>
      <c r="Q55" s="78">
        <f>IF('BENZENE-A16'!Q19=0,"    -",ROUND('BENZENE-A16'!Q48/'BENZENE-A16'!Q19*100,1))</f>
        <v>75.3</v>
      </c>
    </row>
    <row r="56" spans="2:17" ht="17.25" customHeight="1">
      <c r="B56" s="672" t="s">
        <v>308</v>
      </c>
      <c r="C56" s="673"/>
      <c r="D56" s="135">
        <f>IF('BENZENE-A16'!D20=0,"    -",ROUND('BENZENE-A16'!D49/'BENZENE-A16'!D20*100,1))</f>
        <v>0</v>
      </c>
      <c r="E56" s="136">
        <f>IF('BENZENE-A16'!E20=0,"    -",ROUND('BENZENE-A16'!E49/'BENZENE-A16'!E20*100,1))</f>
        <v>0</v>
      </c>
      <c r="F56" s="136">
        <f>IF('BENZENE-A16'!F20=0,"    -",ROUND('BENZENE-A16'!F49/'BENZENE-A16'!F20*100,1))</f>
        <v>0</v>
      </c>
      <c r="G56" s="136">
        <f>IF('BENZENE-A16'!G20=0,"    -",ROUND('BENZENE-A16'!G49/'BENZENE-A16'!G20*100,1))</f>
        <v>0</v>
      </c>
      <c r="H56" s="136">
        <f>IF('BENZENE-A16'!H20=0,"    -",ROUND('BENZENE-A16'!H49/'BENZENE-A16'!H20*100,1))</f>
        <v>0</v>
      </c>
      <c r="I56" s="136">
        <f>IF('BENZENE-A16'!I20=0,"    -",ROUND('BENZENE-A16'!I49/'BENZENE-A16'!I20*100,1))</f>
        <v>0</v>
      </c>
      <c r="J56" s="136">
        <f>IF('BENZENE-A16'!J20=0,"    -",ROUND('BENZENE-A16'!J49/'BENZENE-A16'!J20*100,1))</f>
        <v>0</v>
      </c>
      <c r="K56" s="137">
        <f>IF('BENZENE-A16'!K20=0,"    -",ROUND('BENZENE-A16'!K49/'BENZENE-A16'!K20*100,1))</f>
        <v>0</v>
      </c>
      <c r="L56" s="135">
        <f>IF('BENZENE-A16'!L20=0,"    -",ROUND('BENZENE-A16'!L49/'BENZENE-A16'!L20*100,1))</f>
        <v>0</v>
      </c>
      <c r="M56" s="136">
        <f>IF('BENZENE-A16'!M20=0,"    -",ROUND('BENZENE-A16'!M49/'BENZENE-A16'!M20*100,1))</f>
        <v>0</v>
      </c>
      <c r="N56" s="136">
        <f>IF('BENZENE-A16'!N20=0,"    -",ROUND('BENZENE-A16'!N49/'BENZENE-A16'!N20*100,1))</f>
        <v>0</v>
      </c>
      <c r="O56" s="136">
        <f>IF('BENZENE-A16'!O20=0,"    -",ROUND('BENZENE-A16'!O49/'BENZENE-A16'!O20*100,1))</f>
        <v>0</v>
      </c>
      <c r="P56" s="136">
        <f>IF('BENZENE-A16'!P20=0,"    -",ROUND('BENZENE-A16'!P49/'BENZENE-A16'!P20*100,1))</f>
        <v>0</v>
      </c>
      <c r="Q56" s="137">
        <f>IF('BENZENE-A16'!Q20=0,"    -",ROUND('BENZENE-A16'!Q49/'BENZENE-A16'!Q20*100,1))</f>
        <v>0</v>
      </c>
    </row>
    <row r="57" spans="2:17" ht="16.5" customHeight="1">
      <c r="B57" s="105"/>
      <c r="C57" s="97" t="s">
        <v>309</v>
      </c>
      <c r="D57" s="135">
        <f>IF('BENZENE-A16'!D21=0,"    -",ROUND('BENZENE-A16'!D50/'BENZENE-A16'!D21*100,1))</f>
        <v>0</v>
      </c>
      <c r="E57" s="136">
        <f>IF('BENZENE-A16'!E21=0,"    -",ROUND('BENZENE-A16'!E50/'BENZENE-A16'!E21*100,1))</f>
        <v>0</v>
      </c>
      <c r="F57" s="136">
        <f>IF('BENZENE-A16'!F21=0,"    -",ROUND('BENZENE-A16'!F50/'BENZENE-A16'!F21*100,1))</f>
        <v>0</v>
      </c>
      <c r="G57" s="136">
        <f>IF('BENZENE-A16'!G21=0,"    -",ROUND('BENZENE-A16'!G50/'BENZENE-A16'!G21*100,1))</f>
        <v>0</v>
      </c>
      <c r="H57" s="136">
        <f>IF('BENZENE-A16'!H21=0,"    -",ROUND('BENZENE-A16'!H50/'BENZENE-A16'!H21*100,1))</f>
        <v>0</v>
      </c>
      <c r="I57" s="136">
        <f>IF('BENZENE-A16'!I21=0,"    -",ROUND('BENZENE-A16'!I50/'BENZENE-A16'!I21*100,1))</f>
        <v>0</v>
      </c>
      <c r="J57" s="136">
        <f>IF('BENZENE-A16'!J21=0,"    -",ROUND('BENZENE-A16'!J50/'BENZENE-A16'!J21*100,1))</f>
        <v>0</v>
      </c>
      <c r="K57" s="137">
        <f>IF('BENZENE-A16'!K21=0,"    -",ROUND('BENZENE-A16'!K50/'BENZENE-A16'!K21*100,1))</f>
        <v>0</v>
      </c>
      <c r="L57" s="135">
        <f>IF('BENZENE-A16'!L21=0,"    -",ROUND('BENZENE-A16'!L50/'BENZENE-A16'!L21*100,1))</f>
        <v>0</v>
      </c>
      <c r="M57" s="136">
        <f>IF('BENZENE-A16'!M21=0,"    -",ROUND('BENZENE-A16'!M50/'BENZENE-A16'!M21*100,1))</f>
        <v>0</v>
      </c>
      <c r="N57" s="136">
        <f>IF('BENZENE-A16'!N21=0,"    -",ROUND('BENZENE-A16'!N50/'BENZENE-A16'!N21*100,1))</f>
        <v>0</v>
      </c>
      <c r="O57" s="136">
        <f>IF('BENZENE-A16'!O21=0,"    -",ROUND('BENZENE-A16'!O50/'BENZENE-A16'!O21*100,1))</f>
        <v>0</v>
      </c>
      <c r="P57" s="136">
        <f>IF('BENZENE-A16'!P21=0,"    -",ROUND('BENZENE-A16'!P50/'BENZENE-A16'!P21*100,1))</f>
        <v>0</v>
      </c>
      <c r="Q57" s="137">
        <f>IF('BENZENE-A16'!Q21=0,"    -",ROUND('BENZENE-A16'!Q50/'BENZENE-A16'!Q21*100,1))</f>
        <v>0</v>
      </c>
    </row>
    <row r="58" spans="2:17" ht="17.25" customHeight="1">
      <c r="B58" s="672" t="s">
        <v>310</v>
      </c>
      <c r="C58" s="673"/>
      <c r="D58" s="57">
        <f>IF('BENZENE-A16'!D22=0,"    -",ROUND('BENZENE-A16'!D51/'BENZENE-A16'!D22*100,1))</f>
        <v>74.400000000000006</v>
      </c>
      <c r="E58" s="58">
        <f>IF('BENZENE-A16'!E22=0,"    -",ROUND('BENZENE-A16'!E51/'BENZENE-A16'!E22*100,1))</f>
        <v>74.8</v>
      </c>
      <c r="F58" s="58">
        <f>IF('BENZENE-A16'!F22=0,"    -",ROUND('BENZENE-A16'!F51/'BENZENE-A16'!F22*100,1))</f>
        <v>72.8</v>
      </c>
      <c r="G58" s="58">
        <f>IF('BENZENE-A16'!G22=0,"    -",ROUND('BENZENE-A16'!G51/'BENZENE-A16'!G22*100,1))</f>
        <v>74.8</v>
      </c>
      <c r="H58" s="58">
        <f>IF('BENZENE-A16'!H22=0,"    -",ROUND('BENZENE-A16'!H51/'BENZENE-A16'!H22*100,1))</f>
        <v>69.5</v>
      </c>
      <c r="I58" s="58">
        <f>IF('BENZENE-A16'!I22=0,"    -",ROUND('BENZENE-A16'!I51/'BENZENE-A16'!I22*100,1))</f>
        <v>74.3</v>
      </c>
      <c r="J58" s="58">
        <f>IF('BENZENE-A16'!J22=0,"    -",ROUND('BENZENE-A16'!J51/'BENZENE-A16'!J22*100,1))</f>
        <v>70.8</v>
      </c>
      <c r="K58" s="59">
        <f>IF('BENZENE-A16'!K22=0,"    -",ROUND('BENZENE-A16'!K51/'BENZENE-A16'!K22*100,1))</f>
        <v>71.099999999999994</v>
      </c>
      <c r="L58" s="57">
        <f>IF('BENZENE-A16'!L22=0,"    -",ROUND('BENZENE-A16'!L51/'BENZENE-A16'!L22*100,1))</f>
        <v>71.7</v>
      </c>
      <c r="M58" s="58">
        <f>IF('BENZENE-A16'!M22=0,"    -",ROUND('BENZENE-A16'!M51/'BENZENE-A16'!M22*100,1))</f>
        <v>72.400000000000006</v>
      </c>
      <c r="N58" s="58">
        <f>IF('BENZENE-A16'!N22=0,"    -",ROUND('BENZENE-A16'!N51/'BENZENE-A16'!N22*100,1))</f>
        <v>71</v>
      </c>
      <c r="O58" s="58">
        <f>IF('BENZENE-A16'!O22=0,"    -",ROUND('BENZENE-A16'!O51/'BENZENE-A16'!O22*100,1))</f>
        <v>69.7</v>
      </c>
      <c r="P58" s="58">
        <f>IF('BENZENE-A16'!P22=0,"    -",ROUND('BENZENE-A16'!P51/'BENZENE-A16'!P22*100,1))</f>
        <v>70.400000000000006</v>
      </c>
      <c r="Q58" s="59">
        <f>IF('BENZENE-A16'!Q22=0,"    -",ROUND('BENZENE-A16'!Q51/'BENZENE-A16'!Q22*100,1))</f>
        <v>70.400000000000006</v>
      </c>
    </row>
    <row r="59" spans="2:17" ht="16.5" customHeight="1">
      <c r="B59" s="105"/>
      <c r="C59" s="615" t="s">
        <v>311</v>
      </c>
      <c r="D59" s="74">
        <f>IF('BENZENE-A16'!D23=0,"    -",ROUND('BENZENE-A16'!D52/'BENZENE-A16'!D23*100,1))</f>
        <v>78.8</v>
      </c>
      <c r="E59" s="75">
        <f>IF('BENZENE-A16'!E23=0,"    -",ROUND('BENZENE-A16'!E52/'BENZENE-A16'!E23*100,1))</f>
        <v>74.7</v>
      </c>
      <c r="F59" s="75">
        <f>IF('BENZENE-A16'!F23=0,"    -",ROUND('BENZENE-A16'!F52/'BENZENE-A16'!F23*100,1))</f>
        <v>73.400000000000006</v>
      </c>
      <c r="G59" s="75">
        <f>IF('BENZENE-A16'!G23=0,"    -",ROUND('BENZENE-A16'!G52/'BENZENE-A16'!G23*100,1))</f>
        <v>75.099999999999994</v>
      </c>
      <c r="H59" s="75">
        <f>IF('BENZENE-A16'!H23=0,"    -",ROUND('BENZENE-A16'!H52/'BENZENE-A16'!H23*100,1))</f>
        <v>69.3</v>
      </c>
      <c r="I59" s="75">
        <f>IF('BENZENE-A16'!I23=0,"    -",ROUND('BENZENE-A16'!I52/'BENZENE-A16'!I23*100,1))</f>
        <v>74.3</v>
      </c>
      <c r="J59" s="75">
        <f>IF('BENZENE-A16'!J23=0,"    -",ROUND('BENZENE-A16'!J52/'BENZENE-A16'!J23*100,1))</f>
        <v>71.2</v>
      </c>
      <c r="K59" s="76">
        <f>IF('BENZENE-A16'!K23=0,"    -",ROUND('BENZENE-A16'!K52/'BENZENE-A16'!K23*100,1))</f>
        <v>71.2</v>
      </c>
      <c r="L59" s="74">
        <f>IF('BENZENE-A16'!L23=0,"    -",ROUND('BENZENE-A16'!L52/'BENZENE-A16'!L23*100,1))</f>
        <v>71.599999999999994</v>
      </c>
      <c r="M59" s="75">
        <f>IF('BENZENE-A16'!M23=0,"    -",ROUND('BENZENE-A16'!M52/'BENZENE-A16'!M23*100,1))</f>
        <v>72.400000000000006</v>
      </c>
      <c r="N59" s="75">
        <f>IF('BENZENE-A16'!N23=0,"    -",ROUND('BENZENE-A16'!N52/'BENZENE-A16'!N23*100,1))</f>
        <v>71.099999999999994</v>
      </c>
      <c r="O59" s="75">
        <f>IF('BENZENE-A16'!O23=0,"    -",ROUND('BENZENE-A16'!O52/'BENZENE-A16'!O23*100,1))</f>
        <v>69.599999999999994</v>
      </c>
      <c r="P59" s="75">
        <f>IF('BENZENE-A16'!P23=0,"    -",ROUND('BENZENE-A16'!P52/'BENZENE-A16'!P23*100,1))</f>
        <v>70.2</v>
      </c>
      <c r="Q59" s="76">
        <f>IF('BENZENE-A16'!Q23=0,"    -",ROUND('BENZENE-A16'!Q52/'BENZENE-A16'!Q23*100,1))</f>
        <v>70.2</v>
      </c>
    </row>
    <row r="60" spans="2:17" ht="17.25" customHeight="1">
      <c r="B60" s="672" t="s">
        <v>312</v>
      </c>
      <c r="C60" s="673"/>
      <c r="D60" s="57">
        <f>IF('BENZENE-A16'!D24=0,"    -",ROUND('BENZENE-A16'!D53/'BENZENE-A16'!D24*100,1))</f>
        <v>72.3</v>
      </c>
      <c r="E60" s="58">
        <f>IF('BENZENE-A16'!E24=0,"    -",ROUND('BENZENE-A16'!E53/'BENZENE-A16'!E24*100,1))</f>
        <v>69.7</v>
      </c>
      <c r="F60" s="58">
        <f>IF('BENZENE-A16'!F24=0,"    -",ROUND('BENZENE-A16'!F53/'BENZENE-A16'!F24*100,1))</f>
        <v>72.099999999999994</v>
      </c>
      <c r="G60" s="58">
        <f>IF('BENZENE-A16'!G24=0,"    -",ROUND('BENZENE-A16'!G53/'BENZENE-A16'!G24*100,1))</f>
        <v>73.599999999999994</v>
      </c>
      <c r="H60" s="58">
        <f>IF('BENZENE-A16'!H24=0,"    -",ROUND('BENZENE-A16'!H53/'BENZENE-A16'!H24*100,1))</f>
        <v>67.400000000000006</v>
      </c>
      <c r="I60" s="58">
        <f>IF('BENZENE-A16'!I24=0,"    -",ROUND('BENZENE-A16'!I53/'BENZENE-A16'!I24*100,1))</f>
        <v>60.9</v>
      </c>
      <c r="J60" s="58">
        <f>IF('BENZENE-A16'!J24=0,"    -",ROUND('BENZENE-A16'!J53/'BENZENE-A16'!J24*100,1))</f>
        <v>63</v>
      </c>
      <c r="K60" s="59">
        <f>IF('BENZENE-A16'!K24=0,"    -",ROUND('BENZENE-A16'!K53/'BENZENE-A16'!K24*100,1))</f>
        <v>72.5</v>
      </c>
      <c r="L60" s="57">
        <f>IF('BENZENE-A16'!L24=0,"    -",ROUND('BENZENE-A16'!L53/'BENZENE-A16'!L24*100,1))</f>
        <v>70.5</v>
      </c>
      <c r="M60" s="58">
        <f>IF('BENZENE-A16'!M24=0,"    -",ROUND('BENZENE-A16'!M53/'BENZENE-A16'!M24*100,1))</f>
        <v>74.900000000000006</v>
      </c>
      <c r="N60" s="58">
        <f>IF('BENZENE-A16'!N24=0,"    -",ROUND('BENZENE-A16'!N53/'BENZENE-A16'!N24*100,1))</f>
        <v>79.2</v>
      </c>
      <c r="O60" s="58">
        <f>IF('BENZENE-A16'!O24=0,"    -",ROUND('BENZENE-A16'!O53/'BENZENE-A16'!O24*100,1))</f>
        <v>80.7</v>
      </c>
      <c r="P60" s="58">
        <f>IF('BENZENE-A16'!P24=0,"    -",ROUND('BENZENE-A16'!P53/'BENZENE-A16'!P24*100,1))</f>
        <v>84.8</v>
      </c>
      <c r="Q60" s="59">
        <f>IF('BENZENE-A16'!Q24=0,"    -",ROUND('BENZENE-A16'!Q53/'BENZENE-A16'!Q24*100,1))</f>
        <v>83.2</v>
      </c>
    </row>
    <row r="61" spans="2:17" ht="16.5" customHeight="1">
      <c r="B61" s="16"/>
      <c r="C61" s="615" t="s">
        <v>313</v>
      </c>
      <c r="D61" s="74" t="str">
        <f>IF('BENZENE-A16'!D25=0,"    -",ROUND('BENZENE-A16'!D54/'BENZENE-A16'!D25*100,1))</f>
        <v xml:space="preserve">    -</v>
      </c>
      <c r="E61" s="75">
        <f>IF('BENZENE-A16'!E25=0,"    -",ROUND('BENZENE-A16'!E54/'BENZENE-A16'!E25*100,1))</f>
        <v>78.7</v>
      </c>
      <c r="F61" s="75">
        <f>IF('BENZENE-A16'!F25=0,"    -",ROUND('BENZENE-A16'!F54/'BENZENE-A16'!F25*100,1))</f>
        <v>82.4</v>
      </c>
      <c r="G61" s="75">
        <f>IF('BENZENE-A16'!G25=0,"    -",ROUND('BENZENE-A16'!G54/'BENZENE-A16'!G25*100,1))</f>
        <v>79.400000000000006</v>
      </c>
      <c r="H61" s="75">
        <f>IF('BENZENE-A16'!H25=0,"    -",ROUND('BENZENE-A16'!H54/'BENZENE-A16'!H25*100,1))</f>
        <v>79.3</v>
      </c>
      <c r="I61" s="75">
        <f>IF('BENZENE-A16'!I25=0,"    -",ROUND('BENZENE-A16'!I54/'BENZENE-A16'!I25*100,1))</f>
        <v>54</v>
      </c>
      <c r="J61" s="75">
        <f>IF('BENZENE-A16'!J25=0,"    -",ROUND('BENZENE-A16'!J54/'BENZENE-A16'!J25*100,1))</f>
        <v>57.2</v>
      </c>
      <c r="K61" s="76">
        <f>IF('BENZENE-A16'!K25=0,"    -",ROUND('BENZENE-A16'!K54/'BENZENE-A16'!K25*100,1))</f>
        <v>71</v>
      </c>
      <c r="L61" s="74">
        <f>IF('BENZENE-A16'!L25=0,"    -",ROUND('BENZENE-A16'!L54/'BENZENE-A16'!L25*100,1))</f>
        <v>66</v>
      </c>
      <c r="M61" s="75">
        <f>IF('BENZENE-A16'!M25=0,"    -",ROUND('BENZENE-A16'!M54/'BENZENE-A16'!M25*100,1))</f>
        <v>69.900000000000006</v>
      </c>
      <c r="N61" s="75">
        <f>IF('BENZENE-A16'!N25=0,"    -",ROUND('BENZENE-A16'!N54/'BENZENE-A16'!N25*100,1))</f>
        <v>76.400000000000006</v>
      </c>
      <c r="O61" s="75">
        <f>IF('BENZENE-A16'!O25=0,"    -",ROUND('BENZENE-A16'!O54/'BENZENE-A16'!O25*100,1))</f>
        <v>74.900000000000006</v>
      </c>
      <c r="P61" s="75">
        <f>IF('BENZENE-A16'!P25=0,"    -",ROUND('BENZENE-A16'!P54/'BENZENE-A16'!P25*100,1))</f>
        <v>77.599999999999994</v>
      </c>
      <c r="Q61" s="76">
        <f>IF('BENZENE-A16'!Q25=0,"    -",ROUND('BENZENE-A16'!Q54/'BENZENE-A16'!Q25*100,1))</f>
        <v>78.099999999999994</v>
      </c>
    </row>
    <row r="62" spans="2:17" ht="17.25" customHeight="1">
      <c r="B62" s="674" t="s">
        <v>314</v>
      </c>
      <c r="C62" s="675"/>
      <c r="D62" s="57">
        <f>IF('BENZENE-A16'!D26=0,"    -",ROUND('BENZENE-A16'!D55/'BENZENE-A16'!D26*100,1))</f>
        <v>61.6</v>
      </c>
      <c r="E62" s="58">
        <f>IF('BENZENE-A16'!E26=0,"    -",ROUND('BENZENE-A16'!E55/'BENZENE-A16'!E26*100,1))</f>
        <v>61.6</v>
      </c>
      <c r="F62" s="58">
        <f>IF('BENZENE-A16'!F26=0,"    -",ROUND('BENZENE-A16'!F55/'BENZENE-A16'!F26*100,1))</f>
        <v>61.6</v>
      </c>
      <c r="G62" s="58">
        <f>IF('BENZENE-A16'!G26=0,"    -",ROUND('BENZENE-A16'!G55/'BENZENE-A16'!G26*100,1))</f>
        <v>66.400000000000006</v>
      </c>
      <c r="H62" s="58">
        <f>IF('BENZENE-A16'!H26=0,"    -",ROUND('BENZENE-A16'!H55/'BENZENE-A16'!H26*100,1))</f>
        <v>41.4</v>
      </c>
      <c r="I62" s="58">
        <f>IF('BENZENE-A16'!I26=0,"    -",ROUND('BENZENE-A16'!I55/'BENZENE-A16'!I26*100,1))</f>
        <v>27.3</v>
      </c>
      <c r="J62" s="58">
        <f>IF('BENZENE-A16'!J26=0,"    -",ROUND('BENZENE-A16'!J55/'BENZENE-A16'!J26*100,1))</f>
        <v>29</v>
      </c>
      <c r="K62" s="59">
        <f>IF('BENZENE-A16'!K26=0,"    -",ROUND('BENZENE-A16'!K55/'BENZENE-A16'!K26*100,1))</f>
        <v>31</v>
      </c>
      <c r="L62" s="57">
        <f>IF('BENZENE-A16'!L26=0,"    -",ROUND('BENZENE-A16'!L55/'BENZENE-A16'!L26*100,1))</f>
        <v>39.4</v>
      </c>
      <c r="M62" s="58">
        <f>IF('BENZENE-A16'!M26=0,"    -",ROUND('BENZENE-A16'!M55/'BENZENE-A16'!M26*100,1))</f>
        <v>39.4</v>
      </c>
      <c r="N62" s="58">
        <f>IF('BENZENE-A16'!N26=0,"    -",ROUND('BENZENE-A16'!N55/'BENZENE-A16'!N26*100,1))</f>
        <v>39.4</v>
      </c>
      <c r="O62" s="58">
        <f>IF('BENZENE-A16'!O26=0,"    -",ROUND('BENZENE-A16'!O55/'BENZENE-A16'!O26*100,1))</f>
        <v>53</v>
      </c>
      <c r="P62" s="58">
        <f>IF('BENZENE-A16'!P26=0,"    -",ROUND('BENZENE-A16'!P55/'BENZENE-A16'!P26*100,1))</f>
        <v>66.5</v>
      </c>
      <c r="Q62" s="59">
        <f>IF('BENZENE-A16'!Q26=0,"    -",ROUND('BENZENE-A16'!Q55/'BENZENE-A16'!Q26*100,1))</f>
        <v>73.900000000000006</v>
      </c>
    </row>
    <row r="63" spans="2:17" ht="17.25" customHeight="1">
      <c r="B63" s="674" t="s">
        <v>315</v>
      </c>
      <c r="C63" s="675"/>
      <c r="D63" s="74">
        <f>IF('BENZENE-A16'!D27=0,"    -",ROUND('BENZENE-A16'!D56/'BENZENE-A16'!D27*100,1))</f>
        <v>91.5</v>
      </c>
      <c r="E63" s="75">
        <f>IF('BENZENE-A16'!E27=0,"    -",ROUND('BENZENE-A16'!E56/'BENZENE-A16'!E27*100,1))</f>
        <v>67.7</v>
      </c>
      <c r="F63" s="75">
        <f>IF('BENZENE-A16'!F27=0,"    -",ROUND('BENZENE-A16'!F56/'BENZENE-A16'!F27*100,1))</f>
        <v>78.8</v>
      </c>
      <c r="G63" s="75">
        <f>IF('BENZENE-A16'!G27=0,"    -",ROUND('BENZENE-A16'!G56/'BENZENE-A16'!G27*100,1))</f>
        <v>99.6</v>
      </c>
      <c r="H63" s="75">
        <f>IF('BENZENE-A16'!H27=0,"    -",ROUND('BENZENE-A16'!H56/'BENZENE-A16'!H27*100,1))</f>
        <v>95.3</v>
      </c>
      <c r="I63" s="75">
        <f>IF('BENZENE-A16'!I27=0,"    -",ROUND('BENZENE-A16'!I56/'BENZENE-A16'!I27*100,1))</f>
        <v>94.4</v>
      </c>
      <c r="J63" s="75">
        <f>IF('BENZENE-A16'!J27=0,"    -",ROUND('BENZENE-A16'!J56/'BENZENE-A16'!J27*100,1))</f>
        <v>75.900000000000006</v>
      </c>
      <c r="K63" s="76">
        <f>IF('BENZENE-A16'!K27=0,"    -",ROUND('BENZENE-A16'!K56/'BENZENE-A16'!K27*100,1))</f>
        <v>74</v>
      </c>
      <c r="L63" s="77">
        <f>IF('BENZENE-A16'!L27=0,"    -",ROUND('BENZENE-A16'!L56/'BENZENE-A16'!L27*100,1))</f>
        <v>75.2</v>
      </c>
      <c r="M63" s="75">
        <f>IF('BENZENE-A16'!M27=0,"    -",ROUND('BENZENE-A16'!M56/'BENZENE-A16'!M27*100,1))</f>
        <v>73.8</v>
      </c>
      <c r="N63" s="75">
        <f>IF('BENZENE-A16'!N27=0,"    -",ROUND('BENZENE-A16'!N56/'BENZENE-A16'!N27*100,1))</f>
        <v>74.900000000000006</v>
      </c>
      <c r="O63" s="75">
        <f>IF('BENZENE-A16'!O27=0,"    -",ROUND('BENZENE-A16'!O56/'BENZENE-A16'!O27*100,1))</f>
        <v>76</v>
      </c>
      <c r="P63" s="75">
        <f>IF('BENZENE-A16'!P27=0,"    -",ROUND('BENZENE-A16'!P56/'BENZENE-A16'!P27*100,1))</f>
        <v>77.099999999999994</v>
      </c>
      <c r="Q63" s="78">
        <f>IF('BENZENE-A16'!Q27=0,"    -",ROUND('BENZENE-A16'!Q56/'BENZENE-A16'!Q27*100,1))</f>
        <v>78.3</v>
      </c>
    </row>
    <row r="64" spans="2:17" ht="16.5" customHeight="1">
      <c r="B64" s="672" t="s">
        <v>316</v>
      </c>
      <c r="C64" s="673"/>
      <c r="D64" s="57">
        <f>IF('BENZENE-A16'!D28=0,"    -",ROUND('BENZENE-A16'!D57/'BENZENE-A16'!D28*100,1))</f>
        <v>60.5</v>
      </c>
      <c r="E64" s="58">
        <f>IF('BENZENE-A16'!E28=0,"    -",ROUND('BENZENE-A16'!E57/'BENZENE-A16'!E28*100,1))</f>
        <v>69.2</v>
      </c>
      <c r="F64" s="58">
        <f>IF('BENZENE-A16'!F28=0,"    -",ROUND('BENZENE-A16'!F57/'BENZENE-A16'!F28*100,1))</f>
        <v>69.900000000000006</v>
      </c>
      <c r="G64" s="58">
        <f>IF('BENZENE-A16'!G28=0,"    -",ROUND('BENZENE-A16'!G57/'BENZENE-A16'!G28*100,1))</f>
        <v>66.900000000000006</v>
      </c>
      <c r="H64" s="58">
        <f>IF('BENZENE-A16'!H28=0,"    -",ROUND('BENZENE-A16'!H57/'BENZENE-A16'!H28*100,1))</f>
        <v>64.8</v>
      </c>
      <c r="I64" s="58">
        <f>IF('BENZENE-A16'!I28=0,"    -",ROUND('BENZENE-A16'!I57/'BENZENE-A16'!I28*100,1))</f>
        <v>62.5</v>
      </c>
      <c r="J64" s="58">
        <f>IF('BENZENE-A16'!J28=0,"    -",ROUND('BENZENE-A16'!J57/'BENZENE-A16'!J28*100,1))</f>
        <v>61.2</v>
      </c>
      <c r="K64" s="59">
        <f>IF('BENZENE-A16'!K28=0,"    -",ROUND('BENZENE-A16'!K57/'BENZENE-A16'!K28*100,1))</f>
        <v>62</v>
      </c>
      <c r="L64" s="60">
        <f>IF('BENZENE-A16'!L28=0,"    -",ROUND('BENZENE-A16'!L57/'BENZENE-A16'!L28*100,1))</f>
        <v>62</v>
      </c>
      <c r="M64" s="58">
        <f>IF('BENZENE-A16'!M28=0,"    -",ROUND('BENZENE-A16'!M57/'BENZENE-A16'!M28*100,1))</f>
        <v>62</v>
      </c>
      <c r="N64" s="58">
        <f>IF('BENZENE-A16'!N28=0,"    -",ROUND('BENZENE-A16'!N57/'BENZENE-A16'!N28*100,1))</f>
        <v>62</v>
      </c>
      <c r="O64" s="58">
        <f>IF('BENZENE-A16'!O28=0,"    -",ROUND('BENZENE-A16'!O57/'BENZENE-A16'!O28*100,1))</f>
        <v>62</v>
      </c>
      <c r="P64" s="58">
        <f>IF('BENZENE-A16'!P28=0,"    -",ROUND('BENZENE-A16'!P57/'BENZENE-A16'!P28*100,1))</f>
        <v>62</v>
      </c>
      <c r="Q64" s="61">
        <f>IF('BENZENE-A16'!Q28=0,"    -",ROUND('BENZENE-A16'!Q57/'BENZENE-A16'!Q28*100,1))</f>
        <v>62</v>
      </c>
    </row>
    <row r="65" spans="2:17" ht="16.5" customHeight="1">
      <c r="B65" s="670" t="s">
        <v>317</v>
      </c>
      <c r="C65" s="671"/>
      <c r="D65" s="57">
        <f>IF('BENZENE-A16'!D29=0,"    -",ROUND('BENZENE-A16'!D58/'BENZENE-A16'!D29*100,1))</f>
        <v>60</v>
      </c>
      <c r="E65" s="58">
        <f>IF('BENZENE-A16'!E29=0,"    -",ROUND('BENZENE-A16'!E58/'BENZENE-A16'!E29*100,1))</f>
        <v>60</v>
      </c>
      <c r="F65" s="58">
        <f>IF('BENZENE-A16'!F29=0,"    -",ROUND('BENZENE-A16'!F58/'BENZENE-A16'!F29*100,1))</f>
        <v>60</v>
      </c>
      <c r="G65" s="58">
        <f>IF('BENZENE-A16'!G29=0,"    -",ROUND('BENZENE-A16'!G58/'BENZENE-A16'!G29*100,1))</f>
        <v>60</v>
      </c>
      <c r="H65" s="58">
        <f>IF('BENZENE-A16'!H29=0,"    -",ROUND('BENZENE-A16'!H58/'BENZENE-A16'!H29*100,1))</f>
        <v>60</v>
      </c>
      <c r="I65" s="58">
        <f>IF('BENZENE-A16'!I29=0,"    -",ROUND('BENZENE-A16'!I58/'BENZENE-A16'!I29*100,1))</f>
        <v>60</v>
      </c>
      <c r="J65" s="58">
        <f>IF('BENZENE-A16'!J29=0,"    -",ROUND('BENZENE-A16'!J58/'BENZENE-A16'!J29*100,1))</f>
        <v>60</v>
      </c>
      <c r="K65" s="59">
        <f>IF('BENZENE-A16'!K29=0,"    -",ROUND('BENZENE-A16'!K58/'BENZENE-A16'!K29*100,1))</f>
        <v>60</v>
      </c>
      <c r="L65" s="60">
        <f>IF('BENZENE-A16'!L29=0,"    -",ROUND('BENZENE-A16'!L58/'BENZENE-A16'!L29*100,1))</f>
        <v>60</v>
      </c>
      <c r="M65" s="58">
        <f>IF('BENZENE-A16'!M29=0,"    -",ROUND('BENZENE-A16'!M58/'BENZENE-A16'!M29*100,1))</f>
        <v>60</v>
      </c>
      <c r="N65" s="58">
        <f>IF('BENZENE-A16'!N29=0,"    -",ROUND('BENZENE-A16'!N58/'BENZENE-A16'!N29*100,1))</f>
        <v>60</v>
      </c>
      <c r="O65" s="58">
        <f>IF('BENZENE-A16'!O29=0,"    -",ROUND('BENZENE-A16'!O58/'BENZENE-A16'!O29*100,1))</f>
        <v>60</v>
      </c>
      <c r="P65" s="58">
        <f>IF('BENZENE-A16'!P29=0,"    -",ROUND('BENZENE-A16'!P58/'BENZENE-A16'!P29*100,1))</f>
        <v>60</v>
      </c>
      <c r="Q65" s="61">
        <f>IF('BENZENE-A16'!Q29=0,"    -",ROUND('BENZENE-A16'!Q58/'BENZENE-A16'!Q29*100,1))</f>
        <v>60</v>
      </c>
    </row>
    <row r="66" spans="2:17" ht="17.25" customHeight="1">
      <c r="B66" s="674" t="s">
        <v>318</v>
      </c>
      <c r="C66" s="675"/>
      <c r="D66" s="74">
        <f>IF('BENZENE-A16'!D30=0,"    -",ROUND('BENZENE-A16'!D59/'BENZENE-A16'!D30*100,1))</f>
        <v>60.4</v>
      </c>
      <c r="E66" s="75">
        <f>IF('BENZENE-A16'!E30=0,"    -",ROUND('BENZENE-A16'!E59/'BENZENE-A16'!E30*100,1))</f>
        <v>68.2</v>
      </c>
      <c r="F66" s="75">
        <f>IF('BENZENE-A16'!F30=0,"    -",ROUND('BENZENE-A16'!F59/'BENZENE-A16'!F30*100,1))</f>
        <v>68.7</v>
      </c>
      <c r="G66" s="75">
        <f>IF('BENZENE-A16'!G30=0,"    -",ROUND('BENZENE-A16'!G59/'BENZENE-A16'!G30*100,1))</f>
        <v>66.099999999999994</v>
      </c>
      <c r="H66" s="75">
        <f>IF('BENZENE-A16'!H30=0,"    -",ROUND('BENZENE-A16'!H59/'BENZENE-A16'!H30*100,1))</f>
        <v>64.2</v>
      </c>
      <c r="I66" s="75">
        <f>IF('BENZENE-A16'!I30=0,"    -",ROUND('BENZENE-A16'!I59/'BENZENE-A16'!I30*100,1))</f>
        <v>62.2</v>
      </c>
      <c r="J66" s="75">
        <f>IF('BENZENE-A16'!J30=0,"    -",ROUND('BENZENE-A16'!J59/'BENZENE-A16'!J30*100,1))</f>
        <v>61</v>
      </c>
      <c r="K66" s="76">
        <f>IF('BENZENE-A16'!K30=0,"    -",ROUND('BENZENE-A16'!K59/'BENZENE-A16'!K30*100,1))</f>
        <v>61.8</v>
      </c>
      <c r="L66" s="77">
        <f>IF('BENZENE-A16'!L30=0,"    -",ROUND('BENZENE-A16'!L59/'BENZENE-A16'!L30*100,1))</f>
        <v>61.8</v>
      </c>
      <c r="M66" s="75">
        <f>IF('BENZENE-A16'!M30=0,"    -",ROUND('BENZENE-A16'!M59/'BENZENE-A16'!M30*100,1))</f>
        <v>61.8</v>
      </c>
      <c r="N66" s="75">
        <f>IF('BENZENE-A16'!N30=0,"    -",ROUND('BENZENE-A16'!N59/'BENZENE-A16'!N30*100,1))</f>
        <v>61.8</v>
      </c>
      <c r="O66" s="75">
        <f>IF('BENZENE-A16'!O30=0,"    -",ROUND('BENZENE-A16'!O59/'BENZENE-A16'!O30*100,1))</f>
        <v>61.8</v>
      </c>
      <c r="P66" s="75">
        <f>IF('BENZENE-A16'!P30=0,"    -",ROUND('BENZENE-A16'!P59/'BENZENE-A16'!P30*100,1))</f>
        <v>61.8</v>
      </c>
      <c r="Q66" s="78">
        <f>IF('BENZENE-A16'!Q30=0,"    -",ROUND('BENZENE-A16'!Q59/'BENZENE-A16'!Q30*100,1))</f>
        <v>61.8</v>
      </c>
    </row>
    <row r="67" spans="2:17" ht="16.5" customHeight="1">
      <c r="B67" s="672" t="s">
        <v>319</v>
      </c>
      <c r="C67" s="673"/>
      <c r="D67" s="57">
        <f>IF('BENZENE-A16'!D31=0,"    -",ROUND('BENZENE-A16'!D60/'BENZENE-A16'!D31*100,1))</f>
        <v>74.400000000000006</v>
      </c>
      <c r="E67" s="58">
        <f>IF('BENZENE-A16'!E31=0,"    -",ROUND('BENZENE-A16'!E60/'BENZENE-A16'!E31*100,1))</f>
        <v>74.400000000000006</v>
      </c>
      <c r="F67" s="58">
        <f>IF('BENZENE-A16'!F31=0,"    -",ROUND('BENZENE-A16'!F60/'BENZENE-A16'!F31*100,1))</f>
        <v>18.3</v>
      </c>
      <c r="G67" s="58">
        <f>IF('BENZENE-A16'!G31=0,"    -",ROUND('BENZENE-A16'!G60/'BENZENE-A16'!G31*100,1))</f>
        <v>48.8</v>
      </c>
      <c r="H67" s="58">
        <f>IF('BENZENE-A16'!H31=0,"    -",ROUND('BENZENE-A16'!H60/'BENZENE-A16'!H31*100,1))</f>
        <v>74.400000000000006</v>
      </c>
      <c r="I67" s="58">
        <f>IF('BENZENE-A16'!I31=0,"    -",ROUND('BENZENE-A16'!I60/'BENZENE-A16'!I31*100,1))</f>
        <v>53</v>
      </c>
      <c r="J67" s="58">
        <f>IF('BENZENE-A16'!J31=0,"    -",ROUND('BENZENE-A16'!J60/'BENZENE-A16'!J31*100,1))</f>
        <v>50</v>
      </c>
      <c r="K67" s="59">
        <f>IF('BENZENE-A16'!K31=0,"    -",ROUND('BENZENE-A16'!K60/'BENZENE-A16'!K31*100,1))</f>
        <v>50</v>
      </c>
      <c r="L67" s="60">
        <f>IF('BENZENE-A16'!L31=0,"    -",ROUND('BENZENE-A16'!L60/'BENZENE-A16'!L31*100,1))</f>
        <v>50</v>
      </c>
      <c r="M67" s="58">
        <f>IF('BENZENE-A16'!M31=0,"    -",ROUND('BENZENE-A16'!M60/'BENZENE-A16'!M31*100,1))</f>
        <v>50</v>
      </c>
      <c r="N67" s="58">
        <f>IF('BENZENE-A16'!N31=0,"    -",ROUND('BENZENE-A16'!N60/'BENZENE-A16'!N31*100,1))</f>
        <v>50</v>
      </c>
      <c r="O67" s="58">
        <f>IF('BENZENE-A16'!O31=0,"    -",ROUND('BENZENE-A16'!O60/'BENZENE-A16'!O31*100,1))</f>
        <v>50</v>
      </c>
      <c r="P67" s="58">
        <f>IF('BENZENE-A16'!P31=0,"    -",ROUND('BENZENE-A16'!P60/'BENZENE-A16'!P31*100,1))</f>
        <v>50</v>
      </c>
      <c r="Q67" s="61">
        <f>IF('BENZENE-A16'!Q31=0,"    -",ROUND('BENZENE-A16'!Q60/'BENZENE-A16'!Q31*100,1))</f>
        <v>50</v>
      </c>
    </row>
    <row r="68" spans="2:17" ht="16.5" customHeight="1">
      <c r="B68" s="668" t="s">
        <v>320</v>
      </c>
      <c r="C68" s="669"/>
      <c r="D68" s="57">
        <f>IF('BENZENE-A16'!D32=0,"    -",ROUND('BENZENE-A16'!D61/'BENZENE-A16'!D32*100,1))</f>
        <v>81.8</v>
      </c>
      <c r="E68" s="58">
        <f>IF('BENZENE-A16'!E32=0,"    -",ROUND('BENZENE-A16'!E61/'BENZENE-A16'!E32*100,1))</f>
        <v>81.8</v>
      </c>
      <c r="F68" s="58">
        <f>IF('BENZENE-A16'!F32=0,"    -",ROUND('BENZENE-A16'!F61/'BENZENE-A16'!F32*100,1))</f>
        <v>71.8</v>
      </c>
      <c r="G68" s="58">
        <f>IF('BENZENE-A16'!G32=0,"    -",ROUND('BENZENE-A16'!G61/'BENZENE-A16'!G32*100,1))</f>
        <v>87.9</v>
      </c>
      <c r="H68" s="58">
        <f>IF('BENZENE-A16'!H32=0,"    -",ROUND('BENZENE-A16'!H61/'BENZENE-A16'!H32*100,1))</f>
        <v>81.099999999999994</v>
      </c>
      <c r="I68" s="58">
        <f>IF('BENZENE-A16'!I32=0,"    -",ROUND('BENZENE-A16'!I61/'BENZENE-A16'!I32*100,1))</f>
        <v>85</v>
      </c>
      <c r="J68" s="58">
        <f>IF('BENZENE-A16'!J32=0,"    -",ROUND('BENZENE-A16'!J61/'BENZENE-A16'!J32*100,1))</f>
        <v>80.5</v>
      </c>
      <c r="K68" s="59">
        <f>IF('BENZENE-A16'!K32=0,"    -",ROUND('BENZENE-A16'!K61/'BENZENE-A16'!K32*100,1))</f>
        <v>80</v>
      </c>
      <c r="L68" s="60">
        <f>IF('BENZENE-A16'!L32=0,"    -",ROUND('BENZENE-A16'!L61/'BENZENE-A16'!L32*100,1))</f>
        <v>80</v>
      </c>
      <c r="M68" s="58">
        <f>IF('BENZENE-A16'!M32=0,"    -",ROUND('BENZENE-A16'!M61/'BENZENE-A16'!M32*100,1))</f>
        <v>80</v>
      </c>
      <c r="N68" s="58">
        <f>IF('BENZENE-A16'!N32=0,"    -",ROUND('BENZENE-A16'!N61/'BENZENE-A16'!N32*100,1))</f>
        <v>80</v>
      </c>
      <c r="O68" s="58">
        <f>IF('BENZENE-A16'!O32=0,"    -",ROUND('BENZENE-A16'!O61/'BENZENE-A16'!O32*100,1))</f>
        <v>80</v>
      </c>
      <c r="P68" s="58">
        <f>IF('BENZENE-A16'!P32=0,"    -",ROUND('BENZENE-A16'!P61/'BENZENE-A16'!P32*100,1))</f>
        <v>80</v>
      </c>
      <c r="Q68" s="61">
        <f>IF('BENZENE-A16'!Q32=0,"    -",ROUND('BENZENE-A16'!Q61/'BENZENE-A16'!Q32*100,1))</f>
        <v>80</v>
      </c>
    </row>
    <row r="69" spans="2:17" ht="16.5" customHeight="1">
      <c r="B69" s="670" t="s">
        <v>321</v>
      </c>
      <c r="C69" s="671"/>
      <c r="D69" s="57">
        <f>IF('BENZENE-A16'!D33=0,"    -",ROUND('BENZENE-A16'!D62/'BENZENE-A16'!D33*100,1))</f>
        <v>80</v>
      </c>
      <c r="E69" s="58">
        <f>IF('BENZENE-A16'!E33=0,"    -",ROUND('BENZENE-A16'!E62/'BENZENE-A16'!E33*100,1))</f>
        <v>80</v>
      </c>
      <c r="F69" s="58">
        <f>IF('BENZENE-A16'!F33=0,"    -",ROUND('BENZENE-A16'!F62/'BENZENE-A16'!F33*100,1))</f>
        <v>80</v>
      </c>
      <c r="G69" s="58">
        <f>IF('BENZENE-A16'!G33=0,"    -",ROUND('BENZENE-A16'!G62/'BENZENE-A16'!G33*100,1))</f>
        <v>80</v>
      </c>
      <c r="H69" s="58">
        <f>IF('BENZENE-A16'!H33=0,"    -",ROUND('BENZENE-A16'!H62/'BENZENE-A16'!H33*100,1))</f>
        <v>80</v>
      </c>
      <c r="I69" s="58">
        <f>IF('BENZENE-A16'!I33=0,"    -",ROUND('BENZENE-A16'!I62/'BENZENE-A16'!I33*100,1))</f>
        <v>80</v>
      </c>
      <c r="J69" s="58">
        <f>IF('BENZENE-A16'!J33=0,"    -",ROUND('BENZENE-A16'!J62/'BENZENE-A16'!J33*100,1))</f>
        <v>79.900000000000006</v>
      </c>
      <c r="K69" s="59">
        <f>IF('BENZENE-A16'!K33=0,"    -",ROUND('BENZENE-A16'!K62/'BENZENE-A16'!K33*100,1))</f>
        <v>80</v>
      </c>
      <c r="L69" s="60">
        <f>IF('BENZENE-A16'!L33=0,"    -",ROUND('BENZENE-A16'!L62/'BENZENE-A16'!L33*100,1))</f>
        <v>80</v>
      </c>
      <c r="M69" s="58">
        <f>IF('BENZENE-A16'!M33=0,"    -",ROUND('BENZENE-A16'!M62/'BENZENE-A16'!M33*100,1))</f>
        <v>80</v>
      </c>
      <c r="N69" s="58">
        <f>IF('BENZENE-A16'!N33=0,"    -",ROUND('BENZENE-A16'!N62/'BENZENE-A16'!N33*100,1))</f>
        <v>80</v>
      </c>
      <c r="O69" s="58">
        <f>IF('BENZENE-A16'!O33=0,"    -",ROUND('BENZENE-A16'!O62/'BENZENE-A16'!O33*100,1))</f>
        <v>80</v>
      </c>
      <c r="P69" s="58">
        <f>IF('BENZENE-A16'!P33=0,"    -",ROUND('BENZENE-A16'!P62/'BENZENE-A16'!P33*100,1))</f>
        <v>80</v>
      </c>
      <c r="Q69" s="61">
        <f>IF('BENZENE-A16'!Q33=0,"    -",ROUND('BENZENE-A16'!Q62/'BENZENE-A16'!Q33*100,1))</f>
        <v>79.900000000000006</v>
      </c>
    </row>
    <row r="70" spans="2:17" ht="17.25" customHeight="1" thickBot="1">
      <c r="B70" s="678" t="s">
        <v>322</v>
      </c>
      <c r="C70" s="679"/>
      <c r="D70" s="111">
        <f>IF('BENZENE-A16'!D34=0,"    -",ROUND('BENZENE-A16'!D63/'BENZENE-A16'!D34*100,1))</f>
        <v>80.599999999999994</v>
      </c>
      <c r="E70" s="112">
        <f>IF('BENZENE-A16'!E34=0,"    -",ROUND('BENZENE-A16'!E63/'BENZENE-A16'!E34*100,1))</f>
        <v>80.599999999999994</v>
      </c>
      <c r="F70" s="112">
        <f>IF('BENZENE-A16'!F34=0,"    -",ROUND('BENZENE-A16'!F63/'BENZENE-A16'!F34*100,1))</f>
        <v>67.7</v>
      </c>
      <c r="G70" s="112">
        <f>IF('BENZENE-A16'!G34=0,"    -",ROUND('BENZENE-A16'!G63/'BENZENE-A16'!G34*100,1))</f>
        <v>82.1</v>
      </c>
      <c r="H70" s="112">
        <f>IF('BENZENE-A16'!H34=0,"    -",ROUND('BENZENE-A16'!H63/'BENZENE-A16'!H34*100,1))</f>
        <v>80.099999999999994</v>
      </c>
      <c r="I70" s="112">
        <f>IF('BENZENE-A16'!I34=0,"    -",ROUND('BENZENE-A16'!I63/'BENZENE-A16'!I34*100,1))</f>
        <v>80.5</v>
      </c>
      <c r="J70" s="112">
        <f>IF('BENZENE-A16'!J34=0,"    -",ROUND('BENZENE-A16'!J63/'BENZENE-A16'!J34*100,1))</f>
        <v>77.099999999999994</v>
      </c>
      <c r="K70" s="113">
        <f>IF('BENZENE-A16'!K34=0,"    -",ROUND('BENZENE-A16'!K63/'BENZENE-A16'!K34*100,1))</f>
        <v>76.8</v>
      </c>
      <c r="L70" s="114">
        <f>IF('BENZENE-A16'!L34=0,"    -",ROUND('BENZENE-A16'!L63/'BENZENE-A16'!L34*100,1))</f>
        <v>76.8</v>
      </c>
      <c r="M70" s="112">
        <f>IF('BENZENE-A16'!M34=0,"    -",ROUND('BENZENE-A16'!M63/'BENZENE-A16'!M34*100,1))</f>
        <v>76.8</v>
      </c>
      <c r="N70" s="112">
        <f>IF('BENZENE-A16'!N34=0,"    -",ROUND('BENZENE-A16'!N63/'BENZENE-A16'!N34*100,1))</f>
        <v>76.8</v>
      </c>
      <c r="O70" s="112">
        <f>IF('BENZENE-A16'!O34=0,"    -",ROUND('BENZENE-A16'!O63/'BENZENE-A16'!O34*100,1))</f>
        <v>76.8</v>
      </c>
      <c r="P70" s="112">
        <f>IF('BENZENE-A16'!P34=0,"    -",ROUND('BENZENE-A16'!P63/'BENZENE-A16'!P34*100,1))</f>
        <v>76.8</v>
      </c>
      <c r="Q70" s="115">
        <f>IF('BENZENE-A16'!Q34=0,"    -",ROUND('BENZENE-A16'!Q63/'BENZENE-A16'!Q34*100,1))</f>
        <v>76.8</v>
      </c>
    </row>
    <row r="71" spans="2:17" ht="18" customHeight="1" thickTop="1" thickBot="1">
      <c r="B71" s="21"/>
      <c r="C71" s="619" t="s">
        <v>337</v>
      </c>
      <c r="D71" s="122">
        <f>IF('BENZENE-A16'!D35=0,"    -",ROUND('BENZENE-A16'!D64/'BENZENE-A16'!D35*100,1))</f>
        <v>73.5</v>
      </c>
      <c r="E71" s="123">
        <f>IF('BENZENE-A16'!E35=0,"    -",ROUND('BENZENE-A16'!E64/'BENZENE-A16'!E35*100,1))</f>
        <v>73</v>
      </c>
      <c r="F71" s="123">
        <f>IF('BENZENE-A16'!F35=0,"    -",ROUND('BENZENE-A16'!F64/'BENZENE-A16'!F35*100,1))</f>
        <v>73.3</v>
      </c>
      <c r="G71" s="123">
        <f>IF('BENZENE-A16'!G35=0,"    -",ROUND('BENZENE-A16'!G64/'BENZENE-A16'!G35*100,1))</f>
        <v>74.7</v>
      </c>
      <c r="H71" s="123">
        <f>IF('BENZENE-A16'!H35=0,"    -",ROUND('BENZENE-A16'!H64/'BENZENE-A16'!H35*100,1))</f>
        <v>72.2</v>
      </c>
      <c r="I71" s="123">
        <f>IF('BENZENE-A16'!I35=0,"    -",ROUND('BENZENE-A16'!I64/'BENZENE-A16'!I35*100,1))</f>
        <v>72.8</v>
      </c>
      <c r="J71" s="123">
        <f>IF('BENZENE-A16'!J35=0,"    -",ROUND('BENZENE-A16'!J64/'BENZENE-A16'!J35*100,1))</f>
        <v>71.099999999999994</v>
      </c>
      <c r="K71" s="124">
        <f>IF('BENZENE-A16'!K35=0,"    -",ROUND('BENZENE-A16'!K64/'BENZENE-A16'!K35*100,1))</f>
        <v>72.2</v>
      </c>
      <c r="L71" s="125">
        <f>IF('BENZENE-A16'!L35=0,"    -",ROUND('BENZENE-A16'!L64/'BENZENE-A16'!L35*100,1))</f>
        <v>73.3</v>
      </c>
      <c r="M71" s="123">
        <f>IF('BENZENE-A16'!M35=0,"    -",ROUND('BENZENE-A16'!M64/'BENZENE-A16'!M35*100,1))</f>
        <v>71.8</v>
      </c>
      <c r="N71" s="123">
        <f>IF('BENZENE-A16'!N35=0,"    -",ROUND('BENZENE-A16'!N64/'BENZENE-A16'!N35*100,1))</f>
        <v>71.7</v>
      </c>
      <c r="O71" s="123">
        <f>IF('BENZENE-A16'!O35=0,"    -",ROUND('BENZENE-A16'!O64/'BENZENE-A16'!O35*100,1))</f>
        <v>71.900000000000006</v>
      </c>
      <c r="P71" s="123">
        <f>IF('BENZENE-A16'!P35=0,"    -",ROUND('BENZENE-A16'!P64/'BENZENE-A16'!P35*100,1))</f>
        <v>73.8</v>
      </c>
      <c r="Q71" s="126">
        <f>IF('BENZENE-A16'!Q35=0,"    -",ROUND('BENZENE-A16'!Q64/'BENZENE-A16'!Q35*100,1))</f>
        <v>73.599999999999994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37" priority="5">
      <formula>CELL("protect",C75)=0</formula>
    </cfRule>
    <cfRule type="expression" dxfId="136" priority="6">
      <formula>CELL("protect",C75)=0</formula>
    </cfRule>
  </conditionalFormatting>
  <conditionalFormatting sqref="C73">
    <cfRule type="expression" dxfId="135" priority="3">
      <formula>CELL("protect",C73)=0</formula>
    </cfRule>
    <cfRule type="expression" dxfId="134" priority="4">
      <formula>CELL("protect",C73)=0</formula>
    </cfRule>
  </conditionalFormatting>
  <conditionalFormatting sqref="C75">
    <cfRule type="expression" dxfId="133" priority="1">
      <formula>CELL("protect",C75)=0</formula>
    </cfRule>
    <cfRule type="expression" dxfId="132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&amp;C178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15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'TOLUENE-A17'!D36-'TOLUENE-A17'!D65</f>
        <v>576</v>
      </c>
      <c r="E7" s="240">
        <f>'TOLUENE-A17'!E36-'TOLUENE-A17'!E65</f>
        <v>576</v>
      </c>
      <c r="F7" s="240">
        <f>'TOLUENE-A17'!F36-'TOLUENE-A17'!F65</f>
        <v>1015</v>
      </c>
      <c r="G7" s="240">
        <f>'TOLUENE-A17'!G36-'TOLUENE-A17'!G65</f>
        <v>884</v>
      </c>
      <c r="H7" s="240">
        <f>'TOLUENE-A17'!H36-'TOLUENE-A17'!H65</f>
        <v>184</v>
      </c>
      <c r="I7" s="240">
        <f>'TOLUENE-A17'!I36-'TOLUENE-A17'!I65</f>
        <v>-338</v>
      </c>
      <c r="J7" s="240">
        <f>'TOLUENE-A17'!J36-'TOLUENE-A17'!J65</f>
        <v>-28</v>
      </c>
      <c r="K7" s="241">
        <f>'TOLUENE-A17'!K36-'TOLUENE-A17'!K65</f>
        <v>-414</v>
      </c>
      <c r="L7" s="242">
        <f>'TOLUENE-A17'!L36-'TOLUENE-A17'!L65</f>
        <v>-100</v>
      </c>
      <c r="M7" s="240">
        <f>'TOLUENE-A17'!M36-'TOLUENE-A17'!M65</f>
        <v>-100</v>
      </c>
      <c r="N7" s="240">
        <f>'TOLUENE-A17'!N36-'TOLUENE-A17'!N65</f>
        <v>-100</v>
      </c>
      <c r="O7" s="240">
        <f>'TOLUENE-A17'!O36-'TOLUENE-A17'!O65</f>
        <v>-100</v>
      </c>
      <c r="P7" s="240">
        <f>'TOLUENE-A17'!P36-'TOLUENE-A17'!P65</f>
        <v>-100</v>
      </c>
      <c r="Q7" s="243">
        <f>'TOLUENE-A17'!Q36-'TOLUENE-A17'!Q65</f>
        <v>-100</v>
      </c>
    </row>
    <row r="8" spans="2:19" ht="16.5" customHeight="1">
      <c r="B8" s="605" t="s">
        <v>434</v>
      </c>
      <c r="C8" s="606"/>
      <c r="D8" s="239">
        <f>'TOLUENE-A17'!D37-'TOLUENE-A17'!D66</f>
        <v>-76</v>
      </c>
      <c r="E8" s="240">
        <f>'TOLUENE-A17'!E37-'TOLUENE-A17'!E66</f>
        <v>-161</v>
      </c>
      <c r="F8" s="240">
        <f>'TOLUENE-A17'!F37-'TOLUENE-A17'!F66</f>
        <v>-224</v>
      </c>
      <c r="G8" s="240">
        <f>'TOLUENE-A17'!G37-'TOLUENE-A17'!G66</f>
        <v>-303</v>
      </c>
      <c r="H8" s="240">
        <f>'TOLUENE-A17'!H37-'TOLUENE-A17'!H66</f>
        <v>40</v>
      </c>
      <c r="I8" s="240">
        <f>'TOLUENE-A17'!I37-'TOLUENE-A17'!I66</f>
        <v>195</v>
      </c>
      <c r="J8" s="240">
        <f>'TOLUENE-A17'!J37-'TOLUENE-A17'!J66</f>
        <v>129</v>
      </c>
      <c r="K8" s="241">
        <f>'TOLUENE-A17'!K37-'TOLUENE-A17'!K66</f>
        <v>135</v>
      </c>
      <c r="L8" s="242">
        <f>'TOLUENE-A17'!L37-'TOLUENE-A17'!L66</f>
        <v>185</v>
      </c>
      <c r="M8" s="240">
        <f>'TOLUENE-A17'!M37-'TOLUENE-A17'!M66</f>
        <v>185</v>
      </c>
      <c r="N8" s="240">
        <f>'TOLUENE-A17'!N37-'TOLUENE-A17'!N66</f>
        <v>185</v>
      </c>
      <c r="O8" s="240">
        <f>'TOLUENE-A17'!O37-'TOLUENE-A17'!O66</f>
        <v>185</v>
      </c>
      <c r="P8" s="240">
        <f>'TOLUENE-A17'!P37-'TOLUENE-A17'!P66</f>
        <v>185</v>
      </c>
      <c r="Q8" s="243">
        <f>'TOLUENE-A17'!Q37-'TOLUENE-A17'!Q66</f>
        <v>185</v>
      </c>
    </row>
    <row r="9" spans="2:19" ht="16.5" customHeight="1">
      <c r="B9" s="605" t="s">
        <v>435</v>
      </c>
      <c r="C9" s="606"/>
      <c r="D9" s="239">
        <f>'TOLUENE-A17'!D38-'TOLUENE-A17'!D67</f>
        <v>210</v>
      </c>
      <c r="E9" s="240">
        <f>'TOLUENE-A17'!E38-'TOLUENE-A17'!E67</f>
        <v>193.48499999999999</v>
      </c>
      <c r="F9" s="240">
        <f>'TOLUENE-A17'!F38-'TOLUENE-A17'!F67</f>
        <v>187.858</v>
      </c>
      <c r="G9" s="240">
        <f>'TOLUENE-A17'!G38-'TOLUENE-A17'!G67</f>
        <v>283.48700000000002</v>
      </c>
      <c r="H9" s="240">
        <f>'TOLUENE-A17'!H38-'TOLUENE-A17'!H67</f>
        <v>284.63699999999994</v>
      </c>
      <c r="I9" s="240">
        <f>'TOLUENE-A17'!I38-'TOLUENE-A17'!I67</f>
        <v>284.96199999999999</v>
      </c>
      <c r="J9" s="240">
        <f>'TOLUENE-A17'!J38-'TOLUENE-A17'!J67</f>
        <v>249</v>
      </c>
      <c r="K9" s="241">
        <f>'TOLUENE-A17'!K38-'TOLUENE-A17'!K67</f>
        <v>285</v>
      </c>
      <c r="L9" s="242">
        <f>'TOLUENE-A17'!L38-'TOLUENE-A17'!L67</f>
        <v>253</v>
      </c>
      <c r="M9" s="240">
        <f>'TOLUENE-A17'!M38-'TOLUENE-A17'!M67</f>
        <v>257</v>
      </c>
      <c r="N9" s="240">
        <f>'TOLUENE-A17'!N38-'TOLUENE-A17'!N67</f>
        <v>257</v>
      </c>
      <c r="O9" s="240">
        <f>'TOLUENE-A17'!O38-'TOLUENE-A17'!O67</f>
        <v>249</v>
      </c>
      <c r="P9" s="240">
        <f>'TOLUENE-A17'!P38-'TOLUENE-A17'!P67</f>
        <v>257</v>
      </c>
      <c r="Q9" s="243">
        <f>'TOLUENE-A17'!Q38-'TOLUENE-A17'!Q67</f>
        <v>253</v>
      </c>
    </row>
    <row r="10" spans="2:19" ht="16.5" customHeight="1">
      <c r="B10" s="605" t="s">
        <v>436</v>
      </c>
      <c r="C10" s="606"/>
      <c r="D10" s="239">
        <f>'TOLUENE-A17'!D39-'TOLUENE-A17'!D68</f>
        <v>-643</v>
      </c>
      <c r="E10" s="240">
        <f>'TOLUENE-A17'!E39-'TOLUENE-A17'!E68</f>
        <v>-321</v>
      </c>
      <c r="F10" s="240">
        <f>'TOLUENE-A17'!F39-'TOLUENE-A17'!F68</f>
        <v>-418</v>
      </c>
      <c r="G10" s="240">
        <f>'TOLUENE-A17'!G39-'TOLUENE-A17'!G68</f>
        <v>-499</v>
      </c>
      <c r="H10" s="240">
        <f>'TOLUENE-A17'!H39-'TOLUENE-A17'!H68</f>
        <v>-510</v>
      </c>
      <c r="I10" s="240">
        <f>'TOLUENE-A17'!I39-'TOLUENE-A17'!I68</f>
        <v>-439</v>
      </c>
      <c r="J10" s="240">
        <f>'TOLUENE-A17'!J39-'TOLUENE-A17'!J68</f>
        <v>-456</v>
      </c>
      <c r="K10" s="241">
        <f>'TOLUENE-A17'!K39-'TOLUENE-A17'!K68</f>
        <v>-508</v>
      </c>
      <c r="L10" s="242">
        <f>'TOLUENE-A17'!L39-'TOLUENE-A17'!L68</f>
        <v>-331</v>
      </c>
      <c r="M10" s="240">
        <f>'TOLUENE-A17'!M39-'TOLUENE-A17'!M68</f>
        <v>-752</v>
      </c>
      <c r="N10" s="240">
        <f>'TOLUENE-A17'!N39-'TOLUENE-A17'!N68</f>
        <v>-844</v>
      </c>
      <c r="O10" s="240">
        <f>'TOLUENE-A17'!O39-'TOLUENE-A17'!O68</f>
        <v>-847</v>
      </c>
      <c r="P10" s="240">
        <f>'TOLUENE-A17'!P39-'TOLUENE-A17'!P68</f>
        <v>-1027</v>
      </c>
      <c r="Q10" s="243">
        <f>'TOLUENE-A17'!Q39-'TOLUENE-A17'!Q68</f>
        <v>-1010</v>
      </c>
    </row>
    <row r="11" spans="2:19" ht="16.5" customHeight="1">
      <c r="B11" s="605" t="s">
        <v>437</v>
      </c>
      <c r="C11" s="606"/>
      <c r="D11" s="239">
        <f>'TOLUENE-A17'!D40-'TOLUENE-A17'!D69</f>
        <v>188</v>
      </c>
      <c r="E11" s="240">
        <f>'TOLUENE-A17'!E40-'TOLUENE-A17'!E69</f>
        <v>228</v>
      </c>
      <c r="F11" s="240">
        <f>'TOLUENE-A17'!F40-'TOLUENE-A17'!F69</f>
        <v>164</v>
      </c>
      <c r="G11" s="240">
        <f>'TOLUENE-A17'!G40-'TOLUENE-A17'!G69</f>
        <v>123</v>
      </c>
      <c r="H11" s="240">
        <f>'TOLUENE-A17'!H40-'TOLUENE-A17'!H69</f>
        <v>195.09000000000003</v>
      </c>
      <c r="I11" s="240">
        <f>'TOLUENE-A17'!I40-'TOLUENE-A17'!I69</f>
        <v>237.12699999999995</v>
      </c>
      <c r="J11" s="240">
        <f>'TOLUENE-A17'!J40-'TOLUENE-A17'!J69</f>
        <v>263</v>
      </c>
      <c r="K11" s="241">
        <f>'TOLUENE-A17'!K40-'TOLUENE-A17'!K69</f>
        <v>237.29800000000012</v>
      </c>
      <c r="L11" s="242">
        <f>'TOLUENE-A17'!L40-'TOLUENE-A17'!L69</f>
        <v>218.44485400000019</v>
      </c>
      <c r="M11" s="240">
        <f>'TOLUENE-A17'!M40-'TOLUENE-A17'!M69</f>
        <v>202.2607396822001</v>
      </c>
      <c r="N11" s="240">
        <f>'TOLUENE-A17'!N40-'TOLUENE-A17'!N69</f>
        <v>186.49080032933659</v>
      </c>
      <c r="O11" s="240">
        <f>'TOLUENE-A17'!O40-'TOLUENE-A17'!O69</f>
        <v>171.03926203518233</v>
      </c>
      <c r="P11" s="240">
        <f>'TOLUENE-A17'!P40-'TOLUENE-A17'!P69</f>
        <v>155.53494912079793</v>
      </c>
      <c r="Q11" s="243">
        <f>'TOLUENE-A17'!Q40-'TOLUENE-A17'!Q69</f>
        <v>139.48887121514815</v>
      </c>
    </row>
    <row r="12" spans="2:19" ht="16.5" customHeight="1">
      <c r="B12" s="605" t="s">
        <v>438</v>
      </c>
      <c r="C12" s="606"/>
      <c r="D12" s="239">
        <f>'TOLUENE-A17'!D41-'TOLUENE-A17'!D70</f>
        <v>-102.83785796667831</v>
      </c>
      <c r="E12" s="240">
        <f>'TOLUENE-A17'!E41-'TOLUENE-A17'!E70</f>
        <v>-143.36108087654574</v>
      </c>
      <c r="F12" s="240">
        <f>'TOLUENE-A17'!F41-'TOLUENE-A17'!F70</f>
        <v>-122</v>
      </c>
      <c r="G12" s="240">
        <f>'TOLUENE-A17'!G41-'TOLUENE-A17'!G70</f>
        <v>-124</v>
      </c>
      <c r="H12" s="240">
        <f>'TOLUENE-A17'!H41-'TOLUENE-A17'!H70</f>
        <v>-140</v>
      </c>
      <c r="I12" s="240">
        <f>'TOLUENE-A17'!I41-'TOLUENE-A17'!I70</f>
        <v>-142</v>
      </c>
      <c r="J12" s="240">
        <f>'TOLUENE-A17'!J41-'TOLUENE-A17'!J70</f>
        <v>-143</v>
      </c>
      <c r="K12" s="241">
        <f>'TOLUENE-A17'!K41-'TOLUENE-A17'!K70</f>
        <v>-150</v>
      </c>
      <c r="L12" s="242">
        <f>'TOLUENE-A17'!L41-'TOLUENE-A17'!L70</f>
        <v>-160</v>
      </c>
      <c r="M12" s="240">
        <f>'TOLUENE-A17'!M41-'TOLUENE-A17'!M70</f>
        <v>-165</v>
      </c>
      <c r="N12" s="240">
        <f>'TOLUENE-A17'!N41-'TOLUENE-A17'!N70</f>
        <v>-125</v>
      </c>
      <c r="O12" s="240">
        <f>'TOLUENE-A17'!O41-'TOLUENE-A17'!O70</f>
        <v>-80</v>
      </c>
      <c r="P12" s="240">
        <f>'TOLUENE-A17'!P41-'TOLUENE-A17'!P70</f>
        <v>-90</v>
      </c>
      <c r="Q12" s="243">
        <f>'TOLUENE-A17'!Q41-'TOLUENE-A17'!Q70</f>
        <v>-100</v>
      </c>
    </row>
    <row r="13" spans="2:19" ht="16.5" customHeight="1">
      <c r="B13" s="605" t="s">
        <v>439</v>
      </c>
      <c r="C13" s="606"/>
      <c r="D13" s="239">
        <f>'TOLUENE-A17'!D42-'TOLUENE-A17'!D71</f>
        <v>-210</v>
      </c>
      <c r="E13" s="240">
        <f>'TOLUENE-A17'!E42-'TOLUENE-A17'!E71</f>
        <v>-230</v>
      </c>
      <c r="F13" s="240">
        <f>'TOLUENE-A17'!F42-'TOLUENE-A17'!F71</f>
        <v>-254</v>
      </c>
      <c r="G13" s="240">
        <f>'TOLUENE-A17'!G42-'TOLUENE-A17'!G71</f>
        <v>-320</v>
      </c>
      <c r="H13" s="240">
        <f>'TOLUENE-A17'!H42-'TOLUENE-A17'!H71</f>
        <v>-340</v>
      </c>
      <c r="I13" s="240">
        <f>'TOLUENE-A17'!I42-'TOLUENE-A17'!I71</f>
        <v>-340</v>
      </c>
      <c r="J13" s="240">
        <f>'TOLUENE-A17'!J42-'TOLUENE-A17'!J71</f>
        <v>-338</v>
      </c>
      <c r="K13" s="241">
        <f>'TOLUENE-A17'!K42-'TOLUENE-A17'!K71</f>
        <v>-340</v>
      </c>
      <c r="L13" s="242">
        <f>'TOLUENE-A17'!L42-'TOLUENE-A17'!L71</f>
        <v>-360</v>
      </c>
      <c r="M13" s="240">
        <f>'TOLUENE-A17'!M42-'TOLUENE-A17'!M71</f>
        <v>-380</v>
      </c>
      <c r="N13" s="240">
        <f>'TOLUENE-A17'!N42-'TOLUENE-A17'!N71</f>
        <v>-380</v>
      </c>
      <c r="O13" s="240">
        <f>'TOLUENE-A17'!O42-'TOLUENE-A17'!O71</f>
        <v>-380</v>
      </c>
      <c r="P13" s="240">
        <f>'TOLUENE-A17'!P42-'TOLUENE-A17'!P71</f>
        <v>-410</v>
      </c>
      <c r="Q13" s="243">
        <f>'TOLUENE-A17'!Q42-'TOLUENE-A17'!Q71</f>
        <v>-410</v>
      </c>
    </row>
    <row r="14" spans="2:19" ht="18" hidden="1" customHeight="1">
      <c r="B14" s="16"/>
      <c r="C14" s="90" t="s">
        <v>306</v>
      </c>
      <c r="D14" s="239">
        <f>'TOLUENE-A17'!D43-'TOLUENE-A17'!D72</f>
        <v>0</v>
      </c>
      <c r="E14" s="240">
        <f>'TOLUENE-A17'!E43-'TOLUENE-A17'!E72</f>
        <v>0</v>
      </c>
      <c r="F14" s="240">
        <f>'TOLUENE-A17'!F43-'TOLUENE-A17'!F72</f>
        <v>0</v>
      </c>
      <c r="G14" s="240">
        <f>'TOLUENE-A17'!G43-'TOLUENE-A17'!G72</f>
        <v>0</v>
      </c>
      <c r="H14" s="240">
        <f>'TOLUENE-A17'!H43-'TOLUENE-A17'!H72</f>
        <v>0</v>
      </c>
      <c r="I14" s="240">
        <f>'TOLUENE-A17'!I43-'TOLUENE-A17'!I72</f>
        <v>0</v>
      </c>
      <c r="J14" s="240">
        <f>'TOLUENE-A17'!J43-'TOLUENE-A17'!J72</f>
        <v>0</v>
      </c>
      <c r="K14" s="241">
        <f>'TOLUENE-A17'!K43-'TOLUENE-A17'!K72</f>
        <v>0</v>
      </c>
      <c r="L14" s="242">
        <f>'TOLUENE-A17'!L43-'TOLUENE-A17'!L72</f>
        <v>0</v>
      </c>
      <c r="M14" s="240">
        <f>'TOLUENE-A17'!M43-'TOLUENE-A17'!M72</f>
        <v>0</v>
      </c>
      <c r="N14" s="240">
        <f>'TOLUENE-A17'!N43-'TOLUENE-A17'!N72</f>
        <v>0</v>
      </c>
      <c r="O14" s="240">
        <f>'TOLUENE-A17'!O43-'TOLUENE-A17'!O72</f>
        <v>0</v>
      </c>
      <c r="P14" s="240">
        <f>'TOLUENE-A17'!P43-'TOLUENE-A17'!P72</f>
        <v>0</v>
      </c>
      <c r="Q14" s="243">
        <f>'TOLUENE-A17'!Q43-'TOLUENE-A17'!Q72</f>
        <v>0</v>
      </c>
    </row>
    <row r="15" spans="2:19" ht="16.5" customHeight="1">
      <c r="B15" s="605" t="s">
        <v>440</v>
      </c>
      <c r="C15" s="606"/>
      <c r="D15" s="239">
        <f>'TOLUENE-A17'!D44-'TOLUENE-A17'!D73</f>
        <v>-7</v>
      </c>
      <c r="E15" s="240">
        <f>'TOLUENE-A17'!E44-'TOLUENE-A17'!E73</f>
        <v>-10</v>
      </c>
      <c r="F15" s="240">
        <f>'TOLUENE-A17'!F44-'TOLUENE-A17'!F73</f>
        <v>-7</v>
      </c>
      <c r="G15" s="240">
        <f>'TOLUENE-A17'!G44-'TOLUENE-A17'!G73</f>
        <v>-7</v>
      </c>
      <c r="H15" s="240">
        <f>'TOLUENE-A17'!H44-'TOLUENE-A17'!H73</f>
        <v>-4</v>
      </c>
      <c r="I15" s="240">
        <f>'TOLUENE-A17'!I44-'TOLUENE-A17'!I73</f>
        <v>-13.240000000000009</v>
      </c>
      <c r="J15" s="240">
        <f>'TOLUENE-A17'!J44-'TOLUENE-A17'!J73</f>
        <v>-23.03</v>
      </c>
      <c r="K15" s="241">
        <f>'TOLUENE-A17'!K44-'TOLUENE-A17'!K73</f>
        <v>-33.419999999999987</v>
      </c>
      <c r="L15" s="242">
        <f>'TOLUENE-A17'!L44-'TOLUENE-A17'!L73</f>
        <v>-44.419999999999987</v>
      </c>
      <c r="M15" s="240">
        <f>'TOLUENE-A17'!M44-'TOLUENE-A17'!M73</f>
        <v>-56.080000000000013</v>
      </c>
      <c r="N15" s="240">
        <f>'TOLUENE-A17'!N44-'TOLUENE-A17'!N73</f>
        <v>-68.449999999999989</v>
      </c>
      <c r="O15" s="240">
        <f>'TOLUENE-A17'!O44-'TOLUENE-A17'!O73</f>
        <v>-43</v>
      </c>
      <c r="P15" s="240">
        <f>'TOLUENE-A17'!P44-'TOLUENE-A17'!P73</f>
        <v>-35</v>
      </c>
      <c r="Q15" s="243">
        <f>'TOLUENE-A17'!Q44-'TOLUENE-A17'!Q73</f>
        <v>-50</v>
      </c>
    </row>
    <row r="16" spans="2:19" ht="16.5" customHeight="1">
      <c r="B16" s="605" t="s">
        <v>441</v>
      </c>
      <c r="C16" s="606"/>
      <c r="D16" s="239">
        <f>'TOLUENE-A17'!D45-'TOLUENE-A17'!D74</f>
        <v>-46.909090909090907</v>
      </c>
      <c r="E16" s="240">
        <f>'TOLUENE-A17'!E45-'TOLUENE-A17'!E74</f>
        <v>-18</v>
      </c>
      <c r="F16" s="240">
        <f>'TOLUENE-A17'!F45-'TOLUENE-A17'!F74</f>
        <v>-50</v>
      </c>
      <c r="G16" s="240">
        <f>'TOLUENE-A17'!G45-'TOLUENE-A17'!G74</f>
        <v>-50</v>
      </c>
      <c r="H16" s="240">
        <f>'TOLUENE-A17'!H45-'TOLUENE-A17'!H74</f>
        <v>-10.332999999999998</v>
      </c>
      <c r="I16" s="240">
        <f>'TOLUENE-A17'!I45-'TOLUENE-A17'!I74</f>
        <v>-30</v>
      </c>
      <c r="J16" s="240">
        <f>'TOLUENE-A17'!J45-'TOLUENE-A17'!J74</f>
        <v>-24</v>
      </c>
      <c r="K16" s="241">
        <f>'TOLUENE-A17'!K45-'TOLUENE-A17'!K74</f>
        <v>-24</v>
      </c>
      <c r="L16" s="242">
        <f>'TOLUENE-A17'!L45-'TOLUENE-A17'!L74</f>
        <v>21</v>
      </c>
      <c r="M16" s="240">
        <f>'TOLUENE-A17'!M45-'TOLUENE-A17'!M74</f>
        <v>21</v>
      </c>
      <c r="N16" s="240">
        <f>'TOLUENE-A17'!N45-'TOLUENE-A17'!N74</f>
        <v>21</v>
      </c>
      <c r="O16" s="240">
        <f>'TOLUENE-A17'!O45-'TOLUENE-A17'!O74</f>
        <v>21</v>
      </c>
      <c r="P16" s="240">
        <f>'TOLUENE-A17'!P45-'TOLUENE-A17'!P74</f>
        <v>21</v>
      </c>
      <c r="Q16" s="243">
        <f>'TOLUENE-A17'!Q45-'TOLUENE-A17'!Q74</f>
        <v>21</v>
      </c>
    </row>
    <row r="17" spans="2:17" ht="16.5" customHeight="1">
      <c r="B17" s="605" t="s">
        <v>442</v>
      </c>
      <c r="C17" s="606"/>
      <c r="D17" s="239">
        <f>'TOLUENE-A17'!D46-'TOLUENE-A17'!D75</f>
        <v>-59</v>
      </c>
      <c r="E17" s="240">
        <f>'TOLUENE-A17'!E46-'TOLUENE-A17'!E75</f>
        <v>-63</v>
      </c>
      <c r="F17" s="240">
        <f>'TOLUENE-A17'!F46-'TOLUENE-A17'!F75</f>
        <v>-67</v>
      </c>
      <c r="G17" s="240">
        <f>'TOLUENE-A17'!G46-'TOLUENE-A17'!G75</f>
        <v>-72</v>
      </c>
      <c r="H17" s="240">
        <f>'TOLUENE-A17'!H46-'TOLUENE-A17'!H75</f>
        <v>-76</v>
      </c>
      <c r="I17" s="240">
        <f>'TOLUENE-A17'!I46-'TOLUENE-A17'!I75</f>
        <v>-82</v>
      </c>
      <c r="J17" s="240">
        <f>'TOLUENE-A17'!J46-'TOLUENE-A17'!J75</f>
        <v>-132</v>
      </c>
      <c r="K17" s="241">
        <f>'TOLUENE-A17'!K46-'TOLUENE-A17'!K75</f>
        <v>-210</v>
      </c>
      <c r="L17" s="242">
        <f>'TOLUENE-A17'!L46-'TOLUENE-A17'!L75</f>
        <v>-222</v>
      </c>
      <c r="M17" s="240">
        <f>'TOLUENE-A17'!M46-'TOLUENE-A17'!M75</f>
        <v>-235</v>
      </c>
      <c r="N17" s="240">
        <f>'TOLUENE-A17'!N46-'TOLUENE-A17'!N75</f>
        <v>-249</v>
      </c>
      <c r="O17" s="240">
        <f>'TOLUENE-A17'!O46-'TOLUENE-A17'!O75</f>
        <v>-264</v>
      </c>
      <c r="P17" s="240">
        <f>'TOLUENE-A17'!P46-'TOLUENE-A17'!P75</f>
        <v>-279</v>
      </c>
      <c r="Q17" s="243">
        <f>'TOLUENE-A17'!Q46-'TOLUENE-A17'!Q75</f>
        <v>-295</v>
      </c>
    </row>
    <row r="18" spans="2:17" ht="16.5" customHeight="1">
      <c r="B18" s="607" t="s">
        <v>443</v>
      </c>
      <c r="C18" s="608"/>
      <c r="D18" s="239">
        <f>'TOLUENE-A17'!D47-'TOLUENE-A17'!D76</f>
        <v>277</v>
      </c>
      <c r="E18" s="240">
        <f>'TOLUENE-A17'!E47-'TOLUENE-A17'!E76</f>
        <v>155</v>
      </c>
      <c r="F18" s="240">
        <f>'TOLUENE-A17'!F47-'TOLUENE-A17'!F76</f>
        <v>71</v>
      </c>
      <c r="G18" s="240">
        <f>'TOLUENE-A17'!G47-'TOLUENE-A17'!G76</f>
        <v>342</v>
      </c>
      <c r="H18" s="240">
        <f>'TOLUENE-A17'!H47-'TOLUENE-A17'!H76</f>
        <v>559</v>
      </c>
      <c r="I18" s="240">
        <f>'TOLUENE-A17'!I47-'TOLUENE-A17'!I76</f>
        <v>747</v>
      </c>
      <c r="J18" s="240">
        <f>'TOLUENE-A17'!J47-'TOLUENE-A17'!J76</f>
        <v>588</v>
      </c>
      <c r="K18" s="241">
        <f>'TOLUENE-A17'!K47-'TOLUENE-A17'!K76</f>
        <v>672</v>
      </c>
      <c r="L18" s="242">
        <f>'TOLUENE-A17'!L47-'TOLUENE-A17'!L76</f>
        <v>687</v>
      </c>
      <c r="M18" s="240">
        <f>'TOLUENE-A17'!M47-'TOLUENE-A17'!M76</f>
        <v>690</v>
      </c>
      <c r="N18" s="240">
        <f>'TOLUENE-A17'!N47-'TOLUENE-A17'!N76</f>
        <v>690</v>
      </c>
      <c r="O18" s="240">
        <f>'TOLUENE-A17'!O47-'TOLUENE-A17'!O76</f>
        <v>690</v>
      </c>
      <c r="P18" s="240">
        <f>'TOLUENE-A17'!P47-'TOLUENE-A17'!P76</f>
        <v>690</v>
      </c>
      <c r="Q18" s="243">
        <f>'TOLUENE-A17'!Q47-'TOLUENE-A17'!Q76</f>
        <v>690</v>
      </c>
    </row>
    <row r="19" spans="2:17" ht="17.25" customHeight="1">
      <c r="B19" s="620" t="s">
        <v>307</v>
      </c>
      <c r="C19" s="621"/>
      <c r="D19" s="244">
        <f t="shared" ref="D19:K19" si="0">SUM(D7:D18)</f>
        <v>106.25305112423078</v>
      </c>
      <c r="E19" s="245">
        <f t="shared" si="0"/>
        <v>206.12391912345424</v>
      </c>
      <c r="F19" s="245">
        <f t="shared" si="0"/>
        <v>295.85799999999995</v>
      </c>
      <c r="G19" s="245">
        <f t="shared" si="0"/>
        <v>257.48700000000008</v>
      </c>
      <c r="H19" s="245">
        <f t="shared" si="0"/>
        <v>182.39400000000001</v>
      </c>
      <c r="I19" s="245">
        <f t="shared" si="0"/>
        <v>79.848999999999933</v>
      </c>
      <c r="J19" s="245">
        <f t="shared" si="0"/>
        <v>84.970000000000027</v>
      </c>
      <c r="K19" s="246">
        <f t="shared" si="0"/>
        <v>-350.12199999999984</v>
      </c>
      <c r="L19" s="247">
        <f t="shared" ref="L19:Q19" si="1">SUM(L7:L18)</f>
        <v>147.02485400000023</v>
      </c>
      <c r="M19" s="245">
        <f t="shared" si="1"/>
        <v>-332.81926031779994</v>
      </c>
      <c r="N19" s="245">
        <f t="shared" si="1"/>
        <v>-426.95919967066334</v>
      </c>
      <c r="O19" s="245">
        <f t="shared" si="1"/>
        <v>-397.96073796481778</v>
      </c>
      <c r="P19" s="245">
        <f t="shared" si="1"/>
        <v>-632.46505087920195</v>
      </c>
      <c r="Q19" s="248">
        <f t="shared" si="1"/>
        <v>-676.51112878485173</v>
      </c>
    </row>
    <row r="20" spans="2:17" ht="17.25" customHeight="1">
      <c r="B20" s="609" t="s">
        <v>308</v>
      </c>
      <c r="C20" s="610"/>
      <c r="D20" s="244">
        <f>'TOLUENE-A17'!D49-'TOLUENE-A17'!D78</f>
        <v>-7</v>
      </c>
      <c r="E20" s="245">
        <f>'TOLUENE-A17'!E49-'TOLUENE-A17'!E78</f>
        <v>-41</v>
      </c>
      <c r="F20" s="245">
        <f>'TOLUENE-A17'!F49-'TOLUENE-A17'!F78</f>
        <v>-30</v>
      </c>
      <c r="G20" s="245">
        <f>'TOLUENE-A17'!G49-'TOLUENE-A17'!G78</f>
        <v>-10</v>
      </c>
      <c r="H20" s="245">
        <f>'TOLUENE-A17'!H49-'TOLUENE-A17'!H78</f>
        <v>-7</v>
      </c>
      <c r="I20" s="245">
        <f>'TOLUENE-A17'!I49-'TOLUENE-A17'!I78</f>
        <v>-15</v>
      </c>
      <c r="J20" s="245">
        <f>'TOLUENE-A17'!J49-'TOLUENE-A17'!J78</f>
        <v>-14</v>
      </c>
      <c r="K20" s="246">
        <f>'TOLUENE-A17'!K49-'TOLUENE-A17'!K78</f>
        <v>-12</v>
      </c>
      <c r="L20" s="247">
        <f>'TOLUENE-A17'!L49-'TOLUENE-A17'!L78</f>
        <v>-12</v>
      </c>
      <c r="M20" s="245">
        <f>'TOLUENE-A17'!M49-'TOLUENE-A17'!M78</f>
        <v>-12</v>
      </c>
      <c r="N20" s="245">
        <f>'TOLUENE-A17'!N49-'TOLUENE-A17'!N78</f>
        <v>-13</v>
      </c>
      <c r="O20" s="245">
        <f>'TOLUENE-A17'!O49-'TOLUENE-A17'!O78</f>
        <v>-13</v>
      </c>
      <c r="P20" s="245">
        <f>'TOLUENE-A17'!P49-'TOLUENE-A17'!P78</f>
        <v>-13</v>
      </c>
      <c r="Q20" s="248">
        <f>'TOLUENE-A17'!Q49-'TOLUENE-A17'!Q78</f>
        <v>-13</v>
      </c>
    </row>
    <row r="21" spans="2:17" ht="16.5" customHeight="1">
      <c r="B21" s="105"/>
      <c r="C21" s="97" t="s">
        <v>309</v>
      </c>
      <c r="D21" s="244">
        <f>'TOLUENE-A17'!D50-'TOLUENE-A17'!D79</f>
        <v>-7</v>
      </c>
      <c r="E21" s="245">
        <f>'TOLUENE-A17'!E50-'TOLUENE-A17'!E79</f>
        <v>-41</v>
      </c>
      <c r="F21" s="245">
        <f>'TOLUENE-A17'!F50-'TOLUENE-A17'!F79</f>
        <v>-30</v>
      </c>
      <c r="G21" s="245">
        <f>'TOLUENE-A17'!G50-'TOLUENE-A17'!G79</f>
        <v>-10</v>
      </c>
      <c r="H21" s="245">
        <f>'TOLUENE-A17'!H50-'TOLUENE-A17'!H79</f>
        <v>-7</v>
      </c>
      <c r="I21" s="245">
        <f>'TOLUENE-A17'!I50-'TOLUENE-A17'!I79</f>
        <v>-15</v>
      </c>
      <c r="J21" s="245">
        <f>'TOLUENE-A17'!J50-'TOLUENE-A17'!J79</f>
        <v>-14</v>
      </c>
      <c r="K21" s="246">
        <f>'TOLUENE-A17'!K50-'TOLUENE-A17'!K79</f>
        <v>-12</v>
      </c>
      <c r="L21" s="247">
        <f>'TOLUENE-A17'!L50-'TOLUENE-A17'!L79</f>
        <v>-12</v>
      </c>
      <c r="M21" s="245">
        <f>'TOLUENE-A17'!M50-'TOLUENE-A17'!M79</f>
        <v>-12</v>
      </c>
      <c r="N21" s="245">
        <f>'TOLUENE-A17'!N50-'TOLUENE-A17'!N79</f>
        <v>-13</v>
      </c>
      <c r="O21" s="245">
        <f>'TOLUENE-A17'!O50-'TOLUENE-A17'!O79</f>
        <v>-13</v>
      </c>
      <c r="P21" s="245">
        <f>'TOLUENE-A17'!P50-'TOLUENE-A17'!P79</f>
        <v>-13</v>
      </c>
      <c r="Q21" s="248">
        <f>'TOLUENE-A17'!Q50-'TOLUENE-A17'!Q79</f>
        <v>-13</v>
      </c>
    </row>
    <row r="22" spans="2:17" ht="17.25" customHeight="1">
      <c r="B22" s="609" t="s">
        <v>310</v>
      </c>
      <c r="C22" s="610"/>
      <c r="D22" s="239">
        <f>'TOLUENE-A17'!D51-'TOLUENE-A17'!D80</f>
        <v>496</v>
      </c>
      <c r="E22" s="240">
        <f>'TOLUENE-A17'!E51-'TOLUENE-A17'!E80</f>
        <v>154</v>
      </c>
      <c r="F22" s="240">
        <f>'TOLUENE-A17'!F51-'TOLUENE-A17'!F80</f>
        <v>157</v>
      </c>
      <c r="G22" s="240">
        <f>'TOLUENE-A17'!G51-'TOLUENE-A17'!G80</f>
        <v>221</v>
      </c>
      <c r="H22" s="240">
        <f>'TOLUENE-A17'!H51-'TOLUENE-A17'!H80</f>
        <v>-75.980000000000018</v>
      </c>
      <c r="I22" s="240">
        <f>'TOLUENE-A17'!I51-'TOLUENE-A17'!I80</f>
        <v>194.64999999999964</v>
      </c>
      <c r="J22" s="240">
        <f>'TOLUENE-A17'!J51-'TOLUENE-A17'!J80</f>
        <v>227.2800000000002</v>
      </c>
      <c r="K22" s="241">
        <f>'TOLUENE-A17'!K51-'TOLUENE-A17'!K80</f>
        <v>216.27999999999975</v>
      </c>
      <c r="L22" s="242">
        <f>'TOLUENE-A17'!L51-'TOLUENE-A17'!L80</f>
        <v>205.40000000000009</v>
      </c>
      <c r="M22" s="240">
        <f>'TOLUENE-A17'!M51-'TOLUENE-A17'!M80</f>
        <v>207.53999999999996</v>
      </c>
      <c r="N22" s="240">
        <f>'TOLUENE-A17'!N51-'TOLUENE-A17'!N80</f>
        <v>146.51999999999998</v>
      </c>
      <c r="O22" s="240">
        <f>'TOLUENE-A17'!O51-'TOLUENE-A17'!O80</f>
        <v>182.88999999999987</v>
      </c>
      <c r="P22" s="240">
        <f>'TOLUENE-A17'!P51-'TOLUENE-A17'!P80</f>
        <v>182</v>
      </c>
      <c r="Q22" s="243">
        <f>'TOLUENE-A17'!Q51-'TOLUENE-A17'!Q80</f>
        <v>182</v>
      </c>
    </row>
    <row r="23" spans="2:17" ht="16.5" customHeight="1">
      <c r="B23" s="105"/>
      <c r="C23" s="615" t="s">
        <v>311</v>
      </c>
      <c r="D23" s="244">
        <f>'TOLUENE-A17'!D52-'TOLUENE-A17'!D81</f>
        <v>422</v>
      </c>
      <c r="E23" s="245">
        <f>'TOLUENE-A17'!E52-'TOLUENE-A17'!E81</f>
        <v>102</v>
      </c>
      <c r="F23" s="245">
        <f>'TOLUENE-A17'!F52-'TOLUENE-A17'!F81</f>
        <v>152</v>
      </c>
      <c r="G23" s="245">
        <f>'TOLUENE-A17'!G52-'TOLUENE-A17'!G81</f>
        <v>211</v>
      </c>
      <c r="H23" s="245">
        <f>'TOLUENE-A17'!H52-'TOLUENE-A17'!H81</f>
        <v>-91.6400000000001</v>
      </c>
      <c r="I23" s="245">
        <f>'TOLUENE-A17'!I52-'TOLUENE-A17'!I81</f>
        <v>203.29999999999995</v>
      </c>
      <c r="J23" s="245">
        <f>'TOLUENE-A17'!J52-'TOLUENE-A17'!J81</f>
        <v>232.70000000000005</v>
      </c>
      <c r="K23" s="246">
        <f>'TOLUENE-A17'!K52-'TOLUENE-A17'!K81</f>
        <v>222.69999999999982</v>
      </c>
      <c r="L23" s="247">
        <f>'TOLUENE-A17'!L52-'TOLUENE-A17'!L81</f>
        <v>214.56000000000017</v>
      </c>
      <c r="M23" s="245">
        <f>'TOLUENE-A17'!M52-'TOLUENE-A17'!M81</f>
        <v>218</v>
      </c>
      <c r="N23" s="245">
        <f>'TOLUENE-A17'!N52-'TOLUENE-A17'!N81</f>
        <v>158.17000000000007</v>
      </c>
      <c r="O23" s="245">
        <f>'TOLUENE-A17'!O52-'TOLUENE-A17'!O81</f>
        <v>195.75</v>
      </c>
      <c r="P23" s="245">
        <f>'TOLUENE-A17'!P52-'TOLUENE-A17'!P81</f>
        <v>195</v>
      </c>
      <c r="Q23" s="248">
        <f>'TOLUENE-A17'!Q52-'TOLUENE-A17'!Q81</f>
        <v>195</v>
      </c>
    </row>
    <row r="24" spans="2:17" ht="17.25" customHeight="1">
      <c r="B24" s="609" t="s">
        <v>312</v>
      </c>
      <c r="C24" s="610"/>
      <c r="D24" s="239">
        <f>'TOLUENE-A17'!D53-'TOLUENE-A17'!D82</f>
        <v>0</v>
      </c>
      <c r="E24" s="240">
        <f>'TOLUENE-A17'!E53-'TOLUENE-A17'!E82</f>
        <v>422</v>
      </c>
      <c r="F24" s="240">
        <f>'TOLUENE-A17'!F53-'TOLUENE-A17'!F82</f>
        <v>372</v>
      </c>
      <c r="G24" s="240">
        <f>'TOLUENE-A17'!G53-'TOLUENE-A17'!G82</f>
        <v>372</v>
      </c>
      <c r="H24" s="240">
        <f>'TOLUENE-A17'!H53-'TOLUENE-A17'!H82</f>
        <v>372</v>
      </c>
      <c r="I24" s="240">
        <f>'TOLUENE-A17'!I53-'TOLUENE-A17'!I82</f>
        <v>-24</v>
      </c>
      <c r="J24" s="240">
        <f>'TOLUENE-A17'!J53-'TOLUENE-A17'!J82</f>
        <v>-133.99660377358487</v>
      </c>
      <c r="K24" s="241">
        <f>'TOLUENE-A17'!K53-'TOLUENE-A17'!K82</f>
        <v>-133.99660377357986</v>
      </c>
      <c r="L24" s="242">
        <f>'TOLUENE-A17'!L53-'TOLUENE-A17'!L82</f>
        <v>47.227581132081468</v>
      </c>
      <c r="M24" s="240">
        <f>'TOLUENE-A17'!M53-'TOLUENE-A17'!M82</f>
        <v>24.452687132081337</v>
      </c>
      <c r="N24" s="240">
        <f>'TOLUENE-A17'!N53-'TOLUENE-A17'!N82</f>
        <v>1.45004419208135</v>
      </c>
      <c r="O24" s="240">
        <f>'TOLUENE-A17'!O53-'TOLUENE-A17'!O82</f>
        <v>-21.78262517731855</v>
      </c>
      <c r="P24" s="240">
        <f>'TOLUENE-A17'!P53-'TOLUENE-A17'!P82</f>
        <v>-45.247621240412627</v>
      </c>
      <c r="Q24" s="243">
        <f>'TOLUENE-A17'!Q53-'TOLUENE-A17'!Q82</f>
        <v>-68.947267264137736</v>
      </c>
    </row>
    <row r="25" spans="2:17" ht="16.5" customHeight="1">
      <c r="B25" s="16"/>
      <c r="C25" s="615" t="s">
        <v>313</v>
      </c>
      <c r="D25" s="244">
        <f>'TOLUENE-A17'!D54-'TOLUENE-A17'!D83</f>
        <v>0</v>
      </c>
      <c r="E25" s="245">
        <f>'TOLUENE-A17'!E54-'TOLUENE-A17'!E83</f>
        <v>0</v>
      </c>
      <c r="F25" s="245">
        <f>'TOLUENE-A17'!F54-'TOLUENE-A17'!F83</f>
        <v>0</v>
      </c>
      <c r="G25" s="245">
        <f>'TOLUENE-A17'!G54-'TOLUENE-A17'!G83</f>
        <v>0</v>
      </c>
      <c r="H25" s="245">
        <f>'TOLUENE-A17'!H54-'TOLUENE-A17'!H83</f>
        <v>0</v>
      </c>
      <c r="I25" s="245">
        <f>'TOLUENE-A17'!I54-'TOLUENE-A17'!I83</f>
        <v>0</v>
      </c>
      <c r="J25" s="245">
        <f>'TOLUENE-A17'!J54-'TOLUENE-A17'!J83</f>
        <v>-88.25</v>
      </c>
      <c r="K25" s="246">
        <f>'TOLUENE-A17'!K54-'TOLUENE-A17'!K83</f>
        <v>-88.25</v>
      </c>
      <c r="L25" s="247">
        <f>'TOLUENE-A17'!L54-'TOLUENE-A17'!L83</f>
        <v>127.66550000000001</v>
      </c>
      <c r="M25" s="245">
        <f>'TOLUENE-A17'!M54-'TOLUENE-A17'!M83</f>
        <v>122.73215499999998</v>
      </c>
      <c r="N25" s="245">
        <f>'TOLUENE-A17'!N54-'TOLUENE-A17'!N83</f>
        <v>117.74947655</v>
      </c>
      <c r="O25" s="245">
        <f>'TOLUENE-A17'!O54-'TOLUENE-A17'!O83</f>
        <v>112.71697131550002</v>
      </c>
      <c r="P25" s="245">
        <f>'TOLUENE-A17'!P54-'TOLUENE-A17'!P83</f>
        <v>107.63414102865499</v>
      </c>
      <c r="Q25" s="248">
        <f>'TOLUENE-A17'!Q54-'TOLUENE-A17'!Q83</f>
        <v>102.5004824389415</v>
      </c>
    </row>
    <row r="26" spans="2:17" ht="17.25" customHeight="1">
      <c r="B26" s="620" t="s">
        <v>314</v>
      </c>
      <c r="C26" s="621"/>
      <c r="D26" s="244">
        <f>'TOLUENE-A17'!D55-'TOLUENE-A17'!D84</f>
        <v>-32</v>
      </c>
      <c r="E26" s="245">
        <f>'TOLUENE-A17'!E55-'TOLUENE-A17'!E84</f>
        <v>-32</v>
      </c>
      <c r="F26" s="245">
        <f>'TOLUENE-A17'!F55-'TOLUENE-A17'!F84</f>
        <v>-32</v>
      </c>
      <c r="G26" s="245">
        <f>'TOLUENE-A17'!G55-'TOLUENE-A17'!G84</f>
        <v>-32</v>
      </c>
      <c r="H26" s="245">
        <f>'TOLUENE-A17'!H55-'TOLUENE-A17'!H84</f>
        <v>-32</v>
      </c>
      <c r="I26" s="245">
        <f>'TOLUENE-A17'!I55-'TOLUENE-A17'!I84</f>
        <v>-21</v>
      </c>
      <c r="J26" s="245">
        <f>'TOLUENE-A17'!J55-'TOLUENE-A17'!J84</f>
        <v>-21</v>
      </c>
      <c r="K26" s="246">
        <f>'TOLUENE-A17'!K55-'TOLUENE-A17'!K84</f>
        <v>-21</v>
      </c>
      <c r="L26" s="247">
        <f>'TOLUENE-A17'!L55-'TOLUENE-A17'!L84</f>
        <v>-22</v>
      </c>
      <c r="M26" s="245">
        <f>'TOLUENE-A17'!M55-'TOLUENE-A17'!M84</f>
        <v>-21</v>
      </c>
      <c r="N26" s="245">
        <f>'TOLUENE-A17'!N55-'TOLUENE-A17'!N84</f>
        <v>-21</v>
      </c>
      <c r="O26" s="245">
        <f>'TOLUENE-A17'!O55-'TOLUENE-A17'!O84</f>
        <v>-21</v>
      </c>
      <c r="P26" s="245">
        <f>'TOLUENE-A17'!P55-'TOLUENE-A17'!P84</f>
        <v>-21</v>
      </c>
      <c r="Q26" s="248">
        <f>'TOLUENE-A17'!Q55-'TOLUENE-A17'!Q84</f>
        <v>-21</v>
      </c>
    </row>
    <row r="27" spans="2:17" ht="17.25" customHeight="1">
      <c r="B27" s="620" t="s">
        <v>315</v>
      </c>
      <c r="C27" s="621"/>
      <c r="D27" s="244">
        <f>'TOLUENE-A17'!D56-'TOLUENE-A17'!D85</f>
        <v>0</v>
      </c>
      <c r="E27" s="245">
        <f>'TOLUENE-A17'!E56-'TOLUENE-A17'!E85</f>
        <v>0</v>
      </c>
      <c r="F27" s="245">
        <f>'TOLUENE-A17'!F56-'TOLUENE-A17'!F85</f>
        <v>-0.10000000000002274</v>
      </c>
      <c r="G27" s="245">
        <f>'TOLUENE-A17'!G56-'TOLUENE-A17'!G85</f>
        <v>-0.10000000000002274</v>
      </c>
      <c r="H27" s="245">
        <f>'TOLUENE-A17'!H56-'TOLUENE-A17'!H85</f>
        <v>0</v>
      </c>
      <c r="I27" s="245">
        <f>'TOLUENE-A17'!I56-'TOLUENE-A17'!I85</f>
        <v>0</v>
      </c>
      <c r="J27" s="245">
        <f>'TOLUENE-A17'!J56-'TOLUENE-A17'!J85</f>
        <v>20</v>
      </c>
      <c r="K27" s="246">
        <f>'TOLUENE-A17'!K56-'TOLUENE-A17'!K85</f>
        <v>9</v>
      </c>
      <c r="L27" s="247">
        <f>'TOLUENE-A17'!L56-'TOLUENE-A17'!L85</f>
        <v>9.1440000000000055</v>
      </c>
      <c r="M27" s="245">
        <f>'TOLUENE-A17'!M56-'TOLUENE-A17'!M85</f>
        <v>8.2235039999999913</v>
      </c>
      <c r="N27" s="245">
        <f>'TOLUENE-A17'!N56-'TOLUENE-A17'!N85</f>
        <v>7.9948572639999611</v>
      </c>
      <c r="O27" s="245">
        <f>'TOLUENE-A17'!O56-'TOLUENE-A17'!O85</f>
        <v>7.757148838223884</v>
      </c>
      <c r="P27" s="245">
        <f>'TOLUENE-A17'!P56-'TOLUENE-A17'!P85</f>
        <v>7.5101526855054317</v>
      </c>
      <c r="Q27" s="248">
        <f>'TOLUENE-A17'!Q56-'TOLUENE-A17'!Q85</f>
        <v>7.2536379363315291</v>
      </c>
    </row>
    <row r="28" spans="2:17" ht="16.5" customHeight="1">
      <c r="B28" s="609" t="s">
        <v>316</v>
      </c>
      <c r="C28" s="610"/>
      <c r="D28" s="239">
        <f>'TOLUENE-A17'!D57-'TOLUENE-A17'!D86</f>
        <v>108</v>
      </c>
      <c r="E28" s="240">
        <f>'TOLUENE-A17'!E57-'TOLUENE-A17'!E86</f>
        <v>82</v>
      </c>
      <c r="F28" s="240">
        <f>'TOLUENE-A17'!F57-'TOLUENE-A17'!F86</f>
        <v>56</v>
      </c>
      <c r="G28" s="240">
        <f>'TOLUENE-A17'!G57-'TOLUENE-A17'!G86</f>
        <v>30</v>
      </c>
      <c r="H28" s="240">
        <f>'TOLUENE-A17'!H57-'TOLUENE-A17'!H86</f>
        <v>4</v>
      </c>
      <c r="I28" s="240">
        <f>'TOLUENE-A17'!I57-'TOLUENE-A17'!I86</f>
        <v>-60</v>
      </c>
      <c r="J28" s="240">
        <f>'TOLUENE-A17'!J57-'TOLUENE-A17'!J86</f>
        <v>-96</v>
      </c>
      <c r="K28" s="241">
        <f>'TOLUENE-A17'!K57-'TOLUENE-A17'!K86</f>
        <v>-119.01999999999998</v>
      </c>
      <c r="L28" s="242">
        <f>'TOLUENE-A17'!L57-'TOLUENE-A17'!L86</f>
        <v>-200.01999999999998</v>
      </c>
      <c r="M28" s="240">
        <f>'TOLUENE-A17'!M57-'TOLUENE-A17'!M86</f>
        <v>-274.02</v>
      </c>
      <c r="N28" s="240">
        <f>'TOLUENE-A17'!N57-'TOLUENE-A17'!N86</f>
        <v>-328.02</v>
      </c>
      <c r="O28" s="240">
        <f>'TOLUENE-A17'!O57-'TOLUENE-A17'!O86</f>
        <v>-380.02</v>
      </c>
      <c r="P28" s="240">
        <f>'TOLUENE-A17'!P57-'TOLUENE-A17'!P86</f>
        <v>-425.02</v>
      </c>
      <c r="Q28" s="243">
        <f>'TOLUENE-A17'!Q57-'TOLUENE-A17'!Q86</f>
        <v>-655</v>
      </c>
    </row>
    <row r="29" spans="2:17" ht="16.5" customHeight="1">
      <c r="B29" s="607" t="s">
        <v>317</v>
      </c>
      <c r="C29" s="608"/>
      <c r="D29" s="239">
        <f>'TOLUENE-A17'!D58-'TOLUENE-A17'!D87</f>
        <v>34</v>
      </c>
      <c r="E29" s="240">
        <f>'TOLUENE-A17'!E58-'TOLUENE-A17'!E87</f>
        <v>-25.699999999999932</v>
      </c>
      <c r="F29" s="240">
        <f>'TOLUENE-A17'!F58-'TOLUENE-A17'!F87</f>
        <v>-33.699999999999932</v>
      </c>
      <c r="G29" s="240">
        <f>'TOLUENE-A17'!G58-'TOLUENE-A17'!G87</f>
        <v>-41.699999999999932</v>
      </c>
      <c r="H29" s="240">
        <f>'TOLUENE-A17'!H58-'TOLUENE-A17'!H87</f>
        <v>-62.699999999999932</v>
      </c>
      <c r="I29" s="240">
        <f>'TOLUENE-A17'!I58-'TOLUENE-A17'!I87</f>
        <v>-71.699999999999932</v>
      </c>
      <c r="J29" s="240">
        <f>'TOLUENE-A17'!J58-'TOLUENE-A17'!J87</f>
        <v>-81.699999999999932</v>
      </c>
      <c r="K29" s="241">
        <f>'TOLUENE-A17'!K58-'TOLUENE-A17'!K87</f>
        <v>-98.699999999999932</v>
      </c>
      <c r="L29" s="242">
        <f>'TOLUENE-A17'!L58-'TOLUENE-A17'!L87</f>
        <v>-117.69999999999993</v>
      </c>
      <c r="M29" s="240">
        <f>'TOLUENE-A17'!M58-'TOLUENE-A17'!M87</f>
        <v>-136.69999999999993</v>
      </c>
      <c r="N29" s="240">
        <f>'TOLUENE-A17'!N58-'TOLUENE-A17'!N87</f>
        <v>-153.69999999999993</v>
      </c>
      <c r="O29" s="240">
        <f>'TOLUENE-A17'!O58-'TOLUENE-A17'!O87</f>
        <v>-170.69999999999993</v>
      </c>
      <c r="P29" s="240">
        <f>'TOLUENE-A17'!P58-'TOLUENE-A17'!P87</f>
        <v>-186.69999999999993</v>
      </c>
      <c r="Q29" s="243">
        <f>'TOLUENE-A17'!Q58-'TOLUENE-A17'!Q87</f>
        <v>-203</v>
      </c>
    </row>
    <row r="30" spans="2:17" ht="17.25" customHeight="1">
      <c r="B30" s="620" t="s">
        <v>318</v>
      </c>
      <c r="C30" s="621"/>
      <c r="D30" s="244">
        <f t="shared" ref="D30:K30" si="2">SUM(D28:D29)</f>
        <v>142</v>
      </c>
      <c r="E30" s="245">
        <f t="shared" si="2"/>
        <v>56.300000000000068</v>
      </c>
      <c r="F30" s="245">
        <f t="shared" si="2"/>
        <v>22.300000000000068</v>
      </c>
      <c r="G30" s="245">
        <f t="shared" si="2"/>
        <v>-11.699999999999932</v>
      </c>
      <c r="H30" s="245">
        <f t="shared" si="2"/>
        <v>-58.699999999999932</v>
      </c>
      <c r="I30" s="245">
        <f t="shared" si="2"/>
        <v>-131.69999999999993</v>
      </c>
      <c r="J30" s="245">
        <f t="shared" si="2"/>
        <v>-177.69999999999993</v>
      </c>
      <c r="K30" s="246">
        <f t="shared" si="2"/>
        <v>-217.71999999999991</v>
      </c>
      <c r="L30" s="247">
        <f t="shared" ref="L30:Q30" si="3">SUM(L28:L29)</f>
        <v>-317.71999999999991</v>
      </c>
      <c r="M30" s="245">
        <f t="shared" si="3"/>
        <v>-410.71999999999991</v>
      </c>
      <c r="N30" s="245">
        <f t="shared" si="3"/>
        <v>-481.71999999999991</v>
      </c>
      <c r="O30" s="245">
        <f t="shared" si="3"/>
        <v>-550.71999999999991</v>
      </c>
      <c r="P30" s="245">
        <f t="shared" si="3"/>
        <v>-611.71999999999991</v>
      </c>
      <c r="Q30" s="248">
        <f t="shared" si="3"/>
        <v>-858</v>
      </c>
    </row>
    <row r="31" spans="2:17" ht="16.5" customHeight="1">
      <c r="B31" s="609" t="s">
        <v>319</v>
      </c>
      <c r="C31" s="610"/>
      <c r="D31" s="239">
        <f>'TOLUENE-A17'!D60-'TOLUENE-A17'!D89</f>
        <v>3.0241309090910136</v>
      </c>
      <c r="E31" s="240">
        <f>'TOLUENE-A17'!E60-'TOLUENE-A17'!E89</f>
        <v>-30</v>
      </c>
      <c r="F31" s="240">
        <f>'TOLUENE-A17'!F60-'TOLUENE-A17'!F89</f>
        <v>-60</v>
      </c>
      <c r="G31" s="240">
        <f>'TOLUENE-A17'!G60-'TOLUENE-A17'!G89</f>
        <v>-65</v>
      </c>
      <c r="H31" s="240">
        <f>'TOLUENE-A17'!H60-'TOLUENE-A17'!H89</f>
        <v>-74</v>
      </c>
      <c r="I31" s="240">
        <f>'TOLUENE-A17'!I60-'TOLUENE-A17'!I89</f>
        <v>-85</v>
      </c>
      <c r="J31" s="240">
        <f>'TOLUENE-A17'!J60-'TOLUENE-A17'!J89</f>
        <v>-94</v>
      </c>
      <c r="K31" s="241">
        <f>'TOLUENE-A17'!K60-'TOLUENE-A17'!K89</f>
        <v>-115.25</v>
      </c>
      <c r="L31" s="242">
        <f>'TOLUENE-A17'!L60-'TOLUENE-A17'!L89</f>
        <v>-125.25</v>
      </c>
      <c r="M31" s="240">
        <f>'TOLUENE-A17'!M60-'TOLUENE-A17'!M89</f>
        <v>-136.25</v>
      </c>
      <c r="N31" s="240">
        <f>'TOLUENE-A17'!N60-'TOLUENE-A17'!N89</f>
        <v>-148.25</v>
      </c>
      <c r="O31" s="240">
        <f>'TOLUENE-A17'!O60-'TOLUENE-A17'!O89</f>
        <v>-161.25</v>
      </c>
      <c r="P31" s="240">
        <f>'TOLUENE-A17'!P60-'TOLUENE-A17'!P89</f>
        <v>-175.25</v>
      </c>
      <c r="Q31" s="243">
        <f>'TOLUENE-A17'!Q60-'TOLUENE-A17'!Q89</f>
        <v>-190</v>
      </c>
    </row>
    <row r="32" spans="2:17" ht="16.5" customHeight="1">
      <c r="B32" s="605" t="s">
        <v>320</v>
      </c>
      <c r="C32" s="606"/>
      <c r="D32" s="239">
        <f>'TOLUENE-A17'!D61-'TOLUENE-A17'!D90</f>
        <v>110.42989036697236</v>
      </c>
      <c r="E32" s="240">
        <f>'TOLUENE-A17'!E61-'TOLUENE-A17'!E90</f>
        <v>114.59633872247684</v>
      </c>
      <c r="F32" s="240">
        <f>'TOLUENE-A17'!F61-'TOLUENE-A17'!F90</f>
        <v>118</v>
      </c>
      <c r="G32" s="240">
        <f>'TOLUENE-A17'!G61-'TOLUENE-A17'!G90</f>
        <v>104</v>
      </c>
      <c r="H32" s="240">
        <f>'TOLUENE-A17'!H61-'TOLUENE-A17'!H90</f>
        <v>100</v>
      </c>
      <c r="I32" s="240">
        <f>'TOLUENE-A17'!I61-'TOLUENE-A17'!I90</f>
        <v>100</v>
      </c>
      <c r="J32" s="240">
        <f>'TOLUENE-A17'!J61-'TOLUENE-A17'!J90</f>
        <v>115</v>
      </c>
      <c r="K32" s="241">
        <f>'TOLUENE-A17'!K61-'TOLUENE-A17'!K90</f>
        <v>111.10000000000002</v>
      </c>
      <c r="L32" s="242">
        <f>'TOLUENE-A17'!L61-'TOLUENE-A17'!L90</f>
        <v>105.10000000000002</v>
      </c>
      <c r="M32" s="240">
        <f>'TOLUENE-A17'!M61-'TOLUENE-A17'!M90</f>
        <v>94.100000000000023</v>
      </c>
      <c r="N32" s="240">
        <f>'TOLUENE-A17'!N61-'TOLUENE-A17'!N90</f>
        <v>84.100000000000023</v>
      </c>
      <c r="O32" s="240">
        <f>'TOLUENE-A17'!O61-'TOLUENE-A17'!O90</f>
        <v>74.100000000000023</v>
      </c>
      <c r="P32" s="240">
        <f>'TOLUENE-A17'!P61-'TOLUENE-A17'!P90</f>
        <v>63.100000000000023</v>
      </c>
      <c r="Q32" s="243">
        <f>'TOLUENE-A17'!Q61-'TOLUENE-A17'!Q90</f>
        <v>52</v>
      </c>
    </row>
    <row r="33" spans="2:17" ht="16.5" customHeight="1">
      <c r="B33" s="607" t="s">
        <v>321</v>
      </c>
      <c r="C33" s="608"/>
      <c r="D33" s="239">
        <f>'TOLUENE-A17'!D62-'TOLUENE-A17'!D91</f>
        <v>3.0521456000000171</v>
      </c>
      <c r="E33" s="240">
        <f>'TOLUENE-A17'!E62-'TOLUENE-A17'!E91</f>
        <v>7.2908927840000501</v>
      </c>
      <c r="F33" s="240">
        <f>'TOLUENE-A17'!F62-'TOLUENE-A17'!F91</f>
        <v>11.719010125760065</v>
      </c>
      <c r="G33" s="240">
        <f>'TOLUENE-A17'!G62-'TOLUENE-A17'!G91</f>
        <v>16.343111846146485</v>
      </c>
      <c r="H33" s="240">
        <f>'TOLUENE-A17'!H62-'TOLUENE-A17'!H91</f>
        <v>21.170024589393734</v>
      </c>
      <c r="I33" s="240">
        <f>'TOLUENE-A17'!I62-'TOLUENE-A17'!I91</f>
        <v>26.206794005756308</v>
      </c>
      <c r="J33" s="240">
        <f>'TOLUENE-A17'!J62-'TOLUENE-A17'!J91</f>
        <v>80.199999999999989</v>
      </c>
      <c r="K33" s="241">
        <f>'TOLUENE-A17'!K62-'TOLUENE-A17'!K91</f>
        <v>65.300000000000011</v>
      </c>
      <c r="L33" s="242">
        <f>'TOLUENE-A17'!L62-'TOLUENE-A17'!L91</f>
        <v>61.300000000000011</v>
      </c>
      <c r="M33" s="240">
        <f>'TOLUENE-A17'!M62-'TOLUENE-A17'!M91</f>
        <v>54.300000000000011</v>
      </c>
      <c r="N33" s="240">
        <f>'TOLUENE-A17'!N62-'TOLUENE-A17'!N91</f>
        <v>46.300000000000011</v>
      </c>
      <c r="O33" s="240">
        <f>'TOLUENE-A17'!O62-'TOLUENE-A17'!O91</f>
        <v>37.300000000000011</v>
      </c>
      <c r="P33" s="240">
        <f>'TOLUENE-A17'!P62-'TOLUENE-A17'!P91</f>
        <v>28.300000000000011</v>
      </c>
      <c r="Q33" s="243">
        <f>'TOLUENE-A17'!Q62-'TOLUENE-A17'!Q91</f>
        <v>18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116.50616687606339</v>
      </c>
      <c r="E34" s="250">
        <f t="shared" si="4"/>
        <v>91.887231506476894</v>
      </c>
      <c r="F34" s="250">
        <f t="shared" si="4"/>
        <v>69.719010125760065</v>
      </c>
      <c r="G34" s="250">
        <f t="shared" si="4"/>
        <v>55.343111846146485</v>
      </c>
      <c r="H34" s="250">
        <f t="shared" si="4"/>
        <v>47.170024589393734</v>
      </c>
      <c r="I34" s="250">
        <f t="shared" si="4"/>
        <v>41.206794005756308</v>
      </c>
      <c r="J34" s="250">
        <f t="shared" si="4"/>
        <v>101.19999999999999</v>
      </c>
      <c r="K34" s="251">
        <f t="shared" si="4"/>
        <v>61.150000000000034</v>
      </c>
      <c r="L34" s="252">
        <f t="shared" ref="L34:Q34" si="5">SUM(L31:L33)</f>
        <v>41.150000000000034</v>
      </c>
      <c r="M34" s="250">
        <f t="shared" si="5"/>
        <v>12.150000000000034</v>
      </c>
      <c r="N34" s="250">
        <f t="shared" si="5"/>
        <v>-17.849999999999966</v>
      </c>
      <c r="O34" s="250">
        <f t="shared" si="5"/>
        <v>-49.849999999999966</v>
      </c>
      <c r="P34" s="250">
        <f t="shared" si="5"/>
        <v>-83.849999999999966</v>
      </c>
      <c r="Q34" s="253">
        <f t="shared" si="5"/>
        <v>-120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821.75921800029414</v>
      </c>
      <c r="E35" s="171">
        <f t="shared" ref="E35:Q35" si="6">SUM(E19+E20+E22+E24+E26+E27+E30+E34)</f>
        <v>857.31115062993126</v>
      </c>
      <c r="F35" s="171">
        <f t="shared" si="6"/>
        <v>854.77701012576006</v>
      </c>
      <c r="G35" s="171">
        <f t="shared" si="6"/>
        <v>852.03011184614661</v>
      </c>
      <c r="H35" s="171">
        <f t="shared" si="6"/>
        <v>427.88402458939379</v>
      </c>
      <c r="I35" s="171">
        <f t="shared" si="6"/>
        <v>124.00579400575594</v>
      </c>
      <c r="J35" s="171">
        <f t="shared" si="6"/>
        <v>86.753396226415418</v>
      </c>
      <c r="K35" s="173">
        <f t="shared" si="6"/>
        <v>-448.40860377357984</v>
      </c>
      <c r="L35" s="172">
        <f t="shared" si="6"/>
        <v>98.226435132081917</v>
      </c>
      <c r="M35" s="171">
        <f t="shared" si="6"/>
        <v>-524.17306918571853</v>
      </c>
      <c r="N35" s="171">
        <f t="shared" si="6"/>
        <v>-804.56429821458187</v>
      </c>
      <c r="O35" s="171">
        <f t="shared" si="6"/>
        <v>-863.66621430391251</v>
      </c>
      <c r="P35" s="171">
        <f t="shared" si="6"/>
        <v>-1217.772519434109</v>
      </c>
      <c r="Q35" s="174">
        <f t="shared" si="6"/>
        <v>-1568.2047581126581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15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IF('TOLUENE-A17'!D7=0,"    -",ROUND('TOLUENE-A17'!D36/'TOLUENE-A17'!D7*100,1))</f>
        <v>84.5</v>
      </c>
      <c r="E43" s="58">
        <f>IF('TOLUENE-A17'!E7=0,"    -",ROUND('TOLUENE-A17'!E36/'TOLUENE-A17'!E7*100,1))</f>
        <v>76.5</v>
      </c>
      <c r="F43" s="58">
        <f>IF('TOLUENE-A17'!F7=0,"    -",ROUND('TOLUENE-A17'!F36/'TOLUENE-A17'!F7*100,1))</f>
        <v>84.1</v>
      </c>
      <c r="G43" s="58">
        <f>IF('TOLUENE-A17'!G7=0,"    -",ROUND('TOLUENE-A17'!G36/'TOLUENE-A17'!G7*100,1))</f>
        <v>81.7</v>
      </c>
      <c r="H43" s="58">
        <f>IF('TOLUENE-A17'!H7=0,"    -",ROUND('TOLUENE-A17'!H36/'TOLUENE-A17'!H7*100,1))</f>
        <v>73.3</v>
      </c>
      <c r="I43" s="58">
        <f>IF('TOLUENE-A17'!I7=0,"    -",ROUND('TOLUENE-A17'!I36/'TOLUENE-A17'!I7*100,1))</f>
        <v>56.4</v>
      </c>
      <c r="J43" s="58">
        <f>IF('TOLUENE-A17'!J7=0,"    -",ROUND('TOLUENE-A17'!J36/'TOLUENE-A17'!J7*100,1))</f>
        <v>61.4</v>
      </c>
      <c r="K43" s="59">
        <f>IF('TOLUENE-A17'!K7=0,"    -",ROUND('TOLUENE-A17'!K36/'TOLUENE-A17'!K7*100,1))</f>
        <v>56.8</v>
      </c>
      <c r="L43" s="60">
        <f>IF('TOLUENE-A17'!L7=0,"    -",ROUND('TOLUENE-A17'!L36/'TOLUENE-A17'!L7*100,1))</f>
        <v>60.6</v>
      </c>
      <c r="M43" s="58">
        <f>IF('TOLUENE-A17'!M7=0,"    -",ROUND('TOLUENE-A17'!M36/'TOLUENE-A17'!M7*100,1))</f>
        <v>60.6</v>
      </c>
      <c r="N43" s="58">
        <f>IF('TOLUENE-A17'!N7=0,"    -",ROUND('TOLUENE-A17'!N36/'TOLUENE-A17'!N7*100,1))</f>
        <v>60.6</v>
      </c>
      <c r="O43" s="58">
        <f>IF('TOLUENE-A17'!O7=0,"    -",ROUND('TOLUENE-A17'!O36/'TOLUENE-A17'!O7*100,1))</f>
        <v>60.6</v>
      </c>
      <c r="P43" s="58">
        <f>IF('TOLUENE-A17'!P7=0,"    -",ROUND('TOLUENE-A17'!P36/'TOLUENE-A17'!P7*100,1))</f>
        <v>60.6</v>
      </c>
      <c r="Q43" s="61">
        <f>IF('TOLUENE-A17'!Q7=0,"    -",ROUND('TOLUENE-A17'!Q36/'TOLUENE-A17'!Q7*100,1))</f>
        <v>60.6</v>
      </c>
    </row>
    <row r="44" spans="2:17" ht="16.5" customHeight="1">
      <c r="B44" s="605" t="s">
        <v>434</v>
      </c>
      <c r="C44" s="606"/>
      <c r="D44" s="57">
        <f>IF('TOLUENE-A17'!D8=0,"    -",ROUND('TOLUENE-A17'!D37/'TOLUENE-A17'!D8*100,1))</f>
        <v>179.6</v>
      </c>
      <c r="E44" s="58">
        <f>IF('TOLUENE-A17'!E8=0,"    -",ROUND('TOLUENE-A17'!E37/'TOLUENE-A17'!E8*100,1))</f>
        <v>24.7</v>
      </c>
      <c r="F44" s="58">
        <f>IF('TOLUENE-A17'!F8=0,"    -",ROUND('TOLUENE-A17'!F37/'TOLUENE-A17'!F8*100,1))</f>
        <v>25.2</v>
      </c>
      <c r="G44" s="58">
        <f>IF('TOLUENE-A17'!G8=0,"    -",ROUND('TOLUENE-A17'!G37/'TOLUENE-A17'!G8*100,1))</f>
        <v>71</v>
      </c>
      <c r="H44" s="58">
        <f>IF('TOLUENE-A17'!H8=0,"    -",ROUND('TOLUENE-A17'!H37/'TOLUENE-A17'!H8*100,1))</f>
        <v>82.6</v>
      </c>
      <c r="I44" s="58">
        <f>IF('TOLUENE-A17'!I8=0,"    -",ROUND('TOLUENE-A17'!I37/'TOLUENE-A17'!I8*100,1))</f>
        <v>97.1</v>
      </c>
      <c r="J44" s="58">
        <f>IF('TOLUENE-A17'!J8=0,"    -",ROUND('TOLUENE-A17'!J37/'TOLUENE-A17'!J8*100,1))</f>
        <v>80.900000000000006</v>
      </c>
      <c r="K44" s="59">
        <f>IF('TOLUENE-A17'!K8=0,"    -",ROUND('TOLUENE-A17'!K37/'TOLUENE-A17'!K8*100,1))</f>
        <v>96.8</v>
      </c>
      <c r="L44" s="60">
        <f>IF('TOLUENE-A17'!L8=0,"    -",ROUND('TOLUENE-A17'!L37/'TOLUENE-A17'!L8*100,1))</f>
        <v>97.1</v>
      </c>
      <c r="M44" s="58">
        <f>IF('TOLUENE-A17'!M8=0,"    -",ROUND('TOLUENE-A17'!M37/'TOLUENE-A17'!M8*100,1))</f>
        <v>97.1</v>
      </c>
      <c r="N44" s="58">
        <f>IF('TOLUENE-A17'!N8=0,"    -",ROUND('TOLUENE-A17'!N37/'TOLUENE-A17'!N8*100,1))</f>
        <v>97.1</v>
      </c>
      <c r="O44" s="58">
        <f>IF('TOLUENE-A17'!O8=0,"    -",ROUND('TOLUENE-A17'!O37/'TOLUENE-A17'!O8*100,1))</f>
        <v>98.6</v>
      </c>
      <c r="P44" s="58">
        <f>IF('TOLUENE-A17'!P8=0,"    -",ROUND('TOLUENE-A17'!P37/'TOLUENE-A17'!P8*100,1))</f>
        <v>98.6</v>
      </c>
      <c r="Q44" s="61">
        <f>IF('TOLUENE-A17'!Q8=0,"    -",ROUND('TOLUENE-A17'!Q37/'TOLUENE-A17'!Q8*100,1))</f>
        <v>98.6</v>
      </c>
    </row>
    <row r="45" spans="2:17" ht="16.5" customHeight="1">
      <c r="B45" s="605" t="s">
        <v>435</v>
      </c>
      <c r="C45" s="606"/>
      <c r="D45" s="57">
        <f>IF('TOLUENE-A17'!D9=0,"    -",ROUND('TOLUENE-A17'!D38/'TOLUENE-A17'!D9*100,1))</f>
        <v>73.7</v>
      </c>
      <c r="E45" s="58">
        <f>IF('TOLUENE-A17'!E9=0,"    -",ROUND('TOLUENE-A17'!E38/'TOLUENE-A17'!E9*100,1))</f>
        <v>67.900000000000006</v>
      </c>
      <c r="F45" s="58">
        <f>IF('TOLUENE-A17'!F9=0,"    -",ROUND('TOLUENE-A17'!F38/'TOLUENE-A17'!F9*100,1))</f>
        <v>65.900000000000006</v>
      </c>
      <c r="G45" s="58">
        <f>IF('TOLUENE-A17'!G9=0,"    -",ROUND('TOLUENE-A17'!G38/'TOLUENE-A17'!G9*100,1))</f>
        <v>99.5</v>
      </c>
      <c r="H45" s="58">
        <f>IF('TOLUENE-A17'!H9=0,"    -",ROUND('TOLUENE-A17'!H38/'TOLUENE-A17'!H9*100,1))</f>
        <v>99.9</v>
      </c>
      <c r="I45" s="58">
        <f>IF('TOLUENE-A17'!I9=0,"    -",ROUND('TOLUENE-A17'!I38/'TOLUENE-A17'!I9*100,1))</f>
        <v>100</v>
      </c>
      <c r="J45" s="58">
        <f>IF('TOLUENE-A17'!J9=0,"    -",ROUND('TOLUENE-A17'!J38/'TOLUENE-A17'!J9*100,1))</f>
        <v>87.4</v>
      </c>
      <c r="K45" s="59">
        <f>IF('TOLUENE-A17'!K9=0,"    -",ROUND('TOLUENE-A17'!K38/'TOLUENE-A17'!K9*100,1))</f>
        <v>100</v>
      </c>
      <c r="L45" s="60">
        <f>IF('TOLUENE-A17'!L9=0,"    -",ROUND('TOLUENE-A17'!L38/'TOLUENE-A17'!L9*100,1))</f>
        <v>88.8</v>
      </c>
      <c r="M45" s="58">
        <f>IF('TOLUENE-A17'!M9=0,"    -",ROUND('TOLUENE-A17'!M38/'TOLUENE-A17'!M9*100,1))</f>
        <v>90.2</v>
      </c>
      <c r="N45" s="58">
        <f>IF('TOLUENE-A17'!N9=0,"    -",ROUND('TOLUENE-A17'!N38/'TOLUENE-A17'!N9*100,1))</f>
        <v>90.2</v>
      </c>
      <c r="O45" s="58">
        <f>IF('TOLUENE-A17'!O9=0,"    -",ROUND('TOLUENE-A17'!O38/'TOLUENE-A17'!O9*100,1))</f>
        <v>87.4</v>
      </c>
      <c r="P45" s="58">
        <f>IF('TOLUENE-A17'!P9=0,"    -",ROUND('TOLUENE-A17'!P38/'TOLUENE-A17'!P9*100,1))</f>
        <v>90.2</v>
      </c>
      <c r="Q45" s="61">
        <f>IF('TOLUENE-A17'!Q9=0,"    -",ROUND('TOLUENE-A17'!Q38/'TOLUENE-A17'!Q9*100,1))</f>
        <v>88.8</v>
      </c>
    </row>
    <row r="46" spans="2:17" ht="16.5" customHeight="1">
      <c r="B46" s="605" t="s">
        <v>436</v>
      </c>
      <c r="C46" s="606"/>
      <c r="D46" s="57">
        <f>IF('TOLUENE-A17'!D10=0,"    -",ROUND('TOLUENE-A17'!D39/'TOLUENE-A17'!D10*100,1))</f>
        <v>33.6</v>
      </c>
      <c r="E46" s="58">
        <f>IF('TOLUENE-A17'!E10=0,"    -",ROUND('TOLUENE-A17'!E39/'TOLUENE-A17'!E10*100,1))</f>
        <v>45.3</v>
      </c>
      <c r="F46" s="58">
        <f>IF('TOLUENE-A17'!F10=0,"    -",ROUND('TOLUENE-A17'!F39/'TOLUENE-A17'!F10*100,1))</f>
        <v>39.5</v>
      </c>
      <c r="G46" s="58">
        <f>IF('TOLUENE-A17'!G10=0,"    -",ROUND('TOLUENE-A17'!G39/'TOLUENE-A17'!G10*100,1))</f>
        <v>38.700000000000003</v>
      </c>
      <c r="H46" s="58">
        <f>IF('TOLUENE-A17'!H10=0,"    -",ROUND('TOLUENE-A17'!H39/'TOLUENE-A17'!H10*100,1))</f>
        <v>45.7</v>
      </c>
      <c r="I46" s="58">
        <f>IF('TOLUENE-A17'!I10=0,"    -",ROUND('TOLUENE-A17'!I39/'TOLUENE-A17'!I10*100,1))</f>
        <v>38.200000000000003</v>
      </c>
      <c r="J46" s="58">
        <f>IF('TOLUENE-A17'!J10=0,"    -",ROUND('TOLUENE-A17'!J39/'TOLUENE-A17'!J10*100,1))</f>
        <v>42</v>
      </c>
      <c r="K46" s="59">
        <f>IF('TOLUENE-A17'!K10=0,"    -",ROUND('TOLUENE-A17'!K39/'TOLUENE-A17'!K10*100,1))</f>
        <v>38.9</v>
      </c>
      <c r="L46" s="60">
        <f>IF('TOLUENE-A17'!L10=0,"    -",ROUND('TOLUENE-A17'!L39/'TOLUENE-A17'!L10*100,1))</f>
        <v>39</v>
      </c>
      <c r="M46" s="58">
        <f>IF('TOLUENE-A17'!M10=0,"    -",ROUND('TOLUENE-A17'!M39/'TOLUENE-A17'!M10*100,1))</f>
        <v>33.1</v>
      </c>
      <c r="N46" s="58">
        <f>IF('TOLUENE-A17'!N10=0,"    -",ROUND('TOLUENE-A17'!N39/'TOLUENE-A17'!N10*100,1))</f>
        <v>33.200000000000003</v>
      </c>
      <c r="O46" s="58">
        <f>IF('TOLUENE-A17'!O10=0,"    -",ROUND('TOLUENE-A17'!O39/'TOLUENE-A17'!O10*100,1))</f>
        <v>35.1</v>
      </c>
      <c r="P46" s="58">
        <f>IF('TOLUENE-A17'!P10=0,"    -",ROUND('TOLUENE-A17'!P39/'TOLUENE-A17'!P10*100,1))</f>
        <v>36.1</v>
      </c>
      <c r="Q46" s="61">
        <f>IF('TOLUENE-A17'!Q10=0,"    -",ROUND('TOLUENE-A17'!Q39/'TOLUENE-A17'!Q10*100,1))</f>
        <v>37.200000000000003</v>
      </c>
    </row>
    <row r="47" spans="2:17" ht="16.5" customHeight="1">
      <c r="B47" s="605" t="s">
        <v>437</v>
      </c>
      <c r="C47" s="606"/>
      <c r="D47" s="57">
        <f>IF('TOLUENE-A17'!D11=0,"    -",ROUND('TOLUENE-A17'!D40/'TOLUENE-A17'!D11*100,1))</f>
        <v>71</v>
      </c>
      <c r="E47" s="58">
        <f>IF('TOLUENE-A17'!E11=0,"    -",ROUND('TOLUENE-A17'!E40/'TOLUENE-A17'!E11*100,1))</f>
        <v>76.900000000000006</v>
      </c>
      <c r="F47" s="58">
        <f>IF('TOLUENE-A17'!F11=0,"    -",ROUND('TOLUENE-A17'!F40/'TOLUENE-A17'!F11*100,1))</f>
        <v>77.2</v>
      </c>
      <c r="G47" s="58">
        <f>IF('TOLUENE-A17'!G11=0,"    -",ROUND('TOLUENE-A17'!G40/'TOLUENE-A17'!G11*100,1))</f>
        <v>73</v>
      </c>
      <c r="H47" s="58">
        <f>IF('TOLUENE-A17'!H11=0,"    -",ROUND('TOLUENE-A17'!H40/'TOLUENE-A17'!H11*100,1))</f>
        <v>78.7</v>
      </c>
      <c r="I47" s="58">
        <f>IF('TOLUENE-A17'!I11=0,"    -",ROUND('TOLUENE-A17'!I40/'TOLUENE-A17'!I11*100,1))</f>
        <v>85.9</v>
      </c>
      <c r="J47" s="58">
        <f>IF('TOLUENE-A17'!J11=0,"    -",ROUND('TOLUENE-A17'!J40/'TOLUENE-A17'!J11*100,1))</f>
        <v>94.1</v>
      </c>
      <c r="K47" s="59">
        <f>IF('TOLUENE-A17'!K11=0,"    -",ROUND('TOLUENE-A17'!K40/'TOLUENE-A17'!K11*100,1))</f>
        <v>93</v>
      </c>
      <c r="L47" s="60">
        <f>IF('TOLUENE-A17'!L11=0,"    -",ROUND('TOLUENE-A17'!L40/'TOLUENE-A17'!L11*100,1))</f>
        <v>93</v>
      </c>
      <c r="M47" s="58">
        <f>IF('TOLUENE-A17'!M11=0,"    -",ROUND('TOLUENE-A17'!M40/'TOLUENE-A17'!M11*100,1))</f>
        <v>93</v>
      </c>
      <c r="N47" s="58">
        <f>IF('TOLUENE-A17'!N11=0,"    -",ROUND('TOLUENE-A17'!N40/'TOLUENE-A17'!N11*100,1))</f>
        <v>93</v>
      </c>
      <c r="O47" s="58">
        <f>IF('TOLUENE-A17'!O11=0,"    -",ROUND('TOLUENE-A17'!O40/'TOLUENE-A17'!O11*100,1))</f>
        <v>93</v>
      </c>
      <c r="P47" s="58">
        <f>IF('TOLUENE-A17'!P11=0,"    -",ROUND('TOLUENE-A17'!P40/'TOLUENE-A17'!P11*100,1))</f>
        <v>93</v>
      </c>
      <c r="Q47" s="61">
        <f>IF('TOLUENE-A17'!Q11=0,"    -",ROUND('TOLUENE-A17'!Q40/'TOLUENE-A17'!Q11*100,1))</f>
        <v>93</v>
      </c>
    </row>
    <row r="48" spans="2:17" ht="16.5" customHeight="1">
      <c r="B48" s="605" t="s">
        <v>438</v>
      </c>
      <c r="C48" s="606"/>
      <c r="D48" s="57">
        <f>IF('TOLUENE-A17'!D12=0,"    -",ROUND('TOLUENE-A17'!D41/'TOLUENE-A17'!D12*100,1))</f>
        <v>31.9</v>
      </c>
      <c r="E48" s="58">
        <f>IF('TOLUENE-A17'!E12=0,"    -",ROUND('TOLUENE-A17'!E41/'TOLUENE-A17'!E12*100,1))</f>
        <v>0</v>
      </c>
      <c r="F48" s="58">
        <f>IF('TOLUENE-A17'!F12=0,"    -",ROUND('TOLUENE-A17'!F41/'TOLUENE-A17'!F12*100,1))</f>
        <v>0</v>
      </c>
      <c r="G48" s="58">
        <f>IF('TOLUENE-A17'!G12=0,"    -",ROUND('TOLUENE-A17'!G41/'TOLUENE-A17'!G12*100,1))</f>
        <v>0</v>
      </c>
      <c r="H48" s="58">
        <f>IF('TOLUENE-A17'!H12=0,"    -",ROUND('TOLUENE-A17'!H41/'TOLUENE-A17'!H12*100,1))</f>
        <v>0</v>
      </c>
      <c r="I48" s="58">
        <f>IF('TOLUENE-A17'!I12=0,"    -",ROUND('TOLUENE-A17'!I41/'TOLUENE-A17'!I12*100,1))</f>
        <v>0</v>
      </c>
      <c r="J48" s="58">
        <f>IF('TOLUENE-A17'!J12=0,"    -",ROUND('TOLUENE-A17'!J41/'TOLUENE-A17'!J12*100,1))</f>
        <v>0</v>
      </c>
      <c r="K48" s="59">
        <f>IF('TOLUENE-A17'!K12=0,"    -",ROUND('TOLUENE-A17'!K41/'TOLUENE-A17'!K12*100,1))</f>
        <v>0</v>
      </c>
      <c r="L48" s="60">
        <f>IF('TOLUENE-A17'!L12=0,"    -",ROUND('TOLUENE-A17'!L41/'TOLUENE-A17'!L12*100,1))</f>
        <v>0</v>
      </c>
      <c r="M48" s="58">
        <f>IF('TOLUENE-A17'!M12=0,"    -",ROUND('TOLUENE-A17'!M41/'TOLUENE-A17'!M12*100,1))</f>
        <v>0</v>
      </c>
      <c r="N48" s="58">
        <f>IF('TOLUENE-A17'!N12=0,"    -",ROUND('TOLUENE-A17'!N41/'TOLUENE-A17'!N12*100,1))</f>
        <v>50</v>
      </c>
      <c r="O48" s="58">
        <f>IF('TOLUENE-A17'!O12=0,"    -",ROUND('TOLUENE-A17'!O41/'TOLUENE-A17'!O12*100,1))</f>
        <v>100</v>
      </c>
      <c r="P48" s="58">
        <f>IF('TOLUENE-A17'!P12=0,"    -",ROUND('TOLUENE-A17'!P41/'TOLUENE-A17'!P12*100,1))</f>
        <v>100</v>
      </c>
      <c r="Q48" s="61">
        <f>IF('TOLUENE-A17'!Q12=0,"    -",ROUND('TOLUENE-A17'!Q41/'TOLUENE-A17'!Q12*100,1))</f>
        <v>100</v>
      </c>
    </row>
    <row r="49" spans="2:17" ht="16.5" customHeight="1">
      <c r="B49" s="605" t="s">
        <v>439</v>
      </c>
      <c r="C49" s="606"/>
      <c r="D49" s="57">
        <f>IF('TOLUENE-A17'!D13=0,"    -",ROUND('TOLUENE-A17'!D42/'TOLUENE-A17'!D13*100,1))</f>
        <v>77.3</v>
      </c>
      <c r="E49" s="58">
        <f>IF('TOLUENE-A17'!E13=0,"    -",ROUND('TOLUENE-A17'!E42/'TOLUENE-A17'!E13*100,1))</f>
        <v>60.9</v>
      </c>
      <c r="F49" s="58">
        <f>IF('TOLUENE-A17'!F13=0,"    -",ROUND('TOLUENE-A17'!F42/'TOLUENE-A17'!F13*100,1))</f>
        <v>51.9</v>
      </c>
      <c r="G49" s="58">
        <f>IF('TOLUENE-A17'!G13=0,"    -",ROUND('TOLUENE-A17'!G42/'TOLUENE-A17'!G13*100,1))</f>
        <v>51.9</v>
      </c>
      <c r="H49" s="58">
        <f>IF('TOLUENE-A17'!H13=0,"    -",ROUND('TOLUENE-A17'!H42/'TOLUENE-A17'!H13*100,1))</f>
        <v>51.9</v>
      </c>
      <c r="I49" s="58">
        <f>IF('TOLUENE-A17'!I13=0,"    -",ROUND('TOLUENE-A17'!I42/'TOLUENE-A17'!I13*100,1))</f>
        <v>51.9</v>
      </c>
      <c r="J49" s="58">
        <f>IF('TOLUENE-A17'!J13=0,"    -",ROUND('TOLUENE-A17'!J42/'TOLUENE-A17'!J13*100,1))</f>
        <v>43</v>
      </c>
      <c r="K49" s="59">
        <f>IF('TOLUENE-A17'!K13=0,"    -",ROUND('TOLUENE-A17'!K42/'TOLUENE-A17'!K13*100,1))</f>
        <v>51.9</v>
      </c>
      <c r="L49" s="60">
        <f>IF('TOLUENE-A17'!L13=0,"    -",ROUND('TOLUENE-A17'!L42/'TOLUENE-A17'!L13*100,1))</f>
        <v>51.9</v>
      </c>
      <c r="M49" s="58">
        <f>IF('TOLUENE-A17'!M13=0,"    -",ROUND('TOLUENE-A17'!M42/'TOLUENE-A17'!M13*100,1))</f>
        <v>51.9</v>
      </c>
      <c r="N49" s="58">
        <f>IF('TOLUENE-A17'!N13=0,"    -",ROUND('TOLUENE-A17'!N42/'TOLUENE-A17'!N13*100,1))</f>
        <v>51.9</v>
      </c>
      <c r="O49" s="58">
        <f>IF('TOLUENE-A17'!O13=0,"    -",ROUND('TOLUENE-A17'!O42/'TOLUENE-A17'!O13*100,1))</f>
        <v>51.9</v>
      </c>
      <c r="P49" s="58">
        <f>IF('TOLUENE-A17'!P13=0,"    -",ROUND('TOLUENE-A17'!P42/'TOLUENE-A17'!P13*100,1))</f>
        <v>51.9</v>
      </c>
      <c r="Q49" s="61">
        <f>IF('TOLUENE-A17'!Q13=0,"    -",ROUND('TOLUENE-A17'!Q42/'TOLUENE-A17'!Q13*100,1))</f>
        <v>51.9</v>
      </c>
    </row>
    <row r="50" spans="2:17" ht="18" hidden="1" customHeight="1">
      <c r="B50" s="16"/>
      <c r="C50" s="90" t="s">
        <v>306</v>
      </c>
      <c r="D50" s="57" t="str">
        <f>IF('TOLUENE-A17'!D14=0,"    -",ROUND('TOLUENE-A17'!D43/'TOLUENE-A17'!D14*100,1))</f>
        <v xml:space="preserve">    -</v>
      </c>
      <c r="E50" s="58" t="str">
        <f>IF('TOLUENE-A17'!E14=0,"    -",ROUND('TOLUENE-A17'!E43/'TOLUENE-A17'!E14*100,1))</f>
        <v xml:space="preserve">    -</v>
      </c>
      <c r="F50" s="58" t="str">
        <f>IF('TOLUENE-A17'!F14=0,"    -",ROUND('TOLUENE-A17'!F43/'TOLUENE-A17'!F14*100,1))</f>
        <v xml:space="preserve">    -</v>
      </c>
      <c r="G50" s="58" t="str">
        <f>IF('TOLUENE-A17'!G14=0,"    -",ROUND('TOLUENE-A17'!G43/'TOLUENE-A17'!G14*100,1))</f>
        <v xml:space="preserve">    -</v>
      </c>
      <c r="H50" s="58" t="str">
        <f>IF('TOLUENE-A17'!H14=0,"    -",ROUND('TOLUENE-A17'!H43/'TOLUENE-A17'!H14*100,1))</f>
        <v xml:space="preserve">    -</v>
      </c>
      <c r="I50" s="58" t="str">
        <f>IF('TOLUENE-A17'!I14=0,"    -",ROUND('TOLUENE-A17'!I43/'TOLUENE-A17'!I14*100,1))</f>
        <v xml:space="preserve">    -</v>
      </c>
      <c r="J50" s="58" t="str">
        <f>IF('TOLUENE-A17'!J14=0,"    -",ROUND('TOLUENE-A17'!J43/'TOLUENE-A17'!J14*100,1))</f>
        <v xml:space="preserve">    -</v>
      </c>
      <c r="K50" s="59" t="str">
        <f>IF('TOLUENE-A17'!K14=0,"    -",ROUND('TOLUENE-A17'!K43/'TOLUENE-A17'!K14*100,1))</f>
        <v xml:space="preserve">    -</v>
      </c>
      <c r="L50" s="60" t="str">
        <f>IF('TOLUENE-A17'!L14=0,"    -",ROUND('TOLUENE-A17'!L43/'TOLUENE-A17'!L14*100,1))</f>
        <v xml:space="preserve">    -</v>
      </c>
      <c r="M50" s="58" t="str">
        <f>IF('TOLUENE-A17'!M14=0,"    -",ROUND('TOLUENE-A17'!M43/'TOLUENE-A17'!M14*100,1))</f>
        <v xml:space="preserve">    -</v>
      </c>
      <c r="N50" s="58" t="str">
        <f>IF('TOLUENE-A17'!N14=0,"    -",ROUND('TOLUENE-A17'!N43/'TOLUENE-A17'!N14*100,1))</f>
        <v xml:space="preserve">    -</v>
      </c>
      <c r="O50" s="58" t="str">
        <f>IF('TOLUENE-A17'!O14=0,"    -",ROUND('TOLUENE-A17'!O43/'TOLUENE-A17'!O14*100,1))</f>
        <v xml:space="preserve">    -</v>
      </c>
      <c r="P50" s="58" t="str">
        <f>IF('TOLUENE-A17'!P14=0,"    -",ROUND('TOLUENE-A17'!P43/'TOLUENE-A17'!P14*100,1))</f>
        <v xml:space="preserve">    -</v>
      </c>
      <c r="Q50" s="61" t="str">
        <f>IF('TOLUENE-A17'!Q14=0,"    -",ROUND('TOLUENE-A17'!Q43/'TOLUENE-A17'!Q14*100,1))</f>
        <v xml:space="preserve">    -</v>
      </c>
    </row>
    <row r="51" spans="2:17" ht="16.5" customHeight="1">
      <c r="B51" s="605" t="s">
        <v>440</v>
      </c>
      <c r="C51" s="606"/>
      <c r="D51" s="57">
        <f>IF('TOLUENE-A17'!D15=0,"    -",ROUND('TOLUENE-A17'!D44/'TOLUENE-A17'!D15*100,1))</f>
        <v>100</v>
      </c>
      <c r="E51" s="58">
        <f>IF('TOLUENE-A17'!E15=0,"    -",ROUND('TOLUENE-A17'!E44/'TOLUENE-A17'!E15*100,1))</f>
        <v>100</v>
      </c>
      <c r="F51" s="58">
        <f>IF('TOLUENE-A17'!F15=0,"    -",ROUND('TOLUENE-A17'!F44/'TOLUENE-A17'!F15*100,1))</f>
        <v>100</v>
      </c>
      <c r="G51" s="58">
        <f>IF('TOLUENE-A17'!G15=0,"    -",ROUND('TOLUENE-A17'!G44/'TOLUENE-A17'!G15*100,1))</f>
        <v>100</v>
      </c>
      <c r="H51" s="58">
        <f>IF('TOLUENE-A17'!H15=0,"    -",ROUND('TOLUENE-A17'!H44/'TOLUENE-A17'!H15*100,1))</f>
        <v>100</v>
      </c>
      <c r="I51" s="58">
        <f>IF('TOLUENE-A17'!I15=0,"    -",ROUND('TOLUENE-A17'!I44/'TOLUENE-A17'!I15*100,1))</f>
        <v>100</v>
      </c>
      <c r="J51" s="58">
        <f>IF('TOLUENE-A17'!J15=0,"    -",ROUND('TOLUENE-A17'!J44/'TOLUENE-A17'!J15*100,1))</f>
        <v>100</v>
      </c>
      <c r="K51" s="59">
        <f>IF('TOLUENE-A17'!K15=0,"    -",ROUND('TOLUENE-A17'!K44/'TOLUENE-A17'!K15*100,1))</f>
        <v>100</v>
      </c>
      <c r="L51" s="60">
        <f>IF('TOLUENE-A17'!L15=0,"    -",ROUND('TOLUENE-A17'!L44/'TOLUENE-A17'!L15*100,1))</f>
        <v>100</v>
      </c>
      <c r="M51" s="58">
        <f>IF('TOLUENE-A17'!M15=0,"    -",ROUND('TOLUENE-A17'!M44/'TOLUENE-A17'!M15*100,1))</f>
        <v>100</v>
      </c>
      <c r="N51" s="58">
        <f>IF('TOLUENE-A17'!N15=0,"    -",ROUND('TOLUENE-A17'!N44/'TOLUENE-A17'!N15*100,1))</f>
        <v>100</v>
      </c>
      <c r="O51" s="58">
        <f>IF('TOLUENE-A17'!O15=0,"    -",ROUND('TOLUENE-A17'!O44/'TOLUENE-A17'!O15*100,1))</f>
        <v>83.2</v>
      </c>
      <c r="P51" s="58">
        <f>IF('TOLUENE-A17'!P15=0,"    -",ROUND('TOLUENE-A17'!P44/'TOLUENE-A17'!P15*100,1))</f>
        <v>92.9</v>
      </c>
      <c r="Q51" s="61">
        <f>IF('TOLUENE-A17'!Q15=0,"    -",ROUND('TOLUENE-A17'!Q44/'TOLUENE-A17'!Q15*100,1))</f>
        <v>92.9</v>
      </c>
    </row>
    <row r="52" spans="2:17" ht="16.5" customHeight="1">
      <c r="B52" s="605" t="s">
        <v>441</v>
      </c>
      <c r="C52" s="606"/>
      <c r="D52" s="57">
        <f>IF('TOLUENE-A17'!D16=0,"    -",ROUND('TOLUENE-A17'!D45/'TOLUENE-A17'!D16*100,1))</f>
        <v>100</v>
      </c>
      <c r="E52" s="58">
        <f>IF('TOLUENE-A17'!E16=0,"    -",ROUND('TOLUENE-A17'!E45/'TOLUENE-A17'!E16*100,1))</f>
        <v>100</v>
      </c>
      <c r="F52" s="58">
        <f>IF('TOLUENE-A17'!F16=0,"    -",ROUND('TOLUENE-A17'!F45/'TOLUENE-A17'!F16*100,1))</f>
        <v>100</v>
      </c>
      <c r="G52" s="58">
        <f>IF('TOLUENE-A17'!G16=0,"    -",ROUND('TOLUENE-A17'!G45/'TOLUENE-A17'!G16*100,1))</f>
        <v>100</v>
      </c>
      <c r="H52" s="58">
        <f>IF('TOLUENE-A17'!H16=0,"    -",ROUND('TOLUENE-A17'!H45/'TOLUENE-A17'!H16*100,1))</f>
        <v>100</v>
      </c>
      <c r="I52" s="58">
        <f>IF('TOLUENE-A17'!I16=0,"    -",ROUND('TOLUENE-A17'!I45/'TOLUENE-A17'!I16*100,1))</f>
        <v>100</v>
      </c>
      <c r="J52" s="58">
        <f>IF('TOLUENE-A17'!J16=0,"    -",ROUND('TOLUENE-A17'!J45/'TOLUENE-A17'!J16*100,1))</f>
        <v>100</v>
      </c>
      <c r="K52" s="59">
        <f>IF('TOLUENE-A17'!K16=0,"    -",ROUND('TOLUENE-A17'!K45/'TOLUENE-A17'!K16*100,1))</f>
        <v>100</v>
      </c>
      <c r="L52" s="60">
        <f>IF('TOLUENE-A17'!L16=0,"    -",ROUND('TOLUENE-A17'!L45/'TOLUENE-A17'!L16*100,1))</f>
        <v>100</v>
      </c>
      <c r="M52" s="58">
        <f>IF('TOLUENE-A17'!M16=0,"    -",ROUND('TOLUENE-A17'!M45/'TOLUENE-A17'!M16*100,1))</f>
        <v>100</v>
      </c>
      <c r="N52" s="58">
        <f>IF('TOLUENE-A17'!N16=0,"    -",ROUND('TOLUENE-A17'!N45/'TOLUENE-A17'!N16*100,1))</f>
        <v>100</v>
      </c>
      <c r="O52" s="58">
        <f>IF('TOLUENE-A17'!O16=0,"    -",ROUND('TOLUENE-A17'!O45/'TOLUENE-A17'!O16*100,1))</f>
        <v>100</v>
      </c>
      <c r="P52" s="58">
        <f>IF('TOLUENE-A17'!P16=0,"    -",ROUND('TOLUENE-A17'!P45/'TOLUENE-A17'!P16*100,1))</f>
        <v>100</v>
      </c>
      <c r="Q52" s="61">
        <f>IF('TOLUENE-A17'!Q16=0,"    -",ROUND('TOLUENE-A17'!Q45/'TOLUENE-A17'!Q16*100,1))</f>
        <v>100</v>
      </c>
    </row>
    <row r="53" spans="2:17" ht="16.5" customHeight="1">
      <c r="B53" s="605" t="s">
        <v>442</v>
      </c>
      <c r="C53" s="606"/>
      <c r="D53" s="57" t="str">
        <f>IF('TOLUENE-A17'!D17=0,"    -",ROUND('TOLUENE-A17'!D46/'TOLUENE-A17'!D17*100,1))</f>
        <v xml:space="preserve">    -</v>
      </c>
      <c r="E53" s="58" t="str">
        <f>IF('TOLUENE-A17'!E17=0,"    -",ROUND('TOLUENE-A17'!E46/'TOLUENE-A17'!E17*100,1))</f>
        <v xml:space="preserve">    -</v>
      </c>
      <c r="F53" s="58" t="str">
        <f>IF('TOLUENE-A17'!F17=0,"    -",ROUND('TOLUENE-A17'!F46/'TOLUENE-A17'!F17*100,1))</f>
        <v xml:space="preserve">    -</v>
      </c>
      <c r="G53" s="58" t="str">
        <f>IF('TOLUENE-A17'!G17=0,"    -",ROUND('TOLUENE-A17'!G46/'TOLUENE-A17'!G17*100,1))</f>
        <v xml:space="preserve">    -</v>
      </c>
      <c r="H53" s="58" t="str">
        <f>IF('TOLUENE-A17'!H17=0,"    -",ROUND('TOLUENE-A17'!H46/'TOLUENE-A17'!H17*100,1))</f>
        <v xml:space="preserve">    -</v>
      </c>
      <c r="I53" s="58" t="str">
        <f>IF('TOLUENE-A17'!I17=0,"    -",ROUND('TOLUENE-A17'!I46/'TOLUENE-A17'!I17*100,1))</f>
        <v xml:space="preserve">    -</v>
      </c>
      <c r="J53" s="58" t="str">
        <f>IF('TOLUENE-A17'!J17=0,"    -",ROUND('TOLUENE-A17'!J46/'TOLUENE-A17'!J17*100,1))</f>
        <v xml:space="preserve">    -</v>
      </c>
      <c r="K53" s="59" t="str">
        <f>IF('TOLUENE-A17'!K17=0,"    -",ROUND('TOLUENE-A17'!K46/'TOLUENE-A17'!K17*100,1))</f>
        <v xml:space="preserve">    -</v>
      </c>
      <c r="L53" s="60" t="str">
        <f>IF('TOLUENE-A17'!L17=0,"    -",ROUND('TOLUENE-A17'!L46/'TOLUENE-A17'!L17*100,1))</f>
        <v xml:space="preserve">    -</v>
      </c>
      <c r="M53" s="58" t="str">
        <f>IF('TOLUENE-A17'!M17=0,"    -",ROUND('TOLUENE-A17'!M46/'TOLUENE-A17'!M17*100,1))</f>
        <v xml:space="preserve">    -</v>
      </c>
      <c r="N53" s="58" t="str">
        <f>IF('TOLUENE-A17'!N17=0,"    -",ROUND('TOLUENE-A17'!N46/'TOLUENE-A17'!N17*100,1))</f>
        <v xml:space="preserve">    -</v>
      </c>
      <c r="O53" s="58" t="str">
        <f>IF('TOLUENE-A17'!O17=0,"    -",ROUND('TOLUENE-A17'!O46/'TOLUENE-A17'!O17*100,1))</f>
        <v xml:space="preserve">    -</v>
      </c>
      <c r="P53" s="58" t="str">
        <f>IF('TOLUENE-A17'!P17=0,"    -",ROUND('TOLUENE-A17'!P46/'TOLUENE-A17'!P17*100,1))</f>
        <v xml:space="preserve">    -</v>
      </c>
      <c r="Q53" s="61" t="str">
        <f>IF('TOLUENE-A17'!Q17=0,"    -",ROUND('TOLUENE-A17'!Q46/'TOLUENE-A17'!Q17*100,1))</f>
        <v xml:space="preserve">    -</v>
      </c>
    </row>
    <row r="54" spans="2:17" ht="16.5" customHeight="1">
      <c r="B54" s="607" t="s">
        <v>443</v>
      </c>
      <c r="C54" s="608"/>
      <c r="D54" s="57">
        <f>IF('TOLUENE-A17'!D18=0,"    -",ROUND('TOLUENE-A17'!D47/'TOLUENE-A17'!D18*100,1))</f>
        <v>60.1</v>
      </c>
      <c r="E54" s="58">
        <f>IF('TOLUENE-A17'!E18=0,"    -",ROUND('TOLUENE-A17'!E47/'TOLUENE-A17'!E18*100,1))</f>
        <v>57.8</v>
      </c>
      <c r="F54" s="58">
        <f>IF('TOLUENE-A17'!F18=0,"    -",ROUND('TOLUENE-A17'!F47/'TOLUENE-A17'!F18*100,1))</f>
        <v>60</v>
      </c>
      <c r="G54" s="58">
        <f>IF('TOLUENE-A17'!G18=0,"    -",ROUND('TOLUENE-A17'!G47/'TOLUENE-A17'!G18*100,1))</f>
        <v>71.7</v>
      </c>
      <c r="H54" s="58">
        <f>IF('TOLUENE-A17'!H18=0,"    -",ROUND('TOLUENE-A17'!H47/'TOLUENE-A17'!H18*100,1))</f>
        <v>67.7</v>
      </c>
      <c r="I54" s="58">
        <f>IF('TOLUENE-A17'!I18=0,"    -",ROUND('TOLUENE-A17'!I47/'TOLUENE-A17'!I18*100,1))</f>
        <v>77.7</v>
      </c>
      <c r="J54" s="58">
        <f>IF('TOLUENE-A17'!J18=0,"    -",ROUND('TOLUENE-A17'!J47/'TOLUENE-A17'!J18*100,1))</f>
        <v>76.2</v>
      </c>
      <c r="K54" s="59">
        <f>IF('TOLUENE-A17'!K18=0,"    -",ROUND('TOLUENE-A17'!K47/'TOLUENE-A17'!K18*100,1))</f>
        <v>79.400000000000006</v>
      </c>
      <c r="L54" s="60">
        <f>IF('TOLUENE-A17'!L18=0,"    -",ROUND('TOLUENE-A17'!L47/'TOLUENE-A17'!L18*100,1))</f>
        <v>77.2</v>
      </c>
      <c r="M54" s="58">
        <f>IF('TOLUENE-A17'!M18=0,"    -",ROUND('TOLUENE-A17'!M47/'TOLUENE-A17'!M18*100,1))</f>
        <v>77.2</v>
      </c>
      <c r="N54" s="58">
        <f>IF('TOLUENE-A17'!N18=0,"    -",ROUND('TOLUENE-A17'!N47/'TOLUENE-A17'!N18*100,1))</f>
        <v>77.2</v>
      </c>
      <c r="O54" s="58">
        <f>IF('TOLUENE-A17'!O18=0,"    -",ROUND('TOLUENE-A17'!O47/'TOLUENE-A17'!O18*100,1))</f>
        <v>77.2</v>
      </c>
      <c r="P54" s="58">
        <f>IF('TOLUENE-A17'!P18=0,"    -",ROUND('TOLUENE-A17'!P47/'TOLUENE-A17'!P18*100,1))</f>
        <v>77.2</v>
      </c>
      <c r="Q54" s="61">
        <f>IF('TOLUENE-A17'!Q18=0,"    -",ROUND('TOLUENE-A17'!Q47/'TOLUENE-A17'!Q18*100,1))</f>
        <v>77.2</v>
      </c>
    </row>
    <row r="55" spans="2:17" ht="17.25" customHeight="1">
      <c r="B55" s="674" t="s">
        <v>307</v>
      </c>
      <c r="C55" s="675"/>
      <c r="D55" s="74">
        <f>IF('TOLUENE-A17'!D19=0,"    -",ROUND('TOLUENE-A17'!D48/'TOLUENE-A17'!D19*100,1))</f>
        <v>50</v>
      </c>
      <c r="E55" s="75">
        <f>IF('TOLUENE-A17'!E19=0,"    -",ROUND('TOLUENE-A17'!E48/'TOLUENE-A17'!E19*100,1))</f>
        <v>54.6</v>
      </c>
      <c r="F55" s="75">
        <f>IF('TOLUENE-A17'!F19=0,"    -",ROUND('TOLUENE-A17'!F48/'TOLUENE-A17'!F19*100,1))</f>
        <v>52</v>
      </c>
      <c r="G55" s="75">
        <f>IF('TOLUENE-A17'!G19=0,"    -",ROUND('TOLUENE-A17'!G48/'TOLUENE-A17'!G19*100,1))</f>
        <v>52.5</v>
      </c>
      <c r="H55" s="75">
        <f>IF('TOLUENE-A17'!H19=0,"    -",ROUND('TOLUENE-A17'!H48/'TOLUENE-A17'!H19*100,1))</f>
        <v>55.4</v>
      </c>
      <c r="I55" s="75">
        <f>IF('TOLUENE-A17'!I19=0,"    -",ROUND('TOLUENE-A17'!I48/'TOLUENE-A17'!I19*100,1))</f>
        <v>49.9</v>
      </c>
      <c r="J55" s="75">
        <f>IF('TOLUENE-A17'!J19=0,"    -",ROUND('TOLUENE-A17'!J48/'TOLUENE-A17'!J19*100,1))</f>
        <v>52.3</v>
      </c>
      <c r="K55" s="76">
        <f>IF('TOLUENE-A17'!K19=0,"    -",ROUND('TOLUENE-A17'!K48/'TOLUENE-A17'!K19*100,1))</f>
        <v>50.1</v>
      </c>
      <c r="L55" s="77">
        <f>IF('TOLUENE-A17'!L19=0,"    -",ROUND('TOLUENE-A17'!L48/'TOLUENE-A17'!L19*100,1))</f>
        <v>49.6</v>
      </c>
      <c r="M55" s="75">
        <f>IF('TOLUENE-A17'!M19=0,"    -",ROUND('TOLUENE-A17'!M48/'TOLUENE-A17'!M19*100,1))</f>
        <v>44</v>
      </c>
      <c r="N55" s="75">
        <f>IF('TOLUENE-A17'!N19=0,"    -",ROUND('TOLUENE-A17'!N48/'TOLUENE-A17'!N19*100,1))</f>
        <v>43.3</v>
      </c>
      <c r="O55" s="75">
        <f>IF('TOLUENE-A17'!O19=0,"    -",ROUND('TOLUENE-A17'!O48/'TOLUENE-A17'!O19*100,1))</f>
        <v>44.7</v>
      </c>
      <c r="P55" s="75">
        <f>IF('TOLUENE-A17'!P19=0,"    -",ROUND('TOLUENE-A17'!P48/'TOLUENE-A17'!P19*100,1))</f>
        <v>45.4</v>
      </c>
      <c r="Q55" s="78">
        <f>IF('TOLUENE-A17'!Q19=0,"    -",ROUND('TOLUENE-A17'!Q48/'TOLUENE-A17'!Q19*100,1))</f>
        <v>46.1</v>
      </c>
    </row>
    <row r="56" spans="2:17" ht="17.25" customHeight="1">
      <c r="B56" s="672" t="s">
        <v>308</v>
      </c>
      <c r="C56" s="673"/>
      <c r="D56" s="135">
        <f>IF('TOLUENE-A17'!D20=0,"    -",ROUND('TOLUENE-A17'!D49/'TOLUENE-A17'!D20*100,1))</f>
        <v>93.1</v>
      </c>
      <c r="E56" s="136">
        <f>IF('TOLUENE-A17'!E20=0,"    -",ROUND('TOLUENE-A17'!E49/'TOLUENE-A17'!E20*100,1))</f>
        <v>100</v>
      </c>
      <c r="F56" s="136">
        <f>IF('TOLUENE-A17'!F20=0,"    -",ROUND('TOLUENE-A17'!F49/'TOLUENE-A17'!F20*100,1))</f>
        <v>100</v>
      </c>
      <c r="G56" s="136">
        <f>IF('TOLUENE-A17'!G20=0,"    -",ROUND('TOLUENE-A17'!G49/'TOLUENE-A17'!G20*100,1))</f>
        <v>100</v>
      </c>
      <c r="H56" s="136">
        <f>IF('TOLUENE-A17'!H20=0,"    -",ROUND('TOLUENE-A17'!H49/'TOLUENE-A17'!H20*100,1))</f>
        <v>100</v>
      </c>
      <c r="I56" s="136">
        <f>IF('TOLUENE-A17'!I20=0,"    -",ROUND('TOLUENE-A17'!I49/'TOLUENE-A17'!I20*100,1))</f>
        <v>45</v>
      </c>
      <c r="J56" s="136">
        <f>IF('TOLUENE-A17'!J20=0,"    -",ROUND('TOLUENE-A17'!J49/'TOLUENE-A17'!J20*100,1))</f>
        <v>90</v>
      </c>
      <c r="K56" s="137">
        <f>IF('TOLUENE-A17'!K20=0,"    -",ROUND('TOLUENE-A17'!K49/'TOLUENE-A17'!K20*100,1))</f>
        <v>100</v>
      </c>
      <c r="L56" s="135">
        <f>IF('TOLUENE-A17'!L20=0,"    -",ROUND('TOLUENE-A17'!L49/'TOLUENE-A17'!L20*100,1))</f>
        <v>100</v>
      </c>
      <c r="M56" s="136">
        <f>IF('TOLUENE-A17'!M20=0,"    -",ROUND('TOLUENE-A17'!M49/'TOLUENE-A17'!M20*100,1))</f>
        <v>100</v>
      </c>
      <c r="N56" s="136">
        <f>IF('TOLUENE-A17'!N20=0,"    -",ROUND('TOLUENE-A17'!N49/'TOLUENE-A17'!N20*100,1))</f>
        <v>100</v>
      </c>
      <c r="O56" s="136">
        <f>IF('TOLUENE-A17'!O20=0,"    -",ROUND('TOLUENE-A17'!O49/'TOLUENE-A17'!O20*100,1))</f>
        <v>100</v>
      </c>
      <c r="P56" s="136">
        <f>IF('TOLUENE-A17'!P20=0,"    -",ROUND('TOLUENE-A17'!P49/'TOLUENE-A17'!P20*100,1))</f>
        <v>100</v>
      </c>
      <c r="Q56" s="137">
        <f>IF('TOLUENE-A17'!Q20=0,"    -",ROUND('TOLUENE-A17'!Q49/'TOLUENE-A17'!Q20*100,1))</f>
        <v>100</v>
      </c>
    </row>
    <row r="57" spans="2:17" ht="16.5" customHeight="1">
      <c r="B57" s="105"/>
      <c r="C57" s="97" t="s">
        <v>309</v>
      </c>
      <c r="D57" s="135">
        <f>IF('TOLUENE-A17'!D21=0,"    -",ROUND('TOLUENE-A17'!D50/'TOLUENE-A17'!D21*100,1))</f>
        <v>93.1</v>
      </c>
      <c r="E57" s="136">
        <f>IF('TOLUENE-A17'!E21=0,"    -",ROUND('TOLUENE-A17'!E50/'TOLUENE-A17'!E21*100,1))</f>
        <v>100</v>
      </c>
      <c r="F57" s="136">
        <f>IF('TOLUENE-A17'!F21=0,"    -",ROUND('TOLUENE-A17'!F50/'TOLUENE-A17'!F21*100,1))</f>
        <v>100</v>
      </c>
      <c r="G57" s="136">
        <f>IF('TOLUENE-A17'!G21=0,"    -",ROUND('TOLUENE-A17'!G50/'TOLUENE-A17'!G21*100,1))</f>
        <v>100</v>
      </c>
      <c r="H57" s="136">
        <f>IF('TOLUENE-A17'!H21=0,"    -",ROUND('TOLUENE-A17'!H50/'TOLUENE-A17'!H21*100,1))</f>
        <v>100</v>
      </c>
      <c r="I57" s="136">
        <f>IF('TOLUENE-A17'!I21=0,"    -",ROUND('TOLUENE-A17'!I50/'TOLUENE-A17'!I21*100,1))</f>
        <v>45</v>
      </c>
      <c r="J57" s="136">
        <f>IF('TOLUENE-A17'!J21=0,"    -",ROUND('TOLUENE-A17'!J50/'TOLUENE-A17'!J21*100,1))</f>
        <v>90</v>
      </c>
      <c r="K57" s="137">
        <f>IF('TOLUENE-A17'!K21=0,"    -",ROUND('TOLUENE-A17'!K50/'TOLUENE-A17'!K21*100,1))</f>
        <v>100</v>
      </c>
      <c r="L57" s="135">
        <f>IF('TOLUENE-A17'!L21=0,"    -",ROUND('TOLUENE-A17'!L50/'TOLUENE-A17'!L21*100,1))</f>
        <v>100</v>
      </c>
      <c r="M57" s="136">
        <f>IF('TOLUENE-A17'!M21=0,"    -",ROUND('TOLUENE-A17'!M50/'TOLUENE-A17'!M21*100,1))</f>
        <v>100</v>
      </c>
      <c r="N57" s="136">
        <f>IF('TOLUENE-A17'!N21=0,"    -",ROUND('TOLUENE-A17'!N50/'TOLUENE-A17'!N21*100,1))</f>
        <v>100</v>
      </c>
      <c r="O57" s="136">
        <f>IF('TOLUENE-A17'!O21=0,"    -",ROUND('TOLUENE-A17'!O50/'TOLUENE-A17'!O21*100,1))</f>
        <v>100</v>
      </c>
      <c r="P57" s="136">
        <f>IF('TOLUENE-A17'!P21=0,"    -",ROUND('TOLUENE-A17'!P50/'TOLUENE-A17'!P21*100,1))</f>
        <v>100</v>
      </c>
      <c r="Q57" s="137">
        <f>IF('TOLUENE-A17'!Q21=0,"    -",ROUND('TOLUENE-A17'!Q50/'TOLUENE-A17'!Q21*100,1))</f>
        <v>100</v>
      </c>
    </row>
    <row r="58" spans="2:17" ht="17.25" customHeight="1">
      <c r="B58" s="672" t="s">
        <v>310</v>
      </c>
      <c r="C58" s="673"/>
      <c r="D58" s="57">
        <f>IF('TOLUENE-A17'!D22=0,"    -",ROUND('TOLUENE-A17'!D51/'TOLUENE-A17'!D22*100,1))</f>
        <v>78</v>
      </c>
      <c r="E58" s="58">
        <f>IF('TOLUENE-A17'!E22=0,"    -",ROUND('TOLUENE-A17'!E51/'TOLUENE-A17'!E22*100,1))</f>
        <v>67.099999999999994</v>
      </c>
      <c r="F58" s="58">
        <f>IF('TOLUENE-A17'!F22=0,"    -",ROUND('TOLUENE-A17'!F51/'TOLUENE-A17'!F22*100,1))</f>
        <v>71.7</v>
      </c>
      <c r="G58" s="58">
        <f>IF('TOLUENE-A17'!G22=0,"    -",ROUND('TOLUENE-A17'!G51/'TOLUENE-A17'!G22*100,1))</f>
        <v>77.599999999999994</v>
      </c>
      <c r="H58" s="58">
        <f>IF('TOLUENE-A17'!H22=0,"    -",ROUND('TOLUENE-A17'!H51/'TOLUENE-A17'!H22*100,1))</f>
        <v>68.099999999999994</v>
      </c>
      <c r="I58" s="58">
        <f>IF('TOLUENE-A17'!I22=0,"    -",ROUND('TOLUENE-A17'!I51/'TOLUENE-A17'!I22*100,1))</f>
        <v>76.8</v>
      </c>
      <c r="J58" s="58">
        <f>IF('TOLUENE-A17'!J22=0,"    -",ROUND('TOLUENE-A17'!J51/'TOLUENE-A17'!J22*100,1))</f>
        <v>71.599999999999994</v>
      </c>
      <c r="K58" s="59">
        <f>IF('TOLUENE-A17'!K22=0,"    -",ROUND('TOLUENE-A17'!K51/'TOLUENE-A17'!K22*100,1))</f>
        <v>73.7</v>
      </c>
      <c r="L58" s="57">
        <f>IF('TOLUENE-A17'!L22=0,"    -",ROUND('TOLUENE-A17'!L51/'TOLUENE-A17'!L22*100,1))</f>
        <v>79</v>
      </c>
      <c r="M58" s="58">
        <f>IF('TOLUENE-A17'!M22=0,"    -",ROUND('TOLUENE-A17'!M51/'TOLUENE-A17'!M22*100,1))</f>
        <v>80.099999999999994</v>
      </c>
      <c r="N58" s="58">
        <f>IF('TOLUENE-A17'!N22=0,"    -",ROUND('TOLUENE-A17'!N51/'TOLUENE-A17'!N22*100,1))</f>
        <v>78.2</v>
      </c>
      <c r="O58" s="58">
        <f>IF('TOLUENE-A17'!O22=0,"    -",ROUND('TOLUENE-A17'!O51/'TOLUENE-A17'!O22*100,1))</f>
        <v>76.900000000000006</v>
      </c>
      <c r="P58" s="58">
        <f>IF('TOLUENE-A17'!P22=0,"    -",ROUND('TOLUENE-A17'!P51/'TOLUENE-A17'!P22*100,1))</f>
        <v>76.900000000000006</v>
      </c>
      <c r="Q58" s="59">
        <f>IF('TOLUENE-A17'!Q22=0,"    -",ROUND('TOLUENE-A17'!Q51/'TOLUENE-A17'!Q22*100,1))</f>
        <v>76.900000000000006</v>
      </c>
    </row>
    <row r="59" spans="2:17" ht="16.5" customHeight="1">
      <c r="B59" s="105"/>
      <c r="C59" s="615" t="s">
        <v>311</v>
      </c>
      <c r="D59" s="74">
        <f>IF('TOLUENE-A17'!D23=0,"    -",ROUND('TOLUENE-A17'!D52/'TOLUENE-A17'!D23*100,1))</f>
        <v>88.7</v>
      </c>
      <c r="E59" s="75">
        <f>IF('TOLUENE-A17'!E23=0,"    -",ROUND('TOLUENE-A17'!E52/'TOLUENE-A17'!E23*100,1))</f>
        <v>78.5</v>
      </c>
      <c r="F59" s="75">
        <f>IF('TOLUENE-A17'!F23=0,"    -",ROUND('TOLUENE-A17'!F52/'TOLUENE-A17'!F23*100,1))</f>
        <v>71.5</v>
      </c>
      <c r="G59" s="75">
        <f>IF('TOLUENE-A17'!G23=0,"    -",ROUND('TOLUENE-A17'!G52/'TOLUENE-A17'!G23*100,1))</f>
        <v>79.099999999999994</v>
      </c>
      <c r="H59" s="75">
        <f>IF('TOLUENE-A17'!H23=0,"    -",ROUND('TOLUENE-A17'!H52/'TOLUENE-A17'!H23*100,1))</f>
        <v>66.8</v>
      </c>
      <c r="I59" s="75">
        <f>IF('TOLUENE-A17'!I23=0,"    -",ROUND('TOLUENE-A17'!I52/'TOLUENE-A17'!I23*100,1))</f>
        <v>76.5</v>
      </c>
      <c r="J59" s="75">
        <f>IF('TOLUENE-A17'!J23=0,"    -",ROUND('TOLUENE-A17'!J52/'TOLUENE-A17'!J23*100,1))</f>
        <v>72.5</v>
      </c>
      <c r="K59" s="76">
        <f>IF('TOLUENE-A17'!K23=0,"    -",ROUND('TOLUENE-A17'!K52/'TOLUENE-A17'!K23*100,1))</f>
        <v>73.599999999999994</v>
      </c>
      <c r="L59" s="74">
        <f>IF('TOLUENE-A17'!L23=0,"    -",ROUND('TOLUENE-A17'!L52/'TOLUENE-A17'!L23*100,1))</f>
        <v>80.2</v>
      </c>
      <c r="M59" s="75">
        <f>IF('TOLUENE-A17'!M23=0,"    -",ROUND('TOLUENE-A17'!M52/'TOLUENE-A17'!M23*100,1))</f>
        <v>81.400000000000006</v>
      </c>
      <c r="N59" s="75">
        <f>IF('TOLUENE-A17'!N23=0,"    -",ROUND('TOLUENE-A17'!N52/'TOLUENE-A17'!N23*100,1))</f>
        <v>79</v>
      </c>
      <c r="O59" s="75">
        <f>IF('TOLUENE-A17'!O23=0,"    -",ROUND('TOLUENE-A17'!O52/'TOLUENE-A17'!O23*100,1))</f>
        <v>77.400000000000006</v>
      </c>
      <c r="P59" s="75">
        <f>IF('TOLUENE-A17'!P23=0,"    -",ROUND('TOLUENE-A17'!P52/'TOLUENE-A17'!P23*100,1))</f>
        <v>77.400000000000006</v>
      </c>
      <c r="Q59" s="76">
        <f>IF('TOLUENE-A17'!Q23=0,"    -",ROUND('TOLUENE-A17'!Q52/'TOLUENE-A17'!Q23*100,1))</f>
        <v>77.400000000000006</v>
      </c>
    </row>
    <row r="60" spans="2:17" ht="17.25" customHeight="1">
      <c r="B60" s="672" t="s">
        <v>312</v>
      </c>
      <c r="C60" s="673"/>
      <c r="D60" s="57">
        <f>IF('TOLUENE-A17'!D24=0,"    -",ROUND('TOLUENE-A17'!D53/'TOLUENE-A17'!D24*100,1))</f>
        <v>81</v>
      </c>
      <c r="E60" s="58">
        <f>IF('TOLUENE-A17'!E24=0,"    -",ROUND('TOLUENE-A17'!E53/'TOLUENE-A17'!E24*100,1))</f>
        <v>84.9</v>
      </c>
      <c r="F60" s="58">
        <f>IF('TOLUENE-A17'!F24=0,"    -",ROUND('TOLUENE-A17'!F53/'TOLUENE-A17'!F24*100,1))</f>
        <v>83.8</v>
      </c>
      <c r="G60" s="58">
        <f>IF('TOLUENE-A17'!G24=0,"    -",ROUND('TOLUENE-A17'!G53/'TOLUENE-A17'!G24*100,1))</f>
        <v>84.9</v>
      </c>
      <c r="H60" s="58">
        <f>IF('TOLUENE-A17'!H24=0,"    -",ROUND('TOLUENE-A17'!H53/'TOLUENE-A17'!H24*100,1))</f>
        <v>84.9</v>
      </c>
      <c r="I60" s="58">
        <f>IF('TOLUENE-A17'!I24=0,"    -",ROUND('TOLUENE-A17'!I53/'TOLUENE-A17'!I24*100,1))</f>
        <v>84.9</v>
      </c>
      <c r="J60" s="58">
        <f>IF('TOLUENE-A17'!J24=0,"    -",ROUND('TOLUENE-A17'!J53/'TOLUENE-A17'!J24*100,1))</f>
        <v>84.9</v>
      </c>
      <c r="K60" s="59">
        <f>IF('TOLUENE-A17'!K24=0,"    -",ROUND('TOLUENE-A17'!K53/'TOLUENE-A17'!K24*100,1))</f>
        <v>84.9</v>
      </c>
      <c r="L60" s="57">
        <f>IF('TOLUENE-A17'!L24=0,"    -",ROUND('TOLUENE-A17'!L53/'TOLUENE-A17'!L24*100,1))</f>
        <v>84.9</v>
      </c>
      <c r="M60" s="58">
        <f>IF('TOLUENE-A17'!M24=0,"    -",ROUND('TOLUENE-A17'!M53/'TOLUENE-A17'!M24*100,1))</f>
        <v>84.9</v>
      </c>
      <c r="N60" s="58">
        <f>IF('TOLUENE-A17'!N24=0,"    -",ROUND('TOLUENE-A17'!N53/'TOLUENE-A17'!N24*100,1))</f>
        <v>84.9</v>
      </c>
      <c r="O60" s="58">
        <f>IF('TOLUENE-A17'!O24=0,"    -",ROUND('TOLUENE-A17'!O53/'TOLUENE-A17'!O24*100,1))</f>
        <v>84.9</v>
      </c>
      <c r="P60" s="58">
        <f>IF('TOLUENE-A17'!P24=0,"    -",ROUND('TOLUENE-A17'!P53/'TOLUENE-A17'!P24*100,1))</f>
        <v>84.9</v>
      </c>
      <c r="Q60" s="59">
        <f>IF('TOLUENE-A17'!Q24=0,"    -",ROUND('TOLUENE-A17'!Q53/'TOLUENE-A17'!Q24*100,1))</f>
        <v>84.9</v>
      </c>
    </row>
    <row r="61" spans="2:17" ht="16.5" customHeight="1">
      <c r="B61" s="16"/>
      <c r="C61" s="615" t="s">
        <v>313</v>
      </c>
      <c r="D61" s="74" t="str">
        <f>IF('TOLUENE-A17'!D25=0,"    -",ROUND('TOLUENE-A17'!D54/'TOLUENE-A17'!D25*100,1))</f>
        <v xml:space="preserve">    -</v>
      </c>
      <c r="E61" s="75">
        <f>IF('TOLUENE-A17'!E25=0,"    -",ROUND('TOLUENE-A17'!E54/'TOLUENE-A17'!E25*100,1))</f>
        <v>92</v>
      </c>
      <c r="F61" s="75">
        <f>IF('TOLUENE-A17'!F25=0,"    -",ROUND('TOLUENE-A17'!F54/'TOLUENE-A17'!F25*100,1))</f>
        <v>92</v>
      </c>
      <c r="G61" s="75">
        <f>IF('TOLUENE-A17'!G25=0,"    -",ROUND('TOLUENE-A17'!G54/'TOLUENE-A17'!G25*100,1))</f>
        <v>92</v>
      </c>
      <c r="H61" s="75">
        <f>IF('TOLUENE-A17'!H25=0,"    -",ROUND('TOLUENE-A17'!H54/'TOLUENE-A17'!H25*100,1))</f>
        <v>92</v>
      </c>
      <c r="I61" s="75">
        <f>IF('TOLUENE-A17'!I25=0,"    -",ROUND('TOLUENE-A17'!I54/'TOLUENE-A17'!I25*100,1))</f>
        <v>92</v>
      </c>
      <c r="J61" s="75">
        <f>IF('TOLUENE-A17'!J25=0,"    -",ROUND('TOLUENE-A17'!J54/'TOLUENE-A17'!J25*100,1))</f>
        <v>92</v>
      </c>
      <c r="K61" s="76">
        <f>IF('TOLUENE-A17'!K25=0,"    -",ROUND('TOLUENE-A17'!K54/'TOLUENE-A17'!K25*100,1))</f>
        <v>92</v>
      </c>
      <c r="L61" s="74">
        <f>IF('TOLUENE-A17'!L25=0,"    -",ROUND('TOLUENE-A17'!L54/'TOLUENE-A17'!L25*100,1))</f>
        <v>92</v>
      </c>
      <c r="M61" s="75">
        <f>IF('TOLUENE-A17'!M25=0,"    -",ROUND('TOLUENE-A17'!M54/'TOLUENE-A17'!M25*100,1))</f>
        <v>92</v>
      </c>
      <c r="N61" s="75">
        <f>IF('TOLUENE-A17'!N25=0,"    -",ROUND('TOLUENE-A17'!N54/'TOLUENE-A17'!N25*100,1))</f>
        <v>92</v>
      </c>
      <c r="O61" s="75">
        <f>IF('TOLUENE-A17'!O25=0,"    -",ROUND('TOLUENE-A17'!O54/'TOLUENE-A17'!O25*100,1))</f>
        <v>92</v>
      </c>
      <c r="P61" s="75">
        <f>IF('TOLUENE-A17'!P25=0,"    -",ROUND('TOLUENE-A17'!P54/'TOLUENE-A17'!P25*100,1))</f>
        <v>92</v>
      </c>
      <c r="Q61" s="76">
        <f>IF('TOLUENE-A17'!Q25=0,"    -",ROUND('TOLUENE-A17'!Q54/'TOLUENE-A17'!Q25*100,1))</f>
        <v>92</v>
      </c>
    </row>
    <row r="62" spans="2:17" ht="17.25" customHeight="1">
      <c r="B62" s="674" t="s">
        <v>314</v>
      </c>
      <c r="C62" s="675"/>
      <c r="D62" s="57">
        <f>IF('TOLUENE-A17'!D26=0,"    -",ROUND('TOLUENE-A17'!D55/'TOLUENE-A17'!D26*100,1))</f>
        <v>15.2</v>
      </c>
      <c r="E62" s="58">
        <f>IF('TOLUENE-A17'!E26=0,"    -",ROUND('TOLUENE-A17'!E55/'TOLUENE-A17'!E26*100,1))</f>
        <v>15.2</v>
      </c>
      <c r="F62" s="58">
        <f>IF('TOLUENE-A17'!F26=0,"    -",ROUND('TOLUENE-A17'!F55/'TOLUENE-A17'!F26*100,1))</f>
        <v>15.2</v>
      </c>
      <c r="G62" s="58">
        <f>IF('TOLUENE-A17'!G26=0,"    -",ROUND('TOLUENE-A17'!G55/'TOLUENE-A17'!G26*100,1))</f>
        <v>15.2</v>
      </c>
      <c r="H62" s="58">
        <f>IF('TOLUENE-A17'!H26=0,"    -",ROUND('TOLUENE-A17'!H55/'TOLUENE-A17'!H26*100,1))</f>
        <v>15.2</v>
      </c>
      <c r="I62" s="58">
        <f>IF('TOLUENE-A17'!I26=0,"    -",ROUND('TOLUENE-A17'!I55/'TOLUENE-A17'!I26*100,1))</f>
        <v>15.2</v>
      </c>
      <c r="J62" s="58">
        <f>IF('TOLUENE-A17'!J26=0,"    -",ROUND('TOLUENE-A17'!J55/'TOLUENE-A17'!J26*100,1))</f>
        <v>15.2</v>
      </c>
      <c r="K62" s="59">
        <f>IF('TOLUENE-A17'!K26=0,"    -",ROUND('TOLUENE-A17'!K55/'TOLUENE-A17'!K26*100,1))</f>
        <v>15.2</v>
      </c>
      <c r="L62" s="57">
        <f>IF('TOLUENE-A17'!L26=0,"    -",ROUND('TOLUENE-A17'!L55/'TOLUENE-A17'!L26*100,1))</f>
        <v>12.1</v>
      </c>
      <c r="M62" s="58">
        <f>IF('TOLUENE-A17'!M26=0,"    -",ROUND('TOLUENE-A17'!M55/'TOLUENE-A17'!M26*100,1))</f>
        <v>15.2</v>
      </c>
      <c r="N62" s="58">
        <f>IF('TOLUENE-A17'!N26=0,"    -",ROUND('TOLUENE-A17'!N55/'TOLUENE-A17'!N26*100,1))</f>
        <v>15.2</v>
      </c>
      <c r="O62" s="58">
        <f>IF('TOLUENE-A17'!O26=0,"    -",ROUND('TOLUENE-A17'!O55/'TOLUENE-A17'!O26*100,1))</f>
        <v>15.2</v>
      </c>
      <c r="P62" s="58">
        <f>IF('TOLUENE-A17'!P26=0,"    -",ROUND('TOLUENE-A17'!P55/'TOLUENE-A17'!P26*100,1))</f>
        <v>15.2</v>
      </c>
      <c r="Q62" s="59">
        <f>IF('TOLUENE-A17'!Q26=0,"    -",ROUND('TOLUENE-A17'!Q55/'TOLUENE-A17'!Q26*100,1))</f>
        <v>15.2</v>
      </c>
    </row>
    <row r="63" spans="2:17" ht="17.25" customHeight="1">
      <c r="B63" s="674" t="s">
        <v>315</v>
      </c>
      <c r="C63" s="675"/>
      <c r="D63" s="74">
        <f>IF('TOLUENE-A17'!D27=0,"    -",ROUND('TOLUENE-A17'!D56/'TOLUENE-A17'!D27*100,1))</f>
        <v>79.7</v>
      </c>
      <c r="E63" s="75">
        <f>IF('TOLUENE-A17'!E27=0,"    -",ROUND('TOLUENE-A17'!E56/'TOLUENE-A17'!E27*100,1))</f>
        <v>80.599999999999994</v>
      </c>
      <c r="F63" s="75">
        <f>IF('TOLUENE-A17'!F27=0,"    -",ROUND('TOLUENE-A17'!F56/'TOLUENE-A17'!F27*100,1))</f>
        <v>91.6</v>
      </c>
      <c r="G63" s="75">
        <f>IF('TOLUENE-A17'!G27=0,"    -",ROUND('TOLUENE-A17'!G56/'TOLUENE-A17'!G27*100,1))</f>
        <v>100.8</v>
      </c>
      <c r="H63" s="75">
        <f>IF('TOLUENE-A17'!H27=0,"    -",ROUND('TOLUENE-A17'!H56/'TOLUENE-A17'!H27*100,1))</f>
        <v>89</v>
      </c>
      <c r="I63" s="75">
        <f>IF('TOLUENE-A17'!I27=0,"    -",ROUND('TOLUENE-A17'!I56/'TOLUENE-A17'!I27*100,1))</f>
        <v>101.7</v>
      </c>
      <c r="J63" s="75">
        <f>IF('TOLUENE-A17'!J27=0,"    -",ROUND('TOLUENE-A17'!J56/'TOLUENE-A17'!J27*100,1))</f>
        <v>80.7</v>
      </c>
      <c r="K63" s="76">
        <f>IF('TOLUENE-A17'!K27=0,"    -",ROUND('TOLUENE-A17'!K56/'TOLUENE-A17'!K27*100,1))</f>
        <v>93.3</v>
      </c>
      <c r="L63" s="77">
        <f>IF('TOLUENE-A17'!L27=0,"    -",ROUND('TOLUENE-A17'!L56/'TOLUENE-A17'!L27*100,1))</f>
        <v>94.8</v>
      </c>
      <c r="M63" s="75">
        <f>IF('TOLUENE-A17'!M27=0,"    -",ROUND('TOLUENE-A17'!M56/'TOLUENE-A17'!M27*100,1))</f>
        <v>96.1</v>
      </c>
      <c r="N63" s="75">
        <f>IF('TOLUENE-A17'!N27=0,"    -",ROUND('TOLUENE-A17'!N56/'TOLUENE-A17'!N27*100,1))</f>
        <v>97.5</v>
      </c>
      <c r="O63" s="75">
        <f>IF('TOLUENE-A17'!O27=0,"    -",ROUND('TOLUENE-A17'!O56/'TOLUENE-A17'!O27*100,1))</f>
        <v>99</v>
      </c>
      <c r="P63" s="75">
        <f>IF('TOLUENE-A17'!P27=0,"    -",ROUND('TOLUENE-A17'!P56/'TOLUENE-A17'!P27*100,1))</f>
        <v>100.4</v>
      </c>
      <c r="Q63" s="78">
        <f>IF('TOLUENE-A17'!Q27=0,"    -",ROUND('TOLUENE-A17'!Q56/'TOLUENE-A17'!Q27*100,1))</f>
        <v>102</v>
      </c>
    </row>
    <row r="64" spans="2:17" ht="16.5" customHeight="1">
      <c r="B64" s="672" t="s">
        <v>316</v>
      </c>
      <c r="C64" s="673"/>
      <c r="D64" s="57">
        <f>IF('TOLUENE-A17'!D28=0,"    -",ROUND('TOLUENE-A17'!D57/'TOLUENE-A17'!D28*100,1))</f>
        <v>38.5</v>
      </c>
      <c r="E64" s="58">
        <f>IF('TOLUENE-A17'!E28=0,"    -",ROUND('TOLUENE-A17'!E57/'TOLUENE-A17'!E28*100,1))</f>
        <v>38.5</v>
      </c>
      <c r="F64" s="58">
        <f>IF('TOLUENE-A17'!F28=0,"    -",ROUND('TOLUENE-A17'!F57/'TOLUENE-A17'!F28*100,1))</f>
        <v>39</v>
      </c>
      <c r="G64" s="58">
        <f>IF('TOLUENE-A17'!G28=0,"    -",ROUND('TOLUENE-A17'!G57/'TOLUENE-A17'!G28*100,1))</f>
        <v>46.8</v>
      </c>
      <c r="H64" s="58">
        <f>IF('TOLUENE-A17'!H28=0,"    -",ROUND('TOLUENE-A17'!H57/'TOLUENE-A17'!H28*100,1))</f>
        <v>46.2</v>
      </c>
      <c r="I64" s="58">
        <f>IF('TOLUENE-A17'!I28=0,"    -",ROUND('TOLUENE-A17'!I57/'TOLUENE-A17'!I28*100,1))</f>
        <v>46.2</v>
      </c>
      <c r="J64" s="58">
        <f>IF('TOLUENE-A17'!J28=0,"    -",ROUND('TOLUENE-A17'!J57/'TOLUENE-A17'!J28*100,1))</f>
        <v>46.3</v>
      </c>
      <c r="K64" s="59">
        <f>IF('TOLUENE-A17'!K28=0,"    -",ROUND('TOLUENE-A17'!K57/'TOLUENE-A17'!K28*100,1))</f>
        <v>47</v>
      </c>
      <c r="L64" s="60">
        <f>IF('TOLUENE-A17'!L28=0,"    -",ROUND('TOLUENE-A17'!L57/'TOLUENE-A17'!L28*100,1))</f>
        <v>47</v>
      </c>
      <c r="M64" s="58">
        <f>IF('TOLUENE-A17'!M28=0,"    -",ROUND('TOLUENE-A17'!M57/'TOLUENE-A17'!M28*100,1))</f>
        <v>47</v>
      </c>
      <c r="N64" s="58">
        <f>IF('TOLUENE-A17'!N28=0,"    -",ROUND('TOLUENE-A17'!N57/'TOLUENE-A17'!N28*100,1))</f>
        <v>47</v>
      </c>
      <c r="O64" s="58">
        <f>IF('TOLUENE-A17'!O28=0,"    -",ROUND('TOLUENE-A17'!O57/'TOLUENE-A17'!O28*100,1))</f>
        <v>47</v>
      </c>
      <c r="P64" s="58">
        <f>IF('TOLUENE-A17'!P28=0,"    -",ROUND('TOLUENE-A17'!P57/'TOLUENE-A17'!P28*100,1))</f>
        <v>47</v>
      </c>
      <c r="Q64" s="61">
        <f>IF('TOLUENE-A17'!Q28=0,"    -",ROUND('TOLUENE-A17'!Q57/'TOLUENE-A17'!Q28*100,1))</f>
        <v>47</v>
      </c>
    </row>
    <row r="65" spans="2:17" ht="16.5" customHeight="1">
      <c r="B65" s="670" t="s">
        <v>317</v>
      </c>
      <c r="C65" s="671"/>
      <c r="D65" s="57">
        <f>IF('TOLUENE-A17'!D29=0,"    -",ROUND('TOLUENE-A17'!D58/'TOLUENE-A17'!D29*100,1))</f>
        <v>95.8</v>
      </c>
      <c r="E65" s="58">
        <f>IF('TOLUENE-A17'!E29=0,"    -",ROUND('TOLUENE-A17'!E58/'TOLUENE-A17'!E29*100,1))</f>
        <v>90</v>
      </c>
      <c r="F65" s="58">
        <f>IF('TOLUENE-A17'!F29=0,"    -",ROUND('TOLUENE-A17'!F58/'TOLUENE-A17'!F29*100,1))</f>
        <v>90</v>
      </c>
      <c r="G65" s="58">
        <f>IF('TOLUENE-A17'!G29=0,"    -",ROUND('TOLUENE-A17'!G58/'TOLUENE-A17'!G29*100,1))</f>
        <v>90</v>
      </c>
      <c r="H65" s="58">
        <f>IF('TOLUENE-A17'!H29=0,"    -",ROUND('TOLUENE-A17'!H58/'TOLUENE-A17'!H29*100,1))</f>
        <v>90</v>
      </c>
      <c r="I65" s="58">
        <f>IF('TOLUENE-A17'!I29=0,"    -",ROUND('TOLUENE-A17'!I58/'TOLUENE-A17'!I29*100,1))</f>
        <v>90</v>
      </c>
      <c r="J65" s="58">
        <f>IF('TOLUENE-A17'!J29=0,"    -",ROUND('TOLUENE-A17'!J58/'TOLUENE-A17'!J29*100,1))</f>
        <v>90</v>
      </c>
      <c r="K65" s="59">
        <f>IF('TOLUENE-A17'!K29=0,"    -",ROUND('TOLUENE-A17'!K58/'TOLUENE-A17'!K29*100,1))</f>
        <v>90</v>
      </c>
      <c r="L65" s="60">
        <f>IF('TOLUENE-A17'!L29=0,"    -",ROUND('TOLUENE-A17'!L58/'TOLUENE-A17'!L29*100,1))</f>
        <v>90</v>
      </c>
      <c r="M65" s="58">
        <f>IF('TOLUENE-A17'!M29=0,"    -",ROUND('TOLUENE-A17'!M58/'TOLUENE-A17'!M29*100,1))</f>
        <v>90</v>
      </c>
      <c r="N65" s="58">
        <f>IF('TOLUENE-A17'!N29=0,"    -",ROUND('TOLUENE-A17'!N58/'TOLUENE-A17'!N29*100,1))</f>
        <v>90</v>
      </c>
      <c r="O65" s="58">
        <f>IF('TOLUENE-A17'!O29=0,"    -",ROUND('TOLUENE-A17'!O58/'TOLUENE-A17'!O29*100,1))</f>
        <v>90</v>
      </c>
      <c r="P65" s="58">
        <f>IF('TOLUENE-A17'!P29=0,"    -",ROUND('TOLUENE-A17'!P58/'TOLUENE-A17'!P29*100,1))</f>
        <v>90</v>
      </c>
      <c r="Q65" s="61">
        <f>IF('TOLUENE-A17'!Q29=0,"    -",ROUND('TOLUENE-A17'!Q58/'TOLUENE-A17'!Q29*100,1))</f>
        <v>90</v>
      </c>
    </row>
    <row r="66" spans="2:17" ht="17.25" customHeight="1">
      <c r="B66" s="674" t="s">
        <v>318</v>
      </c>
      <c r="C66" s="675"/>
      <c r="D66" s="74">
        <f>IF('TOLUENE-A17'!D30=0,"    -",ROUND('TOLUENE-A17'!D59/'TOLUENE-A17'!D30*100,1))</f>
        <v>45.1</v>
      </c>
      <c r="E66" s="75">
        <f>IF('TOLUENE-A17'!E30=0,"    -",ROUND('TOLUENE-A17'!E59/'TOLUENE-A17'!E30*100,1))</f>
        <v>44.4</v>
      </c>
      <c r="F66" s="75">
        <f>IF('TOLUENE-A17'!F30=0,"    -",ROUND('TOLUENE-A17'!F59/'TOLUENE-A17'!F30*100,1))</f>
        <v>44.9</v>
      </c>
      <c r="G66" s="75">
        <f>IF('TOLUENE-A17'!G30=0,"    -",ROUND('TOLUENE-A17'!G59/'TOLUENE-A17'!G30*100,1))</f>
        <v>52.6</v>
      </c>
      <c r="H66" s="75">
        <f>IF('TOLUENE-A17'!H30=0,"    -",ROUND('TOLUENE-A17'!H59/'TOLUENE-A17'!H30*100,1))</f>
        <v>52.1</v>
      </c>
      <c r="I66" s="75">
        <f>IF('TOLUENE-A17'!I30=0,"    -",ROUND('TOLUENE-A17'!I59/'TOLUENE-A17'!I30*100,1))</f>
        <v>52.1</v>
      </c>
      <c r="J66" s="75">
        <f>IF('TOLUENE-A17'!J30=0,"    -",ROUND('TOLUENE-A17'!J59/'TOLUENE-A17'!J30*100,1))</f>
        <v>52.2</v>
      </c>
      <c r="K66" s="76">
        <f>IF('TOLUENE-A17'!K30=0,"    -",ROUND('TOLUENE-A17'!K59/'TOLUENE-A17'!K30*100,1))</f>
        <v>52.8</v>
      </c>
      <c r="L66" s="77">
        <f>IF('TOLUENE-A17'!L30=0,"    -",ROUND('TOLUENE-A17'!L59/'TOLUENE-A17'!L30*100,1))</f>
        <v>52.8</v>
      </c>
      <c r="M66" s="75">
        <f>IF('TOLUENE-A17'!M30=0,"    -",ROUND('TOLUENE-A17'!M59/'TOLUENE-A17'!M30*100,1))</f>
        <v>52.8</v>
      </c>
      <c r="N66" s="75">
        <f>IF('TOLUENE-A17'!N30=0,"    -",ROUND('TOLUENE-A17'!N59/'TOLUENE-A17'!N30*100,1))</f>
        <v>52.8</v>
      </c>
      <c r="O66" s="75">
        <f>IF('TOLUENE-A17'!O30=0,"    -",ROUND('TOLUENE-A17'!O59/'TOLUENE-A17'!O30*100,1))</f>
        <v>52.8</v>
      </c>
      <c r="P66" s="75">
        <f>IF('TOLUENE-A17'!P30=0,"    -",ROUND('TOLUENE-A17'!P59/'TOLUENE-A17'!P30*100,1))</f>
        <v>52.8</v>
      </c>
      <c r="Q66" s="78">
        <f>IF('TOLUENE-A17'!Q30=0,"    -",ROUND('TOLUENE-A17'!Q59/'TOLUENE-A17'!Q30*100,1))</f>
        <v>52.8</v>
      </c>
    </row>
    <row r="67" spans="2:17" ht="16.5" customHeight="1">
      <c r="B67" s="672" t="s">
        <v>319</v>
      </c>
      <c r="C67" s="673"/>
      <c r="D67" s="57">
        <f>IF('TOLUENE-A17'!D31=0,"    -",ROUND('TOLUENE-A17'!D60/'TOLUENE-A17'!D31*100,1))</f>
        <v>98.6</v>
      </c>
      <c r="E67" s="58">
        <f>IF('TOLUENE-A17'!E31=0,"    -",ROUND('TOLUENE-A17'!E60/'TOLUENE-A17'!E31*100,1))</f>
        <v>98.6</v>
      </c>
      <c r="F67" s="58">
        <f>IF('TOLUENE-A17'!F31=0,"    -",ROUND('TOLUENE-A17'!F60/'TOLUENE-A17'!F31*100,1))</f>
        <v>88</v>
      </c>
      <c r="G67" s="58">
        <f>IF('TOLUENE-A17'!G31=0,"    -",ROUND('TOLUENE-A17'!G60/'TOLUENE-A17'!G31*100,1))</f>
        <v>88</v>
      </c>
      <c r="H67" s="58">
        <f>IF('TOLUENE-A17'!H31=0,"    -",ROUND('TOLUENE-A17'!H60/'TOLUENE-A17'!H31*100,1))</f>
        <v>88</v>
      </c>
      <c r="I67" s="58">
        <f>IF('TOLUENE-A17'!I31=0,"    -",ROUND('TOLUENE-A17'!I60/'TOLUENE-A17'!I31*100,1))</f>
        <v>88</v>
      </c>
      <c r="J67" s="58">
        <f>IF('TOLUENE-A17'!J31=0,"    -",ROUND('TOLUENE-A17'!J60/'TOLUENE-A17'!J31*100,1))</f>
        <v>88</v>
      </c>
      <c r="K67" s="59">
        <f>IF('TOLUENE-A17'!K31=0,"    -",ROUND('TOLUENE-A17'!K60/'TOLUENE-A17'!K31*100,1))</f>
        <v>85</v>
      </c>
      <c r="L67" s="60">
        <f>IF('TOLUENE-A17'!L31=0,"    -",ROUND('TOLUENE-A17'!L60/'TOLUENE-A17'!L31*100,1))</f>
        <v>85</v>
      </c>
      <c r="M67" s="58">
        <f>IF('TOLUENE-A17'!M31=0,"    -",ROUND('TOLUENE-A17'!M60/'TOLUENE-A17'!M31*100,1))</f>
        <v>85</v>
      </c>
      <c r="N67" s="58">
        <f>IF('TOLUENE-A17'!N31=0,"    -",ROUND('TOLUENE-A17'!N60/'TOLUENE-A17'!N31*100,1))</f>
        <v>85</v>
      </c>
      <c r="O67" s="58">
        <f>IF('TOLUENE-A17'!O31=0,"    -",ROUND('TOLUENE-A17'!O60/'TOLUENE-A17'!O31*100,1))</f>
        <v>85</v>
      </c>
      <c r="P67" s="58">
        <f>IF('TOLUENE-A17'!P31=0,"    -",ROUND('TOLUENE-A17'!P60/'TOLUENE-A17'!P31*100,1))</f>
        <v>85</v>
      </c>
      <c r="Q67" s="61">
        <f>IF('TOLUENE-A17'!Q31=0,"    -",ROUND('TOLUENE-A17'!Q60/'TOLUENE-A17'!Q31*100,1))</f>
        <v>85.1</v>
      </c>
    </row>
    <row r="68" spans="2:17" ht="16.5" customHeight="1">
      <c r="B68" s="668" t="s">
        <v>320</v>
      </c>
      <c r="C68" s="669"/>
      <c r="D68" s="57">
        <f>IF('TOLUENE-A17'!D32=0,"    -",ROUND('TOLUENE-A17'!D61/'TOLUENE-A17'!D32*100,1))</f>
        <v>89.4</v>
      </c>
      <c r="E68" s="58">
        <f>IF('TOLUENE-A17'!E32=0,"    -",ROUND('TOLUENE-A17'!E61/'TOLUENE-A17'!E32*100,1))</f>
        <v>90.7</v>
      </c>
      <c r="F68" s="58">
        <f>IF('TOLUENE-A17'!F32=0,"    -",ROUND('TOLUENE-A17'!F61/'TOLUENE-A17'!F32*100,1))</f>
        <v>92</v>
      </c>
      <c r="G68" s="58">
        <f>IF('TOLUENE-A17'!G32=0,"    -",ROUND('TOLUENE-A17'!G61/'TOLUENE-A17'!G32*100,1))</f>
        <v>90.3</v>
      </c>
      <c r="H68" s="58">
        <f>IF('TOLUENE-A17'!H32=0,"    -",ROUND('TOLUENE-A17'!H61/'TOLUENE-A17'!H32*100,1))</f>
        <v>90.3</v>
      </c>
      <c r="I68" s="58">
        <f>IF('TOLUENE-A17'!I32=0,"    -",ROUND('TOLUENE-A17'!I61/'TOLUENE-A17'!I32*100,1))</f>
        <v>90.3</v>
      </c>
      <c r="J68" s="58">
        <f>IF('TOLUENE-A17'!J32=0,"    -",ROUND('TOLUENE-A17'!J61/'TOLUENE-A17'!J32*100,1))</f>
        <v>90.3</v>
      </c>
      <c r="K68" s="59">
        <f>IF('TOLUENE-A17'!K32=0,"    -",ROUND('TOLUENE-A17'!K61/'TOLUENE-A17'!K32*100,1))</f>
        <v>90</v>
      </c>
      <c r="L68" s="60">
        <f>IF('TOLUENE-A17'!L32=0,"    -",ROUND('TOLUENE-A17'!L61/'TOLUENE-A17'!L32*100,1))</f>
        <v>90</v>
      </c>
      <c r="M68" s="58">
        <f>IF('TOLUENE-A17'!M32=0,"    -",ROUND('TOLUENE-A17'!M61/'TOLUENE-A17'!M32*100,1))</f>
        <v>90</v>
      </c>
      <c r="N68" s="58">
        <f>IF('TOLUENE-A17'!N32=0,"    -",ROUND('TOLUENE-A17'!N61/'TOLUENE-A17'!N32*100,1))</f>
        <v>90</v>
      </c>
      <c r="O68" s="58">
        <f>IF('TOLUENE-A17'!O32=0,"    -",ROUND('TOLUENE-A17'!O61/'TOLUENE-A17'!O32*100,1))</f>
        <v>90</v>
      </c>
      <c r="P68" s="58">
        <f>IF('TOLUENE-A17'!P32=0,"    -",ROUND('TOLUENE-A17'!P61/'TOLUENE-A17'!P32*100,1))</f>
        <v>90</v>
      </c>
      <c r="Q68" s="61">
        <f>IF('TOLUENE-A17'!Q32=0,"    -",ROUND('TOLUENE-A17'!Q61/'TOLUENE-A17'!Q32*100,1))</f>
        <v>90</v>
      </c>
    </row>
    <row r="69" spans="2:17" ht="16.5" customHeight="1">
      <c r="B69" s="670" t="s">
        <v>321</v>
      </c>
      <c r="C69" s="671"/>
      <c r="D69" s="57">
        <f>IF('TOLUENE-A17'!D33=0,"    -",ROUND('TOLUENE-A17'!D62/'TOLUENE-A17'!D33*100,1))</f>
        <v>68.7</v>
      </c>
      <c r="E69" s="58">
        <f>IF('TOLUENE-A17'!E33=0,"    -",ROUND('TOLUENE-A17'!E62/'TOLUENE-A17'!E33*100,1))</f>
        <v>70.7</v>
      </c>
      <c r="F69" s="58">
        <f>IF('TOLUENE-A17'!F33=0,"    -",ROUND('TOLUENE-A17'!F62/'TOLUENE-A17'!F33*100,1))</f>
        <v>72.900000000000006</v>
      </c>
      <c r="G69" s="58">
        <f>IF('TOLUENE-A17'!G33=0,"    -",ROUND('TOLUENE-A17'!G62/'TOLUENE-A17'!G33*100,1))</f>
        <v>75</v>
      </c>
      <c r="H69" s="58">
        <f>IF('TOLUENE-A17'!H33=0,"    -",ROUND('TOLUENE-A17'!H62/'TOLUENE-A17'!H33*100,1))</f>
        <v>77.3</v>
      </c>
      <c r="I69" s="58">
        <f>IF('TOLUENE-A17'!I33=0,"    -",ROUND('TOLUENE-A17'!I62/'TOLUENE-A17'!I33*100,1))</f>
        <v>79.599999999999994</v>
      </c>
      <c r="J69" s="58">
        <f>IF('TOLUENE-A17'!J33=0,"    -",ROUND('TOLUENE-A17'!J62/'TOLUENE-A17'!J33*100,1))</f>
        <v>92.4</v>
      </c>
      <c r="K69" s="59">
        <f>IF('TOLUENE-A17'!K33=0,"    -",ROUND('TOLUENE-A17'!K62/'TOLUENE-A17'!K33*100,1))</f>
        <v>90</v>
      </c>
      <c r="L69" s="60">
        <f>IF('TOLUENE-A17'!L33=0,"    -",ROUND('TOLUENE-A17'!L62/'TOLUENE-A17'!L33*100,1))</f>
        <v>90</v>
      </c>
      <c r="M69" s="58">
        <f>IF('TOLUENE-A17'!M33=0,"    -",ROUND('TOLUENE-A17'!M62/'TOLUENE-A17'!M33*100,1))</f>
        <v>90</v>
      </c>
      <c r="N69" s="58">
        <f>IF('TOLUENE-A17'!N33=0,"    -",ROUND('TOLUENE-A17'!N62/'TOLUENE-A17'!N33*100,1))</f>
        <v>90</v>
      </c>
      <c r="O69" s="58">
        <f>IF('TOLUENE-A17'!O33=0,"    -",ROUND('TOLUENE-A17'!O62/'TOLUENE-A17'!O33*100,1))</f>
        <v>90</v>
      </c>
      <c r="P69" s="58">
        <f>IF('TOLUENE-A17'!P33=0,"    -",ROUND('TOLUENE-A17'!P62/'TOLUENE-A17'!P33*100,1))</f>
        <v>90</v>
      </c>
      <c r="Q69" s="61">
        <f>IF('TOLUENE-A17'!Q33=0,"    -",ROUND('TOLUENE-A17'!Q62/'TOLUENE-A17'!Q33*100,1))</f>
        <v>89.9</v>
      </c>
    </row>
    <row r="70" spans="2:17" ht="17.25" customHeight="1" thickBot="1">
      <c r="B70" s="678" t="s">
        <v>322</v>
      </c>
      <c r="C70" s="679"/>
      <c r="D70" s="111">
        <f>IF('TOLUENE-A17'!D34=0,"    -",ROUND('TOLUENE-A17'!D63/'TOLUENE-A17'!D34*100,1))</f>
        <v>85.7</v>
      </c>
      <c r="E70" s="112">
        <f>IF('TOLUENE-A17'!E34=0,"    -",ROUND('TOLUENE-A17'!E63/'TOLUENE-A17'!E34*100,1))</f>
        <v>86.9</v>
      </c>
      <c r="F70" s="112">
        <f>IF('TOLUENE-A17'!F34=0,"    -",ROUND('TOLUENE-A17'!F63/'TOLUENE-A17'!F34*100,1))</f>
        <v>85.3</v>
      </c>
      <c r="G70" s="112">
        <f>IF('TOLUENE-A17'!G34=0,"    -",ROUND('TOLUENE-A17'!G63/'TOLUENE-A17'!G34*100,1))</f>
        <v>85.2</v>
      </c>
      <c r="H70" s="112">
        <f>IF('TOLUENE-A17'!H34=0,"    -",ROUND('TOLUENE-A17'!H63/'TOLUENE-A17'!H34*100,1))</f>
        <v>85.9</v>
      </c>
      <c r="I70" s="112">
        <f>IF('TOLUENE-A17'!I34=0,"    -",ROUND('TOLUENE-A17'!I63/'TOLUENE-A17'!I34*100,1))</f>
        <v>86.6</v>
      </c>
      <c r="J70" s="112">
        <f>IF('TOLUENE-A17'!J34=0,"    -",ROUND('TOLUENE-A17'!J63/'TOLUENE-A17'!J34*100,1))</f>
        <v>90.3</v>
      </c>
      <c r="K70" s="113">
        <f>IF('TOLUENE-A17'!K34=0,"    -",ROUND('TOLUENE-A17'!K63/'TOLUENE-A17'!K34*100,1))</f>
        <v>88.7</v>
      </c>
      <c r="L70" s="114">
        <f>IF('TOLUENE-A17'!L34=0,"    -",ROUND('TOLUENE-A17'!L63/'TOLUENE-A17'!L34*100,1))</f>
        <v>88.7</v>
      </c>
      <c r="M70" s="112">
        <f>IF('TOLUENE-A17'!M34=0,"    -",ROUND('TOLUENE-A17'!M63/'TOLUENE-A17'!M34*100,1))</f>
        <v>88.7</v>
      </c>
      <c r="N70" s="112">
        <f>IF('TOLUENE-A17'!N34=0,"    -",ROUND('TOLUENE-A17'!N63/'TOLUENE-A17'!N34*100,1))</f>
        <v>88.7</v>
      </c>
      <c r="O70" s="112">
        <f>IF('TOLUENE-A17'!O34=0,"    -",ROUND('TOLUENE-A17'!O63/'TOLUENE-A17'!O34*100,1))</f>
        <v>88.7</v>
      </c>
      <c r="P70" s="112">
        <f>IF('TOLUENE-A17'!P34=0,"    -",ROUND('TOLUENE-A17'!P63/'TOLUENE-A17'!P34*100,1))</f>
        <v>88.7</v>
      </c>
      <c r="Q70" s="115">
        <f>IF('TOLUENE-A17'!Q34=0,"    -",ROUND('TOLUENE-A17'!Q63/'TOLUENE-A17'!Q34*100,1))</f>
        <v>88.6</v>
      </c>
    </row>
    <row r="71" spans="2:17" ht="18" customHeight="1" thickTop="1" thickBot="1">
      <c r="B71" s="21"/>
      <c r="C71" s="619" t="s">
        <v>337</v>
      </c>
      <c r="D71" s="122">
        <f>IF('TOLUENE-A17'!D35=0,"    -",ROUND('TOLUENE-A17'!D64/'TOLUENE-A17'!D35*100,1))</f>
        <v>55.2</v>
      </c>
      <c r="E71" s="123">
        <f>IF('TOLUENE-A17'!E35=0,"    -",ROUND('TOLUENE-A17'!E64/'TOLUENE-A17'!E35*100,1))</f>
        <v>57.4</v>
      </c>
      <c r="F71" s="123">
        <f>IF('TOLUENE-A17'!F35=0,"    -",ROUND('TOLUENE-A17'!F64/'TOLUENE-A17'!F35*100,1))</f>
        <v>56.3</v>
      </c>
      <c r="G71" s="123">
        <f>IF('TOLUENE-A17'!G35=0,"    -",ROUND('TOLUENE-A17'!G64/'TOLUENE-A17'!G35*100,1))</f>
        <v>59</v>
      </c>
      <c r="H71" s="123">
        <f>IF('TOLUENE-A17'!H35=0,"    -",ROUND('TOLUENE-A17'!H64/'TOLUENE-A17'!H35*100,1))</f>
        <v>59.4</v>
      </c>
      <c r="I71" s="123">
        <f>IF('TOLUENE-A17'!I35=0,"    -",ROUND('TOLUENE-A17'!I64/'TOLUENE-A17'!I35*100,1))</f>
        <v>56.8</v>
      </c>
      <c r="J71" s="123">
        <f>IF('TOLUENE-A17'!J35=0,"    -",ROUND('TOLUENE-A17'!J64/'TOLUENE-A17'!J35*100,1))</f>
        <v>57.8</v>
      </c>
      <c r="K71" s="124">
        <f>IF('TOLUENE-A17'!K35=0,"    -",ROUND('TOLUENE-A17'!K64/'TOLUENE-A17'!K35*100,1))</f>
        <v>56.5</v>
      </c>
      <c r="L71" s="125">
        <f>IF('TOLUENE-A17'!L35=0,"    -",ROUND('TOLUENE-A17'!L64/'TOLUENE-A17'!L35*100,1))</f>
        <v>56.5</v>
      </c>
      <c r="M71" s="123">
        <f>IF('TOLUENE-A17'!M35=0,"    -",ROUND('TOLUENE-A17'!M64/'TOLUENE-A17'!M35*100,1))</f>
        <v>52.3</v>
      </c>
      <c r="N71" s="123">
        <f>IF('TOLUENE-A17'!N35=0,"    -",ROUND('TOLUENE-A17'!N64/'TOLUENE-A17'!N35*100,1))</f>
        <v>51.2</v>
      </c>
      <c r="O71" s="123">
        <f>IF('TOLUENE-A17'!O35=0,"    -",ROUND('TOLUENE-A17'!O64/'TOLUENE-A17'!O35*100,1))</f>
        <v>52</v>
      </c>
      <c r="P71" s="123">
        <f>IF('TOLUENE-A17'!P35=0,"    -",ROUND('TOLUENE-A17'!P64/'TOLUENE-A17'!P35*100,1))</f>
        <v>52.4</v>
      </c>
      <c r="Q71" s="126">
        <f>IF('TOLUENE-A17'!Q35=0,"    -",ROUND('TOLUENE-A17'!Q64/'TOLUENE-A17'!Q35*100,1))</f>
        <v>52.8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31" priority="5">
      <formula>CELL("protect",C75)=0</formula>
    </cfRule>
    <cfRule type="expression" dxfId="130" priority="6">
      <formula>CELL("protect",C75)=0</formula>
    </cfRule>
  </conditionalFormatting>
  <conditionalFormatting sqref="C73">
    <cfRule type="expression" dxfId="129" priority="3">
      <formula>CELL("protect",C73)=0</formula>
    </cfRule>
    <cfRule type="expression" dxfId="128" priority="4">
      <formula>CELL("protect",C73)=0</formula>
    </cfRule>
  </conditionalFormatting>
  <conditionalFormatting sqref="C75">
    <cfRule type="expression" dxfId="127" priority="1">
      <formula>CELL("protect",C75)=0</formula>
    </cfRule>
    <cfRule type="expression" dxfId="126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&amp;C179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>
    <tabColor rgb="FFC00000"/>
    <pageSetUpPr fitToPage="1"/>
  </sheetPr>
  <dimension ref="A1:S76"/>
  <sheetViews>
    <sheetView showGridLines="0" view="pageBreakPreview" topLeftCell="A4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1:19" ht="13.5" customHeight="1">
      <c r="A1" s="443"/>
      <c r="R1" s="26"/>
      <c r="S1" s="26"/>
    </row>
    <row r="2" spans="1:19" s="2" customFormat="1" ht="33" customHeight="1">
      <c r="B2" s="685" t="s">
        <v>335</v>
      </c>
      <c r="C2" s="685"/>
      <c r="F2" s="685" t="s">
        <v>296</v>
      </c>
      <c r="G2" s="685"/>
      <c r="H2" s="397" t="s">
        <v>16</v>
      </c>
    </row>
    <row r="3" spans="1:19" ht="33" customHeight="1" thickBot="1">
      <c r="P3" s="686" t="s">
        <v>297</v>
      </c>
      <c r="Q3" s="686"/>
    </row>
    <row r="4" spans="1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1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1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1:19" ht="17.25" customHeight="1">
      <c r="B7" s="644" t="s">
        <v>433</v>
      </c>
      <c r="C7" s="645"/>
      <c r="D7" s="239">
        <f>'XYLENES-A18'!D36-'XYLENES-A18'!D65</f>
        <v>1167</v>
      </c>
      <c r="E7" s="240">
        <f>'XYLENES-A18'!E36-'XYLENES-A18'!E65</f>
        <v>170</v>
      </c>
      <c r="F7" s="240">
        <f>'XYLENES-A18'!F36-'XYLENES-A18'!F65</f>
        <v>-14</v>
      </c>
      <c r="G7" s="240">
        <f>'XYLENES-A18'!G36-'XYLENES-A18'!G65</f>
        <v>-601</v>
      </c>
      <c r="H7" s="240">
        <f>'XYLENES-A18'!H36-'XYLENES-A18'!H65</f>
        <v>-203</v>
      </c>
      <c r="I7" s="240">
        <f>'XYLENES-A18'!I36-'XYLENES-A18'!I65</f>
        <v>-875</v>
      </c>
      <c r="J7" s="240">
        <f>'XYLENES-A18'!J36-'XYLENES-A18'!J65</f>
        <v>-814</v>
      </c>
      <c r="K7" s="241">
        <f>'XYLENES-A18'!K36-'XYLENES-A18'!K65</f>
        <v>-488</v>
      </c>
      <c r="L7" s="242">
        <f>'XYLENES-A18'!L36-'XYLENES-A18'!L65</f>
        <v>-500</v>
      </c>
      <c r="M7" s="240">
        <f>'XYLENES-A18'!M36-'XYLENES-A18'!M65</f>
        <v>0</v>
      </c>
      <c r="N7" s="240">
        <f>'XYLENES-A18'!N36-'XYLENES-A18'!N65</f>
        <v>0</v>
      </c>
      <c r="O7" s="240">
        <f>'XYLENES-A18'!O36-'XYLENES-A18'!O65</f>
        <v>-200</v>
      </c>
      <c r="P7" s="240">
        <f>'XYLENES-A18'!P36-'XYLENES-A18'!P65</f>
        <v>-200</v>
      </c>
      <c r="Q7" s="243">
        <f>'XYLENES-A18'!Q36-'XYLENES-A18'!Q65</f>
        <v>-200</v>
      </c>
    </row>
    <row r="8" spans="1:19" ht="16.5" customHeight="1">
      <c r="B8" s="605" t="s">
        <v>434</v>
      </c>
      <c r="C8" s="606"/>
      <c r="D8" s="239">
        <f>'XYLENES-A18'!D37-'XYLENES-A18'!D66</f>
        <v>-988</v>
      </c>
      <c r="E8" s="240">
        <f>'XYLENES-A18'!E37-'XYLENES-A18'!E66</f>
        <v>-1042</v>
      </c>
      <c r="F8" s="240">
        <f>'XYLENES-A18'!F37-'XYLENES-A18'!F66</f>
        <v>-519</v>
      </c>
      <c r="G8" s="240">
        <f>'XYLENES-A18'!G37-'XYLENES-A18'!G66</f>
        <v>414</v>
      </c>
      <c r="H8" s="240">
        <f>'XYLENES-A18'!H37-'XYLENES-A18'!H66</f>
        <v>363</v>
      </c>
      <c r="I8" s="240">
        <f>'XYLENES-A18'!I37-'XYLENES-A18'!I66</f>
        <v>271</v>
      </c>
      <c r="J8" s="240">
        <f>'XYLENES-A18'!J37-'XYLENES-A18'!J66</f>
        <v>225</v>
      </c>
      <c r="K8" s="241">
        <f>'XYLENES-A18'!K37-'XYLENES-A18'!K66</f>
        <v>253</v>
      </c>
      <c r="L8" s="242">
        <f>'XYLENES-A18'!L37-'XYLENES-A18'!L66</f>
        <v>500</v>
      </c>
      <c r="M8" s="240">
        <f>'XYLENES-A18'!M37-'XYLENES-A18'!M66</f>
        <v>550</v>
      </c>
      <c r="N8" s="240">
        <f>'XYLENES-A18'!N37-'XYLENES-A18'!N66</f>
        <v>550</v>
      </c>
      <c r="O8" s="240">
        <f>'XYLENES-A18'!O37-'XYLENES-A18'!O66</f>
        <v>500</v>
      </c>
      <c r="P8" s="240">
        <f>'XYLENES-A18'!P37-'XYLENES-A18'!P66</f>
        <v>500</v>
      </c>
      <c r="Q8" s="243">
        <f>'XYLENES-A18'!Q37-'XYLENES-A18'!Q66</f>
        <v>500</v>
      </c>
    </row>
    <row r="9" spans="1:19" ht="16.5" customHeight="1">
      <c r="B9" s="605" t="s">
        <v>435</v>
      </c>
      <c r="C9" s="606"/>
      <c r="D9" s="239">
        <f>'XYLENES-A18'!D38-'XYLENES-A18'!D67</f>
        <v>57</v>
      </c>
      <c r="E9" s="240">
        <f>'XYLENES-A18'!E38-'XYLENES-A18'!E67</f>
        <v>38.560000000000016</v>
      </c>
      <c r="F9" s="240">
        <f>'XYLENES-A18'!F38-'XYLENES-A18'!F67</f>
        <v>21.475046666666671</v>
      </c>
      <c r="G9" s="240">
        <f>'XYLENES-A18'!G38-'XYLENES-A18'!G67</f>
        <v>71.484000000000009</v>
      </c>
      <c r="H9" s="240">
        <f>'XYLENES-A18'!H38-'XYLENES-A18'!H67</f>
        <v>81.991000000000014</v>
      </c>
      <c r="I9" s="240">
        <f>'XYLENES-A18'!I38-'XYLENES-A18'!I67</f>
        <v>50.614999999999981</v>
      </c>
      <c r="J9" s="240">
        <f>'XYLENES-A18'!J38-'XYLENES-A18'!J67</f>
        <v>43</v>
      </c>
      <c r="K9" s="241">
        <f>'XYLENES-A18'!K38-'XYLENES-A18'!K67</f>
        <v>234</v>
      </c>
      <c r="L9" s="242">
        <f>'XYLENES-A18'!L38-'XYLENES-A18'!L67</f>
        <v>209</v>
      </c>
      <c r="M9" s="240">
        <f>'XYLENES-A18'!M38-'XYLENES-A18'!M67</f>
        <v>199</v>
      </c>
      <c r="N9" s="240">
        <f>'XYLENES-A18'!N38-'XYLENES-A18'!N67</f>
        <v>205</v>
      </c>
      <c r="O9" s="240">
        <f>'XYLENES-A18'!O38-'XYLENES-A18'!O67</f>
        <v>197</v>
      </c>
      <c r="P9" s="240">
        <f>'XYLENES-A18'!P38-'XYLENES-A18'!P67</f>
        <v>198</v>
      </c>
      <c r="Q9" s="243">
        <f>'XYLENES-A18'!Q38-'XYLENES-A18'!Q67</f>
        <v>193</v>
      </c>
    </row>
    <row r="10" spans="1:19" ht="16.5" customHeight="1">
      <c r="B10" s="605" t="s">
        <v>436</v>
      </c>
      <c r="C10" s="606"/>
      <c r="D10" s="239">
        <f>'XYLENES-A18'!D39-'XYLENES-A18'!D68</f>
        <v>-667</v>
      </c>
      <c r="E10" s="240">
        <f>'XYLENES-A18'!E39-'XYLENES-A18'!E68</f>
        <v>-804</v>
      </c>
      <c r="F10" s="240">
        <f>'XYLENES-A18'!F39-'XYLENES-A18'!F68</f>
        <v>-397</v>
      </c>
      <c r="G10" s="240">
        <f>'XYLENES-A18'!G39-'XYLENES-A18'!G68</f>
        <v>-157</v>
      </c>
      <c r="H10" s="240">
        <f>'XYLENES-A18'!H39-'XYLENES-A18'!H68</f>
        <v>-845</v>
      </c>
      <c r="I10" s="240">
        <f>'XYLENES-A18'!I39-'XYLENES-A18'!I68</f>
        <v>-736</v>
      </c>
      <c r="J10" s="240">
        <f>'XYLENES-A18'!J39-'XYLENES-A18'!J68</f>
        <v>-401</v>
      </c>
      <c r="K10" s="241">
        <f>'XYLENES-A18'!K39-'XYLENES-A18'!K68</f>
        <v>-474</v>
      </c>
      <c r="L10" s="242">
        <f>'XYLENES-A18'!L39-'XYLENES-A18'!L68</f>
        <v>-520</v>
      </c>
      <c r="M10" s="240">
        <f>'XYLENES-A18'!M39-'XYLENES-A18'!M68</f>
        <v>-1095</v>
      </c>
      <c r="N10" s="240">
        <f>'XYLENES-A18'!N39-'XYLENES-A18'!N68</f>
        <v>-1203</v>
      </c>
      <c r="O10" s="240">
        <f>'XYLENES-A18'!O39-'XYLENES-A18'!O68</f>
        <v>-1372</v>
      </c>
      <c r="P10" s="240">
        <f>'XYLENES-A18'!P39-'XYLENES-A18'!P68</f>
        <v>-1369</v>
      </c>
      <c r="Q10" s="243">
        <f>'XYLENES-A18'!Q39-'XYLENES-A18'!Q68</f>
        <v>-1304</v>
      </c>
    </row>
    <row r="11" spans="1:19" ht="16.5" customHeight="1">
      <c r="B11" s="605" t="s">
        <v>437</v>
      </c>
      <c r="C11" s="606"/>
      <c r="D11" s="239">
        <f>'XYLENES-A18'!D40-'XYLENES-A18'!D69</f>
        <v>-188</v>
      </c>
      <c r="E11" s="240">
        <f>'XYLENES-A18'!E40-'XYLENES-A18'!E69</f>
        <v>-186</v>
      </c>
      <c r="F11" s="240">
        <f>'XYLENES-A18'!F40-'XYLENES-A18'!F69</f>
        <v>-153</v>
      </c>
      <c r="G11" s="240">
        <f>'XYLENES-A18'!G40-'XYLENES-A18'!G69</f>
        <v>-1.4909999999999854</v>
      </c>
      <c r="H11" s="240">
        <f>'XYLENES-A18'!H40-'XYLENES-A18'!H69</f>
        <v>0</v>
      </c>
      <c r="I11" s="240">
        <f>'XYLENES-A18'!I40-'XYLENES-A18'!I69</f>
        <v>0</v>
      </c>
      <c r="J11" s="240">
        <f>'XYLENES-A18'!J40-'XYLENES-A18'!J69</f>
        <v>0</v>
      </c>
      <c r="K11" s="241">
        <f>'XYLENES-A18'!K40-'XYLENES-A18'!K69</f>
        <v>0</v>
      </c>
      <c r="L11" s="242">
        <f>'XYLENES-A18'!L40-'XYLENES-A18'!L69</f>
        <v>0</v>
      </c>
      <c r="M11" s="240">
        <f>'XYLENES-A18'!M40-'XYLENES-A18'!M69</f>
        <v>0</v>
      </c>
      <c r="N11" s="240">
        <f>'XYLENES-A18'!N40-'XYLENES-A18'!N69</f>
        <v>0</v>
      </c>
      <c r="O11" s="240">
        <f>'XYLENES-A18'!O40-'XYLENES-A18'!O69</f>
        <v>0</v>
      </c>
      <c r="P11" s="240">
        <f>'XYLENES-A18'!P40-'XYLENES-A18'!P69</f>
        <v>0</v>
      </c>
      <c r="Q11" s="243">
        <f>'XYLENES-A18'!Q40-'XYLENES-A18'!Q69</f>
        <v>0</v>
      </c>
    </row>
    <row r="12" spans="1:19" ht="16.5" customHeight="1">
      <c r="B12" s="605" t="s">
        <v>438</v>
      </c>
      <c r="C12" s="606"/>
      <c r="D12" s="239">
        <f>'XYLENES-A18'!D41-'XYLENES-A18'!D70</f>
        <v>-31.823520674608297</v>
      </c>
      <c r="E12" s="240">
        <f>'XYLENES-A18'!E41-'XYLENES-A18'!E70</f>
        <v>-77.590625997783235</v>
      </c>
      <c r="F12" s="240">
        <f>'XYLENES-A18'!F41-'XYLENES-A18'!F70</f>
        <v>-32.401244809645803</v>
      </c>
      <c r="G12" s="240">
        <f>'XYLENES-A18'!G41-'XYLENES-A18'!G70</f>
        <v>-44</v>
      </c>
      <c r="H12" s="240">
        <f>'XYLENES-A18'!H41-'XYLENES-A18'!H70</f>
        <v>-95</v>
      </c>
      <c r="I12" s="240">
        <f>'XYLENES-A18'!I41-'XYLENES-A18'!I70</f>
        <v>-95</v>
      </c>
      <c r="J12" s="240">
        <f>'XYLENES-A18'!J41-'XYLENES-A18'!J70</f>
        <v>-95</v>
      </c>
      <c r="K12" s="241">
        <f>'XYLENES-A18'!K41-'XYLENES-A18'!K70</f>
        <v>-120</v>
      </c>
      <c r="L12" s="242">
        <f>'XYLENES-A18'!L41-'XYLENES-A18'!L70</f>
        <v>-120</v>
      </c>
      <c r="M12" s="240">
        <f>'XYLENES-A18'!M41-'XYLENES-A18'!M70</f>
        <v>-125</v>
      </c>
      <c r="N12" s="240">
        <f>'XYLENES-A18'!N41-'XYLENES-A18'!N70</f>
        <v>-130</v>
      </c>
      <c r="O12" s="240">
        <f>'XYLENES-A18'!O41-'XYLENES-A18'!O70</f>
        <v>-135</v>
      </c>
      <c r="P12" s="240">
        <f>'XYLENES-A18'!P41-'XYLENES-A18'!P70</f>
        <v>-140</v>
      </c>
      <c r="Q12" s="243">
        <f>'XYLENES-A18'!Q41-'XYLENES-A18'!Q70</f>
        <v>-145</v>
      </c>
    </row>
    <row r="13" spans="1:19" ht="16.5" customHeight="1">
      <c r="B13" s="605" t="s">
        <v>439</v>
      </c>
      <c r="C13" s="606"/>
      <c r="D13" s="239">
        <f>'XYLENES-A18'!D42-'XYLENES-A18'!D71</f>
        <v>100</v>
      </c>
      <c r="E13" s="240">
        <f>'XYLENES-A18'!E42-'XYLENES-A18'!E71</f>
        <v>118</v>
      </c>
      <c r="F13" s="240">
        <f>'XYLENES-A18'!F42-'XYLENES-A18'!F71</f>
        <v>132</v>
      </c>
      <c r="G13" s="240">
        <f>'XYLENES-A18'!G42-'XYLENES-A18'!G71</f>
        <v>104</v>
      </c>
      <c r="H13" s="240">
        <f>'XYLENES-A18'!H42-'XYLENES-A18'!H71</f>
        <v>72.319999999999993</v>
      </c>
      <c r="I13" s="240">
        <f>'XYLENES-A18'!I42-'XYLENES-A18'!I71</f>
        <v>-15</v>
      </c>
      <c r="J13" s="240">
        <f>'XYLENES-A18'!J42-'XYLENES-A18'!J71</f>
        <v>298</v>
      </c>
      <c r="K13" s="241">
        <f>'XYLENES-A18'!K42-'XYLENES-A18'!K71</f>
        <v>-20</v>
      </c>
      <c r="L13" s="242">
        <f>'XYLENES-A18'!L42-'XYLENES-A18'!L71</f>
        <v>-30</v>
      </c>
      <c r="M13" s="240">
        <f>'XYLENES-A18'!M42-'XYLENES-A18'!M71</f>
        <v>-40</v>
      </c>
      <c r="N13" s="240">
        <f>'XYLENES-A18'!N42-'XYLENES-A18'!N71</f>
        <v>-30</v>
      </c>
      <c r="O13" s="240">
        <f>'XYLENES-A18'!O42-'XYLENES-A18'!O71</f>
        <v>-40</v>
      </c>
      <c r="P13" s="240">
        <f>'XYLENES-A18'!P42-'XYLENES-A18'!P71</f>
        <v>-30</v>
      </c>
      <c r="Q13" s="243">
        <f>'XYLENES-A18'!Q42-'XYLENES-A18'!Q71</f>
        <v>-50</v>
      </c>
    </row>
    <row r="14" spans="1:19" ht="18" hidden="1" customHeight="1">
      <c r="B14" s="16"/>
      <c r="C14" s="90" t="s">
        <v>306</v>
      </c>
      <c r="D14" s="239">
        <f>'XYLENES-A18'!D43-'XYLENES-A18'!D72</f>
        <v>0</v>
      </c>
      <c r="E14" s="240">
        <f>'XYLENES-A18'!E43-'XYLENES-A18'!E72</f>
        <v>0</v>
      </c>
      <c r="F14" s="240">
        <f>'XYLENES-A18'!F43-'XYLENES-A18'!F72</f>
        <v>0</v>
      </c>
      <c r="G14" s="240">
        <f>'XYLENES-A18'!G43-'XYLENES-A18'!G72</f>
        <v>0</v>
      </c>
      <c r="H14" s="240">
        <f>'XYLENES-A18'!H43-'XYLENES-A18'!H72</f>
        <v>0</v>
      </c>
      <c r="I14" s="240">
        <f>'XYLENES-A18'!I43-'XYLENES-A18'!I72</f>
        <v>0</v>
      </c>
      <c r="J14" s="240">
        <f>'XYLENES-A18'!J43-'XYLENES-A18'!J72</f>
        <v>0</v>
      </c>
      <c r="K14" s="241">
        <f>'XYLENES-A18'!K43-'XYLENES-A18'!K72</f>
        <v>0</v>
      </c>
      <c r="L14" s="242">
        <f>'XYLENES-A18'!L43-'XYLENES-A18'!L72</f>
        <v>0</v>
      </c>
      <c r="M14" s="240">
        <f>'XYLENES-A18'!M43-'XYLENES-A18'!M72</f>
        <v>0</v>
      </c>
      <c r="N14" s="240">
        <f>'XYLENES-A18'!N43-'XYLENES-A18'!N72</f>
        <v>0</v>
      </c>
      <c r="O14" s="240">
        <f>'XYLENES-A18'!O43-'XYLENES-A18'!O72</f>
        <v>0</v>
      </c>
      <c r="P14" s="240">
        <f>'XYLENES-A18'!P43-'XYLENES-A18'!P72</f>
        <v>0</v>
      </c>
      <c r="Q14" s="243">
        <f>'XYLENES-A18'!Q43-'XYLENES-A18'!Q72</f>
        <v>0</v>
      </c>
    </row>
    <row r="15" spans="1:19" ht="16.5" customHeight="1">
      <c r="B15" s="605" t="s">
        <v>440</v>
      </c>
      <c r="C15" s="606"/>
      <c r="D15" s="239">
        <f>'XYLENES-A18'!D44-'XYLENES-A18'!D73</f>
        <v>-2</v>
      </c>
      <c r="E15" s="240">
        <f>'XYLENES-A18'!E44-'XYLENES-A18'!E73</f>
        <v>-2</v>
      </c>
      <c r="F15" s="240">
        <f>'XYLENES-A18'!F44-'XYLENES-A18'!F73</f>
        <v>-2</v>
      </c>
      <c r="G15" s="240">
        <f>'XYLENES-A18'!G44-'XYLENES-A18'!G73</f>
        <v>-2</v>
      </c>
      <c r="H15" s="240">
        <f>'XYLENES-A18'!H44-'XYLENES-A18'!H73</f>
        <v>-2</v>
      </c>
      <c r="I15" s="240">
        <f>'XYLENES-A18'!I44-'XYLENES-A18'!I73</f>
        <v>-14.870000000000005</v>
      </c>
      <c r="J15" s="240">
        <f>'XYLENES-A18'!J44-'XYLENES-A18'!J73</f>
        <v>-28.960000000000008</v>
      </c>
      <c r="K15" s="241">
        <f>'XYLENES-A18'!K44-'XYLENES-A18'!K73</f>
        <v>-43.910000000000025</v>
      </c>
      <c r="L15" s="242">
        <f>'XYLENES-A18'!L44-'XYLENES-A18'!L73</f>
        <v>-59.740000000000009</v>
      </c>
      <c r="M15" s="240">
        <f>'XYLENES-A18'!M44-'XYLENES-A18'!M73</f>
        <v>-76.519999999999982</v>
      </c>
      <c r="N15" s="240">
        <f>'XYLENES-A18'!N44-'XYLENES-A18'!N73</f>
        <v>-94.31</v>
      </c>
      <c r="O15" s="240">
        <f>'XYLENES-A18'!O44-'XYLENES-A18'!O73</f>
        <v>-95</v>
      </c>
      <c r="P15" s="240">
        <f>'XYLENES-A18'!P44-'XYLENES-A18'!P73</f>
        <v>-115</v>
      </c>
      <c r="Q15" s="243">
        <f>'XYLENES-A18'!Q44-'XYLENES-A18'!Q73</f>
        <v>-136</v>
      </c>
    </row>
    <row r="16" spans="1:19" ht="16.5" customHeight="1">
      <c r="B16" s="605" t="s">
        <v>441</v>
      </c>
      <c r="C16" s="606"/>
      <c r="D16" s="239">
        <f>'XYLENES-A18'!D45-'XYLENES-A18'!D74</f>
        <v>-53</v>
      </c>
      <c r="E16" s="240">
        <f>'XYLENES-A18'!E45-'XYLENES-A18'!E74</f>
        <v>-53</v>
      </c>
      <c r="F16" s="240">
        <f>'XYLENES-A18'!F45-'XYLENES-A18'!F74</f>
        <v>-53</v>
      </c>
      <c r="G16" s="240">
        <f>'XYLENES-A18'!G45-'XYLENES-A18'!G74</f>
        <v>-53</v>
      </c>
      <c r="H16" s="240">
        <f>'XYLENES-A18'!H45-'XYLENES-A18'!H74</f>
        <v>-3.9250000000000043</v>
      </c>
      <c r="I16" s="240">
        <f>'XYLENES-A18'!I45-'XYLENES-A18'!I74</f>
        <v>-53</v>
      </c>
      <c r="J16" s="240">
        <f>'XYLENES-A18'!J45-'XYLENES-A18'!J74</f>
        <v>-53</v>
      </c>
      <c r="K16" s="241">
        <f>'XYLENES-A18'!K45-'XYLENES-A18'!K74</f>
        <v>-53</v>
      </c>
      <c r="L16" s="242">
        <f>'XYLENES-A18'!L45-'XYLENES-A18'!L74</f>
        <v>-53</v>
      </c>
      <c r="M16" s="240">
        <f>'XYLENES-A18'!M45-'XYLENES-A18'!M74</f>
        <v>-53</v>
      </c>
      <c r="N16" s="240">
        <f>'XYLENES-A18'!N45-'XYLENES-A18'!N74</f>
        <v>-53</v>
      </c>
      <c r="O16" s="240">
        <f>'XYLENES-A18'!O45-'XYLENES-A18'!O74</f>
        <v>-53</v>
      </c>
      <c r="P16" s="240">
        <f>'XYLENES-A18'!P45-'XYLENES-A18'!P74</f>
        <v>-53</v>
      </c>
      <c r="Q16" s="243">
        <f>'XYLENES-A18'!Q45-'XYLENES-A18'!Q74</f>
        <v>-53</v>
      </c>
    </row>
    <row r="17" spans="2:17" ht="16.5" customHeight="1">
      <c r="B17" s="605" t="s">
        <v>442</v>
      </c>
      <c r="C17" s="606"/>
      <c r="D17" s="239">
        <f>'XYLENES-A18'!D46-'XYLENES-A18'!D75</f>
        <v>-48</v>
      </c>
      <c r="E17" s="240">
        <f>'XYLENES-A18'!E46-'XYLENES-A18'!E75</f>
        <v>-51</v>
      </c>
      <c r="F17" s="240">
        <f>'XYLENES-A18'!F46-'XYLENES-A18'!F75</f>
        <v>-55</v>
      </c>
      <c r="G17" s="240">
        <f>'XYLENES-A18'!G46-'XYLENES-A18'!G75</f>
        <v>-59</v>
      </c>
      <c r="H17" s="240">
        <f>'XYLENES-A18'!H46-'XYLENES-A18'!H75</f>
        <v>-63</v>
      </c>
      <c r="I17" s="240">
        <f>'XYLENES-A18'!I46-'XYLENES-A18'!I75</f>
        <v>-67</v>
      </c>
      <c r="J17" s="240">
        <f>'XYLENES-A18'!J46-'XYLENES-A18'!J75</f>
        <v>-71</v>
      </c>
      <c r="K17" s="241">
        <f>'XYLENES-A18'!K46-'XYLENES-A18'!K75</f>
        <v>-75</v>
      </c>
      <c r="L17" s="242">
        <f>'XYLENES-A18'!L46-'XYLENES-A18'!L75</f>
        <v>-80</v>
      </c>
      <c r="M17" s="240">
        <f>'XYLENES-A18'!M46-'XYLENES-A18'!M75</f>
        <v>-85</v>
      </c>
      <c r="N17" s="240">
        <f>'XYLENES-A18'!N46-'XYLENES-A18'!N75</f>
        <v>-90</v>
      </c>
      <c r="O17" s="240">
        <f>'XYLENES-A18'!O46-'XYLENES-A18'!O75</f>
        <v>-95</v>
      </c>
      <c r="P17" s="240">
        <f>'XYLENES-A18'!P46-'XYLENES-A18'!P75</f>
        <v>-101</v>
      </c>
      <c r="Q17" s="243">
        <f>'XYLENES-A18'!Q46-'XYLENES-A18'!Q75</f>
        <v>-107</v>
      </c>
    </row>
    <row r="18" spans="2:17" ht="16.5" customHeight="1">
      <c r="B18" s="607" t="s">
        <v>443</v>
      </c>
      <c r="C18" s="608"/>
      <c r="D18" s="239">
        <f>'XYLENES-A18'!D47-'XYLENES-A18'!D76</f>
        <v>946</v>
      </c>
      <c r="E18" s="240">
        <f>'XYLENES-A18'!E47-'XYLENES-A18'!E76</f>
        <v>832</v>
      </c>
      <c r="F18" s="240">
        <f>'XYLENES-A18'!F47-'XYLENES-A18'!F76</f>
        <v>656</v>
      </c>
      <c r="G18" s="240">
        <f>'XYLENES-A18'!G47-'XYLENES-A18'!G76</f>
        <v>921</v>
      </c>
      <c r="H18" s="240">
        <f>'XYLENES-A18'!H47-'XYLENES-A18'!H76</f>
        <v>1655</v>
      </c>
      <c r="I18" s="240">
        <f>'XYLENES-A18'!I47-'XYLENES-A18'!I76</f>
        <v>2025</v>
      </c>
      <c r="J18" s="240">
        <f>'XYLENES-A18'!J47-'XYLENES-A18'!J76</f>
        <v>2000</v>
      </c>
      <c r="K18" s="241">
        <f>'XYLENES-A18'!K47-'XYLENES-A18'!K76</f>
        <v>1953</v>
      </c>
      <c r="L18" s="242">
        <f>'XYLENES-A18'!L47-'XYLENES-A18'!L76</f>
        <v>1865</v>
      </c>
      <c r="M18" s="240">
        <f>'XYLENES-A18'!M47-'XYLENES-A18'!M76</f>
        <v>1910</v>
      </c>
      <c r="N18" s="240">
        <f>'XYLENES-A18'!N47-'XYLENES-A18'!N76</f>
        <v>1910</v>
      </c>
      <c r="O18" s="240">
        <f>'XYLENES-A18'!O47-'XYLENES-A18'!O76</f>
        <v>1910</v>
      </c>
      <c r="P18" s="240">
        <f>'XYLENES-A18'!P47-'XYLENES-A18'!P76</f>
        <v>1910</v>
      </c>
      <c r="Q18" s="243">
        <f>'XYLENES-A18'!Q47-'XYLENES-A18'!Q76</f>
        <v>1910</v>
      </c>
    </row>
    <row r="19" spans="2:17" ht="17.25" customHeight="1">
      <c r="B19" s="620" t="s">
        <v>307</v>
      </c>
      <c r="C19" s="621"/>
      <c r="D19" s="244">
        <f t="shared" ref="D19:K19" si="0">SUM(D7:D18)</f>
        <v>292.17647932539171</v>
      </c>
      <c r="E19" s="245">
        <f t="shared" si="0"/>
        <v>-1057.0306259977833</v>
      </c>
      <c r="F19" s="245">
        <f t="shared" si="0"/>
        <v>-415.92619814297905</v>
      </c>
      <c r="G19" s="245">
        <f t="shared" si="0"/>
        <v>592.99300000000005</v>
      </c>
      <c r="H19" s="245">
        <f t="shared" si="0"/>
        <v>960.38599999999997</v>
      </c>
      <c r="I19" s="245">
        <f t="shared" si="0"/>
        <v>490.74499999999989</v>
      </c>
      <c r="J19" s="245">
        <f t="shared" si="0"/>
        <v>1103.04</v>
      </c>
      <c r="K19" s="246">
        <f t="shared" si="0"/>
        <v>1166.0899999999999</v>
      </c>
      <c r="L19" s="247">
        <f t="shared" ref="L19:Q19" si="1">SUM(L7:L18)</f>
        <v>1211.26</v>
      </c>
      <c r="M19" s="245">
        <f t="shared" si="1"/>
        <v>1184.48</v>
      </c>
      <c r="N19" s="245">
        <f t="shared" si="1"/>
        <v>1064.69</v>
      </c>
      <c r="O19" s="245">
        <f t="shared" si="1"/>
        <v>617</v>
      </c>
      <c r="P19" s="245">
        <f t="shared" si="1"/>
        <v>600</v>
      </c>
      <c r="Q19" s="248">
        <f t="shared" si="1"/>
        <v>608</v>
      </c>
    </row>
    <row r="20" spans="2:17" ht="17.25" customHeight="1">
      <c r="B20" s="609" t="s">
        <v>308</v>
      </c>
      <c r="C20" s="610"/>
      <c r="D20" s="244">
        <f>'XYLENES-A18'!D49-'XYLENES-A18'!D78</f>
        <v>0</v>
      </c>
      <c r="E20" s="245">
        <f>'XYLENES-A18'!E49-'XYLENES-A18'!E78</f>
        <v>0</v>
      </c>
      <c r="F20" s="245">
        <f>'XYLENES-A18'!F49-'XYLENES-A18'!F78</f>
        <v>0</v>
      </c>
      <c r="G20" s="245">
        <f>'XYLENES-A18'!G49-'XYLENES-A18'!G78</f>
        <v>0</v>
      </c>
      <c r="H20" s="245">
        <f>'XYLENES-A18'!H49-'XYLENES-A18'!H78</f>
        <v>-0.1</v>
      </c>
      <c r="I20" s="245">
        <f>'XYLENES-A18'!I49-'XYLENES-A18'!I78</f>
        <v>-0.1</v>
      </c>
      <c r="J20" s="245">
        <f>'XYLENES-A18'!J49-'XYLENES-A18'!J78</f>
        <v>-0.1</v>
      </c>
      <c r="K20" s="246">
        <f>'XYLENES-A18'!K49-'XYLENES-A18'!K78</f>
        <v>-0.1</v>
      </c>
      <c r="L20" s="247">
        <f>'XYLENES-A18'!L49-'XYLENES-A18'!L78</f>
        <v>-0.1</v>
      </c>
      <c r="M20" s="245">
        <f>'XYLENES-A18'!M49-'XYLENES-A18'!M78</f>
        <v>-0.1</v>
      </c>
      <c r="N20" s="245">
        <f>'XYLENES-A18'!N49-'XYLENES-A18'!N78</f>
        <v>-0.1</v>
      </c>
      <c r="O20" s="245">
        <f>'XYLENES-A18'!O49-'XYLENES-A18'!O78</f>
        <v>-0.1</v>
      </c>
      <c r="P20" s="245">
        <f>'XYLENES-A18'!P49-'XYLENES-A18'!P78</f>
        <v>0</v>
      </c>
      <c r="Q20" s="248">
        <f>'XYLENES-A18'!Q49-'XYLENES-A18'!Q78</f>
        <v>0</v>
      </c>
    </row>
    <row r="21" spans="2:17" ht="16.5" customHeight="1">
      <c r="B21" s="105"/>
      <c r="C21" s="97" t="s">
        <v>309</v>
      </c>
      <c r="D21" s="244">
        <f>'XYLENES-A18'!D50-'XYLENES-A18'!D79</f>
        <v>0</v>
      </c>
      <c r="E21" s="245">
        <f>'XYLENES-A18'!E50-'XYLENES-A18'!E79</f>
        <v>0</v>
      </c>
      <c r="F21" s="245">
        <f>'XYLENES-A18'!F50-'XYLENES-A18'!F79</f>
        <v>0</v>
      </c>
      <c r="G21" s="245">
        <f>'XYLENES-A18'!G50-'XYLENES-A18'!G79</f>
        <v>0</v>
      </c>
      <c r="H21" s="245">
        <f>'XYLENES-A18'!H50-'XYLENES-A18'!H79</f>
        <v>-0.1</v>
      </c>
      <c r="I21" s="245">
        <f>'XYLENES-A18'!I50-'XYLENES-A18'!I79</f>
        <v>-0.1</v>
      </c>
      <c r="J21" s="245">
        <f>'XYLENES-A18'!J50-'XYLENES-A18'!J79</f>
        <v>-0.1</v>
      </c>
      <c r="K21" s="246">
        <f>'XYLENES-A18'!K50-'XYLENES-A18'!K79</f>
        <v>-0.1</v>
      </c>
      <c r="L21" s="247">
        <f>'XYLENES-A18'!L50-'XYLENES-A18'!L79</f>
        <v>-0.1</v>
      </c>
      <c r="M21" s="245">
        <f>'XYLENES-A18'!M50-'XYLENES-A18'!M79</f>
        <v>-0.1</v>
      </c>
      <c r="N21" s="245">
        <f>'XYLENES-A18'!N50-'XYLENES-A18'!N79</f>
        <v>-0.1</v>
      </c>
      <c r="O21" s="245">
        <f>'XYLENES-A18'!O50-'XYLENES-A18'!O79</f>
        <v>-0.1</v>
      </c>
      <c r="P21" s="245">
        <f>'XYLENES-A18'!P50-'XYLENES-A18'!P79</f>
        <v>0</v>
      </c>
      <c r="Q21" s="248">
        <f>'XYLENES-A18'!Q50-'XYLENES-A18'!Q79</f>
        <v>0</v>
      </c>
    </row>
    <row r="22" spans="2:17" ht="17.25" customHeight="1">
      <c r="B22" s="609" t="s">
        <v>310</v>
      </c>
      <c r="C22" s="610"/>
      <c r="D22" s="239">
        <f>'XYLENES-A18'!D51-'XYLENES-A18'!D80</f>
        <v>-54.984000000000378</v>
      </c>
      <c r="E22" s="240">
        <f>'XYLENES-A18'!E51-'XYLENES-A18'!E80</f>
        <v>194.62556974202016</v>
      </c>
      <c r="F22" s="240">
        <f>'XYLENES-A18'!F51-'XYLENES-A18'!F80</f>
        <v>55</v>
      </c>
      <c r="G22" s="240">
        <f>'XYLENES-A18'!G51-'XYLENES-A18'!G80</f>
        <v>149</v>
      </c>
      <c r="H22" s="240">
        <f>'XYLENES-A18'!H51-'XYLENES-A18'!H80</f>
        <v>-175</v>
      </c>
      <c r="I22" s="240">
        <f>'XYLENES-A18'!I51-'XYLENES-A18'!I80</f>
        <v>111.5</v>
      </c>
      <c r="J22" s="240">
        <f>'XYLENES-A18'!J51-'XYLENES-A18'!J80</f>
        <v>103.5</v>
      </c>
      <c r="K22" s="241">
        <f>'XYLENES-A18'!K51-'XYLENES-A18'!K80</f>
        <v>99.5</v>
      </c>
      <c r="L22" s="242">
        <f>'XYLENES-A18'!L51-'XYLENES-A18'!L80</f>
        <v>99.400000000000091</v>
      </c>
      <c r="M22" s="240">
        <f>'XYLENES-A18'!M51-'XYLENES-A18'!M80</f>
        <v>99.300000000000182</v>
      </c>
      <c r="N22" s="240">
        <f>'XYLENES-A18'!N51-'XYLENES-A18'!N80</f>
        <v>107.29999999999973</v>
      </c>
      <c r="O22" s="240">
        <f>'XYLENES-A18'!O51-'XYLENES-A18'!O80</f>
        <v>107.20000000000027</v>
      </c>
      <c r="P22" s="240">
        <f>'XYLENES-A18'!P51-'XYLENES-A18'!P80</f>
        <v>108</v>
      </c>
      <c r="Q22" s="243">
        <f>'XYLENES-A18'!Q51-'XYLENES-A18'!Q80</f>
        <v>108</v>
      </c>
    </row>
    <row r="23" spans="2:17" ht="16.5" customHeight="1">
      <c r="B23" s="105"/>
      <c r="C23" s="615" t="s">
        <v>311</v>
      </c>
      <c r="D23" s="244">
        <f>'XYLENES-A18'!D52-'XYLENES-A18'!D81</f>
        <v>200</v>
      </c>
      <c r="E23" s="245">
        <f>'XYLENES-A18'!E52-'XYLENES-A18'!E81</f>
        <v>200.4315697420202</v>
      </c>
      <c r="F23" s="245">
        <f>'XYLENES-A18'!F52-'XYLENES-A18'!F81</f>
        <v>36</v>
      </c>
      <c r="G23" s="245">
        <f>'XYLENES-A18'!G52-'XYLENES-A18'!G81</f>
        <v>73</v>
      </c>
      <c r="H23" s="245">
        <f>'XYLENES-A18'!H52-'XYLENES-A18'!H81</f>
        <v>-154</v>
      </c>
      <c r="I23" s="245">
        <f>'XYLENES-A18'!I52-'XYLENES-A18'!I81</f>
        <v>10</v>
      </c>
      <c r="J23" s="245">
        <f>'XYLENES-A18'!J52-'XYLENES-A18'!J81</f>
        <v>56</v>
      </c>
      <c r="K23" s="246">
        <f>'XYLENES-A18'!K52-'XYLENES-A18'!K81</f>
        <v>40</v>
      </c>
      <c r="L23" s="247">
        <f>'XYLENES-A18'!L52-'XYLENES-A18'!L81</f>
        <v>40</v>
      </c>
      <c r="M23" s="245">
        <f>'XYLENES-A18'!M52-'XYLENES-A18'!M81</f>
        <v>50</v>
      </c>
      <c r="N23" s="245">
        <f>'XYLENES-A18'!N52-'XYLENES-A18'!N81</f>
        <v>60</v>
      </c>
      <c r="O23" s="245">
        <f>'XYLENES-A18'!O52-'XYLENES-A18'!O81</f>
        <v>60</v>
      </c>
      <c r="P23" s="245">
        <f>'XYLENES-A18'!P52-'XYLENES-A18'!P81</f>
        <v>60</v>
      </c>
      <c r="Q23" s="248">
        <f>'XYLENES-A18'!Q52-'XYLENES-A18'!Q81</f>
        <v>60</v>
      </c>
    </row>
    <row r="24" spans="2:17" ht="17.25" customHeight="1">
      <c r="B24" s="609" t="s">
        <v>312</v>
      </c>
      <c r="C24" s="610"/>
      <c r="D24" s="239">
        <f>'XYLENES-A18'!D53-'XYLENES-A18'!D82</f>
        <v>0</v>
      </c>
      <c r="E24" s="240">
        <f>'XYLENES-A18'!E53-'XYLENES-A18'!E82</f>
        <v>43</v>
      </c>
      <c r="F24" s="240">
        <f>'XYLENES-A18'!F53-'XYLENES-A18'!F82</f>
        <v>0</v>
      </c>
      <c r="G24" s="240">
        <f>'XYLENES-A18'!G53-'XYLENES-A18'!G82</f>
        <v>0</v>
      </c>
      <c r="H24" s="240">
        <f>'XYLENES-A18'!H53-'XYLENES-A18'!H82</f>
        <v>0</v>
      </c>
      <c r="I24" s="240">
        <f>'XYLENES-A18'!I53-'XYLENES-A18'!I82</f>
        <v>0</v>
      </c>
      <c r="J24" s="240">
        <f>'XYLENES-A18'!J53-'XYLENES-A18'!J82</f>
        <v>0</v>
      </c>
      <c r="K24" s="241">
        <f>'XYLENES-A18'!K53-'XYLENES-A18'!K82</f>
        <v>0</v>
      </c>
      <c r="L24" s="242">
        <f>'XYLENES-A18'!L53-'XYLENES-A18'!L82</f>
        <v>0</v>
      </c>
      <c r="M24" s="240">
        <f>'XYLENES-A18'!M53-'XYLENES-A18'!M82</f>
        <v>0</v>
      </c>
      <c r="N24" s="240">
        <f>'XYLENES-A18'!N53-'XYLENES-A18'!N82</f>
        <v>0</v>
      </c>
      <c r="O24" s="240">
        <f>'XYLENES-A18'!O53-'XYLENES-A18'!O82</f>
        <v>0</v>
      </c>
      <c r="P24" s="240">
        <f>'XYLENES-A18'!P53-'XYLENES-A18'!P82</f>
        <v>0</v>
      </c>
      <c r="Q24" s="243">
        <f>'XYLENES-A18'!Q53-'XYLENES-A18'!Q82</f>
        <v>0</v>
      </c>
    </row>
    <row r="25" spans="2:17" ht="16.5" customHeight="1">
      <c r="B25" s="16"/>
      <c r="C25" s="615" t="s">
        <v>313</v>
      </c>
      <c r="D25" s="244">
        <f>'XYLENES-A18'!D54-'XYLENES-A18'!D83</f>
        <v>0</v>
      </c>
      <c r="E25" s="245">
        <f>'XYLENES-A18'!E54-'XYLENES-A18'!E83</f>
        <v>0</v>
      </c>
      <c r="F25" s="245">
        <f>'XYLENES-A18'!F54-'XYLENES-A18'!F83</f>
        <v>0</v>
      </c>
      <c r="G25" s="245">
        <f>'XYLENES-A18'!G54-'XYLENES-A18'!G83</f>
        <v>0</v>
      </c>
      <c r="H25" s="245">
        <f>'XYLENES-A18'!H54-'XYLENES-A18'!H83</f>
        <v>0</v>
      </c>
      <c r="I25" s="245">
        <f>'XYLENES-A18'!I54-'XYLENES-A18'!I83</f>
        <v>0</v>
      </c>
      <c r="J25" s="245">
        <f>'XYLENES-A18'!J54-'XYLENES-A18'!J83</f>
        <v>0</v>
      </c>
      <c r="K25" s="246">
        <f>'XYLENES-A18'!K54-'XYLENES-A18'!K83</f>
        <v>0</v>
      </c>
      <c r="L25" s="247">
        <f>'XYLENES-A18'!L54-'XYLENES-A18'!L83</f>
        <v>0</v>
      </c>
      <c r="M25" s="245">
        <f>'XYLENES-A18'!M54-'XYLENES-A18'!M83</f>
        <v>0</v>
      </c>
      <c r="N25" s="245">
        <f>'XYLENES-A18'!N54-'XYLENES-A18'!N83</f>
        <v>0</v>
      </c>
      <c r="O25" s="245">
        <f>'XYLENES-A18'!O54-'XYLENES-A18'!O83</f>
        <v>0</v>
      </c>
      <c r="P25" s="245">
        <f>'XYLENES-A18'!P54-'XYLENES-A18'!P83</f>
        <v>0</v>
      </c>
      <c r="Q25" s="248">
        <f>'XYLENES-A18'!Q54-'XYLENES-A18'!Q83</f>
        <v>0</v>
      </c>
    </row>
    <row r="26" spans="2:17" ht="17.25" customHeight="1">
      <c r="B26" s="620" t="s">
        <v>314</v>
      </c>
      <c r="C26" s="621"/>
      <c r="D26" s="244">
        <f>'XYLENES-A18'!D55-'XYLENES-A18'!D84</f>
        <v>0</v>
      </c>
      <c r="E26" s="245">
        <f>'XYLENES-A18'!E55-'XYLENES-A18'!E84</f>
        <v>0</v>
      </c>
      <c r="F26" s="245">
        <f>'XYLENES-A18'!F55-'XYLENES-A18'!F84</f>
        <v>60</v>
      </c>
      <c r="G26" s="245">
        <f>'XYLENES-A18'!G55-'XYLENES-A18'!G84</f>
        <v>60</v>
      </c>
      <c r="H26" s="245">
        <f>'XYLENES-A18'!H55-'XYLENES-A18'!H84</f>
        <v>120</v>
      </c>
      <c r="I26" s="245">
        <f>'XYLENES-A18'!I55-'XYLENES-A18'!I84</f>
        <v>0</v>
      </c>
      <c r="J26" s="245">
        <f>'XYLENES-A18'!J55-'XYLENES-A18'!J84</f>
        <v>0</v>
      </c>
      <c r="K26" s="246">
        <f>'XYLENES-A18'!K55-'XYLENES-A18'!K84</f>
        <v>0</v>
      </c>
      <c r="L26" s="247">
        <f>'XYLENES-A18'!L55-'XYLENES-A18'!L84</f>
        <v>0</v>
      </c>
      <c r="M26" s="245">
        <f>'XYLENES-A18'!M55-'XYLENES-A18'!M84</f>
        <v>0</v>
      </c>
      <c r="N26" s="245">
        <f>'XYLENES-A18'!N55-'XYLENES-A18'!N84</f>
        <v>0</v>
      </c>
      <c r="O26" s="245">
        <f>'XYLENES-A18'!O55-'XYLENES-A18'!O84</f>
        <v>0</v>
      </c>
      <c r="P26" s="245">
        <f>'XYLENES-A18'!P55-'XYLENES-A18'!P84</f>
        <v>0</v>
      </c>
      <c r="Q26" s="248">
        <f>'XYLENES-A18'!Q55-'XYLENES-A18'!Q84</f>
        <v>0</v>
      </c>
    </row>
    <row r="27" spans="2:17" ht="17.25" customHeight="1">
      <c r="B27" s="620" t="s">
        <v>315</v>
      </c>
      <c r="C27" s="621"/>
      <c r="D27" s="244">
        <f>'XYLENES-A18'!D56-'XYLENES-A18'!D85</f>
        <v>150.29999999999995</v>
      </c>
      <c r="E27" s="245">
        <f>'XYLENES-A18'!E56-'XYLENES-A18'!E85</f>
        <v>150.30000000000001</v>
      </c>
      <c r="F27" s="245">
        <f>'XYLENES-A18'!F56-'XYLENES-A18'!F85</f>
        <v>0</v>
      </c>
      <c r="G27" s="245">
        <f>'XYLENES-A18'!G56-'XYLENES-A18'!G85</f>
        <v>0</v>
      </c>
      <c r="H27" s="245">
        <f>'XYLENES-A18'!H56-'XYLENES-A18'!H85</f>
        <v>0</v>
      </c>
      <c r="I27" s="245">
        <f>'XYLENES-A18'!I56-'XYLENES-A18'!I85</f>
        <v>0</v>
      </c>
      <c r="J27" s="245">
        <f>'XYLENES-A18'!J56-'XYLENES-A18'!J85</f>
        <v>25</v>
      </c>
      <c r="K27" s="246">
        <f>'XYLENES-A18'!K56-'XYLENES-A18'!K85</f>
        <v>7</v>
      </c>
      <c r="L27" s="247">
        <f>'XYLENES-A18'!L56-'XYLENES-A18'!L85</f>
        <v>7.1119999999999663</v>
      </c>
      <c r="M27" s="245">
        <f>'XYLENES-A18'!M56-'XYLENES-A18'!M85</f>
        <v>5.3512719999998808</v>
      </c>
      <c r="N27" s="245">
        <f>'XYLENES-A18'!N56-'XYLENES-A18'!N85</f>
        <v>4.8039294319997907</v>
      </c>
      <c r="O27" s="245">
        <f>'XYLENES-A18'!O56-'XYLENES-A18'!O85</f>
        <v>4.2383349391117235</v>
      </c>
      <c r="P27" s="245">
        <f>'XYLENES-A18'!P56-'XYLENES-A18'!P85</f>
        <v>3.6540540738803884</v>
      </c>
      <c r="Q27" s="248">
        <f>'XYLENES-A18'!Q56-'XYLENES-A18'!Q85</f>
        <v>9.8037721851673041</v>
      </c>
    </row>
    <row r="28" spans="2:17" ht="16.5" customHeight="1">
      <c r="B28" s="609" t="s">
        <v>316</v>
      </c>
      <c r="C28" s="610"/>
      <c r="D28" s="239">
        <f>'XYLENES-A18'!D57-'XYLENES-A18'!D86</f>
        <v>1642.8000000000002</v>
      </c>
      <c r="E28" s="240">
        <f>'XYLENES-A18'!E57-'XYLENES-A18'!E86</f>
        <v>1642.8000000000002</v>
      </c>
      <c r="F28" s="240">
        <f>'XYLENES-A18'!F57-'XYLENES-A18'!F86</f>
        <v>1211.3999999999996</v>
      </c>
      <c r="G28" s="240">
        <f>'XYLENES-A18'!G57-'XYLENES-A18'!G86</f>
        <v>1105.8000000000002</v>
      </c>
      <c r="H28" s="240">
        <f>'XYLENES-A18'!H57-'XYLENES-A18'!H86</f>
        <v>641.80000000000018</v>
      </c>
      <c r="I28" s="240">
        <f>'XYLENES-A18'!I57-'XYLENES-A18'!I86</f>
        <v>279.59999999999945</v>
      </c>
      <c r="J28" s="240">
        <f>'XYLENES-A18'!J57-'XYLENES-A18'!J86</f>
        <v>152.80000000000018</v>
      </c>
      <c r="K28" s="241">
        <f>'XYLENES-A18'!K57-'XYLENES-A18'!K86</f>
        <v>421.59999999999945</v>
      </c>
      <c r="L28" s="242">
        <f>'XYLENES-A18'!L57-'XYLENES-A18'!L86</f>
        <v>403.39999999999964</v>
      </c>
      <c r="M28" s="240">
        <f>'XYLENES-A18'!M57-'XYLENES-A18'!M86</f>
        <v>621.59999999999945</v>
      </c>
      <c r="N28" s="240">
        <f>'XYLENES-A18'!N57-'XYLENES-A18'!N86</f>
        <v>534.59999999999945</v>
      </c>
      <c r="O28" s="240">
        <f>'XYLENES-A18'!O57-'XYLENES-A18'!O86</f>
        <v>450.59999999999945</v>
      </c>
      <c r="P28" s="240">
        <f>'XYLENES-A18'!P57-'XYLENES-A18'!P86</f>
        <v>376.59999999999945</v>
      </c>
      <c r="Q28" s="243">
        <f>'XYLENES-A18'!Q57-'XYLENES-A18'!Q86</f>
        <v>308</v>
      </c>
    </row>
    <row r="29" spans="2:17" ht="16.5" customHeight="1">
      <c r="B29" s="607" t="s">
        <v>317</v>
      </c>
      <c r="C29" s="608"/>
      <c r="D29" s="239">
        <f>'XYLENES-A18'!D58-'XYLENES-A18'!D87</f>
        <v>-55.5</v>
      </c>
      <c r="E29" s="240">
        <f>'XYLENES-A18'!E58-'XYLENES-A18'!E87</f>
        <v>-55.5</v>
      </c>
      <c r="F29" s="240">
        <f>'XYLENES-A18'!F58-'XYLENES-A18'!F87</f>
        <v>-65.5</v>
      </c>
      <c r="G29" s="240">
        <f>'XYLENES-A18'!G58-'XYLENES-A18'!G87</f>
        <v>-78.5</v>
      </c>
      <c r="H29" s="240">
        <f>'XYLENES-A18'!H58-'XYLENES-A18'!H87</f>
        <v>-92.5</v>
      </c>
      <c r="I29" s="240">
        <f>'XYLENES-A18'!I58-'XYLENES-A18'!I87</f>
        <v>-107.5</v>
      </c>
      <c r="J29" s="240">
        <f>'XYLENES-A18'!J58-'XYLENES-A18'!J87</f>
        <v>-123.5</v>
      </c>
      <c r="K29" s="241">
        <f>'XYLENES-A18'!K58-'XYLENES-A18'!K87</f>
        <v>-143.5</v>
      </c>
      <c r="L29" s="242">
        <f>'XYLENES-A18'!L58-'XYLENES-A18'!L87</f>
        <v>-157.5</v>
      </c>
      <c r="M29" s="240">
        <f>'XYLENES-A18'!M58-'XYLENES-A18'!M87</f>
        <v>-171.5</v>
      </c>
      <c r="N29" s="240">
        <f>'XYLENES-A18'!N58-'XYLENES-A18'!N87</f>
        <v>-184.5</v>
      </c>
      <c r="O29" s="240">
        <f>'XYLENES-A18'!O58-'XYLENES-A18'!O87</f>
        <v>-197.5</v>
      </c>
      <c r="P29" s="240">
        <f>'XYLENES-A18'!P58-'XYLENES-A18'!P87</f>
        <v>-209</v>
      </c>
      <c r="Q29" s="243">
        <f>'XYLENES-A18'!Q58-'XYLENES-A18'!Q87</f>
        <v>-221</v>
      </c>
    </row>
    <row r="30" spans="2:17" ht="17.25" customHeight="1">
      <c r="B30" s="620" t="s">
        <v>318</v>
      </c>
      <c r="C30" s="621"/>
      <c r="D30" s="244">
        <f t="shared" ref="D30:K30" si="2">SUM(D28:D29)</f>
        <v>1587.3000000000002</v>
      </c>
      <c r="E30" s="245">
        <f t="shared" si="2"/>
        <v>1587.3000000000002</v>
      </c>
      <c r="F30" s="245">
        <f t="shared" si="2"/>
        <v>1145.8999999999996</v>
      </c>
      <c r="G30" s="245">
        <f t="shared" si="2"/>
        <v>1027.3000000000002</v>
      </c>
      <c r="H30" s="245">
        <f t="shared" si="2"/>
        <v>549.30000000000018</v>
      </c>
      <c r="I30" s="245">
        <f t="shared" si="2"/>
        <v>172.09999999999945</v>
      </c>
      <c r="J30" s="245">
        <f t="shared" si="2"/>
        <v>29.300000000000182</v>
      </c>
      <c r="K30" s="246">
        <f t="shared" si="2"/>
        <v>278.09999999999945</v>
      </c>
      <c r="L30" s="247">
        <f t="shared" ref="L30:Q30" si="3">SUM(L28:L29)</f>
        <v>245.89999999999964</v>
      </c>
      <c r="M30" s="245">
        <f t="shared" si="3"/>
        <v>450.09999999999945</v>
      </c>
      <c r="N30" s="245">
        <f t="shared" si="3"/>
        <v>350.09999999999945</v>
      </c>
      <c r="O30" s="245">
        <f t="shared" si="3"/>
        <v>253.09999999999945</v>
      </c>
      <c r="P30" s="245">
        <f t="shared" si="3"/>
        <v>167.59999999999945</v>
      </c>
      <c r="Q30" s="248">
        <f t="shared" si="3"/>
        <v>87</v>
      </c>
    </row>
    <row r="31" spans="2:17" ht="16.5" customHeight="1">
      <c r="B31" s="609" t="s">
        <v>319</v>
      </c>
      <c r="C31" s="610"/>
      <c r="D31" s="239">
        <f>'XYLENES-A18'!D60-'XYLENES-A18'!D89</f>
        <v>29.86463800000007</v>
      </c>
      <c r="E31" s="240">
        <f>'XYLENES-A18'!E60-'XYLENES-A18'!E89</f>
        <v>25</v>
      </c>
      <c r="F31" s="240">
        <f>'XYLENES-A18'!F60-'XYLENES-A18'!F89</f>
        <v>-9</v>
      </c>
      <c r="G31" s="240">
        <f>'XYLENES-A18'!G60-'XYLENES-A18'!G89</f>
        <v>-17</v>
      </c>
      <c r="H31" s="240">
        <f>'XYLENES-A18'!H60-'XYLENES-A18'!H89</f>
        <v>-25</v>
      </c>
      <c r="I31" s="240">
        <f>'XYLENES-A18'!I60-'XYLENES-A18'!I89</f>
        <v>-35</v>
      </c>
      <c r="J31" s="240">
        <f>'XYLENES-A18'!J60-'XYLENES-A18'!J89</f>
        <v>-42.899999999999977</v>
      </c>
      <c r="K31" s="241">
        <f>'XYLENES-A18'!K60-'XYLENES-A18'!K89</f>
        <v>-50.899999999999977</v>
      </c>
      <c r="L31" s="242">
        <f>'XYLENES-A18'!L60-'XYLENES-A18'!L89</f>
        <v>-60</v>
      </c>
      <c r="M31" s="240">
        <f>'XYLENES-A18'!M60-'XYLENES-A18'!M89</f>
        <v>-70</v>
      </c>
      <c r="N31" s="240">
        <f>'XYLENES-A18'!N60-'XYLENES-A18'!N89</f>
        <v>-81</v>
      </c>
      <c r="O31" s="240">
        <f>'XYLENES-A18'!O60-'XYLENES-A18'!O89</f>
        <v>-93</v>
      </c>
      <c r="P31" s="240">
        <f>'XYLENES-A18'!P60-'XYLENES-A18'!P89</f>
        <v>-106</v>
      </c>
      <c r="Q31" s="243">
        <f>'XYLENES-A18'!Q60-'XYLENES-A18'!Q89</f>
        <v>-119</v>
      </c>
    </row>
    <row r="32" spans="2:17" ht="16.5" customHeight="1">
      <c r="B32" s="605" t="s">
        <v>320</v>
      </c>
      <c r="C32" s="606"/>
      <c r="D32" s="239">
        <f>'XYLENES-A18'!D61-'XYLENES-A18'!D90</f>
        <v>50.600000000000023</v>
      </c>
      <c r="E32" s="240">
        <f>'XYLENES-A18'!E61-'XYLENES-A18'!E90</f>
        <v>44.600000000000023</v>
      </c>
      <c r="F32" s="240">
        <f>'XYLENES-A18'!F61-'XYLENES-A18'!F90</f>
        <v>38.600000000000023</v>
      </c>
      <c r="G32" s="240">
        <f>'XYLENES-A18'!G61-'XYLENES-A18'!G90</f>
        <v>380.6</v>
      </c>
      <c r="H32" s="240">
        <f>'XYLENES-A18'!H61-'XYLENES-A18'!H90</f>
        <v>26.600000000000023</v>
      </c>
      <c r="I32" s="240">
        <f>'XYLENES-A18'!I61-'XYLENES-A18'!I90</f>
        <v>25.600000000000023</v>
      </c>
      <c r="J32" s="240">
        <f>'XYLENES-A18'!J61-'XYLENES-A18'!J90</f>
        <v>44.600000000000023</v>
      </c>
      <c r="K32" s="241">
        <f>'XYLENES-A18'!K61-'XYLENES-A18'!K90</f>
        <v>38.600000000000023</v>
      </c>
      <c r="L32" s="242">
        <f>'XYLENES-A18'!L61-'XYLENES-A18'!L90</f>
        <v>30.600000000000023</v>
      </c>
      <c r="M32" s="240">
        <f>'XYLENES-A18'!M61-'XYLENES-A18'!M90</f>
        <v>16.600000000000023</v>
      </c>
      <c r="N32" s="240">
        <f>'XYLENES-A18'!N61-'XYLENES-A18'!N90</f>
        <v>2.6000000000000227</v>
      </c>
      <c r="O32" s="240">
        <f>'XYLENES-A18'!O61-'XYLENES-A18'!O90</f>
        <v>-11.399999999999977</v>
      </c>
      <c r="P32" s="240">
        <f>'XYLENES-A18'!P61-'XYLENES-A18'!P90</f>
        <v>-25</v>
      </c>
      <c r="Q32" s="243">
        <f>'XYLENES-A18'!Q61-'XYLENES-A18'!Q90</f>
        <v>-39</v>
      </c>
    </row>
    <row r="33" spans="2:17" ht="16.5" customHeight="1">
      <c r="B33" s="607" t="s">
        <v>321</v>
      </c>
      <c r="C33" s="608"/>
      <c r="D33" s="239">
        <f>'XYLENES-A18'!D62-'XYLENES-A18'!D91</f>
        <v>0</v>
      </c>
      <c r="E33" s="240">
        <f>'XYLENES-A18'!E62-'XYLENES-A18'!E91</f>
        <v>-9.4526353949726172</v>
      </c>
      <c r="F33" s="240">
        <f>'XYLENES-A18'!F62-'XYLENES-A18'!F91</f>
        <v>-19.236113028769239</v>
      </c>
      <c r="G33" s="240">
        <f>'XYLENES-A18'!G62-'XYLENES-A18'!G91</f>
        <v>-29.362012379748762</v>
      </c>
      <c r="H33" s="240">
        <f>'XYLENES-A18'!H62-'XYLENES-A18'!H91</f>
        <v>-39.842318208012557</v>
      </c>
      <c r="I33" s="240">
        <f>'XYLENES-A18'!I62-'XYLENES-A18'!I91</f>
        <v>-50.689434740265597</v>
      </c>
      <c r="J33" s="240">
        <f>'XYLENES-A18'!J62-'XYLENES-A18'!J91</f>
        <v>-71.5</v>
      </c>
      <c r="K33" s="241">
        <f>'XYLENES-A18'!K62-'XYLENES-A18'!K91</f>
        <v>-75.5</v>
      </c>
      <c r="L33" s="242">
        <f>'XYLENES-A18'!L62-'XYLENES-A18'!L91</f>
        <v>-79</v>
      </c>
      <c r="M33" s="240">
        <f>'XYLENES-A18'!M62-'XYLENES-A18'!M91</f>
        <v>-86</v>
      </c>
      <c r="N33" s="240">
        <f>'XYLENES-A18'!N62-'XYLENES-A18'!N91</f>
        <v>-95</v>
      </c>
      <c r="O33" s="240">
        <f>'XYLENES-A18'!O62-'XYLENES-A18'!O91</f>
        <v>-104</v>
      </c>
      <c r="P33" s="240">
        <f>'XYLENES-A18'!P62-'XYLENES-A18'!P91</f>
        <v>-114</v>
      </c>
      <c r="Q33" s="243">
        <f>'XYLENES-A18'!Q62-'XYLENES-A18'!Q91</f>
        <v>-124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80.464638000000093</v>
      </c>
      <c r="E34" s="250">
        <f t="shared" si="4"/>
        <v>60.147364605027406</v>
      </c>
      <c r="F34" s="250">
        <f t="shared" si="4"/>
        <v>10.363886971230784</v>
      </c>
      <c r="G34" s="250">
        <f t="shared" si="4"/>
        <v>334.23798762025126</v>
      </c>
      <c r="H34" s="250">
        <f t="shared" si="4"/>
        <v>-38.242318208012534</v>
      </c>
      <c r="I34" s="250">
        <f t="shared" si="4"/>
        <v>-60.089434740265574</v>
      </c>
      <c r="J34" s="250">
        <f t="shared" si="4"/>
        <v>-69.799999999999955</v>
      </c>
      <c r="K34" s="251">
        <f t="shared" si="4"/>
        <v>-87.799999999999955</v>
      </c>
      <c r="L34" s="252">
        <f t="shared" ref="L34:Q34" si="5">SUM(L31:L33)</f>
        <v>-108.39999999999998</v>
      </c>
      <c r="M34" s="250">
        <f t="shared" si="5"/>
        <v>-139.39999999999998</v>
      </c>
      <c r="N34" s="250">
        <f t="shared" si="5"/>
        <v>-173.39999999999998</v>
      </c>
      <c r="O34" s="250">
        <f t="shared" si="5"/>
        <v>-208.39999999999998</v>
      </c>
      <c r="P34" s="250">
        <f t="shared" si="5"/>
        <v>-245</v>
      </c>
      <c r="Q34" s="253">
        <f t="shared" si="5"/>
        <v>-282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2055.2571173253914</v>
      </c>
      <c r="E35" s="171">
        <f t="shared" ref="E35:Q35" si="6">SUM(E19+E20+E22+E24+E26+E27+E30+E34)</f>
        <v>978.34230834926439</v>
      </c>
      <c r="F35" s="171">
        <f t="shared" si="6"/>
        <v>855.33768882825143</v>
      </c>
      <c r="G35" s="171">
        <f t="shared" si="6"/>
        <v>2163.5309876202514</v>
      </c>
      <c r="H35" s="171">
        <f t="shared" si="6"/>
        <v>1416.3436817919878</v>
      </c>
      <c r="I35" s="171">
        <f t="shared" si="6"/>
        <v>714.15556525973375</v>
      </c>
      <c r="J35" s="171">
        <f t="shared" si="6"/>
        <v>1190.9400000000003</v>
      </c>
      <c r="K35" s="173">
        <f t="shared" si="6"/>
        <v>1462.7899999999995</v>
      </c>
      <c r="L35" s="172">
        <f t="shared" si="6"/>
        <v>1455.1719999999996</v>
      </c>
      <c r="M35" s="171">
        <f t="shared" si="6"/>
        <v>1599.7312719999995</v>
      </c>
      <c r="N35" s="171">
        <f t="shared" si="6"/>
        <v>1353.3939294319989</v>
      </c>
      <c r="O35" s="171">
        <f t="shared" si="6"/>
        <v>773.03833493911145</v>
      </c>
      <c r="P35" s="171">
        <f t="shared" si="6"/>
        <v>634.25405407387984</v>
      </c>
      <c r="Q35" s="174">
        <f t="shared" si="6"/>
        <v>530.8037721851673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16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IF('XYLENES-A18'!D7=0,"    -",ROUND('XYLENES-A18'!D36/'XYLENES-A18'!D7*100,1))</f>
        <v>100.1</v>
      </c>
      <c r="E43" s="58">
        <f>IF('XYLENES-A18'!E7=0,"    -",ROUND('XYLENES-A18'!E36/'XYLENES-A18'!E7*100,1))</f>
        <v>79.599999999999994</v>
      </c>
      <c r="F43" s="58">
        <f>IF('XYLENES-A18'!F7=0,"    -",ROUND('XYLENES-A18'!F36/'XYLENES-A18'!F7*100,1))</f>
        <v>90.1</v>
      </c>
      <c r="G43" s="58">
        <f>IF('XYLENES-A18'!G7=0,"    -",ROUND('XYLENES-A18'!G36/'XYLENES-A18'!G7*100,1))</f>
        <v>80.400000000000006</v>
      </c>
      <c r="H43" s="58">
        <f>IF('XYLENES-A18'!H7=0,"    -",ROUND('XYLENES-A18'!H36/'XYLENES-A18'!H7*100,1))</f>
        <v>75</v>
      </c>
      <c r="I43" s="58">
        <f>IF('XYLENES-A18'!I7=0,"    -",ROUND('XYLENES-A18'!I36/'XYLENES-A18'!I7*100,1))</f>
        <v>68.099999999999994</v>
      </c>
      <c r="J43" s="58">
        <f>IF('XYLENES-A18'!J7=0,"    -",ROUND('XYLENES-A18'!J36/'XYLENES-A18'!J7*100,1))</f>
        <v>59.4</v>
      </c>
      <c r="K43" s="59">
        <f>IF('XYLENES-A18'!K7=0,"    -",ROUND('XYLENES-A18'!K36/'XYLENES-A18'!K7*100,1))</f>
        <v>76.5</v>
      </c>
      <c r="L43" s="60">
        <f>IF('XYLENES-A18'!L7=0,"    -",ROUND('XYLENES-A18'!L36/'XYLENES-A18'!L7*100,1))</f>
        <v>67.8</v>
      </c>
      <c r="M43" s="58">
        <f>IF('XYLENES-A18'!M7=0,"    -",ROUND('XYLENES-A18'!M36/'XYLENES-A18'!M7*100,1))</f>
        <v>77.5</v>
      </c>
      <c r="N43" s="58">
        <f>IF('XYLENES-A18'!N7=0,"    -",ROUND('XYLENES-A18'!N36/'XYLENES-A18'!N7*100,1))</f>
        <v>77.5</v>
      </c>
      <c r="O43" s="58">
        <f>IF('XYLENES-A18'!O7=0,"    -",ROUND('XYLENES-A18'!O36/'XYLENES-A18'!O7*100,1))</f>
        <v>77.5</v>
      </c>
      <c r="P43" s="58">
        <f>IF('XYLENES-A18'!P7=0,"    -",ROUND('XYLENES-A18'!P36/'XYLENES-A18'!P7*100,1))</f>
        <v>77.5</v>
      </c>
      <c r="Q43" s="61">
        <f>IF('XYLENES-A18'!Q7=0,"    -",ROUND('XYLENES-A18'!Q36/'XYLENES-A18'!Q7*100,1))</f>
        <v>77.5</v>
      </c>
    </row>
    <row r="44" spans="2:17" ht="16.5" customHeight="1">
      <c r="B44" s="605" t="s">
        <v>434</v>
      </c>
      <c r="C44" s="606"/>
      <c r="D44" s="57">
        <f>IF('XYLENES-A18'!D8=0,"    -",ROUND('XYLENES-A18'!D37/'XYLENES-A18'!D8*100,1))</f>
        <v>95.2</v>
      </c>
      <c r="E44" s="58">
        <f>IF('XYLENES-A18'!E8=0,"    -",ROUND('XYLENES-A18'!E37/'XYLENES-A18'!E8*100,1))</f>
        <v>87</v>
      </c>
      <c r="F44" s="58">
        <f>IF('XYLENES-A18'!F8=0,"    -",ROUND('XYLENES-A18'!F37/'XYLENES-A18'!F8*100,1))</f>
        <v>90.4</v>
      </c>
      <c r="G44" s="58">
        <f>IF('XYLENES-A18'!G8=0,"    -",ROUND('XYLENES-A18'!G37/'XYLENES-A18'!G8*100,1))</f>
        <v>86.3</v>
      </c>
      <c r="H44" s="58">
        <f>IF('XYLENES-A18'!H8=0,"    -",ROUND('XYLENES-A18'!H37/'XYLENES-A18'!H8*100,1))</f>
        <v>75</v>
      </c>
      <c r="I44" s="58">
        <f>IF('XYLENES-A18'!I8=0,"    -",ROUND('XYLENES-A18'!I37/'XYLENES-A18'!I8*100,1))</f>
        <v>78.3</v>
      </c>
      <c r="J44" s="58">
        <f>IF('XYLENES-A18'!J8=0,"    -",ROUND('XYLENES-A18'!J37/'XYLENES-A18'!J8*100,1))</f>
        <v>70.099999999999994</v>
      </c>
      <c r="K44" s="59">
        <f>IF('XYLENES-A18'!K8=0,"    -",ROUND('XYLENES-A18'!K37/'XYLENES-A18'!K8*100,1))</f>
        <v>73.7</v>
      </c>
      <c r="L44" s="60">
        <f>IF('XYLENES-A18'!L8=0,"    -",ROUND('XYLENES-A18'!L37/'XYLENES-A18'!L8*100,1))</f>
        <v>83.3</v>
      </c>
      <c r="M44" s="58">
        <f>IF('XYLENES-A18'!M8=0,"    -",ROUND('XYLENES-A18'!M37/'XYLENES-A18'!M8*100,1))</f>
        <v>87</v>
      </c>
      <c r="N44" s="58">
        <f>IF('XYLENES-A18'!N8=0,"    -",ROUND('XYLENES-A18'!N37/'XYLENES-A18'!N8*100,1))</f>
        <v>87</v>
      </c>
      <c r="O44" s="58">
        <f>IF('XYLENES-A18'!O8=0,"    -",ROUND('XYLENES-A18'!O37/'XYLENES-A18'!O8*100,1))</f>
        <v>87</v>
      </c>
      <c r="P44" s="58">
        <f>IF('XYLENES-A18'!P8=0,"    -",ROUND('XYLENES-A18'!P37/'XYLENES-A18'!P8*100,1))</f>
        <v>87</v>
      </c>
      <c r="Q44" s="61">
        <f>IF('XYLENES-A18'!Q8=0,"    -",ROUND('XYLENES-A18'!Q37/'XYLENES-A18'!Q8*100,1))</f>
        <v>87</v>
      </c>
    </row>
    <row r="45" spans="2:17" ht="16.5" customHeight="1">
      <c r="B45" s="605" t="s">
        <v>435</v>
      </c>
      <c r="C45" s="606"/>
      <c r="D45" s="57">
        <f>IF('XYLENES-A18'!D9=0,"    -",ROUND('XYLENES-A18'!D38/'XYLENES-A18'!D9*100,1))</f>
        <v>95.3</v>
      </c>
      <c r="E45" s="58">
        <f>IF('XYLENES-A18'!E9=0,"    -",ROUND('XYLENES-A18'!E38/'XYLENES-A18'!E9*100,1))</f>
        <v>82.3</v>
      </c>
      <c r="F45" s="58">
        <f>IF('XYLENES-A18'!F9=0,"    -",ROUND('XYLENES-A18'!F38/'XYLENES-A18'!F9*100,1))</f>
        <v>73.099999999999994</v>
      </c>
      <c r="G45" s="58">
        <f>IF('XYLENES-A18'!G9=0,"    -",ROUND('XYLENES-A18'!G38/'XYLENES-A18'!G9*100,1))</f>
        <v>104.8</v>
      </c>
      <c r="H45" s="58">
        <f>IF('XYLENES-A18'!H9=0,"    -",ROUND('XYLENES-A18'!H38/'XYLENES-A18'!H9*100,1))</f>
        <v>51.8</v>
      </c>
      <c r="I45" s="58">
        <f>IF('XYLENES-A18'!I9=0,"    -",ROUND('XYLENES-A18'!I38/'XYLENES-A18'!I9*100,1))</f>
        <v>43.9</v>
      </c>
      <c r="J45" s="58">
        <f>IF('XYLENES-A18'!J9=0,"    -",ROUND('XYLENES-A18'!J38/'XYLENES-A18'!J9*100,1))</f>
        <v>42.4</v>
      </c>
      <c r="K45" s="59">
        <f>IF('XYLENES-A18'!K9=0,"    -",ROUND('XYLENES-A18'!K38/'XYLENES-A18'!K9*100,1))</f>
        <v>95.1</v>
      </c>
      <c r="L45" s="60">
        <f>IF('XYLENES-A18'!L9=0,"    -",ROUND('XYLENES-A18'!L38/'XYLENES-A18'!L9*100,1))</f>
        <v>89.5</v>
      </c>
      <c r="M45" s="58">
        <f>IF('XYLENES-A18'!M9=0,"    -",ROUND('XYLENES-A18'!M38/'XYLENES-A18'!M9*100,1))</f>
        <v>87.6</v>
      </c>
      <c r="N45" s="58">
        <f>IF('XYLENES-A18'!N9=0,"    -",ROUND('XYLENES-A18'!N38/'XYLENES-A18'!N9*100,1))</f>
        <v>90</v>
      </c>
      <c r="O45" s="58">
        <f>IF('XYLENES-A18'!O9=0,"    -",ROUND('XYLENES-A18'!O38/'XYLENES-A18'!O9*100,1))</f>
        <v>88.9</v>
      </c>
      <c r="P45" s="58">
        <f>IF('XYLENES-A18'!P9=0,"    -",ROUND('XYLENES-A18'!P38/'XYLENES-A18'!P9*100,1))</f>
        <v>90</v>
      </c>
      <c r="Q45" s="61">
        <f>IF('XYLENES-A18'!Q9=0,"    -",ROUND('XYLENES-A18'!Q38/'XYLENES-A18'!Q9*100,1))</f>
        <v>89.5</v>
      </c>
    </row>
    <row r="46" spans="2:17" ht="16.5" customHeight="1">
      <c r="B46" s="605" t="s">
        <v>436</v>
      </c>
      <c r="C46" s="606"/>
      <c r="D46" s="57">
        <f>IF('XYLENES-A18'!D10=0,"    -",ROUND('XYLENES-A18'!D39/'XYLENES-A18'!D10*100,1))</f>
        <v>51</v>
      </c>
      <c r="E46" s="58">
        <f>IF('XYLENES-A18'!E10=0,"    -",ROUND('XYLENES-A18'!E39/'XYLENES-A18'!E10*100,1))</f>
        <v>48.9</v>
      </c>
      <c r="F46" s="58">
        <f>IF('XYLENES-A18'!F10=0,"    -",ROUND('XYLENES-A18'!F39/'XYLENES-A18'!F10*100,1))</f>
        <v>51.9</v>
      </c>
      <c r="G46" s="58">
        <f>IF('XYLENES-A18'!G10=0,"    -",ROUND('XYLENES-A18'!G39/'XYLENES-A18'!G10*100,1))</f>
        <v>53.9</v>
      </c>
      <c r="H46" s="58">
        <f>IF('XYLENES-A18'!H10=0,"    -",ROUND('XYLENES-A18'!H39/'XYLENES-A18'!H10*100,1))</f>
        <v>47.3</v>
      </c>
      <c r="I46" s="58">
        <f>IF('XYLENES-A18'!I10=0,"    -",ROUND('XYLENES-A18'!I39/'XYLENES-A18'!I10*100,1))</f>
        <v>44.7</v>
      </c>
      <c r="J46" s="58">
        <f>IF('XYLENES-A18'!J10=0,"    -",ROUND('XYLENES-A18'!J39/'XYLENES-A18'!J10*100,1))</f>
        <v>44.8</v>
      </c>
      <c r="K46" s="59">
        <f>IF('XYLENES-A18'!K10=0,"    -",ROUND('XYLENES-A18'!K39/'XYLENES-A18'!K10*100,1))</f>
        <v>42.8</v>
      </c>
      <c r="L46" s="60">
        <f>IF('XYLENES-A18'!L10=0,"    -",ROUND('XYLENES-A18'!L39/'XYLENES-A18'!L10*100,1))</f>
        <v>44.7</v>
      </c>
      <c r="M46" s="58">
        <f>IF('XYLENES-A18'!M10=0,"    -",ROUND('XYLENES-A18'!M39/'XYLENES-A18'!M10*100,1))</f>
        <v>37.799999999999997</v>
      </c>
      <c r="N46" s="58">
        <f>IF('XYLENES-A18'!N10=0,"    -",ROUND('XYLENES-A18'!N39/'XYLENES-A18'!N10*100,1))</f>
        <v>36.6</v>
      </c>
      <c r="O46" s="58">
        <f>IF('XYLENES-A18'!O10=0,"    -",ROUND('XYLENES-A18'!O39/'XYLENES-A18'!O10*100,1))</f>
        <v>38.1</v>
      </c>
      <c r="P46" s="58">
        <f>IF('XYLENES-A18'!P10=0,"    -",ROUND('XYLENES-A18'!P39/'XYLENES-A18'!P10*100,1))</f>
        <v>40</v>
      </c>
      <c r="Q46" s="61">
        <f>IF('XYLENES-A18'!Q10=0,"    -",ROUND('XYLENES-A18'!Q39/'XYLENES-A18'!Q10*100,1))</f>
        <v>42.4</v>
      </c>
    </row>
    <row r="47" spans="2:17" ht="16.5" customHeight="1">
      <c r="B47" s="605" t="s">
        <v>437</v>
      </c>
      <c r="C47" s="606"/>
      <c r="D47" s="57">
        <f>IF('XYLENES-A18'!D11=0,"    -",ROUND('XYLENES-A18'!D40/'XYLENES-A18'!D11*100,1))</f>
        <v>74.2</v>
      </c>
      <c r="E47" s="58">
        <f>IF('XYLENES-A18'!E11=0,"    -",ROUND('XYLENES-A18'!E40/'XYLENES-A18'!E11*100,1))</f>
        <v>73.8</v>
      </c>
      <c r="F47" s="58">
        <f>IF('XYLENES-A18'!F11=0,"    -",ROUND('XYLENES-A18'!F40/'XYLENES-A18'!F11*100,1))</f>
        <v>79.8</v>
      </c>
      <c r="G47" s="58">
        <f>IF('XYLENES-A18'!G11=0,"    -",ROUND('XYLENES-A18'!G40/'XYLENES-A18'!G11*100,1))</f>
        <v>86.8</v>
      </c>
      <c r="H47" s="58">
        <f>IF('XYLENES-A18'!H11=0,"    -",ROUND('XYLENES-A18'!H40/'XYLENES-A18'!H11*100,1))</f>
        <v>74.3</v>
      </c>
      <c r="I47" s="58">
        <f>IF('XYLENES-A18'!I11=0,"    -",ROUND('XYLENES-A18'!I40/'XYLENES-A18'!I11*100,1))</f>
        <v>71.8</v>
      </c>
      <c r="J47" s="58">
        <f>IF('XYLENES-A18'!J11=0,"    -",ROUND('XYLENES-A18'!J40/'XYLENES-A18'!J11*100,1))</f>
        <v>82.2</v>
      </c>
      <c r="K47" s="59">
        <f>IF('XYLENES-A18'!K11=0,"    -",ROUND('XYLENES-A18'!K40/'XYLENES-A18'!K11*100,1))</f>
        <v>78.8</v>
      </c>
      <c r="L47" s="60">
        <f>IF('XYLENES-A18'!L11=0,"    -",ROUND('XYLENES-A18'!L40/'XYLENES-A18'!L11*100,1))</f>
        <v>90.8</v>
      </c>
      <c r="M47" s="58">
        <f>IF('XYLENES-A18'!M11=0,"    -",ROUND('XYLENES-A18'!M40/'XYLENES-A18'!M11*100,1))</f>
        <v>87.6</v>
      </c>
      <c r="N47" s="58">
        <f>IF('XYLENES-A18'!N11=0,"    -",ROUND('XYLENES-A18'!N40/'XYLENES-A18'!N11*100,1))</f>
        <v>87.6</v>
      </c>
      <c r="O47" s="58">
        <f>IF('XYLENES-A18'!O11=0,"    -",ROUND('XYLENES-A18'!O40/'XYLENES-A18'!O11*100,1))</f>
        <v>87.6</v>
      </c>
      <c r="P47" s="58">
        <f>IF('XYLENES-A18'!P11=0,"    -",ROUND('XYLENES-A18'!P40/'XYLENES-A18'!P11*100,1))</f>
        <v>87.6</v>
      </c>
      <c r="Q47" s="61">
        <f>IF('XYLENES-A18'!Q11=0,"    -",ROUND('XYLENES-A18'!Q40/'XYLENES-A18'!Q11*100,1))</f>
        <v>87.6</v>
      </c>
    </row>
    <row r="48" spans="2:17" ht="16.5" customHeight="1">
      <c r="B48" s="605" t="s">
        <v>438</v>
      </c>
      <c r="C48" s="606"/>
      <c r="D48" s="57">
        <f>IF('XYLENES-A18'!D12=0,"    -",ROUND('XYLENES-A18'!D41/'XYLENES-A18'!D12*100,1))</f>
        <v>34.299999999999997</v>
      </c>
      <c r="E48" s="58">
        <f>IF('XYLENES-A18'!E12=0,"    -",ROUND('XYLENES-A18'!E41/'XYLENES-A18'!E12*100,1))</f>
        <v>0</v>
      </c>
      <c r="F48" s="58">
        <f>IF('XYLENES-A18'!F12=0,"    -",ROUND('XYLENES-A18'!F41/'XYLENES-A18'!F12*100,1))</f>
        <v>41.7</v>
      </c>
      <c r="G48" s="58">
        <f>IF('XYLENES-A18'!G12=0,"    -",ROUND('XYLENES-A18'!G41/'XYLENES-A18'!G12*100,1))</f>
        <v>41.7</v>
      </c>
      <c r="H48" s="58">
        <f>IF('XYLENES-A18'!H12=0,"    -",ROUND('XYLENES-A18'!H41/'XYLENES-A18'!H12*100,1))</f>
        <v>0</v>
      </c>
      <c r="I48" s="58">
        <f>IF('XYLENES-A18'!I12=0,"    -",ROUND('XYLENES-A18'!I41/'XYLENES-A18'!I12*100,1))</f>
        <v>0</v>
      </c>
      <c r="J48" s="58">
        <f>IF('XYLENES-A18'!J12=0,"    -",ROUND('XYLENES-A18'!J41/'XYLENES-A18'!J12*100,1))</f>
        <v>0</v>
      </c>
      <c r="K48" s="59">
        <f>IF('XYLENES-A18'!K12=0,"    -",ROUND('XYLENES-A18'!K41/'XYLENES-A18'!K12*100,1))</f>
        <v>0</v>
      </c>
      <c r="L48" s="60">
        <f>IF('XYLENES-A18'!L12=0,"    -",ROUND('XYLENES-A18'!L41/'XYLENES-A18'!L12*100,1))</f>
        <v>0</v>
      </c>
      <c r="M48" s="58">
        <f>IF('XYLENES-A18'!M12=0,"    -",ROUND('XYLENES-A18'!M41/'XYLENES-A18'!M12*100,1))</f>
        <v>0</v>
      </c>
      <c r="N48" s="58">
        <f>IF('XYLENES-A18'!N12=0,"    -",ROUND('XYLENES-A18'!N41/'XYLENES-A18'!N12*100,1))</f>
        <v>0</v>
      </c>
      <c r="O48" s="58">
        <f>IF('XYLENES-A18'!O12=0,"    -",ROUND('XYLENES-A18'!O41/'XYLENES-A18'!O12*100,1))</f>
        <v>0</v>
      </c>
      <c r="P48" s="58">
        <f>IF('XYLENES-A18'!P12=0,"    -",ROUND('XYLENES-A18'!P41/'XYLENES-A18'!P12*100,1))</f>
        <v>0</v>
      </c>
      <c r="Q48" s="61">
        <f>IF('XYLENES-A18'!Q12=0,"    -",ROUND('XYLENES-A18'!Q41/'XYLENES-A18'!Q12*100,1))</f>
        <v>0</v>
      </c>
    </row>
    <row r="49" spans="2:17" ht="16.5" customHeight="1">
      <c r="B49" s="605" t="s">
        <v>439</v>
      </c>
      <c r="C49" s="606"/>
      <c r="D49" s="57">
        <f>IF('XYLENES-A18'!D13=0,"    -",ROUND('XYLENES-A18'!D42/'XYLENES-A18'!D13*100,1))</f>
        <v>69.099999999999994</v>
      </c>
      <c r="E49" s="58">
        <f>IF('XYLENES-A18'!E13=0,"    -",ROUND('XYLENES-A18'!E42/'XYLENES-A18'!E13*100,1))</f>
        <v>81.8</v>
      </c>
      <c r="F49" s="58">
        <f>IF('XYLENES-A18'!F13=0,"    -",ROUND('XYLENES-A18'!F42/'XYLENES-A18'!F13*100,1))</f>
        <v>90.9</v>
      </c>
      <c r="G49" s="58">
        <f>IF('XYLENES-A18'!G13=0,"    -",ROUND('XYLENES-A18'!G42/'XYLENES-A18'!G13*100,1))</f>
        <v>90.9</v>
      </c>
      <c r="H49" s="58">
        <f>IF('XYLENES-A18'!H13=0,"    -",ROUND('XYLENES-A18'!H42/'XYLENES-A18'!H13*100,1))</f>
        <v>90.9</v>
      </c>
      <c r="I49" s="58">
        <f>IF('XYLENES-A18'!I13=0,"    -",ROUND('XYLENES-A18'!I42/'XYLENES-A18'!I13*100,1))</f>
        <v>90.9</v>
      </c>
      <c r="J49" s="58">
        <f>IF('XYLENES-A18'!J13=0,"    -",ROUND('XYLENES-A18'!J42/'XYLENES-A18'!J13*100,1))</f>
        <v>99.9</v>
      </c>
      <c r="K49" s="59">
        <f>IF('XYLENES-A18'!K13=0,"    -",ROUND('XYLENES-A18'!K42/'XYLENES-A18'!K13*100,1))</f>
        <v>64.900000000000006</v>
      </c>
      <c r="L49" s="60">
        <f>IF('XYLENES-A18'!L13=0,"    -",ROUND('XYLENES-A18'!L42/'XYLENES-A18'!L13*100,1))</f>
        <v>64.900000000000006</v>
      </c>
      <c r="M49" s="58">
        <f>IF('XYLENES-A18'!M13=0,"    -",ROUND('XYLENES-A18'!M42/'XYLENES-A18'!M13*100,1))</f>
        <v>64.900000000000006</v>
      </c>
      <c r="N49" s="58">
        <f>IF('XYLENES-A18'!N13=0,"    -",ROUND('XYLENES-A18'!N42/'XYLENES-A18'!N13*100,1))</f>
        <v>64.900000000000006</v>
      </c>
      <c r="O49" s="58">
        <f>IF('XYLENES-A18'!O13=0,"    -",ROUND('XYLENES-A18'!O42/'XYLENES-A18'!O13*100,1))</f>
        <v>64.900000000000006</v>
      </c>
      <c r="P49" s="58">
        <f>IF('XYLENES-A18'!P13=0,"    -",ROUND('XYLENES-A18'!P42/'XYLENES-A18'!P13*100,1))</f>
        <v>64.900000000000006</v>
      </c>
      <c r="Q49" s="61">
        <f>IF('XYLENES-A18'!Q13=0,"    -",ROUND('XYLENES-A18'!Q42/'XYLENES-A18'!Q13*100,1))</f>
        <v>64.900000000000006</v>
      </c>
    </row>
    <row r="50" spans="2:17" ht="18" hidden="1" customHeight="1">
      <c r="B50" s="16"/>
      <c r="C50" s="90" t="s">
        <v>306</v>
      </c>
      <c r="D50" s="57" t="str">
        <f>IF('XYLENES-A18'!D14=0,"    -",ROUND('XYLENES-A18'!D43/'XYLENES-A18'!D14*100,1))</f>
        <v xml:space="preserve">    -</v>
      </c>
      <c r="E50" s="58" t="str">
        <f>IF('XYLENES-A18'!E14=0,"    -",ROUND('XYLENES-A18'!E43/'XYLENES-A18'!E14*100,1))</f>
        <v xml:space="preserve">    -</v>
      </c>
      <c r="F50" s="58" t="str">
        <f>IF('XYLENES-A18'!F14=0,"    -",ROUND('XYLENES-A18'!F43/'XYLENES-A18'!F14*100,1))</f>
        <v xml:space="preserve">    -</v>
      </c>
      <c r="G50" s="58" t="str">
        <f>IF('XYLENES-A18'!G14=0,"    -",ROUND('XYLENES-A18'!G43/'XYLENES-A18'!G14*100,1))</f>
        <v xml:space="preserve">    -</v>
      </c>
      <c r="H50" s="58" t="str">
        <f>IF('XYLENES-A18'!H14=0,"    -",ROUND('XYLENES-A18'!H43/'XYLENES-A18'!H14*100,1))</f>
        <v xml:space="preserve">    -</v>
      </c>
      <c r="I50" s="58" t="str">
        <f>IF('XYLENES-A18'!I14=0,"    -",ROUND('XYLENES-A18'!I43/'XYLENES-A18'!I14*100,1))</f>
        <v xml:space="preserve">    -</v>
      </c>
      <c r="J50" s="58" t="str">
        <f>IF('XYLENES-A18'!J14=0,"    -",ROUND('XYLENES-A18'!J43/'XYLENES-A18'!J14*100,1))</f>
        <v xml:space="preserve">    -</v>
      </c>
      <c r="K50" s="59" t="str">
        <f>IF('XYLENES-A18'!K14=0,"    -",ROUND('XYLENES-A18'!K43/'XYLENES-A18'!K14*100,1))</f>
        <v xml:space="preserve">    -</v>
      </c>
      <c r="L50" s="60" t="str">
        <f>IF('XYLENES-A18'!L14=0,"    -",ROUND('XYLENES-A18'!L43/'XYLENES-A18'!L14*100,1))</f>
        <v xml:space="preserve">    -</v>
      </c>
      <c r="M50" s="58" t="str">
        <f>IF('XYLENES-A18'!M14=0,"    -",ROUND('XYLENES-A18'!M43/'XYLENES-A18'!M14*100,1))</f>
        <v xml:space="preserve">    -</v>
      </c>
      <c r="N50" s="58" t="str">
        <f>IF('XYLENES-A18'!N14=0,"    -",ROUND('XYLENES-A18'!N43/'XYLENES-A18'!N14*100,1))</f>
        <v xml:space="preserve">    -</v>
      </c>
      <c r="O50" s="58" t="str">
        <f>IF('XYLENES-A18'!O14=0,"    -",ROUND('XYLENES-A18'!O43/'XYLENES-A18'!O14*100,1))</f>
        <v xml:space="preserve">    -</v>
      </c>
      <c r="P50" s="58" t="str">
        <f>IF('XYLENES-A18'!P14=0,"    -",ROUND('XYLENES-A18'!P43/'XYLENES-A18'!P14*100,1))</f>
        <v xml:space="preserve">    -</v>
      </c>
      <c r="Q50" s="61" t="str">
        <f>IF('XYLENES-A18'!Q14=0,"    -",ROUND('XYLENES-A18'!Q43/'XYLENES-A18'!Q14*100,1))</f>
        <v xml:space="preserve">    -</v>
      </c>
    </row>
    <row r="51" spans="2:17" ht="16.5" customHeight="1">
      <c r="B51" s="605" t="s">
        <v>440</v>
      </c>
      <c r="C51" s="606"/>
      <c r="D51" s="57">
        <f>IF('XYLENES-A18'!D15=0,"    -",ROUND('XYLENES-A18'!D44/'XYLENES-A18'!D15*100,1))</f>
        <v>100</v>
      </c>
      <c r="E51" s="58">
        <f>IF('XYLENES-A18'!E15=0,"    -",ROUND('XYLENES-A18'!E44/'XYLENES-A18'!E15*100,1))</f>
        <v>100</v>
      </c>
      <c r="F51" s="58">
        <f>IF('XYLENES-A18'!F15=0,"    -",ROUND('XYLENES-A18'!F44/'XYLENES-A18'!F15*100,1))</f>
        <v>100</v>
      </c>
      <c r="G51" s="58">
        <f>IF('XYLENES-A18'!G15=0,"    -",ROUND('XYLENES-A18'!G44/'XYLENES-A18'!G15*100,1))</f>
        <v>100</v>
      </c>
      <c r="H51" s="58">
        <f>IF('XYLENES-A18'!H15=0,"    -",ROUND('XYLENES-A18'!H44/'XYLENES-A18'!H15*100,1))</f>
        <v>100</v>
      </c>
      <c r="I51" s="58">
        <f>IF('XYLENES-A18'!I15=0,"    -",ROUND('XYLENES-A18'!I44/'XYLENES-A18'!I15*100,1))</f>
        <v>100</v>
      </c>
      <c r="J51" s="58">
        <f>IF('XYLENES-A18'!J15=0,"    -",ROUND('XYLENES-A18'!J44/'XYLENES-A18'!J15*100,1))</f>
        <v>100</v>
      </c>
      <c r="K51" s="59">
        <f>IF('XYLENES-A18'!K15=0,"    -",ROUND('XYLENES-A18'!K44/'XYLENES-A18'!K15*100,1))</f>
        <v>100</v>
      </c>
      <c r="L51" s="60">
        <f>IF('XYLENES-A18'!L15=0,"    -",ROUND('XYLENES-A18'!L44/'XYLENES-A18'!L15*100,1))</f>
        <v>100</v>
      </c>
      <c r="M51" s="58">
        <f>IF('XYLENES-A18'!M15=0,"    -",ROUND('XYLENES-A18'!M44/'XYLENES-A18'!M15*100,1))</f>
        <v>100</v>
      </c>
      <c r="N51" s="58">
        <f>IF('XYLENES-A18'!N15=0,"    -",ROUND('XYLENES-A18'!N44/'XYLENES-A18'!N15*100,1))</f>
        <v>100</v>
      </c>
      <c r="O51" s="58">
        <f>IF('XYLENES-A18'!O15=0,"    -",ROUND('XYLENES-A18'!O44/'XYLENES-A18'!O15*100,1))</f>
        <v>100</v>
      </c>
      <c r="P51" s="58">
        <f>IF('XYLENES-A18'!P15=0,"    -",ROUND('XYLENES-A18'!P44/'XYLENES-A18'!P15*100,1))</f>
        <v>100</v>
      </c>
      <c r="Q51" s="61">
        <f>IF('XYLENES-A18'!Q15=0,"    -",ROUND('XYLENES-A18'!Q44/'XYLENES-A18'!Q15*100,1))</f>
        <v>100</v>
      </c>
    </row>
    <row r="52" spans="2:17" ht="16.5" customHeight="1">
      <c r="B52" s="605" t="s">
        <v>441</v>
      </c>
      <c r="C52" s="606"/>
      <c r="D52" s="57">
        <f>IF('XYLENES-A18'!D16=0,"    -",ROUND('XYLENES-A18'!D45/'XYLENES-A18'!D16*100,1))</f>
        <v>92.5</v>
      </c>
      <c r="E52" s="58">
        <f>IF('XYLENES-A18'!E16=0,"    -",ROUND('XYLENES-A18'!E45/'XYLENES-A18'!E16*100,1))</f>
        <v>92.5</v>
      </c>
      <c r="F52" s="58">
        <f>IF('XYLENES-A18'!F16=0,"    -",ROUND('XYLENES-A18'!F45/'XYLENES-A18'!F16*100,1))</f>
        <v>92.5</v>
      </c>
      <c r="G52" s="58">
        <f>IF('XYLENES-A18'!G16=0,"    -",ROUND('XYLENES-A18'!G45/'XYLENES-A18'!G16*100,1))</f>
        <v>92.5</v>
      </c>
      <c r="H52" s="58">
        <f>IF('XYLENES-A18'!H16=0,"    -",ROUND('XYLENES-A18'!H45/'XYLENES-A18'!H16*100,1))</f>
        <v>92.5</v>
      </c>
      <c r="I52" s="58">
        <f>IF('XYLENES-A18'!I16=0,"    -",ROUND('XYLENES-A18'!I45/'XYLENES-A18'!I16*100,1))</f>
        <v>92.5</v>
      </c>
      <c r="J52" s="58">
        <f>IF('XYLENES-A18'!J16=0,"    -",ROUND('XYLENES-A18'!J45/'XYLENES-A18'!J16*100,1))</f>
        <v>92.5</v>
      </c>
      <c r="K52" s="59">
        <f>IF('XYLENES-A18'!K16=0,"    -",ROUND('XYLENES-A18'!K45/'XYLENES-A18'!K16*100,1))</f>
        <v>92.5</v>
      </c>
      <c r="L52" s="60">
        <f>IF('XYLENES-A18'!L16=0,"    -",ROUND('XYLENES-A18'!L45/'XYLENES-A18'!L16*100,1))</f>
        <v>92.5</v>
      </c>
      <c r="M52" s="58">
        <f>IF('XYLENES-A18'!M16=0,"    -",ROUND('XYLENES-A18'!M45/'XYLENES-A18'!M16*100,1))</f>
        <v>92.5</v>
      </c>
      <c r="N52" s="58">
        <f>IF('XYLENES-A18'!N16=0,"    -",ROUND('XYLENES-A18'!N45/'XYLENES-A18'!N16*100,1))</f>
        <v>92.5</v>
      </c>
      <c r="O52" s="58">
        <f>IF('XYLENES-A18'!O16=0,"    -",ROUND('XYLENES-A18'!O45/'XYLENES-A18'!O16*100,1))</f>
        <v>92.5</v>
      </c>
      <c r="P52" s="58">
        <f>IF('XYLENES-A18'!P16=0,"    -",ROUND('XYLENES-A18'!P45/'XYLENES-A18'!P16*100,1))</f>
        <v>92.5</v>
      </c>
      <c r="Q52" s="61">
        <f>IF('XYLENES-A18'!Q16=0,"    -",ROUND('XYLENES-A18'!Q45/'XYLENES-A18'!Q16*100,1))</f>
        <v>92.5</v>
      </c>
    </row>
    <row r="53" spans="2:17" ht="16.5" customHeight="1">
      <c r="B53" s="605" t="s">
        <v>442</v>
      </c>
      <c r="C53" s="606"/>
      <c r="D53" s="57" t="str">
        <f>IF('XYLENES-A18'!D17=0,"    -",ROUND('XYLENES-A18'!D46/'XYLENES-A18'!D17*100,1))</f>
        <v xml:space="preserve">    -</v>
      </c>
      <c r="E53" s="58" t="str">
        <f>IF('XYLENES-A18'!E17=0,"    -",ROUND('XYLENES-A18'!E46/'XYLENES-A18'!E17*100,1))</f>
        <v xml:space="preserve">    -</v>
      </c>
      <c r="F53" s="58" t="str">
        <f>IF('XYLENES-A18'!F17=0,"    -",ROUND('XYLENES-A18'!F46/'XYLENES-A18'!F17*100,1))</f>
        <v xml:space="preserve">    -</v>
      </c>
      <c r="G53" s="58" t="str">
        <f>IF('XYLENES-A18'!G17=0,"    -",ROUND('XYLENES-A18'!G46/'XYLENES-A18'!G17*100,1))</f>
        <v xml:space="preserve">    -</v>
      </c>
      <c r="H53" s="58" t="str">
        <f>IF('XYLENES-A18'!H17=0,"    -",ROUND('XYLENES-A18'!H46/'XYLENES-A18'!H17*100,1))</f>
        <v xml:space="preserve">    -</v>
      </c>
      <c r="I53" s="58" t="str">
        <f>IF('XYLENES-A18'!I17=0,"    -",ROUND('XYLENES-A18'!I46/'XYLENES-A18'!I17*100,1))</f>
        <v xml:space="preserve">    -</v>
      </c>
      <c r="J53" s="58" t="str">
        <f>IF('XYLENES-A18'!J17=0,"    -",ROUND('XYLENES-A18'!J46/'XYLENES-A18'!J17*100,1))</f>
        <v xml:space="preserve">    -</v>
      </c>
      <c r="K53" s="59" t="str">
        <f>IF('XYLENES-A18'!K17=0,"    -",ROUND('XYLENES-A18'!K46/'XYLENES-A18'!K17*100,1))</f>
        <v xml:space="preserve">    -</v>
      </c>
      <c r="L53" s="60" t="str">
        <f>IF('XYLENES-A18'!L17=0,"    -",ROUND('XYLENES-A18'!L46/'XYLENES-A18'!L17*100,1))</f>
        <v xml:space="preserve">    -</v>
      </c>
      <c r="M53" s="58" t="str">
        <f>IF('XYLENES-A18'!M17=0,"    -",ROUND('XYLENES-A18'!M46/'XYLENES-A18'!M17*100,1))</f>
        <v xml:space="preserve">    -</v>
      </c>
      <c r="N53" s="58" t="str">
        <f>IF('XYLENES-A18'!N17=0,"    -",ROUND('XYLENES-A18'!N46/'XYLENES-A18'!N17*100,1))</f>
        <v xml:space="preserve">    -</v>
      </c>
      <c r="O53" s="58" t="str">
        <f>IF('XYLENES-A18'!O17=0,"    -",ROUND('XYLENES-A18'!O46/'XYLENES-A18'!O17*100,1))</f>
        <v xml:space="preserve">    -</v>
      </c>
      <c r="P53" s="58" t="str">
        <f>IF('XYLENES-A18'!P17=0,"    -",ROUND('XYLENES-A18'!P46/'XYLENES-A18'!P17*100,1))</f>
        <v xml:space="preserve">    -</v>
      </c>
      <c r="Q53" s="61" t="str">
        <f>IF('XYLENES-A18'!Q17=0,"    -",ROUND('XYLENES-A18'!Q46/'XYLENES-A18'!Q17*100,1))</f>
        <v xml:space="preserve">    -</v>
      </c>
    </row>
    <row r="54" spans="2:17" ht="16.5" customHeight="1">
      <c r="B54" s="607" t="s">
        <v>443</v>
      </c>
      <c r="C54" s="608"/>
      <c r="D54" s="57">
        <f>IF('XYLENES-A18'!D18=0,"    -",ROUND('XYLENES-A18'!D47/'XYLENES-A18'!D18*100,1))</f>
        <v>76</v>
      </c>
      <c r="E54" s="58">
        <f>IF('XYLENES-A18'!E18=0,"    -",ROUND('XYLENES-A18'!E47/'XYLENES-A18'!E18*100,1))</f>
        <v>73.7</v>
      </c>
      <c r="F54" s="58">
        <f>IF('XYLENES-A18'!F18=0,"    -",ROUND('XYLENES-A18'!F47/'XYLENES-A18'!F18*100,1))</f>
        <v>74.3</v>
      </c>
      <c r="G54" s="58">
        <f>IF('XYLENES-A18'!G18=0,"    -",ROUND('XYLENES-A18'!G47/'XYLENES-A18'!G18*100,1))</f>
        <v>82.1</v>
      </c>
      <c r="H54" s="58">
        <f>IF('XYLENES-A18'!H18=0,"    -",ROUND('XYLENES-A18'!H47/'XYLENES-A18'!H18*100,1))</f>
        <v>69.599999999999994</v>
      </c>
      <c r="I54" s="58">
        <f>IF('XYLENES-A18'!I18=0,"    -",ROUND('XYLENES-A18'!I47/'XYLENES-A18'!I18*100,1))</f>
        <v>75.599999999999994</v>
      </c>
      <c r="J54" s="58">
        <f>IF('XYLENES-A18'!J18=0,"    -",ROUND('XYLENES-A18'!J47/'XYLENES-A18'!J18*100,1))</f>
        <v>75.599999999999994</v>
      </c>
      <c r="K54" s="59">
        <f>IF('XYLENES-A18'!K18=0,"    -",ROUND('XYLENES-A18'!K47/'XYLENES-A18'!K18*100,1))</f>
        <v>76.8</v>
      </c>
      <c r="L54" s="60">
        <f>IF('XYLENES-A18'!L18=0,"    -",ROUND('XYLENES-A18'!L47/'XYLENES-A18'!L18*100,1))</f>
        <v>76.8</v>
      </c>
      <c r="M54" s="58">
        <f>IF('XYLENES-A18'!M18=0,"    -",ROUND('XYLENES-A18'!M47/'XYLENES-A18'!M18*100,1))</f>
        <v>76.8</v>
      </c>
      <c r="N54" s="58">
        <f>IF('XYLENES-A18'!N18=0,"    -",ROUND('XYLENES-A18'!N47/'XYLENES-A18'!N18*100,1))</f>
        <v>76.8</v>
      </c>
      <c r="O54" s="58">
        <f>IF('XYLENES-A18'!O18=0,"    -",ROUND('XYLENES-A18'!O47/'XYLENES-A18'!O18*100,1))</f>
        <v>76.8</v>
      </c>
      <c r="P54" s="58">
        <f>IF('XYLENES-A18'!P18=0,"    -",ROUND('XYLENES-A18'!P47/'XYLENES-A18'!P18*100,1))</f>
        <v>76.8</v>
      </c>
      <c r="Q54" s="61">
        <f>IF('XYLENES-A18'!Q18=0,"    -",ROUND('XYLENES-A18'!Q47/'XYLENES-A18'!Q18*100,1))</f>
        <v>76.8</v>
      </c>
    </row>
    <row r="55" spans="2:17" ht="17.25" customHeight="1">
      <c r="B55" s="674" t="s">
        <v>307</v>
      </c>
      <c r="C55" s="675"/>
      <c r="D55" s="74">
        <f>IF('XYLENES-A18'!D19=0,"    -",ROUND('XYLENES-A18'!D48/'XYLENES-A18'!D19*100,1))</f>
        <v>69.2</v>
      </c>
      <c r="E55" s="75">
        <f>IF('XYLENES-A18'!E19=0,"    -",ROUND('XYLENES-A18'!E48/'XYLENES-A18'!E19*100,1))</f>
        <v>64.099999999999994</v>
      </c>
      <c r="F55" s="75">
        <f>IF('XYLENES-A18'!F19=0,"    -",ROUND('XYLENES-A18'!F48/'XYLENES-A18'!F19*100,1))</f>
        <v>67.7</v>
      </c>
      <c r="G55" s="75">
        <f>IF('XYLENES-A18'!G19=0,"    -",ROUND('XYLENES-A18'!G48/'XYLENES-A18'!G19*100,1))</f>
        <v>69.099999999999994</v>
      </c>
      <c r="H55" s="75">
        <f>IF('XYLENES-A18'!H19=0,"    -",ROUND('XYLENES-A18'!H48/'XYLENES-A18'!H19*100,1))</f>
        <v>59.3</v>
      </c>
      <c r="I55" s="75">
        <f>IF('XYLENES-A18'!I19=0,"    -",ROUND('XYLENES-A18'!I48/'XYLENES-A18'!I19*100,1))</f>
        <v>58.3</v>
      </c>
      <c r="J55" s="75">
        <f>IF('XYLENES-A18'!J19=0,"    -",ROUND('XYLENES-A18'!J48/'XYLENES-A18'!J19*100,1))</f>
        <v>57.7</v>
      </c>
      <c r="K55" s="76">
        <f>IF('XYLENES-A18'!K19=0,"    -",ROUND('XYLENES-A18'!K48/'XYLENES-A18'!K19*100,1))</f>
        <v>58.1</v>
      </c>
      <c r="L55" s="77">
        <f>IF('XYLENES-A18'!L19=0,"    -",ROUND('XYLENES-A18'!L48/'XYLENES-A18'!L19*100,1))</f>
        <v>58.6</v>
      </c>
      <c r="M55" s="75">
        <f>IF('XYLENES-A18'!M19=0,"    -",ROUND('XYLENES-A18'!M48/'XYLENES-A18'!M19*100,1))</f>
        <v>53.1</v>
      </c>
      <c r="N55" s="75">
        <f>IF('XYLENES-A18'!N19=0,"    -",ROUND('XYLENES-A18'!N48/'XYLENES-A18'!N19*100,1))</f>
        <v>50.8</v>
      </c>
      <c r="O55" s="75">
        <f>IF('XYLENES-A18'!O19=0,"    -",ROUND('XYLENES-A18'!O48/'XYLENES-A18'!O19*100,1))</f>
        <v>51.6</v>
      </c>
      <c r="P55" s="75">
        <f>IF('XYLENES-A18'!P19=0,"    -",ROUND('XYLENES-A18'!P48/'XYLENES-A18'!P19*100,1))</f>
        <v>52.6</v>
      </c>
      <c r="Q55" s="78">
        <f>IF('XYLENES-A18'!Q19=0,"    -",ROUND('XYLENES-A18'!Q48/'XYLENES-A18'!Q19*100,1))</f>
        <v>53.9</v>
      </c>
    </row>
    <row r="56" spans="2:17" ht="17.25" customHeight="1">
      <c r="B56" s="672" t="s">
        <v>308</v>
      </c>
      <c r="C56" s="673"/>
      <c r="D56" s="135">
        <f>IF('XYLENES-A18'!D20=0,"    -",ROUND('XYLENES-A18'!D49/'XYLENES-A18'!D20*100,1))</f>
        <v>100</v>
      </c>
      <c r="E56" s="136">
        <f>IF('XYLENES-A18'!E20=0,"    -",ROUND('XYLENES-A18'!E49/'XYLENES-A18'!E20*100,1))</f>
        <v>100</v>
      </c>
      <c r="F56" s="136">
        <f>IF('XYLENES-A18'!F20=0,"    -",ROUND('XYLENES-A18'!F49/'XYLENES-A18'!F20*100,1))</f>
        <v>100</v>
      </c>
      <c r="G56" s="136">
        <f>IF('XYLENES-A18'!G20=0,"    -",ROUND('XYLENES-A18'!G49/'XYLENES-A18'!G20*100,1))</f>
        <v>100</v>
      </c>
      <c r="H56" s="136">
        <f>IF('XYLENES-A18'!H20=0,"    -",ROUND('XYLENES-A18'!H49/'XYLENES-A18'!H20*100,1))</f>
        <v>0</v>
      </c>
      <c r="I56" s="136">
        <f>IF('XYLENES-A18'!I20=0,"    -",ROUND('XYLENES-A18'!I49/'XYLENES-A18'!I20*100,1))</f>
        <v>0</v>
      </c>
      <c r="J56" s="136" t="str">
        <f>IF('XYLENES-A18'!J20=0,"    -",ROUND('XYLENES-A18'!J49/'XYLENES-A18'!J20*100,1))</f>
        <v xml:space="preserve">    -</v>
      </c>
      <c r="K56" s="137" t="str">
        <f>IF('XYLENES-A18'!K20=0,"    -",ROUND('XYLENES-A18'!K49/'XYLENES-A18'!K20*100,1))</f>
        <v xml:space="preserve">    -</v>
      </c>
      <c r="L56" s="135" t="str">
        <f>IF('XYLENES-A18'!L20=0,"    -",ROUND('XYLENES-A18'!L49/'XYLENES-A18'!L20*100,1))</f>
        <v xml:space="preserve">    -</v>
      </c>
      <c r="M56" s="136" t="str">
        <f>IF('XYLENES-A18'!M20=0,"    -",ROUND('XYLENES-A18'!M49/'XYLENES-A18'!M20*100,1))</f>
        <v xml:space="preserve">    -</v>
      </c>
      <c r="N56" s="136" t="str">
        <f>IF('XYLENES-A18'!N20=0,"    -",ROUND('XYLENES-A18'!N49/'XYLENES-A18'!N20*100,1))</f>
        <v xml:space="preserve">    -</v>
      </c>
      <c r="O56" s="136" t="str">
        <f>IF('XYLENES-A18'!O20=0,"    -",ROUND('XYLENES-A18'!O49/'XYLENES-A18'!O20*100,1))</f>
        <v xml:space="preserve">    -</v>
      </c>
      <c r="P56" s="136" t="str">
        <f>IF('XYLENES-A18'!P20=0,"    -",ROUND('XYLENES-A18'!P49/'XYLENES-A18'!P20*100,1))</f>
        <v xml:space="preserve">    -</v>
      </c>
      <c r="Q56" s="137" t="str">
        <f>IF('XYLENES-A18'!Q20=0,"    -",ROUND('XYLENES-A18'!Q49/'XYLENES-A18'!Q20*100,1))</f>
        <v xml:space="preserve">    -</v>
      </c>
    </row>
    <row r="57" spans="2:17" ht="16.5" customHeight="1">
      <c r="B57" s="105"/>
      <c r="C57" s="97" t="s">
        <v>309</v>
      </c>
      <c r="D57" s="135">
        <f>IF('XYLENES-A18'!D21=0,"    -",ROUND('XYLENES-A18'!D50/'XYLENES-A18'!D21*100,1))</f>
        <v>100</v>
      </c>
      <c r="E57" s="136">
        <f>IF('XYLENES-A18'!E21=0,"    -",ROUND('XYLENES-A18'!E50/'XYLENES-A18'!E21*100,1))</f>
        <v>100</v>
      </c>
      <c r="F57" s="136">
        <f>IF('XYLENES-A18'!F21=0,"    -",ROUND('XYLENES-A18'!F50/'XYLENES-A18'!F21*100,1))</f>
        <v>100</v>
      </c>
      <c r="G57" s="136">
        <f>IF('XYLENES-A18'!G21=0,"    -",ROUND('XYLENES-A18'!G50/'XYLENES-A18'!G21*100,1))</f>
        <v>100</v>
      </c>
      <c r="H57" s="136">
        <f>IF('XYLENES-A18'!H21=0,"    -",ROUND('XYLENES-A18'!H50/'XYLENES-A18'!H21*100,1))</f>
        <v>0</v>
      </c>
      <c r="I57" s="136">
        <f>IF('XYLENES-A18'!I21=0,"    -",ROUND('XYLENES-A18'!I50/'XYLENES-A18'!I21*100,1))</f>
        <v>0</v>
      </c>
      <c r="J57" s="136" t="str">
        <f>IF('XYLENES-A18'!J21=0,"    -",ROUND('XYLENES-A18'!J50/'XYLENES-A18'!J21*100,1))</f>
        <v xml:space="preserve">    -</v>
      </c>
      <c r="K57" s="137" t="str">
        <f>IF('XYLENES-A18'!K21=0,"    -",ROUND('XYLENES-A18'!K50/'XYLENES-A18'!K21*100,1))</f>
        <v xml:space="preserve">    -</v>
      </c>
      <c r="L57" s="135" t="str">
        <f>IF('XYLENES-A18'!L21=0,"    -",ROUND('XYLENES-A18'!L50/'XYLENES-A18'!L21*100,1))</f>
        <v xml:space="preserve">    -</v>
      </c>
      <c r="M57" s="136" t="str">
        <f>IF('XYLENES-A18'!M21=0,"    -",ROUND('XYLENES-A18'!M50/'XYLENES-A18'!M21*100,1))</f>
        <v xml:space="preserve">    -</v>
      </c>
      <c r="N57" s="136" t="str">
        <f>IF('XYLENES-A18'!N21=0,"    -",ROUND('XYLENES-A18'!N50/'XYLENES-A18'!N21*100,1))</f>
        <v xml:space="preserve">    -</v>
      </c>
      <c r="O57" s="136" t="str">
        <f>IF('XYLENES-A18'!O21=0,"    -",ROUND('XYLENES-A18'!O50/'XYLENES-A18'!O21*100,1))</f>
        <v xml:space="preserve">    -</v>
      </c>
      <c r="P57" s="136" t="str">
        <f>IF('XYLENES-A18'!P21=0,"    -",ROUND('XYLENES-A18'!P50/'XYLENES-A18'!P21*100,1))</f>
        <v xml:space="preserve">    -</v>
      </c>
      <c r="Q57" s="137" t="str">
        <f>IF('XYLENES-A18'!Q21=0,"    -",ROUND('XYLENES-A18'!Q50/'XYLENES-A18'!Q21*100,1))</f>
        <v xml:space="preserve">    -</v>
      </c>
    </row>
    <row r="58" spans="2:17" ht="17.25" customHeight="1">
      <c r="B58" s="672" t="s">
        <v>310</v>
      </c>
      <c r="C58" s="673"/>
      <c r="D58" s="57">
        <f>IF('XYLENES-A18'!D22=0,"    -",ROUND('XYLENES-A18'!D51/'XYLENES-A18'!D22*100,1))</f>
        <v>54.3</v>
      </c>
      <c r="E58" s="58">
        <f>IF('XYLENES-A18'!E22=0,"    -",ROUND('XYLENES-A18'!E51/'XYLENES-A18'!E22*100,1))</f>
        <v>52.8</v>
      </c>
      <c r="F58" s="58">
        <f>IF('XYLENES-A18'!F22=0,"    -",ROUND('XYLENES-A18'!F51/'XYLENES-A18'!F22*100,1))</f>
        <v>60.7</v>
      </c>
      <c r="G58" s="58">
        <f>IF('XYLENES-A18'!G22=0,"    -",ROUND('XYLENES-A18'!G51/'XYLENES-A18'!G22*100,1))</f>
        <v>60.4</v>
      </c>
      <c r="H58" s="58">
        <f>IF('XYLENES-A18'!H22=0,"    -",ROUND('XYLENES-A18'!H51/'XYLENES-A18'!H22*100,1))</f>
        <v>50.6</v>
      </c>
      <c r="I58" s="58">
        <f>IF('XYLENES-A18'!I22=0,"    -",ROUND('XYLENES-A18'!I51/'XYLENES-A18'!I22*100,1))</f>
        <v>56.5</v>
      </c>
      <c r="J58" s="58">
        <f>IF('XYLENES-A18'!J22=0,"    -",ROUND('XYLENES-A18'!J51/'XYLENES-A18'!J22*100,1))</f>
        <v>53.9</v>
      </c>
      <c r="K58" s="59">
        <f>IF('XYLENES-A18'!K22=0,"    -",ROUND('XYLENES-A18'!K51/'XYLENES-A18'!K22*100,1))</f>
        <v>53.3</v>
      </c>
      <c r="L58" s="57">
        <f>IF('XYLENES-A18'!L22=0,"    -",ROUND('XYLENES-A18'!L51/'XYLENES-A18'!L22*100,1))</f>
        <v>52.9</v>
      </c>
      <c r="M58" s="58">
        <f>IF('XYLENES-A18'!M22=0,"    -",ROUND('XYLENES-A18'!M51/'XYLENES-A18'!M22*100,1))</f>
        <v>54.8</v>
      </c>
      <c r="N58" s="58">
        <f>IF('XYLENES-A18'!N22=0,"    -",ROUND('XYLENES-A18'!N51/'XYLENES-A18'!N22*100,1))</f>
        <v>56.1</v>
      </c>
      <c r="O58" s="58">
        <f>IF('XYLENES-A18'!O22=0,"    -",ROUND('XYLENES-A18'!O51/'XYLENES-A18'!O22*100,1))</f>
        <v>55.5</v>
      </c>
      <c r="P58" s="58">
        <f>IF('XYLENES-A18'!P22=0,"    -",ROUND('XYLENES-A18'!P51/'XYLENES-A18'!P22*100,1))</f>
        <v>55.5</v>
      </c>
      <c r="Q58" s="59">
        <f>IF('XYLENES-A18'!Q22=0,"    -",ROUND('XYLENES-A18'!Q51/'XYLENES-A18'!Q22*100,1))</f>
        <v>55.5</v>
      </c>
    </row>
    <row r="59" spans="2:17" ht="16.5" customHeight="1">
      <c r="B59" s="105"/>
      <c r="C59" s="615" t="s">
        <v>311</v>
      </c>
      <c r="D59" s="74">
        <f>IF('XYLENES-A18'!D23=0,"    -",ROUND('XYLENES-A18'!D52/'XYLENES-A18'!D23*100,1))</f>
        <v>56.8</v>
      </c>
      <c r="E59" s="75">
        <f>IF('XYLENES-A18'!E23=0,"    -",ROUND('XYLENES-A18'!E52/'XYLENES-A18'!E23*100,1))</f>
        <v>56.8</v>
      </c>
      <c r="F59" s="75">
        <f>IF('XYLENES-A18'!F23=0,"    -",ROUND('XYLENES-A18'!F52/'XYLENES-A18'!F23*100,1))</f>
        <v>69.2</v>
      </c>
      <c r="G59" s="75">
        <f>IF('XYLENES-A18'!G23=0,"    -",ROUND('XYLENES-A18'!G52/'XYLENES-A18'!G23*100,1))</f>
        <v>67.900000000000006</v>
      </c>
      <c r="H59" s="75">
        <f>IF('XYLENES-A18'!H23=0,"    -",ROUND('XYLENES-A18'!H52/'XYLENES-A18'!H23*100,1))</f>
        <v>46.9</v>
      </c>
      <c r="I59" s="75">
        <f>IF('XYLENES-A18'!I23=0,"    -",ROUND('XYLENES-A18'!I52/'XYLENES-A18'!I23*100,1))</f>
        <v>52.8</v>
      </c>
      <c r="J59" s="75">
        <f>IF('XYLENES-A18'!J23=0,"    -",ROUND('XYLENES-A18'!J52/'XYLENES-A18'!J23*100,1))</f>
        <v>50</v>
      </c>
      <c r="K59" s="76">
        <f>IF('XYLENES-A18'!K23=0,"    -",ROUND('XYLENES-A18'!K52/'XYLENES-A18'!K23*100,1))</f>
        <v>49.5</v>
      </c>
      <c r="L59" s="74">
        <f>IF('XYLENES-A18'!L23=0,"    -",ROUND('XYLENES-A18'!L52/'XYLENES-A18'!L23*100,1))</f>
        <v>49.7</v>
      </c>
      <c r="M59" s="75">
        <f>IF('XYLENES-A18'!M23=0,"    -",ROUND('XYLENES-A18'!M52/'XYLENES-A18'!M23*100,1))</f>
        <v>51.6</v>
      </c>
      <c r="N59" s="75">
        <f>IF('XYLENES-A18'!N23=0,"    -",ROUND('XYLENES-A18'!N52/'XYLENES-A18'!N23*100,1))</f>
        <v>52.3</v>
      </c>
      <c r="O59" s="75">
        <f>IF('XYLENES-A18'!O23=0,"    -",ROUND('XYLENES-A18'!O52/'XYLENES-A18'!O23*100,1))</f>
        <v>52.7</v>
      </c>
      <c r="P59" s="75">
        <f>IF('XYLENES-A18'!P23=0,"    -",ROUND('XYLENES-A18'!P52/'XYLENES-A18'!P23*100,1))</f>
        <v>52.7</v>
      </c>
      <c r="Q59" s="76">
        <f>IF('XYLENES-A18'!Q23=0,"    -",ROUND('XYLENES-A18'!Q52/'XYLENES-A18'!Q23*100,1))</f>
        <v>52.7</v>
      </c>
    </row>
    <row r="60" spans="2:17" ht="17.25" customHeight="1">
      <c r="B60" s="672" t="s">
        <v>312</v>
      </c>
      <c r="C60" s="673"/>
      <c r="D60" s="57">
        <f>IF('XYLENES-A18'!D24=0,"    -",ROUND('XYLENES-A18'!D53/'XYLENES-A18'!D24*100,1))</f>
        <v>74.5</v>
      </c>
      <c r="E60" s="58">
        <f>IF('XYLENES-A18'!E24=0,"    -",ROUND('XYLENES-A18'!E53/'XYLENES-A18'!E24*100,1))</f>
        <v>43.9</v>
      </c>
      <c r="F60" s="58">
        <f>IF('XYLENES-A18'!F24=0,"    -",ROUND('XYLENES-A18'!F53/'XYLENES-A18'!F24*100,1))</f>
        <v>72.599999999999994</v>
      </c>
      <c r="G60" s="58">
        <f>IF('XYLENES-A18'!G24=0,"    -",ROUND('XYLENES-A18'!G53/'XYLENES-A18'!G24*100,1))</f>
        <v>70</v>
      </c>
      <c r="H60" s="58">
        <f>IF('XYLENES-A18'!H24=0,"    -",ROUND('XYLENES-A18'!H53/'XYLENES-A18'!H24*100,1))</f>
        <v>74.2</v>
      </c>
      <c r="I60" s="58">
        <f>IF('XYLENES-A18'!I24=0,"    -",ROUND('XYLENES-A18'!I53/'XYLENES-A18'!I24*100,1))</f>
        <v>73.8</v>
      </c>
      <c r="J60" s="58">
        <f>IF('XYLENES-A18'!J24=0,"    -",ROUND('XYLENES-A18'!J53/'XYLENES-A18'!J24*100,1))</f>
        <v>73.8</v>
      </c>
      <c r="K60" s="59">
        <f>IF('XYLENES-A18'!K24=0,"    -",ROUND('XYLENES-A18'!K53/'XYLENES-A18'!K24*100,1))</f>
        <v>73.8</v>
      </c>
      <c r="L60" s="57">
        <f>IF('XYLENES-A18'!L24=0,"    -",ROUND('XYLENES-A18'!L53/'XYLENES-A18'!L24*100,1))</f>
        <v>68.5</v>
      </c>
      <c r="M60" s="58">
        <f>IF('XYLENES-A18'!M24=0,"    -",ROUND('XYLENES-A18'!M53/'XYLENES-A18'!M24*100,1))</f>
        <v>79.7</v>
      </c>
      <c r="N60" s="58">
        <f>IF('XYLENES-A18'!N24=0,"    -",ROUND('XYLENES-A18'!N53/'XYLENES-A18'!N24*100,1))</f>
        <v>79.7</v>
      </c>
      <c r="O60" s="58">
        <f>IF('XYLENES-A18'!O24=0,"    -",ROUND('XYLENES-A18'!O53/'XYLENES-A18'!O24*100,1))</f>
        <v>78.5</v>
      </c>
      <c r="P60" s="58">
        <f>IF('XYLENES-A18'!P24=0,"    -",ROUND('XYLENES-A18'!P53/'XYLENES-A18'!P24*100,1))</f>
        <v>85.6</v>
      </c>
      <c r="Q60" s="59">
        <f>IF('XYLENES-A18'!Q24=0,"    -",ROUND('XYLENES-A18'!Q53/'XYLENES-A18'!Q24*100,1))</f>
        <v>85.6</v>
      </c>
    </row>
    <row r="61" spans="2:17" ht="16.5" customHeight="1">
      <c r="B61" s="16"/>
      <c r="C61" s="615" t="s">
        <v>313</v>
      </c>
      <c r="D61" s="74" t="str">
        <f>IF('XYLENES-A18'!D25=0,"    -",ROUND('XYLENES-A18'!D54/'XYLENES-A18'!D25*100,1))</f>
        <v xml:space="preserve">    -</v>
      </c>
      <c r="E61" s="75">
        <f>IF('XYLENES-A18'!E25=0,"    -",ROUND('XYLENES-A18'!E54/'XYLENES-A18'!E25*100,1))</f>
        <v>66.7</v>
      </c>
      <c r="F61" s="75">
        <f>IF('XYLENES-A18'!F25=0,"    -",ROUND('XYLENES-A18'!F54/'XYLENES-A18'!F25*100,1))</f>
        <v>44.4</v>
      </c>
      <c r="G61" s="75">
        <f>IF('XYLENES-A18'!G25=0,"    -",ROUND('XYLENES-A18'!G54/'XYLENES-A18'!G25*100,1))</f>
        <v>46.3</v>
      </c>
      <c r="H61" s="75">
        <f>IF('XYLENES-A18'!H25=0,"    -",ROUND('XYLENES-A18'!H54/'XYLENES-A18'!H25*100,1))</f>
        <v>58</v>
      </c>
      <c r="I61" s="75">
        <f>IF('XYLENES-A18'!I25=0,"    -",ROUND('XYLENES-A18'!I54/'XYLENES-A18'!I25*100,1))</f>
        <v>72.5</v>
      </c>
      <c r="J61" s="75">
        <f>IF('XYLENES-A18'!J25=0,"    -",ROUND('XYLENES-A18'!J54/'XYLENES-A18'!J25*100,1))</f>
        <v>72.5</v>
      </c>
      <c r="K61" s="76">
        <f>IF('XYLENES-A18'!K25=0,"    -",ROUND('XYLENES-A18'!K54/'XYLENES-A18'!K25*100,1))</f>
        <v>72.5</v>
      </c>
      <c r="L61" s="74">
        <f>IF('XYLENES-A18'!L25=0,"    -",ROUND('XYLENES-A18'!L54/'XYLENES-A18'!L25*100,1))</f>
        <v>60.6</v>
      </c>
      <c r="M61" s="75">
        <f>IF('XYLENES-A18'!M25=0,"    -",ROUND('XYLENES-A18'!M54/'XYLENES-A18'!M25*100,1))</f>
        <v>87.1</v>
      </c>
      <c r="N61" s="75">
        <f>IF('XYLENES-A18'!N25=0,"    -",ROUND('XYLENES-A18'!N54/'XYLENES-A18'!N25*100,1))</f>
        <v>87.1</v>
      </c>
      <c r="O61" s="75">
        <f>IF('XYLENES-A18'!O25=0,"    -",ROUND('XYLENES-A18'!O54/'XYLENES-A18'!O25*100,1))</f>
        <v>90.8</v>
      </c>
      <c r="P61" s="75">
        <f>IF('XYLENES-A18'!P25=0,"    -",ROUND('XYLENES-A18'!P54/'XYLENES-A18'!P25*100,1))</f>
        <v>90.8</v>
      </c>
      <c r="Q61" s="76">
        <f>IF('XYLENES-A18'!Q25=0,"    -",ROUND('XYLENES-A18'!Q54/'XYLENES-A18'!Q25*100,1))</f>
        <v>90.8</v>
      </c>
    </row>
    <row r="62" spans="2:17" ht="17.25" customHeight="1">
      <c r="B62" s="674" t="s">
        <v>314</v>
      </c>
      <c r="C62" s="675"/>
      <c r="D62" s="57">
        <f>IF('XYLENES-A18'!D26=0,"    -",ROUND('XYLENES-A18'!D55/'XYLENES-A18'!D26*100,1))</f>
        <v>38.799999999999997</v>
      </c>
      <c r="E62" s="58">
        <f>IF('XYLENES-A18'!E26=0,"    -",ROUND('XYLENES-A18'!E55/'XYLENES-A18'!E26*100,1))</f>
        <v>40</v>
      </c>
      <c r="F62" s="58">
        <f>IF('XYLENES-A18'!F26=0,"    -",ROUND('XYLENES-A18'!F55/'XYLENES-A18'!F26*100,1))</f>
        <v>20</v>
      </c>
      <c r="G62" s="58">
        <f>IF('XYLENES-A18'!G26=0,"    -",ROUND('XYLENES-A18'!G55/'XYLENES-A18'!G26*100,1))</f>
        <v>20</v>
      </c>
      <c r="H62" s="58">
        <f>IF('XYLENES-A18'!H26=0,"    -",ROUND('XYLENES-A18'!H55/'XYLENES-A18'!H26*100,1))</f>
        <v>40</v>
      </c>
      <c r="I62" s="58">
        <f>IF('XYLENES-A18'!I26=0,"    -",ROUND('XYLENES-A18'!I55/'XYLENES-A18'!I26*100,1))</f>
        <v>0</v>
      </c>
      <c r="J62" s="58">
        <f>IF('XYLENES-A18'!J26=0,"    -",ROUND('XYLENES-A18'!J55/'XYLENES-A18'!J26*100,1))</f>
        <v>85</v>
      </c>
      <c r="K62" s="59">
        <f>IF('XYLENES-A18'!K26=0,"    -",ROUND('XYLENES-A18'!K55/'XYLENES-A18'!K26*100,1))</f>
        <v>85</v>
      </c>
      <c r="L62" s="57">
        <f>IF('XYLENES-A18'!L26=0,"    -",ROUND('XYLENES-A18'!L55/'XYLENES-A18'!L26*100,1))</f>
        <v>85</v>
      </c>
      <c r="M62" s="58">
        <f>IF('XYLENES-A18'!M26=0,"    -",ROUND('XYLENES-A18'!M55/'XYLENES-A18'!M26*100,1))</f>
        <v>85</v>
      </c>
      <c r="N62" s="58">
        <f>IF('XYLENES-A18'!N26=0,"    -",ROUND('XYLENES-A18'!N55/'XYLENES-A18'!N26*100,1))</f>
        <v>85</v>
      </c>
      <c r="O62" s="58">
        <f>IF('XYLENES-A18'!O26=0,"    -",ROUND('XYLENES-A18'!O55/'XYLENES-A18'!O26*100,1))</f>
        <v>85</v>
      </c>
      <c r="P62" s="58">
        <f>IF('XYLENES-A18'!P26=0,"    -",ROUND('XYLENES-A18'!P55/'XYLENES-A18'!P26*100,1))</f>
        <v>85</v>
      </c>
      <c r="Q62" s="59">
        <f>IF('XYLENES-A18'!Q26=0,"    -",ROUND('XYLENES-A18'!Q55/'XYLENES-A18'!Q26*100,1))</f>
        <v>85</v>
      </c>
    </row>
    <row r="63" spans="2:17" ht="17.25" customHeight="1">
      <c r="B63" s="674" t="s">
        <v>315</v>
      </c>
      <c r="C63" s="675"/>
      <c r="D63" s="74">
        <f>IF('XYLENES-A18'!D27=0,"    -",ROUND('XYLENES-A18'!D56/'XYLENES-A18'!D27*100,1))</f>
        <v>82.5</v>
      </c>
      <c r="E63" s="75">
        <f>IF('XYLENES-A18'!E27=0,"    -",ROUND('XYLENES-A18'!E56/'XYLENES-A18'!E27*100,1))</f>
        <v>82.2</v>
      </c>
      <c r="F63" s="75">
        <f>IF('XYLENES-A18'!F27=0,"    -",ROUND('XYLENES-A18'!F56/'XYLENES-A18'!F27*100,1))</f>
        <v>77.400000000000006</v>
      </c>
      <c r="G63" s="75">
        <f>IF('XYLENES-A18'!G27=0,"    -",ROUND('XYLENES-A18'!G56/'XYLENES-A18'!G27*100,1))</f>
        <v>75.8</v>
      </c>
      <c r="H63" s="75">
        <f>IF('XYLENES-A18'!H27=0,"    -",ROUND('XYLENES-A18'!H56/'XYLENES-A18'!H27*100,1))</f>
        <v>65.400000000000006</v>
      </c>
      <c r="I63" s="75">
        <f>IF('XYLENES-A18'!I27=0,"    -",ROUND('XYLENES-A18'!I56/'XYLENES-A18'!I27*100,1))</f>
        <v>69.400000000000006</v>
      </c>
      <c r="J63" s="75">
        <f>IF('XYLENES-A18'!J27=0,"    -",ROUND('XYLENES-A18'!J56/'XYLENES-A18'!J27*100,1))</f>
        <v>70.7</v>
      </c>
      <c r="K63" s="76">
        <f>IF('XYLENES-A18'!K27=0,"    -",ROUND('XYLENES-A18'!K56/'XYLENES-A18'!K27*100,1))</f>
        <v>68.5</v>
      </c>
      <c r="L63" s="77">
        <f>IF('XYLENES-A18'!L27=0,"    -",ROUND('XYLENES-A18'!L56/'XYLENES-A18'!L27*100,1))</f>
        <v>69.599999999999994</v>
      </c>
      <c r="M63" s="75">
        <f>IF('XYLENES-A18'!M27=0,"    -",ROUND('XYLENES-A18'!M56/'XYLENES-A18'!M27*100,1))</f>
        <v>70.5</v>
      </c>
      <c r="N63" s="75">
        <f>IF('XYLENES-A18'!N27=0,"    -",ROUND('XYLENES-A18'!N56/'XYLENES-A18'!N27*100,1))</f>
        <v>71.5</v>
      </c>
      <c r="O63" s="75">
        <f>IF('XYLENES-A18'!O27=0,"    -",ROUND('XYLENES-A18'!O56/'XYLENES-A18'!O27*100,1))</f>
        <v>72.599999999999994</v>
      </c>
      <c r="P63" s="75">
        <f>IF('XYLENES-A18'!P27=0,"    -",ROUND('XYLENES-A18'!P56/'XYLENES-A18'!P27*100,1))</f>
        <v>73.7</v>
      </c>
      <c r="Q63" s="78">
        <f>IF('XYLENES-A18'!Q27=0,"    -",ROUND('XYLENES-A18'!Q56/'XYLENES-A18'!Q27*100,1))</f>
        <v>74.8</v>
      </c>
    </row>
    <row r="64" spans="2:17" ht="16.5" customHeight="1">
      <c r="B64" s="672" t="s">
        <v>316</v>
      </c>
      <c r="C64" s="673"/>
      <c r="D64" s="57">
        <f>IF('XYLENES-A18'!D28=0,"    -",ROUND('XYLENES-A18'!D57/'XYLENES-A18'!D28*100,1))</f>
        <v>60</v>
      </c>
      <c r="E64" s="58">
        <f>IF('XYLENES-A18'!E28=0,"    -",ROUND('XYLENES-A18'!E57/'XYLENES-A18'!E28*100,1))</f>
        <v>60</v>
      </c>
      <c r="F64" s="58">
        <f>IF('XYLENES-A18'!F28=0,"    -",ROUND('XYLENES-A18'!F57/'XYLENES-A18'!F28*100,1))</f>
        <v>60</v>
      </c>
      <c r="G64" s="58">
        <f>IF('XYLENES-A18'!G28=0,"    -",ROUND('XYLENES-A18'!G57/'XYLENES-A18'!G28*100,1))</f>
        <v>60</v>
      </c>
      <c r="H64" s="58">
        <f>IF('XYLENES-A18'!H28=0,"    -",ROUND('XYLENES-A18'!H57/'XYLENES-A18'!H28*100,1))</f>
        <v>60</v>
      </c>
      <c r="I64" s="58">
        <f>IF('XYLENES-A18'!I28=0,"    -",ROUND('XYLENES-A18'!I57/'XYLENES-A18'!I28*100,1))</f>
        <v>60</v>
      </c>
      <c r="J64" s="58">
        <f>IF('XYLENES-A18'!J28=0,"    -",ROUND('XYLENES-A18'!J57/'XYLENES-A18'!J28*100,1))</f>
        <v>59.9</v>
      </c>
      <c r="K64" s="59">
        <f>IF('XYLENES-A18'!K28=0,"    -",ROUND('XYLENES-A18'!K57/'XYLENES-A18'!K28*100,1))</f>
        <v>64.7</v>
      </c>
      <c r="L64" s="60">
        <f>IF('XYLENES-A18'!L28=0,"    -",ROUND('XYLENES-A18'!L57/'XYLENES-A18'!L28*100,1))</f>
        <v>60</v>
      </c>
      <c r="M64" s="58">
        <f>IF('XYLENES-A18'!M28=0,"    -",ROUND('XYLENES-A18'!M57/'XYLENES-A18'!M28*100,1))</f>
        <v>60</v>
      </c>
      <c r="N64" s="58">
        <f>IF('XYLENES-A18'!N28=0,"    -",ROUND('XYLENES-A18'!N57/'XYLENES-A18'!N28*100,1))</f>
        <v>60</v>
      </c>
      <c r="O64" s="58">
        <f>IF('XYLENES-A18'!O28=0,"    -",ROUND('XYLENES-A18'!O57/'XYLENES-A18'!O28*100,1))</f>
        <v>60</v>
      </c>
      <c r="P64" s="58">
        <f>IF('XYLENES-A18'!P28=0,"    -",ROUND('XYLENES-A18'!P57/'XYLENES-A18'!P28*100,1))</f>
        <v>60</v>
      </c>
      <c r="Q64" s="61">
        <f>IF('XYLENES-A18'!Q28=0,"    -",ROUND('XYLENES-A18'!Q57/'XYLENES-A18'!Q28*100,1))</f>
        <v>60</v>
      </c>
    </row>
    <row r="65" spans="2:17" ht="16.5" customHeight="1">
      <c r="B65" s="670" t="s">
        <v>317</v>
      </c>
      <c r="C65" s="671"/>
      <c r="D65" s="57">
        <f>IF('XYLENES-A18'!D29=0,"    -",ROUND('XYLENES-A18'!D58/'XYLENES-A18'!D29*100,1))</f>
        <v>90</v>
      </c>
      <c r="E65" s="58">
        <f>IF('XYLENES-A18'!E29=0,"    -",ROUND('XYLENES-A18'!E58/'XYLENES-A18'!E29*100,1))</f>
        <v>90</v>
      </c>
      <c r="F65" s="58">
        <f>IF('XYLENES-A18'!F29=0,"    -",ROUND('XYLENES-A18'!F58/'XYLENES-A18'!F29*100,1))</f>
        <v>90</v>
      </c>
      <c r="G65" s="58">
        <f>IF('XYLENES-A18'!G29=0,"    -",ROUND('XYLENES-A18'!G58/'XYLENES-A18'!G29*100,1))</f>
        <v>90</v>
      </c>
      <c r="H65" s="58">
        <f>IF('XYLENES-A18'!H29=0,"    -",ROUND('XYLENES-A18'!H58/'XYLENES-A18'!H29*100,1))</f>
        <v>90</v>
      </c>
      <c r="I65" s="58">
        <f>IF('XYLENES-A18'!I29=0,"    -",ROUND('XYLENES-A18'!I58/'XYLENES-A18'!I29*100,1))</f>
        <v>90</v>
      </c>
      <c r="J65" s="58">
        <f>IF('XYLENES-A18'!J29=0,"    -",ROUND('XYLENES-A18'!J58/'XYLENES-A18'!J29*100,1))</f>
        <v>90</v>
      </c>
      <c r="K65" s="59">
        <f>IF('XYLENES-A18'!K29=0,"    -",ROUND('XYLENES-A18'!K58/'XYLENES-A18'!K29*100,1))</f>
        <v>90</v>
      </c>
      <c r="L65" s="60">
        <f>IF('XYLENES-A18'!L29=0,"    -",ROUND('XYLENES-A18'!L58/'XYLENES-A18'!L29*100,1))</f>
        <v>90</v>
      </c>
      <c r="M65" s="58">
        <f>IF('XYLENES-A18'!M29=0,"    -",ROUND('XYLENES-A18'!M58/'XYLENES-A18'!M29*100,1))</f>
        <v>90</v>
      </c>
      <c r="N65" s="58">
        <f>IF('XYLENES-A18'!N29=0,"    -",ROUND('XYLENES-A18'!N58/'XYLENES-A18'!N29*100,1))</f>
        <v>90</v>
      </c>
      <c r="O65" s="58">
        <f>IF('XYLENES-A18'!O29=0,"    -",ROUND('XYLENES-A18'!O58/'XYLENES-A18'!O29*100,1))</f>
        <v>90</v>
      </c>
      <c r="P65" s="58">
        <f>IF('XYLENES-A18'!P29=0,"    -",ROUND('XYLENES-A18'!P58/'XYLENES-A18'!P29*100,1))</f>
        <v>90.1</v>
      </c>
      <c r="Q65" s="61">
        <f>IF('XYLENES-A18'!Q29=0,"    -",ROUND('XYLENES-A18'!Q58/'XYLENES-A18'!Q29*100,1))</f>
        <v>90.1</v>
      </c>
    </row>
    <row r="66" spans="2:17" ht="17.25" customHeight="1">
      <c r="B66" s="674" t="s">
        <v>318</v>
      </c>
      <c r="C66" s="675"/>
      <c r="D66" s="74">
        <f>IF('XYLENES-A18'!D30=0,"    -",ROUND('XYLENES-A18'!D59/'XYLENES-A18'!D30*100,1))</f>
        <v>61.8</v>
      </c>
      <c r="E66" s="75">
        <f>IF('XYLENES-A18'!E30=0,"    -",ROUND('XYLENES-A18'!E59/'XYLENES-A18'!E30*100,1))</f>
        <v>61.8</v>
      </c>
      <c r="F66" s="75">
        <f>IF('XYLENES-A18'!F30=0,"    -",ROUND('XYLENES-A18'!F59/'XYLENES-A18'!F30*100,1))</f>
        <v>61.9</v>
      </c>
      <c r="G66" s="75">
        <f>IF('XYLENES-A18'!G30=0,"    -",ROUND('XYLENES-A18'!G59/'XYLENES-A18'!G30*100,1))</f>
        <v>61.9</v>
      </c>
      <c r="H66" s="75">
        <f>IF('XYLENES-A18'!H30=0,"    -",ROUND('XYLENES-A18'!H59/'XYLENES-A18'!H30*100,1))</f>
        <v>62.1</v>
      </c>
      <c r="I66" s="75">
        <f>IF('XYLENES-A18'!I30=0,"    -",ROUND('XYLENES-A18'!I59/'XYLENES-A18'!I30*100,1))</f>
        <v>62.2</v>
      </c>
      <c r="J66" s="75">
        <f>IF('XYLENES-A18'!J30=0,"    -",ROUND('XYLENES-A18'!J59/'XYLENES-A18'!J30*100,1))</f>
        <v>62.1</v>
      </c>
      <c r="K66" s="76">
        <f>IF('XYLENES-A18'!K30=0,"    -",ROUND('XYLENES-A18'!K59/'XYLENES-A18'!K30*100,1))</f>
        <v>66.5</v>
      </c>
      <c r="L66" s="77">
        <f>IF('XYLENES-A18'!L30=0,"    -",ROUND('XYLENES-A18'!L59/'XYLENES-A18'!L30*100,1))</f>
        <v>62</v>
      </c>
      <c r="M66" s="75">
        <f>IF('XYLENES-A18'!M30=0,"    -",ROUND('XYLENES-A18'!M59/'XYLENES-A18'!M30*100,1))</f>
        <v>61.9</v>
      </c>
      <c r="N66" s="75">
        <f>IF('XYLENES-A18'!N30=0,"    -",ROUND('XYLENES-A18'!N59/'XYLENES-A18'!N30*100,1))</f>
        <v>61.9</v>
      </c>
      <c r="O66" s="75">
        <f>IF('XYLENES-A18'!O30=0,"    -",ROUND('XYLENES-A18'!O59/'XYLENES-A18'!O30*100,1))</f>
        <v>61.9</v>
      </c>
      <c r="P66" s="75">
        <f>IF('XYLENES-A18'!P30=0,"    -",ROUND('XYLENES-A18'!P59/'XYLENES-A18'!P30*100,1))</f>
        <v>61.9</v>
      </c>
      <c r="Q66" s="78">
        <f>IF('XYLENES-A18'!Q30=0,"    -",ROUND('XYLENES-A18'!Q59/'XYLENES-A18'!Q30*100,1))</f>
        <v>61.9</v>
      </c>
    </row>
    <row r="67" spans="2:17" ht="16.5" customHeight="1">
      <c r="B67" s="672" t="s">
        <v>319</v>
      </c>
      <c r="C67" s="673"/>
      <c r="D67" s="57">
        <f>IF('XYLENES-A18'!D31=0,"    -",ROUND('XYLENES-A18'!D60/'XYLENES-A18'!D31*100,1))</f>
        <v>77.099999999999994</v>
      </c>
      <c r="E67" s="58">
        <f>IF('XYLENES-A18'!E31=0,"    -",ROUND('XYLENES-A18'!E60/'XYLENES-A18'!E31*100,1))</f>
        <v>78.099999999999994</v>
      </c>
      <c r="F67" s="58">
        <f>IF('XYLENES-A18'!F31=0,"    -",ROUND('XYLENES-A18'!F60/'XYLENES-A18'!F31*100,1))</f>
        <v>71</v>
      </c>
      <c r="G67" s="58">
        <f>IF('XYLENES-A18'!G31=0,"    -",ROUND('XYLENES-A18'!G60/'XYLENES-A18'!G31*100,1))</f>
        <v>71</v>
      </c>
      <c r="H67" s="58">
        <f>IF('XYLENES-A18'!H31=0,"    -",ROUND('XYLENES-A18'!H60/'XYLENES-A18'!H31*100,1))</f>
        <v>71</v>
      </c>
      <c r="I67" s="58">
        <f>IF('XYLENES-A18'!I31=0,"    -",ROUND('XYLENES-A18'!I60/'XYLENES-A18'!I31*100,1))</f>
        <v>71</v>
      </c>
      <c r="J67" s="58">
        <f>IF('XYLENES-A18'!J31=0,"    -",ROUND('XYLENES-A18'!J60/'XYLENES-A18'!J31*100,1))</f>
        <v>71.099999999999994</v>
      </c>
      <c r="K67" s="59">
        <f>IF('XYLENES-A18'!K31=0,"    -",ROUND('XYLENES-A18'!K60/'XYLENES-A18'!K31*100,1))</f>
        <v>71.099999999999994</v>
      </c>
      <c r="L67" s="60">
        <f>IF('XYLENES-A18'!L31=0,"    -",ROUND('XYLENES-A18'!L60/'XYLENES-A18'!L31*100,1))</f>
        <v>71</v>
      </c>
      <c r="M67" s="58">
        <f>IF('XYLENES-A18'!M31=0,"    -",ROUND('XYLENES-A18'!M60/'XYLENES-A18'!M31*100,1))</f>
        <v>71</v>
      </c>
      <c r="N67" s="58">
        <f>IF('XYLENES-A18'!N31=0,"    -",ROUND('XYLENES-A18'!N60/'XYLENES-A18'!N31*100,1))</f>
        <v>71</v>
      </c>
      <c r="O67" s="58">
        <f>IF('XYLENES-A18'!O31=0,"    -",ROUND('XYLENES-A18'!O60/'XYLENES-A18'!O31*100,1))</f>
        <v>71</v>
      </c>
      <c r="P67" s="58">
        <f>IF('XYLENES-A18'!P31=0,"    -",ROUND('XYLENES-A18'!P60/'XYLENES-A18'!P31*100,1))</f>
        <v>71</v>
      </c>
      <c r="Q67" s="61">
        <f>IF('XYLENES-A18'!Q31=0,"    -",ROUND('XYLENES-A18'!Q60/'XYLENES-A18'!Q31*100,1))</f>
        <v>71</v>
      </c>
    </row>
    <row r="68" spans="2:17" ht="16.5" customHeight="1">
      <c r="B68" s="668" t="s">
        <v>320</v>
      </c>
      <c r="C68" s="669"/>
      <c r="D68" s="57">
        <f>IF('XYLENES-A18'!D32=0,"    -",ROUND('XYLENES-A18'!D61/'XYLENES-A18'!D32*100,1))</f>
        <v>95</v>
      </c>
      <c r="E68" s="58">
        <f>IF('XYLENES-A18'!E32=0,"    -",ROUND('XYLENES-A18'!E61/'XYLENES-A18'!E32*100,1))</f>
        <v>95</v>
      </c>
      <c r="F68" s="58">
        <f>IF('XYLENES-A18'!F32=0,"    -",ROUND('XYLENES-A18'!F61/'XYLENES-A18'!F32*100,1))</f>
        <v>95</v>
      </c>
      <c r="G68" s="58">
        <f>IF('XYLENES-A18'!G32=0,"    -",ROUND('XYLENES-A18'!G61/'XYLENES-A18'!G32*100,1))</f>
        <v>95</v>
      </c>
      <c r="H68" s="58">
        <f>IF('XYLENES-A18'!H32=0,"    -",ROUND('XYLENES-A18'!H61/'XYLENES-A18'!H32*100,1))</f>
        <v>95</v>
      </c>
      <c r="I68" s="58">
        <f>IF('XYLENES-A18'!I32=0,"    -",ROUND('XYLENES-A18'!I61/'XYLENES-A18'!I32*100,1))</f>
        <v>95</v>
      </c>
      <c r="J68" s="58">
        <f>IF('XYLENES-A18'!J32=0,"    -",ROUND('XYLENES-A18'!J61/'XYLENES-A18'!J32*100,1))</f>
        <v>95</v>
      </c>
      <c r="K68" s="59">
        <f>IF('XYLENES-A18'!K32=0,"    -",ROUND('XYLENES-A18'!K61/'XYLENES-A18'!K32*100,1))</f>
        <v>95</v>
      </c>
      <c r="L68" s="60">
        <f>IF('XYLENES-A18'!L32=0,"    -",ROUND('XYLENES-A18'!L61/'XYLENES-A18'!L32*100,1))</f>
        <v>95</v>
      </c>
      <c r="M68" s="58">
        <f>IF('XYLENES-A18'!M32=0,"    -",ROUND('XYLENES-A18'!M61/'XYLENES-A18'!M32*100,1))</f>
        <v>95</v>
      </c>
      <c r="N68" s="58">
        <f>IF('XYLENES-A18'!N32=0,"    -",ROUND('XYLENES-A18'!N61/'XYLENES-A18'!N32*100,1))</f>
        <v>95</v>
      </c>
      <c r="O68" s="58">
        <f>IF('XYLENES-A18'!O32=0,"    -",ROUND('XYLENES-A18'!O61/'XYLENES-A18'!O32*100,1))</f>
        <v>95</v>
      </c>
      <c r="P68" s="58">
        <f>IF('XYLENES-A18'!P32=0,"    -",ROUND('XYLENES-A18'!P61/'XYLENES-A18'!P32*100,1))</f>
        <v>95.1</v>
      </c>
      <c r="Q68" s="61">
        <f>IF('XYLENES-A18'!Q32=0,"    -",ROUND('XYLENES-A18'!Q61/'XYLENES-A18'!Q32*100,1))</f>
        <v>95.1</v>
      </c>
    </row>
    <row r="69" spans="2:17" ht="16.5" customHeight="1">
      <c r="B69" s="670" t="s">
        <v>321</v>
      </c>
      <c r="C69" s="671"/>
      <c r="D69" s="57">
        <f>IF('XYLENES-A18'!D33=0,"    -",ROUND('XYLENES-A18'!D62/'XYLENES-A18'!D33*100,1))</f>
        <v>97.1</v>
      </c>
      <c r="E69" s="58">
        <f>IF('XYLENES-A18'!E33=0,"    -",ROUND('XYLENES-A18'!E62/'XYLENES-A18'!E33*100,1))</f>
        <v>97.1</v>
      </c>
      <c r="F69" s="58">
        <f>IF('XYLENES-A18'!F33=0,"    -",ROUND('XYLENES-A18'!F62/'XYLENES-A18'!F33*100,1))</f>
        <v>97.1</v>
      </c>
      <c r="G69" s="58">
        <f>IF('XYLENES-A18'!G33=0,"    -",ROUND('XYLENES-A18'!G62/'XYLENES-A18'!G33*100,1))</f>
        <v>97.1</v>
      </c>
      <c r="H69" s="58">
        <f>IF('XYLENES-A18'!H33=0,"    -",ROUND('XYLENES-A18'!H62/'XYLENES-A18'!H33*100,1))</f>
        <v>97.1</v>
      </c>
      <c r="I69" s="58">
        <f>IF('XYLENES-A18'!I33=0,"    -",ROUND('XYLENES-A18'!I62/'XYLENES-A18'!I33*100,1))</f>
        <v>97.1</v>
      </c>
      <c r="J69" s="58">
        <f>IF('XYLENES-A18'!J33=0,"    -",ROUND('XYLENES-A18'!J62/'XYLENES-A18'!J33*100,1))</f>
        <v>89</v>
      </c>
      <c r="K69" s="59">
        <f>IF('XYLENES-A18'!K33=0,"    -",ROUND('XYLENES-A18'!K62/'XYLENES-A18'!K33*100,1))</f>
        <v>89</v>
      </c>
      <c r="L69" s="60">
        <f>IF('XYLENES-A18'!L33=0,"    -",ROUND('XYLENES-A18'!L62/'XYLENES-A18'!L33*100,1))</f>
        <v>89.2</v>
      </c>
      <c r="M69" s="58">
        <f>IF('XYLENES-A18'!M33=0,"    -",ROUND('XYLENES-A18'!M62/'XYLENES-A18'!M33*100,1))</f>
        <v>89.2</v>
      </c>
      <c r="N69" s="58">
        <f>IF('XYLENES-A18'!N33=0,"    -",ROUND('XYLENES-A18'!N62/'XYLENES-A18'!N33*100,1))</f>
        <v>89.2</v>
      </c>
      <c r="O69" s="58">
        <f>IF('XYLENES-A18'!O33=0,"    -",ROUND('XYLENES-A18'!O62/'XYLENES-A18'!O33*100,1))</f>
        <v>89.2</v>
      </c>
      <c r="P69" s="58">
        <f>IF('XYLENES-A18'!P33=0,"    -",ROUND('XYLENES-A18'!P62/'XYLENES-A18'!P33*100,1))</f>
        <v>89.2</v>
      </c>
      <c r="Q69" s="61">
        <f>IF('XYLENES-A18'!Q33=0,"    -",ROUND('XYLENES-A18'!Q62/'XYLENES-A18'!Q33*100,1))</f>
        <v>89.2</v>
      </c>
    </row>
    <row r="70" spans="2:17" ht="17.25" customHeight="1" thickBot="1">
      <c r="B70" s="678" t="s">
        <v>322</v>
      </c>
      <c r="C70" s="679"/>
      <c r="D70" s="111">
        <f>IF('XYLENES-A18'!D34=0,"    -",ROUND('XYLENES-A18'!D63/'XYLENES-A18'!D34*100,1))</f>
        <v>89.3</v>
      </c>
      <c r="E70" s="112">
        <f>IF('XYLENES-A18'!E34=0,"    -",ROUND('XYLENES-A18'!E63/'XYLENES-A18'!E34*100,1))</f>
        <v>89.7</v>
      </c>
      <c r="F70" s="112">
        <f>IF('XYLENES-A18'!F34=0,"    -",ROUND('XYLENES-A18'!F63/'XYLENES-A18'!F34*100,1))</f>
        <v>87.2</v>
      </c>
      <c r="G70" s="112">
        <f>IF('XYLENES-A18'!G34=0,"    -",ROUND('XYLENES-A18'!G63/'XYLENES-A18'!G34*100,1))</f>
        <v>87.2</v>
      </c>
      <c r="H70" s="112">
        <f>IF('XYLENES-A18'!H34=0,"    -",ROUND('XYLENES-A18'!H63/'XYLENES-A18'!H34*100,1))</f>
        <v>87.2</v>
      </c>
      <c r="I70" s="112">
        <f>IF('XYLENES-A18'!I34=0,"    -",ROUND('XYLENES-A18'!I63/'XYLENES-A18'!I34*100,1))</f>
        <v>87.2</v>
      </c>
      <c r="J70" s="112">
        <f>IF('XYLENES-A18'!J34=0,"    -",ROUND('XYLENES-A18'!J63/'XYLENES-A18'!J34*100,1))</f>
        <v>85.6</v>
      </c>
      <c r="K70" s="113">
        <f>IF('XYLENES-A18'!K34=0,"    -",ROUND('XYLENES-A18'!K63/'XYLENES-A18'!K34*100,1))</f>
        <v>85.6</v>
      </c>
      <c r="L70" s="114">
        <f>IF('XYLENES-A18'!L34=0,"    -",ROUND('XYLENES-A18'!L63/'XYLENES-A18'!L34*100,1))</f>
        <v>85.7</v>
      </c>
      <c r="M70" s="112">
        <f>IF('XYLENES-A18'!M34=0,"    -",ROUND('XYLENES-A18'!M63/'XYLENES-A18'!M34*100,1))</f>
        <v>85.7</v>
      </c>
      <c r="N70" s="112">
        <f>IF('XYLENES-A18'!N34=0,"    -",ROUND('XYLENES-A18'!N63/'XYLENES-A18'!N34*100,1))</f>
        <v>85.7</v>
      </c>
      <c r="O70" s="112">
        <f>IF('XYLENES-A18'!O34=0,"    -",ROUND('XYLENES-A18'!O63/'XYLENES-A18'!O34*100,1))</f>
        <v>85.7</v>
      </c>
      <c r="P70" s="112">
        <f>IF('XYLENES-A18'!P34=0,"    -",ROUND('XYLENES-A18'!P63/'XYLENES-A18'!P34*100,1))</f>
        <v>85.7</v>
      </c>
      <c r="Q70" s="115">
        <f>IF('XYLENES-A18'!Q34=0,"    -",ROUND('XYLENES-A18'!Q63/'XYLENES-A18'!Q34*100,1))</f>
        <v>85.7</v>
      </c>
    </row>
    <row r="71" spans="2:17" ht="18" customHeight="1" thickTop="1" thickBot="1">
      <c r="B71" s="21"/>
      <c r="C71" s="619" t="s">
        <v>337</v>
      </c>
      <c r="D71" s="122">
        <f>IF('XYLENES-A18'!D35=0,"    -",ROUND('XYLENES-A18'!D64/'XYLENES-A18'!D35*100,1))</f>
        <v>67.400000000000006</v>
      </c>
      <c r="E71" s="123">
        <f>IF('XYLENES-A18'!E35=0,"    -",ROUND('XYLENES-A18'!E64/'XYLENES-A18'!E35*100,1))</f>
        <v>61.4</v>
      </c>
      <c r="F71" s="123">
        <f>IF('XYLENES-A18'!F35=0,"    -",ROUND('XYLENES-A18'!F64/'XYLENES-A18'!F35*100,1))</f>
        <v>66.7</v>
      </c>
      <c r="G71" s="123">
        <f>IF('XYLENES-A18'!G35=0,"    -",ROUND('XYLENES-A18'!G64/'XYLENES-A18'!G35*100,1))</f>
        <v>67.400000000000006</v>
      </c>
      <c r="H71" s="123">
        <f>IF('XYLENES-A18'!H35=0,"    -",ROUND('XYLENES-A18'!H64/'XYLENES-A18'!H35*100,1))</f>
        <v>60.9</v>
      </c>
      <c r="I71" s="123">
        <f>IF('XYLENES-A18'!I35=0,"    -",ROUND('XYLENES-A18'!I64/'XYLENES-A18'!I35*100,1))</f>
        <v>60.6</v>
      </c>
      <c r="J71" s="123">
        <f>IF('XYLENES-A18'!J35=0,"    -",ROUND('XYLENES-A18'!J64/'XYLENES-A18'!J35*100,1))</f>
        <v>60.3</v>
      </c>
      <c r="K71" s="124">
        <f>IF('XYLENES-A18'!K35=0,"    -",ROUND('XYLENES-A18'!K64/'XYLENES-A18'!K35*100,1))</f>
        <v>60.9</v>
      </c>
      <c r="L71" s="125">
        <f>IF('XYLENES-A18'!L35=0,"    -",ROUND('XYLENES-A18'!L64/'XYLENES-A18'!L35*100,1))</f>
        <v>60.4</v>
      </c>
      <c r="M71" s="123">
        <f>IF('XYLENES-A18'!M35=0,"    -",ROUND('XYLENES-A18'!M64/'XYLENES-A18'!M35*100,1))</f>
        <v>57.4</v>
      </c>
      <c r="N71" s="123">
        <f>IF('XYLENES-A18'!N35=0,"    -",ROUND('XYLENES-A18'!N64/'XYLENES-A18'!N35*100,1))</f>
        <v>55.6</v>
      </c>
      <c r="O71" s="123">
        <f>IF('XYLENES-A18'!O35=0,"    -",ROUND('XYLENES-A18'!O64/'XYLENES-A18'!O35*100,1))</f>
        <v>56.3</v>
      </c>
      <c r="P71" s="123">
        <f>IF('XYLENES-A18'!P35=0,"    -",ROUND('XYLENES-A18'!P64/'XYLENES-A18'!P35*100,1))</f>
        <v>58.1</v>
      </c>
      <c r="Q71" s="126">
        <f>IF('XYLENES-A18'!Q35=0,"    -",ROUND('XYLENES-A18'!Q64/'XYLENES-A18'!Q35*100,1))</f>
        <v>59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25" priority="5">
      <formula>CELL("protect",C75)=0</formula>
    </cfRule>
    <cfRule type="expression" dxfId="124" priority="6">
      <formula>CELL("protect",C75)=0</formula>
    </cfRule>
  </conditionalFormatting>
  <conditionalFormatting sqref="C73">
    <cfRule type="expression" dxfId="123" priority="3">
      <formula>CELL("protect",C73)=0</formula>
    </cfRule>
    <cfRule type="expression" dxfId="122" priority="4">
      <formula>CELL("protect",C73)=0</formula>
    </cfRule>
  </conditionalFormatting>
  <conditionalFormatting sqref="C75">
    <cfRule type="expression" dxfId="121" priority="1">
      <formula>CELL("protect",C75)=0</formula>
    </cfRule>
    <cfRule type="expression" dxfId="120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&amp;C180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>
    <tabColor rgb="FFC00000"/>
    <pageSetUpPr fitToPage="1"/>
  </sheetPr>
  <dimension ref="B1:T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17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'PX-A19'!D36-'PX-A19'!D65</f>
        <v>258</v>
      </c>
      <c r="E7" s="240">
        <f>'PX-A19'!E36-'PX-A19'!E65</f>
        <v>887</v>
      </c>
      <c r="F7" s="240">
        <f>'PX-A19'!F36-'PX-A19'!F65</f>
        <v>1452</v>
      </c>
      <c r="G7" s="240">
        <f>'PX-A19'!G36-'PX-A19'!G65</f>
        <v>2164</v>
      </c>
      <c r="H7" s="240">
        <f>'PX-A19'!H36-'PX-A19'!H65</f>
        <v>3842</v>
      </c>
      <c r="I7" s="240">
        <f>'PX-A19'!I36-'PX-A19'!I65</f>
        <v>5585</v>
      </c>
      <c r="J7" s="240">
        <f>'PX-A19'!J36-'PX-A19'!J65</f>
        <v>6391</v>
      </c>
      <c r="K7" s="241">
        <f>'PX-A19'!K36-'PX-A19'!K65</f>
        <v>7291</v>
      </c>
      <c r="L7" s="242">
        <f>'PX-A19'!L36-'PX-A19'!L65</f>
        <v>6800</v>
      </c>
      <c r="M7" s="240">
        <f>'PX-A19'!M36-'PX-A19'!M65</f>
        <v>6800</v>
      </c>
      <c r="N7" s="240">
        <f>'PX-A19'!N36-'PX-A19'!N65</f>
        <v>6800</v>
      </c>
      <c r="O7" s="240">
        <f>'PX-A19'!O36-'PX-A19'!O65</f>
        <v>7000</v>
      </c>
      <c r="P7" s="240">
        <f>'PX-A19'!P36-'PX-A19'!P65</f>
        <v>7000</v>
      </c>
      <c r="Q7" s="243">
        <f>'PX-A19'!Q36-'PX-A19'!Q65</f>
        <v>7000</v>
      </c>
    </row>
    <row r="8" spans="2:19" ht="16.5" customHeight="1">
      <c r="B8" s="605" t="s">
        <v>434</v>
      </c>
      <c r="C8" s="606"/>
      <c r="D8" s="239">
        <f>'PX-A19'!D37-'PX-A19'!D66</f>
        <v>-1292</v>
      </c>
      <c r="E8" s="240">
        <f>'PX-A19'!E37-'PX-A19'!E66</f>
        <v>-1407</v>
      </c>
      <c r="F8" s="240">
        <f>'PX-A19'!F37-'PX-A19'!F66</f>
        <v>-763</v>
      </c>
      <c r="G8" s="240">
        <f>'PX-A19'!G37-'PX-A19'!G66</f>
        <v>300</v>
      </c>
      <c r="H8" s="240">
        <f>'PX-A19'!H37-'PX-A19'!H66</f>
        <v>304</v>
      </c>
      <c r="I8" s="240">
        <f>'PX-A19'!I37-'PX-A19'!I66</f>
        <v>235</v>
      </c>
      <c r="J8" s="240">
        <f>'PX-A19'!J37-'PX-A19'!J66</f>
        <v>220</v>
      </c>
      <c r="K8" s="241">
        <f>'PX-A19'!K37-'PX-A19'!K66</f>
        <v>290</v>
      </c>
      <c r="L8" s="242">
        <f>'PX-A19'!L37-'PX-A19'!L66</f>
        <v>-710</v>
      </c>
      <c r="M8" s="240">
        <f>'PX-A19'!M37-'PX-A19'!M66</f>
        <v>-710</v>
      </c>
      <c r="N8" s="240">
        <f>'PX-A19'!N37-'PX-A19'!N66</f>
        <v>-710</v>
      </c>
      <c r="O8" s="240">
        <f>'PX-A19'!O37-'PX-A19'!O66</f>
        <v>-710</v>
      </c>
      <c r="P8" s="240">
        <f>'PX-A19'!P37-'PX-A19'!P66</f>
        <v>-710</v>
      </c>
      <c r="Q8" s="243">
        <f>'PX-A19'!Q37-'PX-A19'!Q66</f>
        <v>-710</v>
      </c>
    </row>
    <row r="9" spans="2:19" ht="16.5" customHeight="1">
      <c r="B9" s="605" t="s">
        <v>435</v>
      </c>
      <c r="C9" s="606"/>
      <c r="D9" s="239">
        <f>'PX-A19'!D38-'PX-A19'!D67</f>
        <v>598</v>
      </c>
      <c r="E9" s="240">
        <f>'PX-A19'!E38-'PX-A19'!E67</f>
        <v>674.322</v>
      </c>
      <c r="F9" s="240">
        <f>'PX-A19'!F38-'PX-A19'!F67</f>
        <v>656</v>
      </c>
      <c r="G9" s="240">
        <f>'PX-A19'!G38-'PX-A19'!G67</f>
        <v>671</v>
      </c>
      <c r="H9" s="240">
        <f>'PX-A19'!H38-'PX-A19'!H67</f>
        <v>839.82600000000002</v>
      </c>
      <c r="I9" s="240">
        <f>'PX-A19'!I38-'PX-A19'!I67</f>
        <v>692.59699999999998</v>
      </c>
      <c r="J9" s="240">
        <f>'PX-A19'!J38-'PX-A19'!J67</f>
        <v>1047</v>
      </c>
      <c r="K9" s="241">
        <f>'PX-A19'!K38-'PX-A19'!K67</f>
        <v>1627</v>
      </c>
      <c r="L9" s="242">
        <f>'PX-A19'!L38-'PX-A19'!L67</f>
        <v>1549</v>
      </c>
      <c r="M9" s="240">
        <f>'PX-A19'!M38-'PX-A19'!M67</f>
        <v>1549</v>
      </c>
      <c r="N9" s="240">
        <f>'PX-A19'!N38-'PX-A19'!N67</f>
        <v>1549</v>
      </c>
      <c r="O9" s="240">
        <f>'PX-A19'!O38-'PX-A19'!O67</f>
        <v>1549</v>
      </c>
      <c r="P9" s="240">
        <f>'PX-A19'!P38-'PX-A19'!P67</f>
        <v>1549</v>
      </c>
      <c r="Q9" s="243">
        <f>'PX-A19'!Q38-'PX-A19'!Q67</f>
        <v>1549</v>
      </c>
    </row>
    <row r="10" spans="2:19" ht="16.5" customHeight="1">
      <c r="B10" s="605" t="s">
        <v>436</v>
      </c>
      <c r="C10" s="606"/>
      <c r="D10" s="239">
        <f>'PX-A19'!D39-'PX-A19'!D68</f>
        <v>-3317</v>
      </c>
      <c r="E10" s="240">
        <f>'PX-A19'!E39-'PX-A19'!E68</f>
        <v>-4634</v>
      </c>
      <c r="F10" s="240">
        <f>'PX-A19'!F39-'PX-A19'!F68</f>
        <v>-6129</v>
      </c>
      <c r="G10" s="240">
        <f>'PX-A19'!G39-'PX-A19'!G68</f>
        <v>-8942</v>
      </c>
      <c r="H10" s="240">
        <f>'PX-A19'!H39-'PX-A19'!H68</f>
        <v>-9918</v>
      </c>
      <c r="I10" s="240">
        <f>'PX-A19'!I39-'PX-A19'!I68</f>
        <v>-11544</v>
      </c>
      <c r="J10" s="240">
        <f>'PX-A19'!J39-'PX-A19'!J68</f>
        <v>-12309</v>
      </c>
      <c r="K10" s="241">
        <f>'PX-A19'!K39-'PX-A19'!K68</f>
        <v>-14403</v>
      </c>
      <c r="L10" s="242">
        <f>'PX-A19'!L39-'PX-A19'!L68</f>
        <v>-15900</v>
      </c>
      <c r="M10" s="240">
        <f>'PX-A19'!M39-'PX-A19'!M68</f>
        <v>-15100</v>
      </c>
      <c r="N10" s="240">
        <f>'PX-A19'!N39-'PX-A19'!N68</f>
        <v>-12100</v>
      </c>
      <c r="O10" s="240">
        <f>'PX-A19'!O39-'PX-A19'!O68</f>
        <v>-13100</v>
      </c>
      <c r="P10" s="240">
        <f>'PX-A19'!P39-'PX-A19'!P68</f>
        <v>-13300</v>
      </c>
      <c r="Q10" s="243">
        <f>'PX-A19'!Q39-'PX-A19'!Q68</f>
        <v>-13500</v>
      </c>
    </row>
    <row r="11" spans="2:19" ht="16.5" customHeight="1">
      <c r="B11" s="605" t="s">
        <v>437</v>
      </c>
      <c r="C11" s="606"/>
      <c r="D11" s="239">
        <f>'PX-A19'!D40-'PX-A19'!D69</f>
        <v>256</v>
      </c>
      <c r="E11" s="240">
        <f>'PX-A19'!E40-'PX-A19'!E69</f>
        <v>200</v>
      </c>
      <c r="F11" s="240">
        <f>'PX-A19'!F40-'PX-A19'!F69</f>
        <v>319</v>
      </c>
      <c r="G11" s="240">
        <f>'PX-A19'!G40-'PX-A19'!G69</f>
        <v>624.82700000000023</v>
      </c>
      <c r="H11" s="240">
        <f>'PX-A19'!H40-'PX-A19'!H69</f>
        <v>397.83500000000004</v>
      </c>
      <c r="I11" s="240">
        <f>'PX-A19'!I40-'PX-A19'!I69</f>
        <v>301.27000000000021</v>
      </c>
      <c r="J11" s="240">
        <f>'PX-A19'!J40-'PX-A19'!J69</f>
        <v>451</v>
      </c>
      <c r="K11" s="241">
        <f>'PX-A19'!K40-'PX-A19'!K69</f>
        <v>333.57899999999995</v>
      </c>
      <c r="L11" s="242">
        <f>'PX-A19'!L40-'PX-A19'!L69</f>
        <v>696.45</v>
      </c>
      <c r="M11" s="240">
        <f>'PX-A19'!M40-'PX-A19'!M69</f>
        <v>620.82300000000009</v>
      </c>
      <c r="N11" s="240">
        <f>'PX-A19'!N40-'PX-A19'!N69</f>
        <v>620.82300000000009</v>
      </c>
      <c r="O11" s="240">
        <f>'PX-A19'!O40-'PX-A19'!O69</f>
        <v>620.82300000000009</v>
      </c>
      <c r="P11" s="240">
        <f>'PX-A19'!P40-'PX-A19'!P69</f>
        <v>620.82300000000009</v>
      </c>
      <c r="Q11" s="243">
        <f>'PX-A19'!Q40-'PX-A19'!Q69</f>
        <v>620.82300000000009</v>
      </c>
    </row>
    <row r="12" spans="2:19" ht="16.5" customHeight="1">
      <c r="B12" s="605" t="s">
        <v>438</v>
      </c>
      <c r="C12" s="606"/>
      <c r="D12" s="239">
        <f>'PX-A19'!D41-'PX-A19'!D70</f>
        <v>-402</v>
      </c>
      <c r="E12" s="240">
        <f>'PX-A19'!E41-'PX-A19'!E70</f>
        <v>-57</v>
      </c>
      <c r="F12" s="240">
        <f>'PX-A19'!F41-'PX-A19'!F70</f>
        <v>-616</v>
      </c>
      <c r="G12" s="240">
        <f>'PX-A19'!G41-'PX-A19'!G70</f>
        <v>-621</v>
      </c>
      <c r="H12" s="240">
        <f>'PX-A19'!H41-'PX-A19'!H70</f>
        <v>-743</v>
      </c>
      <c r="I12" s="240">
        <f>'PX-A19'!I41-'PX-A19'!I70</f>
        <v>-849</v>
      </c>
      <c r="J12" s="240">
        <f>'PX-A19'!J41-'PX-A19'!J70</f>
        <v>-849</v>
      </c>
      <c r="K12" s="241">
        <f>'PX-A19'!K41-'PX-A19'!K70</f>
        <v>-820</v>
      </c>
      <c r="L12" s="242">
        <f>'PX-A19'!L41-'PX-A19'!L70</f>
        <v>-820</v>
      </c>
      <c r="M12" s="240">
        <f>'PX-A19'!M41-'PX-A19'!M70</f>
        <v>-780</v>
      </c>
      <c r="N12" s="240">
        <f>'PX-A19'!N41-'PX-A19'!N70</f>
        <v>-800</v>
      </c>
      <c r="O12" s="240">
        <f>'PX-A19'!O41-'PX-A19'!O70</f>
        <v>-820</v>
      </c>
      <c r="P12" s="240">
        <f>'PX-A19'!P41-'PX-A19'!P70</f>
        <v>-790</v>
      </c>
      <c r="Q12" s="243">
        <f>'PX-A19'!Q41-'PX-A19'!Q70</f>
        <v>-260</v>
      </c>
    </row>
    <row r="13" spans="2:19" ht="16.5" customHeight="1">
      <c r="B13" s="605" t="s">
        <v>439</v>
      </c>
      <c r="C13" s="606"/>
      <c r="D13" s="239">
        <f>'PX-A19'!D42-'PX-A19'!D71</f>
        <v>91</v>
      </c>
      <c r="E13" s="240">
        <f>'PX-A19'!E42-'PX-A19'!E71</f>
        <v>-124</v>
      </c>
      <c r="F13" s="240">
        <f>'PX-A19'!F42-'PX-A19'!F71</f>
        <v>137</v>
      </c>
      <c r="G13" s="240">
        <f>'PX-A19'!G42-'PX-A19'!G71</f>
        <v>-32</v>
      </c>
      <c r="H13" s="240">
        <f>'PX-A19'!H42-'PX-A19'!H71</f>
        <v>-670</v>
      </c>
      <c r="I13" s="240">
        <f>'PX-A19'!I42-'PX-A19'!I71</f>
        <v>-2500</v>
      </c>
      <c r="J13" s="240">
        <f>'PX-A19'!J42-'PX-A19'!J71</f>
        <v>-1014</v>
      </c>
      <c r="K13" s="241">
        <f>'PX-A19'!K42-'PX-A19'!K71</f>
        <v>-1300</v>
      </c>
      <c r="L13" s="242">
        <f>'PX-A19'!L42-'PX-A19'!L71</f>
        <v>-1500</v>
      </c>
      <c r="M13" s="240">
        <f>'PX-A19'!M42-'PX-A19'!M71</f>
        <v>-1800</v>
      </c>
      <c r="N13" s="240">
        <f>'PX-A19'!N42-'PX-A19'!N71</f>
        <v>-1500</v>
      </c>
      <c r="O13" s="240">
        <f>'PX-A19'!O42-'PX-A19'!O71</f>
        <v>-1500</v>
      </c>
      <c r="P13" s="240">
        <f>'PX-A19'!P42-'PX-A19'!P71</f>
        <v>-1700</v>
      </c>
      <c r="Q13" s="243">
        <f>'PX-A19'!Q42-'PX-A19'!Q71</f>
        <v>-1600</v>
      </c>
    </row>
    <row r="14" spans="2:19" ht="18" hidden="1" customHeight="1">
      <c r="B14" s="16"/>
      <c r="C14" s="90" t="s">
        <v>306</v>
      </c>
      <c r="D14" s="239">
        <f>'PX-A19'!D43-'PX-A19'!D72</f>
        <v>0</v>
      </c>
      <c r="E14" s="240">
        <f>'PX-A19'!E43-'PX-A19'!E72</f>
        <v>0</v>
      </c>
      <c r="F14" s="240">
        <f>'PX-A19'!F43-'PX-A19'!F72</f>
        <v>0</v>
      </c>
      <c r="G14" s="240">
        <f>'PX-A19'!G43-'PX-A19'!G72</f>
        <v>0</v>
      </c>
      <c r="H14" s="240">
        <f>'PX-A19'!H43-'PX-A19'!H72</f>
        <v>0</v>
      </c>
      <c r="I14" s="240">
        <f>'PX-A19'!I43-'PX-A19'!I72</f>
        <v>0</v>
      </c>
      <c r="J14" s="240">
        <f>'PX-A19'!J43-'PX-A19'!J72</f>
        <v>0</v>
      </c>
      <c r="K14" s="241">
        <f>'PX-A19'!K43-'PX-A19'!K72</f>
        <v>0</v>
      </c>
      <c r="L14" s="242">
        <f>'PX-A19'!L43-'PX-A19'!L72</f>
        <v>0</v>
      </c>
      <c r="M14" s="240">
        <f>'PX-A19'!M43-'PX-A19'!M72</f>
        <v>0</v>
      </c>
      <c r="N14" s="240">
        <f>'PX-A19'!N43-'PX-A19'!N72</f>
        <v>0</v>
      </c>
      <c r="O14" s="240">
        <f>'PX-A19'!O43-'PX-A19'!O72</f>
        <v>0</v>
      </c>
      <c r="P14" s="240">
        <f>'PX-A19'!P43-'PX-A19'!P72</f>
        <v>0</v>
      </c>
      <c r="Q14" s="243">
        <f>'PX-A19'!Q43-'PX-A19'!Q72</f>
        <v>0</v>
      </c>
    </row>
    <row r="15" spans="2:19" ht="16.5" customHeight="1">
      <c r="B15" s="605" t="s">
        <v>440</v>
      </c>
      <c r="C15" s="606"/>
      <c r="D15" s="239">
        <f>'PX-A19'!D44-'PX-A19'!D73</f>
        <v>0</v>
      </c>
      <c r="E15" s="240">
        <f>'PX-A19'!E44-'PX-A19'!E73</f>
        <v>0</v>
      </c>
      <c r="F15" s="240">
        <f>'PX-A19'!F44-'PX-A19'!F73</f>
        <v>0</v>
      </c>
      <c r="G15" s="240">
        <f>'PX-A19'!G44-'PX-A19'!G73</f>
        <v>0</v>
      </c>
      <c r="H15" s="240">
        <f>'PX-A19'!H44-'PX-A19'!H73</f>
        <v>0</v>
      </c>
      <c r="I15" s="240">
        <f>'PX-A19'!I44-'PX-A19'!I73</f>
        <v>0</v>
      </c>
      <c r="J15" s="240">
        <f>'PX-A19'!J44-'PX-A19'!J73</f>
        <v>0</v>
      </c>
      <c r="K15" s="241">
        <f>'PX-A19'!K44-'PX-A19'!K73</f>
        <v>0</v>
      </c>
      <c r="L15" s="242">
        <f>'PX-A19'!L44-'PX-A19'!L73</f>
        <v>0</v>
      </c>
      <c r="M15" s="240">
        <f>'PX-A19'!M44-'PX-A19'!M73</f>
        <v>0</v>
      </c>
      <c r="N15" s="240">
        <f>'PX-A19'!N44-'PX-A19'!N73</f>
        <v>0</v>
      </c>
      <c r="O15" s="240">
        <f>'PX-A19'!O44-'PX-A19'!O73</f>
        <v>0</v>
      </c>
      <c r="P15" s="240">
        <f>'PX-A19'!P44-'PX-A19'!P73</f>
        <v>0</v>
      </c>
      <c r="Q15" s="243">
        <f>'PX-A19'!Q44-'PX-A19'!Q73</f>
        <v>0</v>
      </c>
    </row>
    <row r="16" spans="2:19" ht="16.5" customHeight="1">
      <c r="B16" s="605" t="s">
        <v>441</v>
      </c>
      <c r="C16" s="606"/>
      <c r="D16" s="239">
        <f>'PX-A19'!D45-'PX-A19'!D74</f>
        <v>121.95999999999998</v>
      </c>
      <c r="E16" s="240">
        <f>'PX-A19'!E45-'PX-A19'!E74</f>
        <v>111.96868799999999</v>
      </c>
      <c r="F16" s="240">
        <f>'PX-A19'!F45-'PX-A19'!F74</f>
        <v>87</v>
      </c>
      <c r="G16" s="240">
        <f>'PX-A19'!G45-'PX-A19'!G74</f>
        <v>154.56099999999992</v>
      </c>
      <c r="H16" s="240">
        <f>'PX-A19'!H45-'PX-A19'!H74</f>
        <v>40.865000000000066</v>
      </c>
      <c r="I16" s="240">
        <f>'PX-A19'!I45-'PX-A19'!I74</f>
        <v>145.43299999999999</v>
      </c>
      <c r="J16" s="240">
        <f>'PX-A19'!J45-'PX-A19'!J74</f>
        <v>109.86600000000004</v>
      </c>
      <c r="K16" s="241">
        <f>'PX-A19'!K45-'PX-A19'!K74</f>
        <v>135.65799999999996</v>
      </c>
      <c r="L16" s="242">
        <f>'PX-A19'!L45-'PX-A19'!L74</f>
        <v>135.65799999999996</v>
      </c>
      <c r="M16" s="240">
        <f>'PX-A19'!M45-'PX-A19'!M74</f>
        <v>135.65799999999996</v>
      </c>
      <c r="N16" s="240">
        <f>'PX-A19'!N45-'PX-A19'!N74</f>
        <v>135.65799999999996</v>
      </c>
      <c r="O16" s="240">
        <f>'PX-A19'!O45-'PX-A19'!O74</f>
        <v>135.65799999999996</v>
      </c>
      <c r="P16" s="240">
        <f>'PX-A19'!P45-'PX-A19'!P74</f>
        <v>135.65799999999996</v>
      </c>
      <c r="Q16" s="243">
        <f>'PX-A19'!Q45-'PX-A19'!Q74</f>
        <v>135.65799999999996</v>
      </c>
    </row>
    <row r="17" spans="2:20" ht="16.5" customHeight="1">
      <c r="B17" s="605" t="s">
        <v>442</v>
      </c>
      <c r="C17" s="606"/>
      <c r="D17" s="239">
        <f>'PX-A19'!D46-'PX-A19'!D75</f>
        <v>0</v>
      </c>
      <c r="E17" s="240">
        <f>'PX-A19'!E46-'PX-A19'!E75</f>
        <v>0</v>
      </c>
      <c r="F17" s="240">
        <f>'PX-A19'!F46-'PX-A19'!F75</f>
        <v>0</v>
      </c>
      <c r="G17" s="240">
        <f>'PX-A19'!G46-'PX-A19'!G75</f>
        <v>0</v>
      </c>
      <c r="H17" s="240">
        <f>'PX-A19'!H46-'PX-A19'!H75</f>
        <v>0</v>
      </c>
      <c r="I17" s="240">
        <f>'PX-A19'!I46-'PX-A19'!I75</f>
        <v>0</v>
      </c>
      <c r="J17" s="240">
        <f>'PX-A19'!J46-'PX-A19'!J75</f>
        <v>0</v>
      </c>
      <c r="K17" s="241">
        <f>'PX-A19'!K46-'PX-A19'!K75</f>
        <v>0</v>
      </c>
      <c r="L17" s="242">
        <f>'PX-A19'!L46-'PX-A19'!L75</f>
        <v>700</v>
      </c>
      <c r="M17" s="240">
        <f>'PX-A19'!M46-'PX-A19'!M75</f>
        <v>700</v>
      </c>
      <c r="N17" s="240">
        <f>'PX-A19'!N46-'PX-A19'!N75</f>
        <v>700</v>
      </c>
      <c r="O17" s="240">
        <f>'PX-A19'!O46-'PX-A19'!O75</f>
        <v>700</v>
      </c>
      <c r="P17" s="240">
        <f>'PX-A19'!P46-'PX-A19'!P75</f>
        <v>700</v>
      </c>
      <c r="Q17" s="243">
        <f>'PX-A19'!Q46-'PX-A19'!Q75</f>
        <v>700</v>
      </c>
    </row>
    <row r="18" spans="2:20" ht="16.5" customHeight="1">
      <c r="B18" s="607" t="s">
        <v>443</v>
      </c>
      <c r="C18" s="608"/>
      <c r="D18" s="239">
        <f>'PX-A19'!D47-'PX-A19'!D76</f>
        <v>2342</v>
      </c>
      <c r="E18" s="240">
        <f>'PX-A19'!E47-'PX-A19'!E76</f>
        <v>2537</v>
      </c>
      <c r="F18" s="240">
        <f>'PX-A19'!F47-'PX-A19'!F76</f>
        <v>3044</v>
      </c>
      <c r="G18" s="240">
        <f>'PX-A19'!G47-'PX-A19'!G76</f>
        <v>3324</v>
      </c>
      <c r="H18" s="240">
        <f>'PX-A19'!H47-'PX-A19'!H76</f>
        <v>2351</v>
      </c>
      <c r="I18" s="240">
        <f>'PX-A19'!I47-'PX-A19'!I76</f>
        <v>2680</v>
      </c>
      <c r="J18" s="240">
        <f>'PX-A19'!J47-'PX-A19'!J76</f>
        <v>2955</v>
      </c>
      <c r="K18" s="241">
        <f>'PX-A19'!K47-'PX-A19'!K76</f>
        <v>3184</v>
      </c>
      <c r="L18" s="242">
        <f>'PX-A19'!L47-'PX-A19'!L76</f>
        <v>3086</v>
      </c>
      <c r="M18" s="240">
        <f>'PX-A19'!M47-'PX-A19'!M76</f>
        <v>3180</v>
      </c>
      <c r="N18" s="240">
        <f>'PX-A19'!N47-'PX-A19'!N76</f>
        <v>3080</v>
      </c>
      <c r="O18" s="240">
        <f>'PX-A19'!O47-'PX-A19'!O76</f>
        <v>3180</v>
      </c>
      <c r="P18" s="240">
        <f>'PX-A19'!P47-'PX-A19'!P76</f>
        <v>3080</v>
      </c>
      <c r="Q18" s="243">
        <f>'PX-A19'!Q47-'PX-A19'!Q76</f>
        <v>3180</v>
      </c>
    </row>
    <row r="19" spans="2:20" ht="17.25" customHeight="1">
      <c r="B19" s="620" t="s">
        <v>307</v>
      </c>
      <c r="C19" s="621"/>
      <c r="D19" s="244">
        <f t="shared" ref="D19:K19" si="0">SUM(D7:D18)</f>
        <v>-1344.04</v>
      </c>
      <c r="E19" s="245">
        <f t="shared" si="0"/>
        <v>-1811.709312</v>
      </c>
      <c r="F19" s="245">
        <f t="shared" si="0"/>
        <v>-1813</v>
      </c>
      <c r="G19" s="245">
        <f t="shared" si="0"/>
        <v>-2356.6120000000001</v>
      </c>
      <c r="H19" s="245">
        <f t="shared" si="0"/>
        <v>-3555.4740000000002</v>
      </c>
      <c r="I19" s="245">
        <f t="shared" si="0"/>
        <v>-5253.7</v>
      </c>
      <c r="J19" s="245">
        <f t="shared" si="0"/>
        <v>-2998.134</v>
      </c>
      <c r="K19" s="246">
        <f t="shared" si="0"/>
        <v>-3661.7629999999999</v>
      </c>
      <c r="L19" s="247">
        <f t="shared" ref="L19:Q19" si="1">SUM(L7:L18)</f>
        <v>-5962.8919999999998</v>
      </c>
      <c r="M19" s="245">
        <f t="shared" si="1"/>
        <v>-5404.5190000000002</v>
      </c>
      <c r="N19" s="245">
        <f t="shared" si="1"/>
        <v>-2224.5189999999993</v>
      </c>
      <c r="O19" s="245">
        <f t="shared" si="1"/>
        <v>-2944.5189999999993</v>
      </c>
      <c r="P19" s="245">
        <f t="shared" si="1"/>
        <v>-3414.5189999999993</v>
      </c>
      <c r="Q19" s="248">
        <f t="shared" si="1"/>
        <v>-2884.5189999999993</v>
      </c>
    </row>
    <row r="20" spans="2:20" ht="17.25" customHeight="1">
      <c r="B20" s="609" t="s">
        <v>308</v>
      </c>
      <c r="C20" s="610"/>
      <c r="D20" s="244">
        <f>'PX-A19'!D49-'PX-A19'!D78</f>
        <v>0</v>
      </c>
      <c r="E20" s="245">
        <f>'PX-A19'!E49-'PX-A19'!E78</f>
        <v>0</v>
      </c>
      <c r="F20" s="245">
        <f>'PX-A19'!F49-'PX-A19'!F78</f>
        <v>0</v>
      </c>
      <c r="G20" s="245">
        <f>'PX-A19'!G49-'PX-A19'!G78</f>
        <v>0</v>
      </c>
      <c r="H20" s="245">
        <f>'PX-A19'!H49-'PX-A19'!H78</f>
        <v>0</v>
      </c>
      <c r="I20" s="245">
        <f>'PX-A19'!I49-'PX-A19'!I78</f>
        <v>0</v>
      </c>
      <c r="J20" s="245">
        <f>'PX-A19'!J49-'PX-A19'!J78</f>
        <v>0</v>
      </c>
      <c r="K20" s="246">
        <f>'PX-A19'!K49-'PX-A19'!K78</f>
        <v>0</v>
      </c>
      <c r="L20" s="247">
        <f>'PX-A19'!L49-'PX-A19'!L78</f>
        <v>0</v>
      </c>
      <c r="M20" s="245">
        <f>'PX-A19'!M49-'PX-A19'!M78</f>
        <v>0</v>
      </c>
      <c r="N20" s="245">
        <f>'PX-A19'!N49-'PX-A19'!N78</f>
        <v>0</v>
      </c>
      <c r="O20" s="245">
        <f>'PX-A19'!O49-'PX-A19'!O78</f>
        <v>0</v>
      </c>
      <c r="P20" s="245">
        <f>'PX-A19'!P49-'PX-A19'!P78</f>
        <v>0</v>
      </c>
      <c r="Q20" s="248">
        <f>'PX-A19'!Q49-'PX-A19'!Q78</f>
        <v>0</v>
      </c>
    </row>
    <row r="21" spans="2:20" ht="16.5" customHeight="1">
      <c r="B21" s="105"/>
      <c r="C21" s="97" t="s">
        <v>309</v>
      </c>
      <c r="D21" s="244">
        <f>'PX-A19'!D50-'PX-A19'!D79</f>
        <v>0</v>
      </c>
      <c r="E21" s="245">
        <f>'PX-A19'!E50-'PX-A19'!E79</f>
        <v>0</v>
      </c>
      <c r="F21" s="245">
        <f>'PX-A19'!F50-'PX-A19'!F79</f>
        <v>0</v>
      </c>
      <c r="G21" s="245">
        <f>'PX-A19'!G50-'PX-A19'!G79</f>
        <v>0</v>
      </c>
      <c r="H21" s="245">
        <f>'PX-A19'!H50-'PX-A19'!H79</f>
        <v>0</v>
      </c>
      <c r="I21" s="245">
        <f>'PX-A19'!I50-'PX-A19'!I79</f>
        <v>0</v>
      </c>
      <c r="J21" s="245">
        <f>'PX-A19'!J50-'PX-A19'!J79</f>
        <v>0</v>
      </c>
      <c r="K21" s="246">
        <f>'PX-A19'!K50-'PX-A19'!K79</f>
        <v>0</v>
      </c>
      <c r="L21" s="247">
        <f>'PX-A19'!L50-'PX-A19'!L79</f>
        <v>0</v>
      </c>
      <c r="M21" s="245">
        <f>'PX-A19'!M50-'PX-A19'!M79</f>
        <v>0</v>
      </c>
      <c r="N21" s="245">
        <f>'PX-A19'!N50-'PX-A19'!N79</f>
        <v>0</v>
      </c>
      <c r="O21" s="245">
        <f>'PX-A19'!O50-'PX-A19'!O79</f>
        <v>0</v>
      </c>
      <c r="P21" s="245">
        <f>'PX-A19'!P50-'PX-A19'!P79</f>
        <v>0</v>
      </c>
      <c r="Q21" s="248">
        <f>'PX-A19'!Q50-'PX-A19'!Q79</f>
        <v>0</v>
      </c>
    </row>
    <row r="22" spans="2:20" ht="17.25" customHeight="1">
      <c r="B22" s="609" t="s">
        <v>310</v>
      </c>
      <c r="C22" s="610"/>
      <c r="D22" s="239">
        <f>'PX-A19'!D51-'PX-A19'!D80</f>
        <v>241</v>
      </c>
      <c r="E22" s="240">
        <f>'PX-A19'!E51-'PX-A19'!E80</f>
        <v>26</v>
      </c>
      <c r="F22" s="240">
        <f>'PX-A19'!F51-'PX-A19'!F80</f>
        <v>-85</v>
      </c>
      <c r="G22" s="240">
        <f>'PX-A19'!G51-'PX-A19'!G80</f>
        <v>110</v>
      </c>
      <c r="H22" s="240">
        <f>'PX-A19'!H51-'PX-A19'!H80</f>
        <v>188.5</v>
      </c>
      <c r="I22" s="240">
        <f>'PX-A19'!I51-'PX-A19'!I80</f>
        <v>269.70000000000005</v>
      </c>
      <c r="J22" s="240">
        <f>'PX-A19'!J51-'PX-A19'!J80</f>
        <v>300.99993900000004</v>
      </c>
      <c r="K22" s="241">
        <f>'PX-A19'!K51-'PX-A19'!K80</f>
        <v>288</v>
      </c>
      <c r="L22" s="242">
        <f>'PX-A19'!L51-'PX-A19'!L80</f>
        <v>290</v>
      </c>
      <c r="M22" s="240">
        <f>'PX-A19'!M51-'PX-A19'!M80</f>
        <v>190</v>
      </c>
      <c r="N22" s="240">
        <f>'PX-A19'!N51-'PX-A19'!N80</f>
        <v>190</v>
      </c>
      <c r="O22" s="240">
        <f>'PX-A19'!O51-'PX-A19'!O80</f>
        <v>50</v>
      </c>
      <c r="P22" s="240">
        <f>'PX-A19'!P51-'PX-A19'!P80</f>
        <v>50</v>
      </c>
      <c r="Q22" s="243">
        <f>'PX-A19'!Q51-'PX-A19'!Q80</f>
        <v>50</v>
      </c>
    </row>
    <row r="23" spans="2:20" ht="16.5" customHeight="1">
      <c r="B23" s="105"/>
      <c r="C23" s="615" t="s">
        <v>311</v>
      </c>
      <c r="D23" s="244">
        <f>'PX-A19'!D52-'PX-A19'!D81</f>
        <v>25</v>
      </c>
      <c r="E23" s="245">
        <f>'PX-A19'!E52-'PX-A19'!E81</f>
        <v>48</v>
      </c>
      <c r="F23" s="245">
        <f>'PX-A19'!F52-'PX-A19'!F81</f>
        <v>-88</v>
      </c>
      <c r="G23" s="245">
        <f>'PX-A19'!G52-'PX-A19'!G81</f>
        <v>110</v>
      </c>
      <c r="H23" s="245">
        <f>'PX-A19'!H52-'PX-A19'!H81</f>
        <v>217.29999999999995</v>
      </c>
      <c r="I23" s="245">
        <f>'PX-A19'!I52-'PX-A19'!I81</f>
        <v>269.70000000000005</v>
      </c>
      <c r="J23" s="245">
        <f>'PX-A19'!J52-'PX-A19'!J81</f>
        <v>302.19995100000006</v>
      </c>
      <c r="K23" s="246">
        <f>'PX-A19'!K52-'PX-A19'!K81</f>
        <v>288</v>
      </c>
      <c r="L23" s="247">
        <f>'PX-A19'!L52-'PX-A19'!L81</f>
        <v>290</v>
      </c>
      <c r="M23" s="245">
        <f>'PX-A19'!M52-'PX-A19'!M81</f>
        <v>190</v>
      </c>
      <c r="N23" s="245">
        <f>'PX-A19'!N52-'PX-A19'!N81</f>
        <v>190</v>
      </c>
      <c r="O23" s="245">
        <f>'PX-A19'!O52-'PX-A19'!O81</f>
        <v>50</v>
      </c>
      <c r="P23" s="245">
        <f>'PX-A19'!P52-'PX-A19'!P81</f>
        <v>50</v>
      </c>
      <c r="Q23" s="248">
        <f>'PX-A19'!Q52-'PX-A19'!Q81</f>
        <v>50</v>
      </c>
    </row>
    <row r="24" spans="2:20" ht="17.25" customHeight="1">
      <c r="B24" s="609" t="s">
        <v>312</v>
      </c>
      <c r="C24" s="610"/>
      <c r="D24" s="239">
        <f>'PX-A19'!D53-'PX-A19'!D82</f>
        <v>1424</v>
      </c>
      <c r="E24" s="240">
        <f>'PX-A19'!E53-'PX-A19'!E82</f>
        <v>1873</v>
      </c>
      <c r="F24" s="240">
        <f>'PX-A19'!F53-'PX-A19'!F82</f>
        <v>1919</v>
      </c>
      <c r="G24" s="240">
        <f>'PX-A19'!G53-'PX-A19'!G82</f>
        <v>2050</v>
      </c>
      <c r="H24" s="240">
        <f>'PX-A19'!H53-'PX-A19'!H82</f>
        <v>2798</v>
      </c>
      <c r="I24" s="240">
        <f>'PX-A19'!I53-'PX-A19'!I82</f>
        <v>3026.7</v>
      </c>
      <c r="J24" s="240">
        <f>'PX-A19'!J53-'PX-A19'!J82</f>
        <v>2997.66</v>
      </c>
      <c r="K24" s="241">
        <f>'PX-A19'!K53-'PX-A19'!K82</f>
        <v>2802.3</v>
      </c>
      <c r="L24" s="242">
        <f>'PX-A19'!L53-'PX-A19'!L82</f>
        <v>3447.68</v>
      </c>
      <c r="M24" s="240">
        <f>'PX-A19'!M53-'PX-A19'!M82</f>
        <v>3807.98</v>
      </c>
      <c r="N24" s="240">
        <f>'PX-A19'!N53-'PX-A19'!N82</f>
        <v>3912.9</v>
      </c>
      <c r="O24" s="240">
        <f>'PX-A19'!O53-'PX-A19'!O82</f>
        <v>4436</v>
      </c>
      <c r="P24" s="240">
        <f>'PX-A19'!P53-'PX-A19'!P82</f>
        <v>4529.8999999999996</v>
      </c>
      <c r="Q24" s="243">
        <f>'PX-A19'!Q53-'PX-A19'!Q82</f>
        <v>4733.6000000000004</v>
      </c>
    </row>
    <row r="25" spans="2:20" ht="16.5" customHeight="1">
      <c r="B25" s="16"/>
      <c r="C25" s="615" t="s">
        <v>313</v>
      </c>
      <c r="D25" s="244">
        <f>'PX-A19'!D54-'PX-A19'!D83</f>
        <v>0</v>
      </c>
      <c r="E25" s="245">
        <f>'PX-A19'!E54-'PX-A19'!E83</f>
        <v>188</v>
      </c>
      <c r="F25" s="245">
        <f>'PX-A19'!F54-'PX-A19'!F83</f>
        <v>145</v>
      </c>
      <c r="G25" s="245">
        <f>'PX-A19'!G54-'PX-A19'!G83</f>
        <v>195</v>
      </c>
      <c r="H25" s="245">
        <f>'PX-A19'!H54-'PX-A19'!H83</f>
        <v>585</v>
      </c>
      <c r="I25" s="245">
        <f>'PX-A19'!I54-'PX-A19'!I83</f>
        <v>787.14</v>
      </c>
      <c r="J25" s="245">
        <f>'PX-A19'!J54-'PX-A19'!J83</f>
        <v>805.62</v>
      </c>
      <c r="K25" s="246">
        <f>'PX-A19'!K54-'PX-A19'!K83</f>
        <v>636.66</v>
      </c>
      <c r="L25" s="247">
        <f>'PX-A19'!L54-'PX-A19'!L83</f>
        <v>1293.92</v>
      </c>
      <c r="M25" s="245">
        <f>'PX-A19'!M54-'PX-A19'!M83</f>
        <v>1679.3</v>
      </c>
      <c r="N25" s="245">
        <f>'PX-A19'!N54-'PX-A19'!N83</f>
        <v>1811.28</v>
      </c>
      <c r="O25" s="245">
        <f>'PX-A19'!O54-'PX-A19'!O83</f>
        <v>2349.56</v>
      </c>
      <c r="P25" s="245">
        <f>'PX-A19'!P54-'PX-A19'!P83</f>
        <v>2462.6</v>
      </c>
      <c r="Q25" s="248">
        <f>'PX-A19'!Q54-'PX-A19'!Q83</f>
        <v>2964.62</v>
      </c>
    </row>
    <row r="26" spans="2:20" ht="17.25" customHeight="1">
      <c r="B26" s="620" t="s">
        <v>314</v>
      </c>
      <c r="C26" s="621"/>
      <c r="D26" s="244">
        <f>'PX-A19'!D55-'PX-A19'!D84</f>
        <v>0</v>
      </c>
      <c r="E26" s="245">
        <f>'PX-A19'!E55-'PX-A19'!E84</f>
        <v>0</v>
      </c>
      <c r="F26" s="245">
        <f>'PX-A19'!F55-'PX-A19'!F84</f>
        <v>0</v>
      </c>
      <c r="G26" s="245">
        <f>'PX-A19'!G55-'PX-A19'!G84</f>
        <v>0</v>
      </c>
      <c r="H26" s="245">
        <f>'PX-A19'!H55-'PX-A19'!H84</f>
        <v>0</v>
      </c>
      <c r="I26" s="245">
        <f>'PX-A19'!I55-'PX-A19'!I84</f>
        <v>0</v>
      </c>
      <c r="J26" s="245">
        <f>'PX-A19'!J55-'PX-A19'!J84</f>
        <v>204</v>
      </c>
      <c r="K26" s="246">
        <f>'PX-A19'!K55-'PX-A19'!K84</f>
        <v>204</v>
      </c>
      <c r="L26" s="247">
        <f>'PX-A19'!L55-'PX-A19'!L84</f>
        <v>204</v>
      </c>
      <c r="M26" s="245">
        <f>'PX-A19'!M55-'PX-A19'!M84</f>
        <v>204</v>
      </c>
      <c r="N26" s="245">
        <f>'PX-A19'!N55-'PX-A19'!N84</f>
        <v>204</v>
      </c>
      <c r="O26" s="245">
        <f>'PX-A19'!O55-'PX-A19'!O84</f>
        <v>204</v>
      </c>
      <c r="P26" s="245">
        <f>'PX-A19'!P55-'PX-A19'!P84</f>
        <v>204</v>
      </c>
      <c r="Q26" s="248">
        <f>'PX-A19'!Q55-'PX-A19'!Q84</f>
        <v>204</v>
      </c>
    </row>
    <row r="27" spans="2:20" ht="17.25" customHeight="1">
      <c r="B27" s="620" t="s">
        <v>315</v>
      </c>
      <c r="C27" s="621"/>
      <c r="D27" s="244">
        <f>'PX-A19'!D56-'PX-A19'!D85</f>
        <v>90</v>
      </c>
      <c r="E27" s="245">
        <f>'PX-A19'!E56-'PX-A19'!E85</f>
        <v>90</v>
      </c>
      <c r="F27" s="245">
        <f>'PX-A19'!F56-'PX-A19'!F85</f>
        <v>111.92599999999999</v>
      </c>
      <c r="G27" s="245">
        <f>'PX-A19'!G56-'PX-A19'!G85</f>
        <v>112.69999999999999</v>
      </c>
      <c r="H27" s="245">
        <f>'PX-A19'!H56-'PX-A19'!H85</f>
        <v>106</v>
      </c>
      <c r="I27" s="245">
        <f>'PX-A19'!I56-'PX-A19'!I85</f>
        <v>102</v>
      </c>
      <c r="J27" s="245">
        <f>'PX-A19'!J56-'PX-A19'!J85</f>
        <v>270</v>
      </c>
      <c r="K27" s="246">
        <f>'PX-A19'!K56-'PX-A19'!K85</f>
        <v>170</v>
      </c>
      <c r="L27" s="247">
        <f>'PX-A19'!L56-'PX-A19'!L85</f>
        <v>130</v>
      </c>
      <c r="M27" s="245">
        <f>'PX-A19'!M56-'PX-A19'!M85</f>
        <v>177</v>
      </c>
      <c r="N27" s="245">
        <f>'PX-A19'!N56-'PX-A19'!N85</f>
        <v>205</v>
      </c>
      <c r="O27" s="245">
        <f>'PX-A19'!O56-'PX-A19'!O85</f>
        <v>298</v>
      </c>
      <c r="P27" s="245">
        <f>'PX-A19'!P56-'PX-A19'!P85</f>
        <v>298</v>
      </c>
      <c r="Q27" s="248">
        <f>'PX-A19'!Q56-'PX-A19'!Q85</f>
        <v>183</v>
      </c>
    </row>
    <row r="28" spans="2:20" ht="16.5" customHeight="1">
      <c r="B28" s="609" t="s">
        <v>316</v>
      </c>
      <c r="C28" s="610"/>
      <c r="D28" s="239">
        <f>'PX-A19'!D57-'PX-A19'!D86</f>
        <v>1048</v>
      </c>
      <c r="E28" s="240">
        <f>'PX-A19'!E57-'PX-A19'!E86</f>
        <v>1126</v>
      </c>
      <c r="F28" s="240">
        <f>'PX-A19'!F57-'PX-A19'!F86</f>
        <v>1290</v>
      </c>
      <c r="G28" s="240">
        <f>'PX-A19'!G57-'PX-A19'!G86</f>
        <v>1290</v>
      </c>
      <c r="H28" s="240">
        <f>'PX-A19'!H57-'PX-A19'!H86</f>
        <v>1280</v>
      </c>
      <c r="I28" s="240">
        <f>'PX-A19'!I57-'PX-A19'!I86</f>
        <v>268.79999999999973</v>
      </c>
      <c r="J28" s="240">
        <f>'PX-A19'!J57-'PX-A19'!J86</f>
        <v>259.79999999999973</v>
      </c>
      <c r="K28" s="241">
        <f>'PX-A19'!K57-'PX-A19'!K86</f>
        <v>295.25</v>
      </c>
      <c r="L28" s="242">
        <f>'PX-A19'!L57-'PX-A19'!L86</f>
        <v>213.25</v>
      </c>
      <c r="M28" s="240">
        <f>'PX-A19'!M57-'PX-A19'!M86</f>
        <v>139.25</v>
      </c>
      <c r="N28" s="240">
        <f>'PX-A19'!N57-'PX-A19'!N86</f>
        <v>85.25</v>
      </c>
      <c r="O28" s="240">
        <f>'PX-A19'!O57-'PX-A19'!O86</f>
        <v>32.25</v>
      </c>
      <c r="P28" s="240">
        <f>'PX-A19'!P57-'PX-A19'!P86</f>
        <v>-13.75</v>
      </c>
      <c r="Q28" s="243">
        <f>'PX-A19'!Q57-'PX-A19'!Q86</f>
        <v>-57</v>
      </c>
    </row>
    <row r="29" spans="2:20" ht="16.5" customHeight="1">
      <c r="B29" s="607" t="s">
        <v>317</v>
      </c>
      <c r="C29" s="608"/>
      <c r="D29" s="239">
        <f>'PX-A19'!D58-'PX-A19'!D87</f>
        <v>-90</v>
      </c>
      <c r="E29" s="240">
        <f>'PX-A19'!E58-'PX-A19'!E87</f>
        <v>-87</v>
      </c>
      <c r="F29" s="240">
        <f>'PX-A19'!F58-'PX-A19'!F87</f>
        <v>-69</v>
      </c>
      <c r="G29" s="240">
        <f>'PX-A19'!G58-'PX-A19'!G87</f>
        <v>-70</v>
      </c>
      <c r="H29" s="240">
        <f>'PX-A19'!H58-'PX-A19'!H87</f>
        <v>-63</v>
      </c>
      <c r="I29" s="240">
        <f>'PX-A19'!I58-'PX-A19'!I87</f>
        <v>-51</v>
      </c>
      <c r="J29" s="240">
        <f>'PX-A19'!J58-'PX-A19'!J87</f>
        <v>-69</v>
      </c>
      <c r="K29" s="241">
        <f>'PX-A19'!K58-'PX-A19'!K87</f>
        <v>-80</v>
      </c>
      <c r="L29" s="242">
        <f>'PX-A19'!L58-'PX-A19'!L87</f>
        <v>-88</v>
      </c>
      <c r="M29" s="240">
        <f>'PX-A19'!M58-'PX-A19'!M87</f>
        <v>-96</v>
      </c>
      <c r="N29" s="240">
        <f>'PX-A19'!N58-'PX-A19'!N87</f>
        <v>-103</v>
      </c>
      <c r="O29" s="240">
        <f>'PX-A19'!O58-'PX-A19'!O87</f>
        <v>-110</v>
      </c>
      <c r="P29" s="240">
        <f>'PX-A19'!P58-'PX-A19'!P87</f>
        <v>-117</v>
      </c>
      <c r="Q29" s="243">
        <f>'PX-A19'!Q58-'PX-A19'!Q87</f>
        <v>-124</v>
      </c>
    </row>
    <row r="30" spans="2:20" ht="17.25" customHeight="1">
      <c r="B30" s="620" t="s">
        <v>318</v>
      </c>
      <c r="C30" s="621"/>
      <c r="D30" s="244">
        <f t="shared" ref="D30:K30" si="2">SUM(D28:D29)</f>
        <v>958</v>
      </c>
      <c r="E30" s="245">
        <f t="shared" si="2"/>
        <v>1039</v>
      </c>
      <c r="F30" s="245">
        <f t="shared" si="2"/>
        <v>1221</v>
      </c>
      <c r="G30" s="245">
        <f t="shared" si="2"/>
        <v>1220</v>
      </c>
      <c r="H30" s="245">
        <f t="shared" si="2"/>
        <v>1217</v>
      </c>
      <c r="I30" s="245">
        <f t="shared" si="2"/>
        <v>217.79999999999973</v>
      </c>
      <c r="J30" s="245">
        <f t="shared" si="2"/>
        <v>190.79999999999973</v>
      </c>
      <c r="K30" s="246">
        <f t="shared" si="2"/>
        <v>215.25</v>
      </c>
      <c r="L30" s="247">
        <f t="shared" ref="L30:Q30" si="3">SUM(L28:L29)</f>
        <v>125.25</v>
      </c>
      <c r="M30" s="245">
        <f t="shared" si="3"/>
        <v>43.25</v>
      </c>
      <c r="N30" s="245">
        <f t="shared" si="3"/>
        <v>-17.75</v>
      </c>
      <c r="O30" s="245">
        <f t="shared" si="3"/>
        <v>-77.75</v>
      </c>
      <c r="P30" s="245">
        <f t="shared" si="3"/>
        <v>-130.75</v>
      </c>
      <c r="Q30" s="248">
        <f t="shared" si="3"/>
        <v>-181</v>
      </c>
    </row>
    <row r="31" spans="2:20" ht="16.5" customHeight="1">
      <c r="B31" s="609" t="s">
        <v>319</v>
      </c>
      <c r="C31" s="610"/>
      <c r="D31" s="239">
        <f>'PX-A19'!D60-'PX-A19'!D89</f>
        <v>-882</v>
      </c>
      <c r="E31" s="240">
        <f>'PX-A19'!E60-'PX-A19'!E89</f>
        <v>-855</v>
      </c>
      <c r="F31" s="240">
        <f>'PX-A19'!F60-'PX-A19'!F89</f>
        <v>-936</v>
      </c>
      <c r="G31" s="240">
        <f>'PX-A19'!G60-'PX-A19'!G89</f>
        <v>-936</v>
      </c>
      <c r="H31" s="240">
        <f>'PX-A19'!H60-'PX-A19'!H89</f>
        <v>-936</v>
      </c>
      <c r="I31" s="240">
        <f>'PX-A19'!I60-'PX-A19'!I89</f>
        <v>-936</v>
      </c>
      <c r="J31" s="240">
        <f>'PX-A19'!J60-'PX-A19'!J89</f>
        <v>-936</v>
      </c>
      <c r="K31" s="241">
        <f>'PX-A19'!K60-'PX-A19'!K89</f>
        <v>-955</v>
      </c>
      <c r="L31" s="242">
        <f>'PX-A19'!L60-'PX-A19'!L89</f>
        <v>-976</v>
      </c>
      <c r="M31" s="240">
        <f>'PX-A19'!M60-'PX-A19'!M89</f>
        <v>-1001</v>
      </c>
      <c r="N31" s="240">
        <f>'PX-A19'!N60-'PX-A19'!N89</f>
        <v>-1028</v>
      </c>
      <c r="O31" s="240">
        <f>'PX-A19'!O60-'PX-A19'!O89</f>
        <v>-1057</v>
      </c>
      <c r="P31" s="240">
        <f>'PX-A19'!P60-'PX-A19'!P89</f>
        <v>-1088</v>
      </c>
      <c r="Q31" s="243">
        <f>'PX-A19'!Q60-'PX-A19'!Q89</f>
        <v>-1120</v>
      </c>
    </row>
    <row r="32" spans="2:20" ht="16.5" customHeight="1">
      <c r="B32" s="605" t="s">
        <v>320</v>
      </c>
      <c r="C32" s="606"/>
      <c r="D32" s="239">
        <f>'PX-A19'!D61-'PX-A19'!D90</f>
        <v>-109</v>
      </c>
      <c r="E32" s="240">
        <f>'PX-A19'!E61-'PX-A19'!E90</f>
        <v>-89</v>
      </c>
      <c r="F32" s="240">
        <f>'PX-A19'!F61-'PX-A19'!F90</f>
        <v>-88</v>
      </c>
      <c r="G32" s="240">
        <f>'PX-A19'!G61-'PX-A19'!G90</f>
        <v>-87</v>
      </c>
      <c r="H32" s="240">
        <f>'PX-A19'!H61-'PX-A19'!H90</f>
        <v>-86</v>
      </c>
      <c r="I32" s="240">
        <f>'PX-A19'!I61-'PX-A19'!I90</f>
        <v>-80</v>
      </c>
      <c r="J32" s="240">
        <f>'PX-A19'!J61-'PX-A19'!J90</f>
        <v>-68.300000000000011</v>
      </c>
      <c r="K32" s="241">
        <f>'PX-A19'!K61-'PX-A19'!K90</f>
        <v>-71</v>
      </c>
      <c r="L32" s="242">
        <f>'PX-A19'!L61-'PX-A19'!L90</f>
        <v>-75</v>
      </c>
      <c r="M32" s="240">
        <f>'PX-A19'!M61-'PX-A19'!M90</f>
        <v>-81</v>
      </c>
      <c r="N32" s="240">
        <f>'PX-A19'!N61-'PX-A19'!N90</f>
        <v>-87</v>
      </c>
      <c r="O32" s="240">
        <f>'PX-A19'!O61-'PX-A19'!O90</f>
        <v>-93</v>
      </c>
      <c r="P32" s="240">
        <f>'PX-A19'!P61-'PX-A19'!P90</f>
        <v>-99</v>
      </c>
      <c r="Q32" s="243">
        <f>'PX-A19'!Q61-'PX-A19'!Q90</f>
        <v>-105</v>
      </c>
      <c r="T32" s="366"/>
    </row>
    <row r="33" spans="2:17" ht="16.5" customHeight="1">
      <c r="B33" s="607" t="s">
        <v>321</v>
      </c>
      <c r="C33" s="608"/>
      <c r="D33" s="239">
        <f>'PX-A19'!D62-'PX-A19'!D91</f>
        <v>0</v>
      </c>
      <c r="E33" s="240">
        <f>'PX-A19'!E62-'PX-A19'!E91</f>
        <v>0</v>
      </c>
      <c r="F33" s="240">
        <f>'PX-A19'!F62-'PX-A19'!F91</f>
        <v>0</v>
      </c>
      <c r="G33" s="240">
        <f>'PX-A19'!G62-'PX-A19'!G91</f>
        <v>0</v>
      </c>
      <c r="H33" s="240">
        <f>'PX-A19'!H62-'PX-A19'!H91</f>
        <v>0</v>
      </c>
      <c r="I33" s="240">
        <f>'PX-A19'!I62-'PX-A19'!I91</f>
        <v>0</v>
      </c>
      <c r="J33" s="240">
        <f>'PX-A19'!J62-'PX-A19'!J91</f>
        <v>0</v>
      </c>
      <c r="K33" s="241">
        <f>'PX-A19'!K62-'PX-A19'!K91</f>
        <v>0</v>
      </c>
      <c r="L33" s="242">
        <f>'PX-A19'!L62-'PX-A19'!L91</f>
        <v>0</v>
      </c>
      <c r="M33" s="240">
        <f>'PX-A19'!M62-'PX-A19'!M91</f>
        <v>0</v>
      </c>
      <c r="N33" s="240">
        <f>'PX-A19'!N62-'PX-A19'!N91</f>
        <v>0</v>
      </c>
      <c r="O33" s="240">
        <f>'PX-A19'!O62-'PX-A19'!O91</f>
        <v>0</v>
      </c>
      <c r="P33" s="240">
        <f>'PX-A19'!P62-'PX-A19'!P91</f>
        <v>0</v>
      </c>
      <c r="Q33" s="243">
        <f>'PX-A19'!Q62-'PX-A19'!Q91</f>
        <v>0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-991</v>
      </c>
      <c r="E34" s="250">
        <f t="shared" si="4"/>
        <v>-944</v>
      </c>
      <c r="F34" s="250">
        <f t="shared" si="4"/>
        <v>-1024</v>
      </c>
      <c r="G34" s="250">
        <f t="shared" si="4"/>
        <v>-1023</v>
      </c>
      <c r="H34" s="250">
        <f t="shared" si="4"/>
        <v>-1022</v>
      </c>
      <c r="I34" s="250">
        <f t="shared" si="4"/>
        <v>-1016</v>
      </c>
      <c r="J34" s="250">
        <f t="shared" si="4"/>
        <v>-1004.3</v>
      </c>
      <c r="K34" s="251">
        <f t="shared" si="4"/>
        <v>-1026</v>
      </c>
      <c r="L34" s="252">
        <f t="shared" ref="L34:Q34" si="5">SUM(L31:L33)</f>
        <v>-1051</v>
      </c>
      <c r="M34" s="250">
        <f t="shared" si="5"/>
        <v>-1082</v>
      </c>
      <c r="N34" s="250">
        <f t="shared" si="5"/>
        <v>-1115</v>
      </c>
      <c r="O34" s="250">
        <f t="shared" si="5"/>
        <v>-1150</v>
      </c>
      <c r="P34" s="250">
        <f t="shared" si="5"/>
        <v>-1187</v>
      </c>
      <c r="Q34" s="253">
        <f t="shared" si="5"/>
        <v>-1225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377.96000000000004</v>
      </c>
      <c r="E35" s="171">
        <f t="shared" ref="E35:Q35" si="6">SUM(E19+E20+E22+E24+E26+E27+E30+E34)</f>
        <v>272.29068800000005</v>
      </c>
      <c r="F35" s="171">
        <f t="shared" si="6"/>
        <v>329.92599999999993</v>
      </c>
      <c r="G35" s="171">
        <f t="shared" si="6"/>
        <v>113.08799999999997</v>
      </c>
      <c r="H35" s="171">
        <f t="shared" si="6"/>
        <v>-267.97400000000016</v>
      </c>
      <c r="I35" s="171">
        <f t="shared" si="6"/>
        <v>-2653.5000000000005</v>
      </c>
      <c r="J35" s="171">
        <f t="shared" si="6"/>
        <v>-38.97406100000012</v>
      </c>
      <c r="K35" s="173">
        <f t="shared" si="6"/>
        <v>-1008.2129999999997</v>
      </c>
      <c r="L35" s="172">
        <f t="shared" si="6"/>
        <v>-2816.962</v>
      </c>
      <c r="M35" s="171">
        <f t="shared" si="6"/>
        <v>-2064.2890000000002</v>
      </c>
      <c r="N35" s="171">
        <f t="shared" si="6"/>
        <v>1154.6310000000008</v>
      </c>
      <c r="O35" s="171">
        <f t="shared" si="6"/>
        <v>815.73100000000068</v>
      </c>
      <c r="P35" s="171">
        <f t="shared" si="6"/>
        <v>349.63100000000031</v>
      </c>
      <c r="Q35" s="174">
        <f t="shared" si="6"/>
        <v>880.08100000000104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17</v>
      </c>
    </row>
    <row r="39" spans="2:17" ht="15" customHeight="1" thickBot="1">
      <c r="Q39" s="12" t="s">
        <v>49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IF('PX-A19'!D7=0,"    -",ROUND('PX-A19'!D36/'PX-A19'!D7*100,1))</f>
        <v>106.7</v>
      </c>
      <c r="E43" s="58">
        <f>IF('PX-A19'!E7=0,"    -",ROUND('PX-A19'!E36/'PX-A19'!E7*100,1))</f>
        <v>100.1</v>
      </c>
      <c r="F43" s="58">
        <f>IF('PX-A19'!F7=0,"    -",ROUND('PX-A19'!F36/'PX-A19'!F7*100,1))</f>
        <v>91.7</v>
      </c>
      <c r="G43" s="58">
        <f>IF('PX-A19'!G7=0,"    -",ROUND('PX-A19'!G36/'PX-A19'!G7*100,1))</f>
        <v>95</v>
      </c>
      <c r="H43" s="58">
        <f>IF('PX-A19'!H7=0,"    -",ROUND('PX-A19'!H36/'PX-A19'!H7*100,1))</f>
        <v>74.099999999999994</v>
      </c>
      <c r="I43" s="58">
        <f>IF('PX-A19'!I7=0,"    -",ROUND('PX-A19'!I36/'PX-A19'!I7*100,1))</f>
        <v>88.8</v>
      </c>
      <c r="J43" s="58">
        <f>IF('PX-A19'!J7=0,"    -",ROUND('PX-A19'!J36/'PX-A19'!J7*100,1))</f>
        <v>95.4</v>
      </c>
      <c r="K43" s="59">
        <f>IF('PX-A19'!K7=0,"    -",ROUND('PX-A19'!K36/'PX-A19'!K7*100,1))</f>
        <v>103.7</v>
      </c>
      <c r="L43" s="60">
        <f>IF('PX-A19'!L7=0,"    -",ROUND('PX-A19'!L36/'PX-A19'!L7*100,1))</f>
        <v>96.2</v>
      </c>
      <c r="M43" s="58">
        <f>IF('PX-A19'!M7=0,"    -",ROUND('PX-A19'!M36/'PX-A19'!M7*100,1))</f>
        <v>96.2</v>
      </c>
      <c r="N43" s="58">
        <f>IF('PX-A19'!N7=0,"    -",ROUND('PX-A19'!N36/'PX-A19'!N7*100,1))</f>
        <v>96.2</v>
      </c>
      <c r="O43" s="58">
        <f>IF('PX-A19'!O7=0,"    -",ROUND('PX-A19'!O36/'PX-A19'!O7*100,1))</f>
        <v>98.1</v>
      </c>
      <c r="P43" s="58">
        <f>IF('PX-A19'!P7=0,"    -",ROUND('PX-A19'!P36/'PX-A19'!P7*100,1))</f>
        <v>98.1</v>
      </c>
      <c r="Q43" s="61">
        <f>IF('PX-A19'!Q7=0,"    -",ROUND('PX-A19'!Q36/'PX-A19'!Q7*100,1))</f>
        <v>98.1</v>
      </c>
    </row>
    <row r="44" spans="2:17" ht="16.5" customHeight="1">
      <c r="B44" s="605" t="s">
        <v>434</v>
      </c>
      <c r="C44" s="606"/>
      <c r="D44" s="57">
        <f>IF('PX-A19'!D8=0,"    -",ROUND('PX-A19'!D37/'PX-A19'!D8*100,1))</f>
        <v>90.5</v>
      </c>
      <c r="E44" s="58">
        <f>IF('PX-A19'!E8=0,"    -",ROUND('PX-A19'!E37/'PX-A19'!E8*100,1))</f>
        <v>86.2</v>
      </c>
      <c r="F44" s="58">
        <f>IF('PX-A19'!F8=0,"    -",ROUND('PX-A19'!F37/'PX-A19'!F8*100,1))</f>
        <v>89.5</v>
      </c>
      <c r="G44" s="58">
        <f>IF('PX-A19'!G8=0,"    -",ROUND('PX-A19'!G37/'PX-A19'!G8*100,1))</f>
        <v>90.4</v>
      </c>
      <c r="H44" s="58">
        <f>IF('PX-A19'!H8=0,"    -",ROUND('PX-A19'!H37/'PX-A19'!H8*100,1))</f>
        <v>80.3</v>
      </c>
      <c r="I44" s="58">
        <f>IF('PX-A19'!I8=0,"    -",ROUND('PX-A19'!I37/'PX-A19'!I8*100,1))</f>
        <v>111.8</v>
      </c>
      <c r="J44" s="58">
        <f>IF('PX-A19'!J8=0,"    -",ROUND('PX-A19'!J37/'PX-A19'!J8*100,1))</f>
        <v>98.8</v>
      </c>
      <c r="K44" s="59">
        <f>IF('PX-A19'!K8=0,"    -",ROUND('PX-A19'!K37/'PX-A19'!K8*100,1))</f>
        <v>104.1</v>
      </c>
      <c r="L44" s="60">
        <f>IF('PX-A19'!L8=0,"    -",ROUND('PX-A19'!L37/'PX-A19'!L8*100,1))</f>
        <v>104.1</v>
      </c>
      <c r="M44" s="58">
        <f>IF('PX-A19'!M8=0,"    -",ROUND('PX-A19'!M37/'PX-A19'!M8*100,1))</f>
        <v>104.1</v>
      </c>
      <c r="N44" s="58">
        <f>IF('PX-A19'!N8=0,"    -",ROUND('PX-A19'!N37/'PX-A19'!N8*100,1))</f>
        <v>104.1</v>
      </c>
      <c r="O44" s="58">
        <f>IF('PX-A19'!O8=0,"    -",ROUND('PX-A19'!O37/'PX-A19'!O8*100,1))</f>
        <v>104.1</v>
      </c>
      <c r="P44" s="58">
        <f>IF('PX-A19'!P8=0,"    -",ROUND('PX-A19'!P37/'PX-A19'!P8*100,1))</f>
        <v>104.1</v>
      </c>
      <c r="Q44" s="61">
        <f>IF('PX-A19'!Q8=0,"    -",ROUND('PX-A19'!Q37/'PX-A19'!Q8*100,1))</f>
        <v>104.1</v>
      </c>
    </row>
    <row r="45" spans="2:17" ht="16.5" customHeight="1">
      <c r="B45" s="605" t="s">
        <v>435</v>
      </c>
      <c r="C45" s="606"/>
      <c r="D45" s="57">
        <f>IF('PX-A19'!D9=0,"    -",ROUND('PX-A19'!D38/'PX-A19'!D9*100,1))</f>
        <v>79.7</v>
      </c>
      <c r="E45" s="58">
        <f>IF('PX-A19'!E9=0,"    -",ROUND('PX-A19'!E38/'PX-A19'!E9*100,1))</f>
        <v>89.9</v>
      </c>
      <c r="F45" s="58">
        <f>IF('PX-A19'!F9=0,"    -",ROUND('PX-A19'!F38/'PX-A19'!F9*100,1))</f>
        <v>87.5</v>
      </c>
      <c r="G45" s="58">
        <f>IF('PX-A19'!G9=0,"    -",ROUND('PX-A19'!G38/'PX-A19'!G9*100,1))</f>
        <v>80.8</v>
      </c>
      <c r="H45" s="58">
        <f>IF('PX-A19'!H9=0,"    -",ROUND('PX-A19'!H38/'PX-A19'!H9*100,1))</f>
        <v>51.5</v>
      </c>
      <c r="I45" s="58">
        <f>IF('PX-A19'!I9=0,"    -",ROUND('PX-A19'!I38/'PX-A19'!I9*100,1))</f>
        <v>42.5</v>
      </c>
      <c r="J45" s="58">
        <f>IF('PX-A19'!J9=0,"    -",ROUND('PX-A19'!J38/'PX-A19'!J9*100,1))</f>
        <v>64.2</v>
      </c>
      <c r="K45" s="59">
        <f>IF('PX-A19'!K9=0,"    -",ROUND('PX-A19'!K38/'PX-A19'!K9*100,1))</f>
        <v>99.8</v>
      </c>
      <c r="L45" s="60">
        <f>IF('PX-A19'!L9=0,"    -",ROUND('PX-A19'!L38/'PX-A19'!L9*100,1))</f>
        <v>95</v>
      </c>
      <c r="M45" s="58">
        <f>IF('PX-A19'!M9=0,"    -",ROUND('PX-A19'!M38/'PX-A19'!M9*100,1))</f>
        <v>95</v>
      </c>
      <c r="N45" s="58">
        <f>IF('PX-A19'!N9=0,"    -",ROUND('PX-A19'!N38/'PX-A19'!N9*100,1))</f>
        <v>95</v>
      </c>
      <c r="O45" s="58">
        <f>IF('PX-A19'!O9=0,"    -",ROUND('PX-A19'!O38/'PX-A19'!O9*100,1))</f>
        <v>95</v>
      </c>
      <c r="P45" s="58">
        <f>IF('PX-A19'!P9=0,"    -",ROUND('PX-A19'!P38/'PX-A19'!P9*100,1))</f>
        <v>95</v>
      </c>
      <c r="Q45" s="61">
        <f>IF('PX-A19'!Q9=0,"    -",ROUND('PX-A19'!Q38/'PX-A19'!Q9*100,1))</f>
        <v>95</v>
      </c>
    </row>
    <row r="46" spans="2:17" ht="16.5" customHeight="1">
      <c r="B46" s="605" t="s">
        <v>436</v>
      </c>
      <c r="C46" s="606"/>
      <c r="D46" s="57">
        <f>IF('PX-A19'!D10=0,"    -",ROUND('PX-A19'!D39/'PX-A19'!D10*100,1))</f>
        <v>89.6</v>
      </c>
      <c r="E46" s="58">
        <f>IF('PX-A19'!E10=0,"    -",ROUND('PX-A19'!E39/'PX-A19'!E10*100,1))</f>
        <v>88.7</v>
      </c>
      <c r="F46" s="58">
        <f>IF('PX-A19'!F10=0,"    -",ROUND('PX-A19'!F39/'PX-A19'!F10*100,1))</f>
        <v>96</v>
      </c>
      <c r="G46" s="58">
        <f>IF('PX-A19'!G10=0,"    -",ROUND('PX-A19'!G39/'PX-A19'!G10*100,1))</f>
        <v>82.6</v>
      </c>
      <c r="H46" s="58">
        <f>IF('PX-A19'!H10=0,"    -",ROUND('PX-A19'!H39/'PX-A19'!H10*100,1))</f>
        <v>74.8</v>
      </c>
      <c r="I46" s="58">
        <f>IF('PX-A19'!I10=0,"    -",ROUND('PX-A19'!I39/'PX-A19'!I10*100,1))</f>
        <v>77.7</v>
      </c>
      <c r="J46" s="58">
        <f>IF('PX-A19'!J10=0,"    -",ROUND('PX-A19'!J39/'PX-A19'!J10*100,1))</f>
        <v>77.400000000000006</v>
      </c>
      <c r="K46" s="59">
        <f>IF('PX-A19'!K10=0,"    -",ROUND('PX-A19'!K39/'PX-A19'!K10*100,1))</f>
        <v>79.8</v>
      </c>
      <c r="L46" s="60">
        <f>IF('PX-A19'!L10=0,"    -",ROUND('PX-A19'!L39/'PX-A19'!L10*100,1))</f>
        <v>89.9</v>
      </c>
      <c r="M46" s="58">
        <f>IF('PX-A19'!M10=0,"    -",ROUND('PX-A19'!M39/'PX-A19'!M10*100,1))</f>
        <v>60</v>
      </c>
      <c r="N46" s="58">
        <f>IF('PX-A19'!N10=0,"    -",ROUND('PX-A19'!N39/'PX-A19'!N10*100,1))</f>
        <v>63.6</v>
      </c>
      <c r="O46" s="58">
        <f>IF('PX-A19'!O10=0,"    -",ROUND('PX-A19'!O39/'PX-A19'!O10*100,1))</f>
        <v>62.7</v>
      </c>
      <c r="P46" s="58">
        <f>IF('PX-A19'!P10=0,"    -",ROUND('PX-A19'!P39/'PX-A19'!P10*100,1))</f>
        <v>64.2</v>
      </c>
      <c r="Q46" s="61">
        <f>IF('PX-A19'!Q10=0,"    -",ROUND('PX-A19'!Q39/'PX-A19'!Q10*100,1))</f>
        <v>60.5</v>
      </c>
    </row>
    <row r="47" spans="2:17" ht="16.5" customHeight="1">
      <c r="B47" s="605" t="s">
        <v>437</v>
      </c>
      <c r="C47" s="606"/>
      <c r="D47" s="57">
        <f>IF('PX-A19'!D11=0,"    -",ROUND('PX-A19'!D40/'PX-A19'!D11*100,1))</f>
        <v>90</v>
      </c>
      <c r="E47" s="58">
        <f>IF('PX-A19'!E11=0,"    -",ROUND('PX-A19'!E40/'PX-A19'!E11*100,1))</f>
        <v>90.3</v>
      </c>
      <c r="F47" s="58">
        <f>IF('PX-A19'!F11=0,"    -",ROUND('PX-A19'!F40/'PX-A19'!F11*100,1))</f>
        <v>90.4</v>
      </c>
      <c r="G47" s="58">
        <f>IF('PX-A19'!G11=0,"    -",ROUND('PX-A19'!G40/'PX-A19'!G11*100,1))</f>
        <v>89.1</v>
      </c>
      <c r="H47" s="58">
        <f>IF('PX-A19'!H11=0,"    -",ROUND('PX-A19'!H40/'PX-A19'!H11*100,1))</f>
        <v>77</v>
      </c>
      <c r="I47" s="58">
        <f>IF('PX-A19'!I11=0,"    -",ROUND('PX-A19'!I40/'PX-A19'!I11*100,1))</f>
        <v>74.400000000000006</v>
      </c>
      <c r="J47" s="58">
        <f>IF('PX-A19'!J11=0,"    -",ROUND('PX-A19'!J40/'PX-A19'!J11*100,1))</f>
        <v>81</v>
      </c>
      <c r="K47" s="59">
        <f>IF('PX-A19'!K11=0,"    -",ROUND('PX-A19'!K40/'PX-A19'!K11*100,1))</f>
        <v>77.7</v>
      </c>
      <c r="L47" s="60">
        <f>IF('PX-A19'!L11=0,"    -",ROUND('PX-A19'!L40/'PX-A19'!L11*100,1))</f>
        <v>89.5</v>
      </c>
      <c r="M47" s="58">
        <f>IF('PX-A19'!M11=0,"    -",ROUND('PX-A19'!M40/'PX-A19'!M11*100,1))</f>
        <v>86.4</v>
      </c>
      <c r="N47" s="58">
        <f>IF('PX-A19'!N11=0,"    -",ROUND('PX-A19'!N40/'PX-A19'!N11*100,1))</f>
        <v>86.4</v>
      </c>
      <c r="O47" s="58">
        <f>IF('PX-A19'!O11=0,"    -",ROUND('PX-A19'!O40/'PX-A19'!O11*100,1))</f>
        <v>86.4</v>
      </c>
      <c r="P47" s="58">
        <f>IF('PX-A19'!P11=0,"    -",ROUND('PX-A19'!P40/'PX-A19'!P11*100,1))</f>
        <v>86.4</v>
      </c>
      <c r="Q47" s="61">
        <f>IF('PX-A19'!Q11=0,"    -",ROUND('PX-A19'!Q40/'PX-A19'!Q11*100,1))</f>
        <v>86.4</v>
      </c>
    </row>
    <row r="48" spans="2:17" ht="16.5" customHeight="1">
      <c r="B48" s="605" t="s">
        <v>438</v>
      </c>
      <c r="C48" s="606"/>
      <c r="D48" s="57">
        <f>IF('PX-A19'!D12=0,"    -",ROUND('PX-A19'!D41/'PX-A19'!D12*100,1))</f>
        <v>50.9</v>
      </c>
      <c r="E48" s="58">
        <f>IF('PX-A19'!E12=0,"    -",ROUND('PX-A19'!E41/'PX-A19'!E12*100,1))</f>
        <v>91.1</v>
      </c>
      <c r="F48" s="58">
        <f>IF('PX-A19'!F12=0,"    -",ROUND('PX-A19'!F41/'PX-A19'!F12*100,1))</f>
        <v>27.3</v>
      </c>
      <c r="G48" s="58">
        <f>IF('PX-A19'!G12=0,"    -",ROUND('PX-A19'!G41/'PX-A19'!G12*100,1))</f>
        <v>34.200000000000003</v>
      </c>
      <c r="H48" s="58">
        <f>IF('PX-A19'!H12=0,"    -",ROUND('PX-A19'!H41/'PX-A19'!H12*100,1))</f>
        <v>31</v>
      </c>
      <c r="I48" s="58">
        <f>IF('PX-A19'!I12=0,"    -",ROUND('PX-A19'!I41/'PX-A19'!I12*100,1))</f>
        <v>28.3</v>
      </c>
      <c r="J48" s="58">
        <f>IF('PX-A19'!J12=0,"    -",ROUND('PX-A19'!J41/'PX-A19'!J12*100,1))</f>
        <v>28.3</v>
      </c>
      <c r="K48" s="59">
        <f>IF('PX-A19'!K12=0,"    -",ROUND('PX-A19'!K41/'PX-A19'!K12*100,1))</f>
        <v>37</v>
      </c>
      <c r="L48" s="60">
        <f>IF('PX-A19'!L12=0,"    -",ROUND('PX-A19'!L41/'PX-A19'!L12*100,1))</f>
        <v>43.5</v>
      </c>
      <c r="M48" s="58">
        <f>IF('PX-A19'!M12=0,"    -",ROUND('PX-A19'!M41/'PX-A19'!M12*100,1))</f>
        <v>54.3</v>
      </c>
      <c r="N48" s="58">
        <f>IF('PX-A19'!N12=0,"    -",ROUND('PX-A19'!N41/'PX-A19'!N12*100,1))</f>
        <v>59.8</v>
      </c>
      <c r="O48" s="58">
        <f>IF('PX-A19'!O12=0,"    -",ROUND('PX-A19'!O41/'PX-A19'!O12*100,1))</f>
        <v>65.2</v>
      </c>
      <c r="P48" s="58">
        <f>IF('PX-A19'!P12=0,"    -",ROUND('PX-A19'!P41/'PX-A19'!P12*100,1))</f>
        <v>64.5</v>
      </c>
      <c r="Q48" s="61">
        <f>IF('PX-A19'!Q12=0,"    -",ROUND('PX-A19'!Q41/'PX-A19'!Q12*100,1))</f>
        <v>77.2</v>
      </c>
    </row>
    <row r="49" spans="2:17" ht="16.5" customHeight="1">
      <c r="B49" s="605" t="s">
        <v>439</v>
      </c>
      <c r="C49" s="606"/>
      <c r="D49" s="57">
        <f>IF('PX-A19'!D13=0,"    -",ROUND('PX-A19'!D42/'PX-A19'!D13*100,1))</f>
        <v>86.6</v>
      </c>
      <c r="E49" s="58">
        <f>IF('PX-A19'!E13=0,"    -",ROUND('PX-A19'!E42/'PX-A19'!E13*100,1))</f>
        <v>95.4</v>
      </c>
      <c r="F49" s="58">
        <f>IF('PX-A19'!F13=0,"    -",ROUND('PX-A19'!F42/'PX-A19'!F13*100,1))</f>
        <v>99.5</v>
      </c>
      <c r="G49" s="58">
        <f>IF('PX-A19'!G13=0,"    -",ROUND('PX-A19'!G42/'PX-A19'!G13*100,1))</f>
        <v>93.7</v>
      </c>
      <c r="H49" s="58">
        <f>IF('PX-A19'!H13=0,"    -",ROUND('PX-A19'!H42/'PX-A19'!H13*100,1))</f>
        <v>91.2</v>
      </c>
      <c r="I49" s="58">
        <f>IF('PX-A19'!I13=0,"    -",ROUND('PX-A19'!I42/'PX-A19'!I13*100,1))</f>
        <v>62.5</v>
      </c>
      <c r="J49" s="58">
        <f>IF('PX-A19'!J13=0,"    -",ROUND('PX-A19'!J42/'PX-A19'!J13*100,1))</f>
        <v>60</v>
      </c>
      <c r="K49" s="59">
        <f>IF('PX-A19'!K13=0,"    -",ROUND('PX-A19'!K42/'PX-A19'!K13*100,1))</f>
        <v>60</v>
      </c>
      <c r="L49" s="60">
        <f>IF('PX-A19'!L13=0,"    -",ROUND('PX-A19'!L42/'PX-A19'!L13*100,1))</f>
        <v>57.4</v>
      </c>
      <c r="M49" s="58">
        <f>IF('PX-A19'!M13=0,"    -",ROUND('PX-A19'!M42/'PX-A19'!M13*100,1))</f>
        <v>59.9</v>
      </c>
      <c r="N49" s="58">
        <f>IF('PX-A19'!N13=0,"    -",ROUND('PX-A19'!N42/'PX-A19'!N13*100,1))</f>
        <v>74.900000000000006</v>
      </c>
      <c r="O49" s="58">
        <f>IF('PX-A19'!O13=0,"    -",ROUND('PX-A19'!O42/'PX-A19'!O13*100,1))</f>
        <v>79.900000000000006</v>
      </c>
      <c r="P49" s="58">
        <f>IF('PX-A19'!P13=0,"    -",ROUND('PX-A19'!P42/'PX-A19'!P13*100,1))</f>
        <v>87.4</v>
      </c>
      <c r="Q49" s="61">
        <f>IF('PX-A19'!Q13=0,"    -",ROUND('PX-A19'!Q42/'PX-A19'!Q13*100,1))</f>
        <v>89.9</v>
      </c>
    </row>
    <row r="50" spans="2:17" ht="18" hidden="1" customHeight="1">
      <c r="B50" s="16"/>
      <c r="C50" s="90" t="s">
        <v>306</v>
      </c>
      <c r="D50" s="57" t="str">
        <f>IF('PX-A19'!D14=0,"    -",ROUND('PX-A19'!D43/'PX-A19'!D14*100,1))</f>
        <v xml:space="preserve">    -</v>
      </c>
      <c r="E50" s="58" t="str">
        <f>IF('PX-A19'!E14=0,"    -",ROUND('PX-A19'!E43/'PX-A19'!E14*100,1))</f>
        <v xml:space="preserve">    -</v>
      </c>
      <c r="F50" s="58" t="str">
        <f>IF('PX-A19'!F14=0,"    -",ROUND('PX-A19'!F43/'PX-A19'!F14*100,1))</f>
        <v xml:space="preserve">    -</v>
      </c>
      <c r="G50" s="58" t="str">
        <f>IF('PX-A19'!G14=0,"    -",ROUND('PX-A19'!G43/'PX-A19'!G14*100,1))</f>
        <v xml:space="preserve">    -</v>
      </c>
      <c r="H50" s="58" t="str">
        <f>IF('PX-A19'!H14=0,"    -",ROUND('PX-A19'!H43/'PX-A19'!H14*100,1))</f>
        <v xml:space="preserve">    -</v>
      </c>
      <c r="I50" s="58" t="str">
        <f>IF('PX-A19'!I14=0,"    -",ROUND('PX-A19'!I43/'PX-A19'!I14*100,1))</f>
        <v xml:space="preserve">    -</v>
      </c>
      <c r="J50" s="58" t="str">
        <f>IF('PX-A19'!J14=0,"    -",ROUND('PX-A19'!J43/'PX-A19'!J14*100,1))</f>
        <v xml:space="preserve">    -</v>
      </c>
      <c r="K50" s="59" t="str">
        <f>IF('PX-A19'!K14=0,"    -",ROUND('PX-A19'!K43/'PX-A19'!K14*100,1))</f>
        <v xml:space="preserve">    -</v>
      </c>
      <c r="L50" s="60" t="str">
        <f>IF('PX-A19'!L14=0,"    -",ROUND('PX-A19'!L43/'PX-A19'!L14*100,1))</f>
        <v xml:space="preserve">    -</v>
      </c>
      <c r="M50" s="58" t="str">
        <f>IF('PX-A19'!M14=0,"    -",ROUND('PX-A19'!M43/'PX-A19'!M14*100,1))</f>
        <v xml:space="preserve">    -</v>
      </c>
      <c r="N50" s="58" t="str">
        <f>IF('PX-A19'!N14=0,"    -",ROUND('PX-A19'!N43/'PX-A19'!N14*100,1))</f>
        <v xml:space="preserve">    -</v>
      </c>
      <c r="O50" s="58" t="str">
        <f>IF('PX-A19'!O14=0,"    -",ROUND('PX-A19'!O43/'PX-A19'!O14*100,1))</f>
        <v xml:space="preserve">    -</v>
      </c>
      <c r="P50" s="58" t="str">
        <f>IF('PX-A19'!P14=0,"    -",ROUND('PX-A19'!P43/'PX-A19'!P14*100,1))</f>
        <v xml:space="preserve">    -</v>
      </c>
      <c r="Q50" s="61" t="str">
        <f>IF('PX-A19'!Q14=0,"    -",ROUND('PX-A19'!Q43/'PX-A19'!Q14*100,1))</f>
        <v xml:space="preserve">    -</v>
      </c>
    </row>
    <row r="51" spans="2:17" ht="16.5" customHeight="1">
      <c r="B51" s="605" t="s">
        <v>440</v>
      </c>
      <c r="C51" s="606"/>
      <c r="D51" s="57" t="str">
        <f>IF('PX-A19'!D15=0,"    -",ROUND('PX-A19'!D44/'PX-A19'!D15*100,1))</f>
        <v xml:space="preserve">    -</v>
      </c>
      <c r="E51" s="58" t="str">
        <f>IF('PX-A19'!E15=0,"    -",ROUND('PX-A19'!E44/'PX-A19'!E15*100,1))</f>
        <v xml:space="preserve">    -</v>
      </c>
      <c r="F51" s="58" t="str">
        <f>IF('PX-A19'!F15=0,"    -",ROUND('PX-A19'!F44/'PX-A19'!F15*100,1))</f>
        <v xml:space="preserve">    -</v>
      </c>
      <c r="G51" s="58" t="str">
        <f>IF('PX-A19'!G15=0,"    -",ROUND('PX-A19'!G44/'PX-A19'!G15*100,1))</f>
        <v xml:space="preserve">    -</v>
      </c>
      <c r="H51" s="58" t="str">
        <f>IF('PX-A19'!H15=0,"    -",ROUND('PX-A19'!H44/'PX-A19'!H15*100,1))</f>
        <v xml:space="preserve">    -</v>
      </c>
      <c r="I51" s="58" t="str">
        <f>IF('PX-A19'!I15=0,"    -",ROUND('PX-A19'!I44/'PX-A19'!I15*100,1))</f>
        <v xml:space="preserve">    -</v>
      </c>
      <c r="J51" s="58" t="str">
        <f>IF('PX-A19'!J15=0,"    -",ROUND('PX-A19'!J44/'PX-A19'!J15*100,1))</f>
        <v xml:space="preserve">    -</v>
      </c>
      <c r="K51" s="59" t="str">
        <f>IF('PX-A19'!K15=0,"    -",ROUND('PX-A19'!K44/'PX-A19'!K15*100,1))</f>
        <v xml:space="preserve">    -</v>
      </c>
      <c r="L51" s="60" t="str">
        <f>IF('PX-A19'!L15=0,"    -",ROUND('PX-A19'!L44/'PX-A19'!L15*100,1))</f>
        <v xml:space="preserve">    -</v>
      </c>
      <c r="M51" s="58" t="str">
        <f>IF('PX-A19'!M15=0,"    -",ROUND('PX-A19'!M44/'PX-A19'!M15*100,1))</f>
        <v xml:space="preserve">    -</v>
      </c>
      <c r="N51" s="58" t="str">
        <f>IF('PX-A19'!N15=0,"    -",ROUND('PX-A19'!N44/'PX-A19'!N15*100,1))</f>
        <v xml:space="preserve">    -</v>
      </c>
      <c r="O51" s="58" t="str">
        <f>IF('PX-A19'!O15=0,"    -",ROUND('PX-A19'!O44/'PX-A19'!O15*100,1))</f>
        <v xml:space="preserve">    -</v>
      </c>
      <c r="P51" s="58" t="str">
        <f>IF('PX-A19'!P15=0,"    -",ROUND('PX-A19'!P44/'PX-A19'!P15*100,1))</f>
        <v xml:space="preserve">    -</v>
      </c>
      <c r="Q51" s="61" t="str">
        <f>IF('PX-A19'!Q15=0,"    -",ROUND('PX-A19'!Q44/'PX-A19'!Q15*100,1))</f>
        <v xml:space="preserve">    -</v>
      </c>
    </row>
    <row r="52" spans="2:17" ht="16.5" customHeight="1">
      <c r="B52" s="605" t="s">
        <v>441</v>
      </c>
      <c r="C52" s="606"/>
      <c r="D52" s="57">
        <f>IF('PX-A19'!D16=0,"    -",ROUND('PX-A19'!D45/'PX-A19'!D16*100,1))</f>
        <v>96.2</v>
      </c>
      <c r="E52" s="58">
        <f>IF('PX-A19'!E16=0,"    -",ROUND('PX-A19'!E45/'PX-A19'!E16*100,1))</f>
        <v>96</v>
      </c>
      <c r="F52" s="58">
        <f>IF('PX-A19'!F16=0,"    -",ROUND('PX-A19'!F45/'PX-A19'!F16*100,1))</f>
        <v>87</v>
      </c>
      <c r="G52" s="58">
        <f>IF('PX-A19'!G16=0,"    -",ROUND('PX-A19'!G45/'PX-A19'!G16*100,1))</f>
        <v>108.5</v>
      </c>
      <c r="H52" s="58">
        <f>IF('PX-A19'!H16=0,"    -",ROUND('PX-A19'!H45/'PX-A19'!H16*100,1))</f>
        <v>96</v>
      </c>
      <c r="I52" s="58">
        <f>IF('PX-A19'!I16=0,"    -",ROUND('PX-A19'!I45/'PX-A19'!I16*100,1))</f>
        <v>96.1</v>
      </c>
      <c r="J52" s="58">
        <f>IF('PX-A19'!J16=0,"    -",ROUND('PX-A19'!J45/'PX-A19'!J16*100,1))</f>
        <v>87</v>
      </c>
      <c r="K52" s="59">
        <f>IF('PX-A19'!K16=0,"    -",ROUND('PX-A19'!K45/'PX-A19'!K16*100,1))</f>
        <v>97.9</v>
      </c>
      <c r="L52" s="60">
        <f>IF('PX-A19'!L16=0,"    -",ROUND('PX-A19'!L45/'PX-A19'!L16*100,1))</f>
        <v>97.9</v>
      </c>
      <c r="M52" s="58">
        <f>IF('PX-A19'!M16=0,"    -",ROUND('PX-A19'!M45/'PX-A19'!M16*100,1))</f>
        <v>97.9</v>
      </c>
      <c r="N52" s="58">
        <f>IF('PX-A19'!N16=0,"    -",ROUND('PX-A19'!N45/'PX-A19'!N16*100,1))</f>
        <v>97.9</v>
      </c>
      <c r="O52" s="58">
        <f>IF('PX-A19'!O16=0,"    -",ROUND('PX-A19'!O45/'PX-A19'!O16*100,1))</f>
        <v>97.9</v>
      </c>
      <c r="P52" s="58">
        <f>IF('PX-A19'!P16=0,"    -",ROUND('PX-A19'!P45/'PX-A19'!P16*100,1))</f>
        <v>97.9</v>
      </c>
      <c r="Q52" s="61">
        <f>IF('PX-A19'!Q16=0,"    -",ROUND('PX-A19'!Q45/'PX-A19'!Q16*100,1))</f>
        <v>97.9</v>
      </c>
    </row>
    <row r="53" spans="2:17" ht="16.5" customHeight="1">
      <c r="B53" s="605" t="s">
        <v>442</v>
      </c>
      <c r="C53" s="606"/>
      <c r="D53" s="57" t="str">
        <f>IF('PX-A19'!D17=0,"    -",ROUND('PX-A19'!D46/'PX-A19'!D17*100,1))</f>
        <v xml:space="preserve">    -</v>
      </c>
      <c r="E53" s="58" t="str">
        <f>IF('PX-A19'!E17=0,"    -",ROUND('PX-A19'!E46/'PX-A19'!E17*100,1))</f>
        <v xml:space="preserve">    -</v>
      </c>
      <c r="F53" s="58" t="str">
        <f>IF('PX-A19'!F17=0,"    -",ROUND('PX-A19'!F46/'PX-A19'!F17*100,1))</f>
        <v xml:space="preserve">    -</v>
      </c>
      <c r="G53" s="58" t="str">
        <f>IF('PX-A19'!G17=0,"    -",ROUND('PX-A19'!G46/'PX-A19'!G17*100,1))</f>
        <v xml:space="preserve">    -</v>
      </c>
      <c r="H53" s="58" t="str">
        <f>IF('PX-A19'!H17=0,"    -",ROUND('PX-A19'!H46/'PX-A19'!H17*100,1))</f>
        <v xml:space="preserve">    -</v>
      </c>
      <c r="I53" s="58" t="str">
        <f>IF('PX-A19'!I17=0,"    -",ROUND('PX-A19'!I46/'PX-A19'!I17*100,1))</f>
        <v xml:space="preserve">    -</v>
      </c>
      <c r="J53" s="58" t="str">
        <f>IF('PX-A19'!J17=0,"    -",ROUND('PX-A19'!J46/'PX-A19'!J17*100,1))</f>
        <v xml:space="preserve">    -</v>
      </c>
      <c r="K53" s="59" t="str">
        <f>IF('PX-A19'!K17=0,"    -",ROUND('PX-A19'!K46/'PX-A19'!K17*100,1))</f>
        <v xml:space="preserve">    -</v>
      </c>
      <c r="L53" s="60">
        <f>IF('PX-A19'!L17=0,"    -",ROUND('PX-A19'!L46/'PX-A19'!L17*100,1))</f>
        <v>100</v>
      </c>
      <c r="M53" s="58">
        <f>IF('PX-A19'!M17=0,"    -",ROUND('PX-A19'!M46/'PX-A19'!M17*100,1))</f>
        <v>100</v>
      </c>
      <c r="N53" s="58">
        <f>IF('PX-A19'!N17=0,"    -",ROUND('PX-A19'!N46/'PX-A19'!N17*100,1))</f>
        <v>100</v>
      </c>
      <c r="O53" s="58">
        <f>IF('PX-A19'!O17=0,"    -",ROUND('PX-A19'!O46/'PX-A19'!O17*100,1))</f>
        <v>100</v>
      </c>
      <c r="P53" s="58">
        <f>IF('PX-A19'!P17=0,"    -",ROUND('PX-A19'!P46/'PX-A19'!P17*100,1))</f>
        <v>100</v>
      </c>
      <c r="Q53" s="61">
        <f>IF('PX-A19'!Q17=0,"    -",ROUND('PX-A19'!Q46/'PX-A19'!Q17*100,1))</f>
        <v>100</v>
      </c>
    </row>
    <row r="54" spans="2:17" ht="16.5" customHeight="1">
      <c r="B54" s="607" t="s">
        <v>443</v>
      </c>
      <c r="C54" s="608"/>
      <c r="D54" s="57">
        <f>IF('PX-A19'!D18=0,"    -",ROUND('PX-A19'!D47/'PX-A19'!D18*100,1))</f>
        <v>80.7</v>
      </c>
      <c r="E54" s="58">
        <f>IF('PX-A19'!E18=0,"    -",ROUND('PX-A19'!E47/'PX-A19'!E18*100,1))</f>
        <v>81.400000000000006</v>
      </c>
      <c r="F54" s="58">
        <f>IF('PX-A19'!F18=0,"    -",ROUND('PX-A19'!F47/'PX-A19'!F18*100,1))</f>
        <v>88.4</v>
      </c>
      <c r="G54" s="58">
        <f>IF('PX-A19'!G18=0,"    -",ROUND('PX-A19'!G47/'PX-A19'!G18*100,1))</f>
        <v>98</v>
      </c>
      <c r="H54" s="58">
        <f>IF('PX-A19'!H18=0,"    -",ROUND('PX-A19'!H47/'PX-A19'!H18*100,1))</f>
        <v>76.8</v>
      </c>
      <c r="I54" s="58">
        <f>IF('PX-A19'!I18=0,"    -",ROUND('PX-A19'!I47/'PX-A19'!I18*100,1))</f>
        <v>84</v>
      </c>
      <c r="J54" s="58">
        <f>IF('PX-A19'!J18=0,"    -",ROUND('PX-A19'!J47/'PX-A19'!J18*100,1))</f>
        <v>89.2</v>
      </c>
      <c r="K54" s="59">
        <f>IF('PX-A19'!K18=0,"    -",ROUND('PX-A19'!K47/'PX-A19'!K18*100,1))</f>
        <v>94.2</v>
      </c>
      <c r="L54" s="60">
        <f>IF('PX-A19'!L18=0,"    -",ROUND('PX-A19'!L47/'PX-A19'!L18*100,1))</f>
        <v>91.6</v>
      </c>
      <c r="M54" s="58">
        <f>IF('PX-A19'!M18=0,"    -",ROUND('PX-A19'!M47/'PX-A19'!M18*100,1))</f>
        <v>94.2</v>
      </c>
      <c r="N54" s="58">
        <f>IF('PX-A19'!N18=0,"    -",ROUND('PX-A19'!N47/'PX-A19'!N18*100,1))</f>
        <v>91.5</v>
      </c>
      <c r="O54" s="58">
        <f>IF('PX-A19'!O18=0,"    -",ROUND('PX-A19'!O47/'PX-A19'!O18*100,1))</f>
        <v>94.2</v>
      </c>
      <c r="P54" s="58">
        <f>IF('PX-A19'!P18=0,"    -",ROUND('PX-A19'!P47/'PX-A19'!P18*100,1))</f>
        <v>91.5</v>
      </c>
      <c r="Q54" s="61">
        <f>IF('PX-A19'!Q18=0,"    -",ROUND('PX-A19'!Q47/'PX-A19'!Q18*100,1))</f>
        <v>94.2</v>
      </c>
    </row>
    <row r="55" spans="2:17" ht="17.25" customHeight="1">
      <c r="B55" s="674" t="s">
        <v>307</v>
      </c>
      <c r="C55" s="675"/>
      <c r="D55" s="74">
        <f>IF('PX-A19'!D19=0,"    -",ROUND('PX-A19'!D48/'PX-A19'!D19*100,1))</f>
        <v>89.3</v>
      </c>
      <c r="E55" s="75">
        <f>IF('PX-A19'!E19=0,"    -",ROUND('PX-A19'!E48/'PX-A19'!E19*100,1))</f>
        <v>90.7</v>
      </c>
      <c r="F55" s="75">
        <f>IF('PX-A19'!F19=0,"    -",ROUND('PX-A19'!F48/'PX-A19'!F19*100,1))</f>
        <v>90.4</v>
      </c>
      <c r="G55" s="75">
        <f>IF('PX-A19'!G19=0,"    -",ROUND('PX-A19'!G48/'PX-A19'!G19*100,1))</f>
        <v>88.2</v>
      </c>
      <c r="H55" s="75">
        <f>IF('PX-A19'!H19=0,"    -",ROUND('PX-A19'!H48/'PX-A19'!H19*100,1))</f>
        <v>74.599999999999994</v>
      </c>
      <c r="I55" s="75">
        <f>IF('PX-A19'!I19=0,"    -",ROUND('PX-A19'!I48/'PX-A19'!I19*100,1))</f>
        <v>78.900000000000006</v>
      </c>
      <c r="J55" s="75">
        <f>IF('PX-A19'!J19=0,"    -",ROUND('PX-A19'!J48/'PX-A19'!J19*100,1))</f>
        <v>81.3</v>
      </c>
      <c r="K55" s="76">
        <f>IF('PX-A19'!K19=0,"    -",ROUND('PX-A19'!K48/'PX-A19'!K19*100,1))</f>
        <v>87</v>
      </c>
      <c r="L55" s="77">
        <f>IF('PX-A19'!L19=0,"    -",ROUND('PX-A19'!L48/'PX-A19'!L19*100,1))</f>
        <v>88.3</v>
      </c>
      <c r="M55" s="75">
        <f>IF('PX-A19'!M19=0,"    -",ROUND('PX-A19'!M48/'PX-A19'!M19*100,1))</f>
        <v>75.5</v>
      </c>
      <c r="N55" s="75">
        <f>IF('PX-A19'!N19=0,"    -",ROUND('PX-A19'!N48/'PX-A19'!N19*100,1))</f>
        <v>76.7</v>
      </c>
      <c r="O55" s="75">
        <f>IF('PX-A19'!O19=0,"    -",ROUND('PX-A19'!O48/'PX-A19'!O19*100,1))</f>
        <v>76.8</v>
      </c>
      <c r="P55" s="75">
        <f>IF('PX-A19'!P19=0,"    -",ROUND('PX-A19'!P48/'PX-A19'!P19*100,1))</f>
        <v>77.5</v>
      </c>
      <c r="Q55" s="78">
        <f>IF('PX-A19'!Q19=0,"    -",ROUND('PX-A19'!Q48/'PX-A19'!Q19*100,1))</f>
        <v>75.5</v>
      </c>
    </row>
    <row r="56" spans="2:17" ht="17.25" customHeight="1">
      <c r="B56" s="672" t="s">
        <v>308</v>
      </c>
      <c r="C56" s="673"/>
      <c r="D56" s="135" t="str">
        <f>IF('PX-A19'!D20=0,"    -",ROUND('PX-A19'!D49/'PX-A19'!D20*100,1))</f>
        <v xml:space="preserve">    -</v>
      </c>
      <c r="E56" s="136" t="str">
        <f>IF('PX-A19'!E20=0,"    -",ROUND('PX-A19'!E49/'PX-A19'!E20*100,1))</f>
        <v xml:space="preserve">    -</v>
      </c>
      <c r="F56" s="136" t="str">
        <f>IF('PX-A19'!F20=0,"    -",ROUND('PX-A19'!F49/'PX-A19'!F20*100,1))</f>
        <v xml:space="preserve">    -</v>
      </c>
      <c r="G56" s="136" t="str">
        <f>IF('PX-A19'!G20=0,"    -",ROUND('PX-A19'!G49/'PX-A19'!G20*100,1))</f>
        <v xml:space="preserve">    -</v>
      </c>
      <c r="H56" s="136" t="str">
        <f>IF('PX-A19'!H20=0,"    -",ROUND('PX-A19'!H49/'PX-A19'!H20*100,1))</f>
        <v xml:space="preserve">    -</v>
      </c>
      <c r="I56" s="136" t="str">
        <f>IF('PX-A19'!I20=0,"    -",ROUND('PX-A19'!I49/'PX-A19'!I20*100,1))</f>
        <v xml:space="preserve">    -</v>
      </c>
      <c r="J56" s="136" t="str">
        <f>IF('PX-A19'!J20=0,"    -",ROUND('PX-A19'!J49/'PX-A19'!J20*100,1))</f>
        <v xml:space="preserve">    -</v>
      </c>
      <c r="K56" s="137" t="str">
        <f>IF('PX-A19'!K20=0,"    -",ROUND('PX-A19'!K49/'PX-A19'!K20*100,1))</f>
        <v xml:space="preserve">    -</v>
      </c>
      <c r="L56" s="135" t="str">
        <f>IF('PX-A19'!L20=0,"    -",ROUND('PX-A19'!L49/'PX-A19'!L20*100,1))</f>
        <v xml:space="preserve">    -</v>
      </c>
      <c r="M56" s="136" t="str">
        <f>IF('PX-A19'!M20=0,"    -",ROUND('PX-A19'!M49/'PX-A19'!M20*100,1))</f>
        <v xml:space="preserve">    -</v>
      </c>
      <c r="N56" s="136" t="str">
        <f>IF('PX-A19'!N20=0,"    -",ROUND('PX-A19'!N49/'PX-A19'!N20*100,1))</f>
        <v xml:space="preserve">    -</v>
      </c>
      <c r="O56" s="136" t="str">
        <f>IF('PX-A19'!O20=0,"    -",ROUND('PX-A19'!O49/'PX-A19'!O20*100,1))</f>
        <v xml:space="preserve">    -</v>
      </c>
      <c r="P56" s="136" t="str">
        <f>IF('PX-A19'!P20=0,"    -",ROUND('PX-A19'!P49/'PX-A19'!P20*100,1))</f>
        <v xml:space="preserve">    -</v>
      </c>
      <c r="Q56" s="137" t="str">
        <f>IF('PX-A19'!Q20=0,"    -",ROUND('PX-A19'!Q49/'PX-A19'!Q20*100,1))</f>
        <v xml:space="preserve">    -</v>
      </c>
    </row>
    <row r="57" spans="2:17" ht="16.5" customHeight="1">
      <c r="B57" s="105"/>
      <c r="C57" s="97" t="s">
        <v>309</v>
      </c>
      <c r="D57" s="135" t="str">
        <f>IF('PX-A19'!D21=0,"    -",ROUND('PX-A19'!D50/'PX-A19'!D21*100,1))</f>
        <v xml:space="preserve">    -</v>
      </c>
      <c r="E57" s="136" t="str">
        <f>IF('PX-A19'!E21=0,"    -",ROUND('PX-A19'!E50/'PX-A19'!E21*100,1))</f>
        <v xml:space="preserve">    -</v>
      </c>
      <c r="F57" s="136" t="str">
        <f>IF('PX-A19'!F21=0,"    -",ROUND('PX-A19'!F50/'PX-A19'!F21*100,1))</f>
        <v xml:space="preserve">    -</v>
      </c>
      <c r="G57" s="136" t="str">
        <f>IF('PX-A19'!G21=0,"    -",ROUND('PX-A19'!G50/'PX-A19'!G21*100,1))</f>
        <v xml:space="preserve">    -</v>
      </c>
      <c r="H57" s="136" t="str">
        <f>IF('PX-A19'!H21=0,"    -",ROUND('PX-A19'!H50/'PX-A19'!H21*100,1))</f>
        <v xml:space="preserve">    -</v>
      </c>
      <c r="I57" s="136" t="str">
        <f>IF('PX-A19'!I21=0,"    -",ROUND('PX-A19'!I50/'PX-A19'!I21*100,1))</f>
        <v xml:space="preserve">    -</v>
      </c>
      <c r="J57" s="136" t="str">
        <f>IF('PX-A19'!J21=0,"    -",ROUND('PX-A19'!J50/'PX-A19'!J21*100,1))</f>
        <v xml:space="preserve">    -</v>
      </c>
      <c r="K57" s="137" t="str">
        <f>IF('PX-A19'!K21=0,"    -",ROUND('PX-A19'!K50/'PX-A19'!K21*100,1))</f>
        <v xml:space="preserve">    -</v>
      </c>
      <c r="L57" s="135" t="str">
        <f>IF('PX-A19'!L21=0,"    -",ROUND('PX-A19'!L50/'PX-A19'!L21*100,1))</f>
        <v xml:space="preserve">    -</v>
      </c>
      <c r="M57" s="136" t="str">
        <f>IF('PX-A19'!M21=0,"    -",ROUND('PX-A19'!M50/'PX-A19'!M21*100,1))</f>
        <v xml:space="preserve">    -</v>
      </c>
      <c r="N57" s="136" t="str">
        <f>IF('PX-A19'!N21=0,"    -",ROUND('PX-A19'!N50/'PX-A19'!N21*100,1))</f>
        <v xml:space="preserve">    -</v>
      </c>
      <c r="O57" s="136" t="str">
        <f>IF('PX-A19'!O21=0,"    -",ROUND('PX-A19'!O50/'PX-A19'!O21*100,1))</f>
        <v xml:space="preserve">    -</v>
      </c>
      <c r="P57" s="136" t="str">
        <f>IF('PX-A19'!P21=0,"    -",ROUND('PX-A19'!P50/'PX-A19'!P21*100,1))</f>
        <v xml:space="preserve">    -</v>
      </c>
      <c r="Q57" s="137" t="str">
        <f>IF('PX-A19'!Q21=0,"    -",ROUND('PX-A19'!Q50/'PX-A19'!Q21*100,1))</f>
        <v xml:space="preserve">    -</v>
      </c>
    </row>
    <row r="58" spans="2:17" ht="17.25" customHeight="1">
      <c r="B58" s="672" t="s">
        <v>310</v>
      </c>
      <c r="C58" s="673"/>
      <c r="D58" s="57">
        <f>IF('PX-A19'!D22=0,"    -",ROUND('PX-A19'!D51/'PX-A19'!D22*100,1))</f>
        <v>88.9</v>
      </c>
      <c r="E58" s="58">
        <f>IF('PX-A19'!E22=0,"    -",ROUND('PX-A19'!E51/'PX-A19'!E22*100,1))</f>
        <v>81.900000000000006</v>
      </c>
      <c r="F58" s="58">
        <f>IF('PX-A19'!F22=0,"    -",ROUND('PX-A19'!F51/'PX-A19'!F22*100,1))</f>
        <v>84.6</v>
      </c>
      <c r="G58" s="58">
        <f>IF('PX-A19'!G22=0,"    -",ROUND('PX-A19'!G51/'PX-A19'!G22*100,1))</f>
        <v>80.5</v>
      </c>
      <c r="H58" s="58">
        <f>IF('PX-A19'!H22=0,"    -",ROUND('PX-A19'!H51/'PX-A19'!H22*100,1))</f>
        <v>61.4</v>
      </c>
      <c r="I58" s="58">
        <f>IF('PX-A19'!I22=0,"    -",ROUND('PX-A19'!I51/'PX-A19'!I22*100,1))</f>
        <v>62.2</v>
      </c>
      <c r="J58" s="58">
        <f>IF('PX-A19'!J22=0,"    -",ROUND('PX-A19'!J51/'PX-A19'!J22*100,1))</f>
        <v>70</v>
      </c>
      <c r="K58" s="59">
        <f>IF('PX-A19'!K22=0,"    -",ROUND('PX-A19'!K51/'PX-A19'!K22*100,1))</f>
        <v>72.099999999999994</v>
      </c>
      <c r="L58" s="57">
        <f>IF('PX-A19'!L22=0,"    -",ROUND('PX-A19'!L51/'PX-A19'!L22*100,1))</f>
        <v>73.2</v>
      </c>
      <c r="M58" s="58">
        <f>IF('PX-A19'!M22=0,"    -",ROUND('PX-A19'!M51/'PX-A19'!M22*100,1))</f>
        <v>74.900000000000006</v>
      </c>
      <c r="N58" s="58">
        <f>IF('PX-A19'!N22=0,"    -",ROUND('PX-A19'!N51/'PX-A19'!N22*100,1))</f>
        <v>78.599999999999994</v>
      </c>
      <c r="O58" s="58">
        <f>IF('PX-A19'!O22=0,"    -",ROUND('PX-A19'!O51/'PX-A19'!O22*100,1))</f>
        <v>78.8</v>
      </c>
      <c r="P58" s="58">
        <f>IF('PX-A19'!P22=0,"    -",ROUND('PX-A19'!P51/'PX-A19'!P22*100,1))</f>
        <v>79.099999999999994</v>
      </c>
      <c r="Q58" s="59">
        <f>IF('PX-A19'!Q22=0,"    -",ROUND('PX-A19'!Q51/'PX-A19'!Q22*100,1))</f>
        <v>79.5</v>
      </c>
    </row>
    <row r="59" spans="2:17" ht="16.5" customHeight="1">
      <c r="B59" s="105"/>
      <c r="C59" s="615" t="s">
        <v>311</v>
      </c>
      <c r="D59" s="74">
        <f>IF('PX-A19'!D23=0,"    -",ROUND('PX-A19'!D52/'PX-A19'!D23*100,1))</f>
        <v>94.4</v>
      </c>
      <c r="E59" s="75">
        <f>IF('PX-A19'!E23=0,"    -",ROUND('PX-A19'!E52/'PX-A19'!E23*100,1))</f>
        <v>86.7</v>
      </c>
      <c r="F59" s="75">
        <f>IF('PX-A19'!F23=0,"    -",ROUND('PX-A19'!F52/'PX-A19'!F23*100,1))</f>
        <v>85.1</v>
      </c>
      <c r="G59" s="75">
        <f>IF('PX-A19'!G23=0,"    -",ROUND('PX-A19'!G52/'PX-A19'!G23*100,1))</f>
        <v>80.5</v>
      </c>
      <c r="H59" s="75">
        <f>IF('PX-A19'!H23=0,"    -",ROUND('PX-A19'!H52/'PX-A19'!H23*100,1))</f>
        <v>56.7</v>
      </c>
      <c r="I59" s="75">
        <f>IF('PX-A19'!I23=0,"    -",ROUND('PX-A19'!I52/'PX-A19'!I23*100,1))</f>
        <v>56.3</v>
      </c>
      <c r="J59" s="75">
        <f>IF('PX-A19'!J23=0,"    -",ROUND('PX-A19'!J52/'PX-A19'!J23*100,1))</f>
        <v>66.3</v>
      </c>
      <c r="K59" s="76">
        <f>IF('PX-A19'!K23=0,"    -",ROUND('PX-A19'!K52/'PX-A19'!K23*100,1))</f>
        <v>71.400000000000006</v>
      </c>
      <c r="L59" s="74">
        <f>IF('PX-A19'!L23=0,"    -",ROUND('PX-A19'!L52/'PX-A19'!L23*100,1))</f>
        <v>70.400000000000006</v>
      </c>
      <c r="M59" s="75">
        <f>IF('PX-A19'!M23=0,"    -",ROUND('PX-A19'!M52/'PX-A19'!M23*100,1))</f>
        <v>73.099999999999994</v>
      </c>
      <c r="N59" s="75">
        <f>IF('PX-A19'!N23=0,"    -",ROUND('PX-A19'!N52/'PX-A19'!N23*100,1))</f>
        <v>78.5</v>
      </c>
      <c r="O59" s="75">
        <f>IF('PX-A19'!O23=0,"    -",ROUND('PX-A19'!O52/'PX-A19'!O23*100,1))</f>
        <v>78.8</v>
      </c>
      <c r="P59" s="75">
        <f>IF('PX-A19'!P23=0,"    -",ROUND('PX-A19'!P52/'PX-A19'!P23*100,1))</f>
        <v>79.099999999999994</v>
      </c>
      <c r="Q59" s="76">
        <f>IF('PX-A19'!Q23=0,"    -",ROUND('PX-A19'!Q52/'PX-A19'!Q23*100,1))</f>
        <v>79.8</v>
      </c>
    </row>
    <row r="60" spans="2:17" ht="17.25" customHeight="1">
      <c r="B60" s="672" t="s">
        <v>312</v>
      </c>
      <c r="C60" s="673"/>
      <c r="D60" s="57">
        <f>IF('PX-A19'!D24=0,"    -",ROUND('PX-A19'!D53/'PX-A19'!D24*100,1))</f>
        <v>62.1</v>
      </c>
      <c r="E60" s="58">
        <f>IF('PX-A19'!E24=0,"    -",ROUND('PX-A19'!E53/'PX-A19'!E24*100,1))</f>
        <v>65.8</v>
      </c>
      <c r="F60" s="58">
        <f>IF('PX-A19'!F24=0,"    -",ROUND('PX-A19'!F53/'PX-A19'!F24*100,1))</f>
        <v>65.8</v>
      </c>
      <c r="G60" s="58">
        <f>IF('PX-A19'!G24=0,"    -",ROUND('PX-A19'!G53/'PX-A19'!G24*100,1))</f>
        <v>65.7</v>
      </c>
      <c r="H60" s="58">
        <f>IF('PX-A19'!H24=0,"    -",ROUND('PX-A19'!H53/'PX-A19'!H24*100,1))</f>
        <v>72.900000000000006</v>
      </c>
      <c r="I60" s="58">
        <f>IF('PX-A19'!I24=0,"    -",ROUND('PX-A19'!I53/'PX-A19'!I24*100,1))</f>
        <v>73.8</v>
      </c>
      <c r="J60" s="58">
        <f>IF('PX-A19'!J24=0,"    -",ROUND('PX-A19'!J53/'PX-A19'!J24*100,1))</f>
        <v>73.8</v>
      </c>
      <c r="K60" s="59">
        <f>IF('PX-A19'!K24=0,"    -",ROUND('PX-A19'!K53/'PX-A19'!K24*100,1))</f>
        <v>73.8</v>
      </c>
      <c r="L60" s="57">
        <f>IF('PX-A19'!L24=0,"    -",ROUND('PX-A19'!L53/'PX-A19'!L24*100,1))</f>
        <v>68.5</v>
      </c>
      <c r="M60" s="58">
        <f>IF('PX-A19'!M24=0,"    -",ROUND('PX-A19'!M53/'PX-A19'!M24*100,1))</f>
        <v>75.2</v>
      </c>
      <c r="N60" s="58">
        <f>IF('PX-A19'!N24=0,"    -",ROUND('PX-A19'!N53/'PX-A19'!N24*100,1))</f>
        <v>77.400000000000006</v>
      </c>
      <c r="O60" s="58">
        <f>IF('PX-A19'!O24=0,"    -",ROUND('PX-A19'!O53/'PX-A19'!O24*100,1))</f>
        <v>73.400000000000006</v>
      </c>
      <c r="P60" s="58">
        <f>IF('PX-A19'!P24=0,"    -",ROUND('PX-A19'!P53/'PX-A19'!P24*100,1))</f>
        <v>75.599999999999994</v>
      </c>
      <c r="Q60" s="59">
        <f>IF('PX-A19'!Q24=0,"    -",ROUND('PX-A19'!Q53/'PX-A19'!Q24*100,1))</f>
        <v>74.8</v>
      </c>
    </row>
    <row r="61" spans="2:17" ht="16.5" customHeight="1">
      <c r="B61" s="16"/>
      <c r="C61" s="615" t="s">
        <v>313</v>
      </c>
      <c r="D61" s="74" t="str">
        <f>IF('PX-A19'!D25=0,"    -",ROUND('PX-A19'!D54/'PX-A19'!D25*100,1))</f>
        <v xml:space="preserve">    -</v>
      </c>
      <c r="E61" s="75">
        <f>IF('PX-A19'!E25=0,"    -",ROUND('PX-A19'!E54/'PX-A19'!E25*100,1))</f>
        <v>63.9</v>
      </c>
      <c r="F61" s="75">
        <f>IF('PX-A19'!F25=0,"    -",ROUND('PX-A19'!F54/'PX-A19'!F25*100,1))</f>
        <v>51.3</v>
      </c>
      <c r="G61" s="75">
        <f>IF('PX-A19'!G25=0,"    -",ROUND('PX-A19'!G54/'PX-A19'!G25*100,1))</f>
        <v>55.6</v>
      </c>
      <c r="H61" s="75">
        <f>IF('PX-A19'!H25=0,"    -",ROUND('PX-A19'!H54/'PX-A19'!H25*100,1))</f>
        <v>65.7</v>
      </c>
      <c r="I61" s="75">
        <f>IF('PX-A19'!I25=0,"    -",ROUND('PX-A19'!I54/'PX-A19'!I25*100,1))</f>
        <v>72.5</v>
      </c>
      <c r="J61" s="75">
        <f>IF('PX-A19'!J25=0,"    -",ROUND('PX-A19'!J54/'PX-A19'!J25*100,1))</f>
        <v>72.5</v>
      </c>
      <c r="K61" s="76">
        <f>IF('PX-A19'!K25=0,"    -",ROUND('PX-A19'!K54/'PX-A19'!K25*100,1))</f>
        <v>72.5</v>
      </c>
      <c r="L61" s="74">
        <f>IF('PX-A19'!L25=0,"    -",ROUND('PX-A19'!L54/'PX-A19'!L25*100,1))</f>
        <v>60.6</v>
      </c>
      <c r="M61" s="75">
        <f>IF('PX-A19'!M25=0,"    -",ROUND('PX-A19'!M54/'PX-A19'!M25*100,1))</f>
        <v>76.5</v>
      </c>
      <c r="N61" s="75">
        <f>IF('PX-A19'!N25=0,"    -",ROUND('PX-A19'!N54/'PX-A19'!N25*100,1))</f>
        <v>81.8</v>
      </c>
      <c r="O61" s="75">
        <f>IF('PX-A19'!O25=0,"    -",ROUND('PX-A19'!O54/'PX-A19'!O25*100,1))</f>
        <v>72.599999999999994</v>
      </c>
      <c r="P61" s="75">
        <f>IF('PX-A19'!P25=0,"    -",ROUND('PX-A19'!P54/'PX-A19'!P25*100,1))</f>
        <v>76.900000000000006</v>
      </c>
      <c r="Q61" s="76">
        <f>IF('PX-A19'!Q25=0,"    -",ROUND('PX-A19'!Q54/'PX-A19'!Q25*100,1))</f>
        <v>93.4</v>
      </c>
    </row>
    <row r="62" spans="2:17" ht="17.25" customHeight="1">
      <c r="B62" s="674" t="s">
        <v>314</v>
      </c>
      <c r="C62" s="675"/>
      <c r="D62" s="57" t="str">
        <f>IF('PX-A19'!D26=0,"    -",ROUND('PX-A19'!D55/'PX-A19'!D26*100,1))</f>
        <v xml:space="preserve">    -</v>
      </c>
      <c r="E62" s="58" t="str">
        <f>IF('PX-A19'!E26=0,"    -",ROUND('PX-A19'!E55/'PX-A19'!E26*100,1))</f>
        <v xml:space="preserve">    -</v>
      </c>
      <c r="F62" s="58" t="str">
        <f>IF('PX-A19'!F26=0,"    -",ROUND('PX-A19'!F55/'PX-A19'!F26*100,1))</f>
        <v xml:space="preserve">    -</v>
      </c>
      <c r="G62" s="58" t="str">
        <f>IF('PX-A19'!G26=0,"    -",ROUND('PX-A19'!G55/'PX-A19'!G26*100,1))</f>
        <v xml:space="preserve">    -</v>
      </c>
      <c r="H62" s="58" t="str">
        <f>IF('PX-A19'!H26=0,"    -",ROUND('PX-A19'!H55/'PX-A19'!H26*100,1))</f>
        <v xml:space="preserve">    -</v>
      </c>
      <c r="I62" s="58" t="str">
        <f>IF('PX-A19'!I26=0,"    -",ROUND('PX-A19'!I55/'PX-A19'!I26*100,1))</f>
        <v xml:space="preserve">    -</v>
      </c>
      <c r="J62" s="58">
        <f>IF('PX-A19'!J26=0,"    -",ROUND('PX-A19'!J55/'PX-A19'!J26*100,1))</f>
        <v>85</v>
      </c>
      <c r="K62" s="59">
        <f>IF('PX-A19'!K26=0,"    -",ROUND('PX-A19'!K55/'PX-A19'!K26*100,1))</f>
        <v>85</v>
      </c>
      <c r="L62" s="57">
        <f>IF('PX-A19'!L26=0,"    -",ROUND('PX-A19'!L55/'PX-A19'!L26*100,1))</f>
        <v>85</v>
      </c>
      <c r="M62" s="58">
        <f>IF('PX-A19'!M26=0,"    -",ROUND('PX-A19'!M55/'PX-A19'!M26*100,1))</f>
        <v>85</v>
      </c>
      <c r="N62" s="58">
        <f>IF('PX-A19'!N26=0,"    -",ROUND('PX-A19'!N55/'PX-A19'!N26*100,1))</f>
        <v>85</v>
      </c>
      <c r="O62" s="58">
        <f>IF('PX-A19'!O26=0,"    -",ROUND('PX-A19'!O55/'PX-A19'!O26*100,1))</f>
        <v>85</v>
      </c>
      <c r="P62" s="58">
        <f>IF('PX-A19'!P26=0,"    -",ROUND('PX-A19'!P55/'PX-A19'!P26*100,1))</f>
        <v>85</v>
      </c>
      <c r="Q62" s="59">
        <f>IF('PX-A19'!Q26=0,"    -",ROUND('PX-A19'!Q55/'PX-A19'!Q26*100,1))</f>
        <v>85</v>
      </c>
    </row>
    <row r="63" spans="2:17" ht="17.25" customHeight="1">
      <c r="B63" s="674" t="s">
        <v>315</v>
      </c>
      <c r="C63" s="675"/>
      <c r="D63" s="74">
        <f>IF('PX-A19'!D27=0,"    -",ROUND('PX-A19'!D56/'PX-A19'!D27*100,1))</f>
        <v>82.5</v>
      </c>
      <c r="E63" s="75">
        <f>IF('PX-A19'!E27=0,"    -",ROUND('PX-A19'!E56/'PX-A19'!E27*100,1))</f>
        <v>82.2</v>
      </c>
      <c r="F63" s="75">
        <f>IF('PX-A19'!F27=0,"    -",ROUND('PX-A19'!F56/'PX-A19'!F27*100,1))</f>
        <v>85</v>
      </c>
      <c r="G63" s="75">
        <f>IF('PX-A19'!G27=0,"    -",ROUND('PX-A19'!G56/'PX-A19'!G27*100,1))</f>
        <v>81</v>
      </c>
      <c r="H63" s="75">
        <f>IF('PX-A19'!H27=0,"    -",ROUND('PX-A19'!H56/'PX-A19'!H27*100,1))</f>
        <v>69.2</v>
      </c>
      <c r="I63" s="75">
        <f>IF('PX-A19'!I27=0,"    -",ROUND('PX-A19'!I56/'PX-A19'!I27*100,1))</f>
        <v>66.599999999999994</v>
      </c>
      <c r="J63" s="75">
        <f>IF('PX-A19'!J27=0,"    -",ROUND('PX-A19'!J56/'PX-A19'!J27*100,1))</f>
        <v>37.4</v>
      </c>
      <c r="K63" s="76">
        <f>IF('PX-A19'!K27=0,"    -",ROUND('PX-A19'!K56/'PX-A19'!K27*100,1))</f>
        <v>73.8</v>
      </c>
      <c r="L63" s="77">
        <f>IF('PX-A19'!L27=0,"    -",ROUND('PX-A19'!L56/'PX-A19'!L27*100,1))</f>
        <v>73.2</v>
      </c>
      <c r="M63" s="75">
        <f>IF('PX-A19'!M27=0,"    -",ROUND('PX-A19'!M56/'PX-A19'!M27*100,1))</f>
        <v>62.7</v>
      </c>
      <c r="N63" s="75">
        <f>IF('PX-A19'!N27=0,"    -",ROUND('PX-A19'!N56/'PX-A19'!N27*100,1))</f>
        <v>66.7</v>
      </c>
      <c r="O63" s="75">
        <f>IF('PX-A19'!O27=0,"    -",ROUND('PX-A19'!O56/'PX-A19'!O27*100,1))</f>
        <v>74</v>
      </c>
      <c r="P63" s="75">
        <f>IF('PX-A19'!P27=0,"    -",ROUND('PX-A19'!P56/'PX-A19'!P27*100,1))</f>
        <v>74</v>
      </c>
      <c r="Q63" s="78">
        <f>IF('PX-A19'!Q27=0,"    -",ROUND('PX-A19'!Q56/'PX-A19'!Q27*100,1))</f>
        <v>74</v>
      </c>
    </row>
    <row r="64" spans="2:17" ht="16.5" customHeight="1">
      <c r="B64" s="672" t="s">
        <v>316</v>
      </c>
      <c r="C64" s="673"/>
      <c r="D64" s="57">
        <f>IF('PX-A19'!D28=0,"    -",ROUND('PX-A19'!D57/'PX-A19'!D28*100,1))</f>
        <v>73.8</v>
      </c>
      <c r="E64" s="58">
        <f>IF('PX-A19'!E28=0,"    -",ROUND('PX-A19'!E57/'PX-A19'!E28*100,1))</f>
        <v>73.3</v>
      </c>
      <c r="F64" s="58">
        <f>IF('PX-A19'!F28=0,"    -",ROUND('PX-A19'!F57/'PX-A19'!F28*100,1))</f>
        <v>89.5</v>
      </c>
      <c r="G64" s="58">
        <f>IF('PX-A19'!G28=0,"    -",ROUND('PX-A19'!G57/'PX-A19'!G28*100,1))</f>
        <v>82.3</v>
      </c>
      <c r="H64" s="58">
        <f>IF('PX-A19'!H28=0,"    -",ROUND('PX-A19'!H57/'PX-A19'!H28*100,1))</f>
        <v>84.4</v>
      </c>
      <c r="I64" s="58">
        <f>IF('PX-A19'!I28=0,"    -",ROUND('PX-A19'!I57/'PX-A19'!I28*100,1))</f>
        <v>85</v>
      </c>
      <c r="J64" s="58">
        <f>IF('PX-A19'!J28=0,"    -",ROUND('PX-A19'!J57/'PX-A19'!J28*100,1))</f>
        <v>82.3</v>
      </c>
      <c r="K64" s="59">
        <f>IF('PX-A19'!K28=0,"    -",ROUND('PX-A19'!K57/'PX-A19'!K28*100,1))</f>
        <v>85</v>
      </c>
      <c r="L64" s="60">
        <f>IF('PX-A19'!L28=0,"    -",ROUND('PX-A19'!L57/'PX-A19'!L28*100,1))</f>
        <v>85</v>
      </c>
      <c r="M64" s="58">
        <f>IF('PX-A19'!M28=0,"    -",ROUND('PX-A19'!M57/'PX-A19'!M28*100,1))</f>
        <v>85</v>
      </c>
      <c r="N64" s="58">
        <f>IF('PX-A19'!N28=0,"    -",ROUND('PX-A19'!N57/'PX-A19'!N28*100,1))</f>
        <v>85</v>
      </c>
      <c r="O64" s="58">
        <f>IF('PX-A19'!O28=0,"    -",ROUND('PX-A19'!O57/'PX-A19'!O28*100,1))</f>
        <v>85</v>
      </c>
      <c r="P64" s="58">
        <f>IF('PX-A19'!P28=0,"    -",ROUND('PX-A19'!P57/'PX-A19'!P28*100,1))</f>
        <v>85</v>
      </c>
      <c r="Q64" s="61">
        <f>IF('PX-A19'!Q28=0,"    -",ROUND('PX-A19'!Q57/'PX-A19'!Q28*100,1))</f>
        <v>85</v>
      </c>
    </row>
    <row r="65" spans="2:17" ht="16.5" customHeight="1">
      <c r="B65" s="670" t="s">
        <v>317</v>
      </c>
      <c r="C65" s="671"/>
      <c r="D65" s="57">
        <f>IF('PX-A19'!D29=0,"    -",ROUND('PX-A19'!D58/'PX-A19'!D29*100,1))</f>
        <v>73.099999999999994</v>
      </c>
      <c r="E65" s="58">
        <f>IF('PX-A19'!E29=0,"    -",ROUND('PX-A19'!E58/'PX-A19'!E29*100,1))</f>
        <v>74</v>
      </c>
      <c r="F65" s="58">
        <f>IF('PX-A19'!F29=0,"    -",ROUND('PX-A19'!F58/'PX-A19'!F29*100,1))</f>
        <v>79.099999999999994</v>
      </c>
      <c r="G65" s="58">
        <f>IF('PX-A19'!G29=0,"    -",ROUND('PX-A19'!G58/'PX-A19'!G29*100,1))</f>
        <v>78.900000000000006</v>
      </c>
      <c r="H65" s="58">
        <f>IF('PX-A19'!H29=0,"    -",ROUND('PX-A19'!H58/'PX-A19'!H29*100,1))</f>
        <v>80.900000000000006</v>
      </c>
      <c r="I65" s="58">
        <f>IF('PX-A19'!I29=0,"    -",ROUND('PX-A19'!I58/'PX-A19'!I29*100,1))</f>
        <v>84.3</v>
      </c>
      <c r="J65" s="58">
        <f>IF('PX-A19'!J29=0,"    -",ROUND('PX-A19'!J58/'PX-A19'!J29*100,1))</f>
        <v>87.4</v>
      </c>
      <c r="K65" s="59">
        <f>IF('PX-A19'!K29=0,"    -",ROUND('PX-A19'!K58/'PX-A19'!K29*100,1))</f>
        <v>87.4</v>
      </c>
      <c r="L65" s="60">
        <f>IF('PX-A19'!L29=0,"    -",ROUND('PX-A19'!L58/'PX-A19'!L29*100,1))</f>
        <v>87.4</v>
      </c>
      <c r="M65" s="58">
        <f>IF('PX-A19'!M29=0,"    -",ROUND('PX-A19'!M58/'PX-A19'!M29*100,1))</f>
        <v>87.4</v>
      </c>
      <c r="N65" s="58">
        <f>IF('PX-A19'!N29=0,"    -",ROUND('PX-A19'!N58/'PX-A19'!N29*100,1))</f>
        <v>87.4</v>
      </c>
      <c r="O65" s="58">
        <f>IF('PX-A19'!O29=0,"    -",ROUND('PX-A19'!O58/'PX-A19'!O29*100,1))</f>
        <v>87.4</v>
      </c>
      <c r="P65" s="58">
        <f>IF('PX-A19'!P29=0,"    -",ROUND('PX-A19'!P58/'PX-A19'!P29*100,1))</f>
        <v>87.4</v>
      </c>
      <c r="Q65" s="61">
        <f>IF('PX-A19'!Q29=0,"    -",ROUND('PX-A19'!Q58/'PX-A19'!Q29*100,1))</f>
        <v>87.4</v>
      </c>
    </row>
    <row r="66" spans="2:17" ht="17.25" customHeight="1">
      <c r="B66" s="674" t="s">
        <v>318</v>
      </c>
      <c r="C66" s="675"/>
      <c r="D66" s="74">
        <f>IF('PX-A19'!D30=0,"    -",ROUND('PX-A19'!D59/'PX-A19'!D30*100,1))</f>
        <v>73.7</v>
      </c>
      <c r="E66" s="75">
        <f>IF('PX-A19'!E30=0,"    -",ROUND('PX-A19'!E59/'PX-A19'!E30*100,1))</f>
        <v>73.3</v>
      </c>
      <c r="F66" s="75">
        <f>IF('PX-A19'!F30=0,"    -",ROUND('PX-A19'!F59/'PX-A19'!F30*100,1))</f>
        <v>88.7</v>
      </c>
      <c r="G66" s="75">
        <f>IF('PX-A19'!G30=0,"    -",ROUND('PX-A19'!G59/'PX-A19'!G30*100,1))</f>
        <v>82</v>
      </c>
      <c r="H66" s="75">
        <f>IF('PX-A19'!H30=0,"    -",ROUND('PX-A19'!H59/'PX-A19'!H30*100,1))</f>
        <v>84.2</v>
      </c>
      <c r="I66" s="75">
        <f>IF('PX-A19'!I30=0,"    -",ROUND('PX-A19'!I59/'PX-A19'!I30*100,1))</f>
        <v>84.9</v>
      </c>
      <c r="J66" s="75">
        <f>IF('PX-A19'!J30=0,"    -",ROUND('PX-A19'!J59/'PX-A19'!J30*100,1))</f>
        <v>82.7</v>
      </c>
      <c r="K66" s="76">
        <f>IF('PX-A19'!K30=0,"    -",ROUND('PX-A19'!K59/'PX-A19'!K30*100,1))</f>
        <v>85.2</v>
      </c>
      <c r="L66" s="77">
        <f>IF('PX-A19'!L30=0,"    -",ROUND('PX-A19'!L59/'PX-A19'!L30*100,1))</f>
        <v>85.2</v>
      </c>
      <c r="M66" s="75">
        <f>IF('PX-A19'!M30=0,"    -",ROUND('PX-A19'!M59/'PX-A19'!M30*100,1))</f>
        <v>85.2</v>
      </c>
      <c r="N66" s="75">
        <f>IF('PX-A19'!N30=0,"    -",ROUND('PX-A19'!N59/'PX-A19'!N30*100,1))</f>
        <v>85.2</v>
      </c>
      <c r="O66" s="75">
        <f>IF('PX-A19'!O30=0,"    -",ROUND('PX-A19'!O59/'PX-A19'!O30*100,1))</f>
        <v>85.2</v>
      </c>
      <c r="P66" s="75">
        <f>IF('PX-A19'!P30=0,"    -",ROUND('PX-A19'!P59/'PX-A19'!P30*100,1))</f>
        <v>85.2</v>
      </c>
      <c r="Q66" s="78">
        <f>IF('PX-A19'!Q30=0,"    -",ROUND('PX-A19'!Q59/'PX-A19'!Q30*100,1))</f>
        <v>85.2</v>
      </c>
    </row>
    <row r="67" spans="2:17" ht="16.5" customHeight="1">
      <c r="B67" s="672" t="s">
        <v>319</v>
      </c>
      <c r="C67" s="673"/>
      <c r="D67" s="57" t="str">
        <f>IF('PX-A19'!D31=0,"    -",ROUND('PX-A19'!D60/'PX-A19'!D31*100,1))</f>
        <v xml:space="preserve">    -</v>
      </c>
      <c r="E67" s="58" t="str">
        <f>IF('PX-A19'!E31=0,"    -",ROUND('PX-A19'!E60/'PX-A19'!E31*100,1))</f>
        <v xml:space="preserve">    -</v>
      </c>
      <c r="F67" s="58" t="str">
        <f>IF('PX-A19'!F31=0,"    -",ROUND('PX-A19'!F60/'PX-A19'!F31*100,1))</f>
        <v xml:space="preserve">    -</v>
      </c>
      <c r="G67" s="58" t="str">
        <f>IF('PX-A19'!G31=0,"    -",ROUND('PX-A19'!G60/'PX-A19'!G31*100,1))</f>
        <v xml:space="preserve">    -</v>
      </c>
      <c r="H67" s="58" t="str">
        <f>IF('PX-A19'!H31=0,"    -",ROUND('PX-A19'!H60/'PX-A19'!H31*100,1))</f>
        <v xml:space="preserve">    -</v>
      </c>
      <c r="I67" s="58" t="str">
        <f>IF('PX-A19'!I31=0,"    -",ROUND('PX-A19'!I60/'PX-A19'!I31*100,1))</f>
        <v xml:space="preserve">    -</v>
      </c>
      <c r="J67" s="58" t="str">
        <f>IF('PX-A19'!J31=0,"    -",ROUND('PX-A19'!J60/'PX-A19'!J31*100,1))</f>
        <v xml:space="preserve">    -</v>
      </c>
      <c r="K67" s="59" t="str">
        <f>IF('PX-A19'!K31=0,"    -",ROUND('PX-A19'!K60/'PX-A19'!K31*100,1))</f>
        <v xml:space="preserve">    -</v>
      </c>
      <c r="L67" s="60" t="str">
        <f>IF('PX-A19'!L31=0,"    -",ROUND('PX-A19'!L60/'PX-A19'!L31*100,1))</f>
        <v xml:space="preserve">    -</v>
      </c>
      <c r="M67" s="58" t="str">
        <f>IF('PX-A19'!M31=0,"    -",ROUND('PX-A19'!M60/'PX-A19'!M31*100,1))</f>
        <v xml:space="preserve">    -</v>
      </c>
      <c r="N67" s="58" t="str">
        <f>IF('PX-A19'!N31=0,"    -",ROUND('PX-A19'!N60/'PX-A19'!N31*100,1))</f>
        <v xml:space="preserve">    -</v>
      </c>
      <c r="O67" s="58" t="str">
        <f>IF('PX-A19'!O31=0,"    -",ROUND('PX-A19'!O60/'PX-A19'!O31*100,1))</f>
        <v xml:space="preserve">    -</v>
      </c>
      <c r="P67" s="58" t="str">
        <f>IF('PX-A19'!P31=0,"    -",ROUND('PX-A19'!P60/'PX-A19'!P31*100,1))</f>
        <v xml:space="preserve">    -</v>
      </c>
      <c r="Q67" s="61" t="str">
        <f>IF('PX-A19'!Q31=0,"    -",ROUND('PX-A19'!Q60/'PX-A19'!Q31*100,1))</f>
        <v xml:space="preserve">    -</v>
      </c>
    </row>
    <row r="68" spans="2:17" ht="16.5" customHeight="1">
      <c r="B68" s="668" t="s">
        <v>320</v>
      </c>
      <c r="C68" s="669"/>
      <c r="D68" s="57">
        <f>IF('PX-A19'!D32=0,"    -",ROUND('PX-A19'!D61/'PX-A19'!D32*100,1))</f>
        <v>67.8</v>
      </c>
      <c r="E68" s="58">
        <f>IF('PX-A19'!E32=0,"    -",ROUND('PX-A19'!E61/'PX-A19'!E32*100,1))</f>
        <v>79</v>
      </c>
      <c r="F68" s="58">
        <f>IF('PX-A19'!F32=0,"    -",ROUND('PX-A19'!F61/'PX-A19'!F32*100,1))</f>
        <v>81</v>
      </c>
      <c r="G68" s="58">
        <f>IF('PX-A19'!G32=0,"    -",ROUND('PX-A19'!G61/'PX-A19'!G32*100,1))</f>
        <v>82.9</v>
      </c>
      <c r="H68" s="58">
        <f>IF('PX-A19'!H32=0,"    -",ROUND('PX-A19'!H61/'PX-A19'!H32*100,1))</f>
        <v>84.9</v>
      </c>
      <c r="I68" s="58">
        <f>IF('PX-A19'!I32=0,"    -",ROUND('PX-A19'!I61/'PX-A19'!I32*100,1))</f>
        <v>87.8</v>
      </c>
      <c r="J68" s="58">
        <f>IF('PX-A19'!J32=0,"    -",ROUND('PX-A19'!J61/'PX-A19'!J32*100,1))</f>
        <v>89.1</v>
      </c>
      <c r="K68" s="59">
        <f>IF('PX-A19'!K32=0,"    -",ROUND('PX-A19'!K61/'PX-A19'!K32*100,1))</f>
        <v>89.3</v>
      </c>
      <c r="L68" s="60">
        <f>IF('PX-A19'!L32=0,"    -",ROUND('PX-A19'!L61/'PX-A19'!L32*100,1))</f>
        <v>89.3</v>
      </c>
      <c r="M68" s="58">
        <f>IF('PX-A19'!M32=0,"    -",ROUND('PX-A19'!M61/'PX-A19'!M32*100,1))</f>
        <v>89.3</v>
      </c>
      <c r="N68" s="58">
        <f>IF('PX-A19'!N32=0,"    -",ROUND('PX-A19'!N61/'PX-A19'!N32*100,1))</f>
        <v>89.3</v>
      </c>
      <c r="O68" s="58">
        <f>IF('PX-A19'!O32=0,"    -",ROUND('PX-A19'!O61/'PX-A19'!O32*100,1))</f>
        <v>89.3</v>
      </c>
      <c r="P68" s="58">
        <f>IF('PX-A19'!P32=0,"    -",ROUND('PX-A19'!P61/'PX-A19'!P32*100,1))</f>
        <v>89.3</v>
      </c>
      <c r="Q68" s="61">
        <f>IF('PX-A19'!Q32=0,"    -",ROUND('PX-A19'!Q61/'PX-A19'!Q32*100,1))</f>
        <v>89.3</v>
      </c>
    </row>
    <row r="69" spans="2:17" ht="16.5" customHeight="1">
      <c r="B69" s="670" t="s">
        <v>321</v>
      </c>
      <c r="C69" s="671"/>
      <c r="D69" s="57" t="str">
        <f>IF('PX-A19'!D33=0,"    -",ROUND('PX-A19'!D62/'PX-A19'!D33*100,1))</f>
        <v xml:space="preserve">    -</v>
      </c>
      <c r="E69" s="58" t="str">
        <f>IF('PX-A19'!E33=0,"    -",ROUND('PX-A19'!E62/'PX-A19'!E33*100,1))</f>
        <v xml:space="preserve">    -</v>
      </c>
      <c r="F69" s="58" t="str">
        <f>IF('PX-A19'!F33=0,"    -",ROUND('PX-A19'!F62/'PX-A19'!F33*100,1))</f>
        <v xml:space="preserve">    -</v>
      </c>
      <c r="G69" s="58" t="str">
        <f>IF('PX-A19'!G33=0,"    -",ROUND('PX-A19'!G62/'PX-A19'!G33*100,1))</f>
        <v xml:space="preserve">    -</v>
      </c>
      <c r="H69" s="58" t="str">
        <f>IF('PX-A19'!H33=0,"    -",ROUND('PX-A19'!H62/'PX-A19'!H33*100,1))</f>
        <v xml:space="preserve">    -</v>
      </c>
      <c r="I69" s="58" t="str">
        <f>IF('PX-A19'!I33=0,"    -",ROUND('PX-A19'!I62/'PX-A19'!I33*100,1))</f>
        <v xml:space="preserve">    -</v>
      </c>
      <c r="J69" s="58" t="str">
        <f>IF('PX-A19'!J33=0,"    -",ROUND('PX-A19'!J62/'PX-A19'!J33*100,1))</f>
        <v xml:space="preserve">    -</v>
      </c>
      <c r="K69" s="59" t="str">
        <f>IF('PX-A19'!K33=0,"    -",ROUND('PX-A19'!K62/'PX-A19'!K33*100,1))</f>
        <v xml:space="preserve">    -</v>
      </c>
      <c r="L69" s="60" t="str">
        <f>IF('PX-A19'!L33=0,"    -",ROUND('PX-A19'!L62/'PX-A19'!L33*100,1))</f>
        <v xml:space="preserve">    -</v>
      </c>
      <c r="M69" s="58" t="str">
        <f>IF('PX-A19'!M33=0,"    -",ROUND('PX-A19'!M62/'PX-A19'!M33*100,1))</f>
        <v xml:space="preserve">    -</v>
      </c>
      <c r="N69" s="58" t="str">
        <f>IF('PX-A19'!N33=0,"    -",ROUND('PX-A19'!N62/'PX-A19'!N33*100,1))</f>
        <v xml:space="preserve">    -</v>
      </c>
      <c r="O69" s="58" t="str">
        <f>IF('PX-A19'!O33=0,"    -",ROUND('PX-A19'!O62/'PX-A19'!O33*100,1))</f>
        <v xml:space="preserve">    -</v>
      </c>
      <c r="P69" s="58" t="str">
        <f>IF('PX-A19'!P33=0,"    -",ROUND('PX-A19'!P62/'PX-A19'!P33*100,1))</f>
        <v xml:space="preserve">    -</v>
      </c>
      <c r="Q69" s="61" t="str">
        <f>IF('PX-A19'!Q33=0,"    -",ROUND('PX-A19'!Q62/'PX-A19'!Q33*100,1))</f>
        <v xml:space="preserve">    -</v>
      </c>
    </row>
    <row r="70" spans="2:17" ht="17.25" customHeight="1" thickBot="1">
      <c r="B70" s="678" t="s">
        <v>322</v>
      </c>
      <c r="C70" s="679"/>
      <c r="D70" s="111">
        <f>IF('PX-A19'!D34=0,"    -",ROUND('PX-A19'!D63/'PX-A19'!D34*100,1))</f>
        <v>67.8</v>
      </c>
      <c r="E70" s="112">
        <f>IF('PX-A19'!E34=0,"    -",ROUND('PX-A19'!E63/'PX-A19'!E34*100,1))</f>
        <v>79</v>
      </c>
      <c r="F70" s="112">
        <f>IF('PX-A19'!F34=0,"    -",ROUND('PX-A19'!F63/'PX-A19'!F34*100,1))</f>
        <v>81</v>
      </c>
      <c r="G70" s="112">
        <f>IF('PX-A19'!G34=0,"    -",ROUND('PX-A19'!G63/'PX-A19'!G34*100,1))</f>
        <v>82.9</v>
      </c>
      <c r="H70" s="112">
        <f>IF('PX-A19'!H34=0,"    -",ROUND('PX-A19'!H63/'PX-A19'!H34*100,1))</f>
        <v>84.9</v>
      </c>
      <c r="I70" s="112">
        <f>IF('PX-A19'!I34=0,"    -",ROUND('PX-A19'!I63/'PX-A19'!I34*100,1))</f>
        <v>87.8</v>
      </c>
      <c r="J70" s="112">
        <f>IF('PX-A19'!J34=0,"    -",ROUND('PX-A19'!J63/'PX-A19'!J34*100,1))</f>
        <v>89.1</v>
      </c>
      <c r="K70" s="113">
        <f>IF('PX-A19'!K34=0,"    -",ROUND('PX-A19'!K63/'PX-A19'!K34*100,1))</f>
        <v>89.3</v>
      </c>
      <c r="L70" s="114">
        <f>IF('PX-A19'!L34=0,"    -",ROUND('PX-A19'!L63/'PX-A19'!L34*100,1))</f>
        <v>89.3</v>
      </c>
      <c r="M70" s="112">
        <f>IF('PX-A19'!M34=0,"    -",ROUND('PX-A19'!M63/'PX-A19'!M34*100,1))</f>
        <v>89.3</v>
      </c>
      <c r="N70" s="112">
        <f>IF('PX-A19'!N34=0,"    -",ROUND('PX-A19'!N63/'PX-A19'!N34*100,1))</f>
        <v>89.3</v>
      </c>
      <c r="O70" s="112">
        <f>IF('PX-A19'!O34=0,"    -",ROUND('PX-A19'!O63/'PX-A19'!O34*100,1))</f>
        <v>89.3</v>
      </c>
      <c r="P70" s="112">
        <f>IF('PX-A19'!P34=0,"    -",ROUND('PX-A19'!P63/'PX-A19'!P34*100,1))</f>
        <v>89.3</v>
      </c>
      <c r="Q70" s="115">
        <f>IF('PX-A19'!Q34=0,"    -",ROUND('PX-A19'!Q63/'PX-A19'!Q34*100,1))</f>
        <v>89.3</v>
      </c>
    </row>
    <row r="71" spans="2:17" ht="18" customHeight="1" thickTop="1" thickBot="1">
      <c r="B71" s="21"/>
      <c r="C71" s="619" t="s">
        <v>337</v>
      </c>
      <c r="D71" s="122">
        <f>IF('PX-A19'!D35=0,"    -",ROUND('PX-A19'!D64/'PX-A19'!D35*100,1))</f>
        <v>84.5</v>
      </c>
      <c r="E71" s="123">
        <f>IF('PX-A19'!E35=0,"    -",ROUND('PX-A19'!E64/'PX-A19'!E35*100,1))</f>
        <v>85.4</v>
      </c>
      <c r="F71" s="123">
        <f>IF('PX-A19'!F35=0,"    -",ROUND('PX-A19'!F64/'PX-A19'!F35*100,1))</f>
        <v>87.2</v>
      </c>
      <c r="G71" s="123">
        <f>IF('PX-A19'!G35=0,"    -",ROUND('PX-A19'!G64/'PX-A19'!G35*100,1))</f>
        <v>84.8</v>
      </c>
      <c r="H71" s="123">
        <f>IF('PX-A19'!H35=0,"    -",ROUND('PX-A19'!H64/'PX-A19'!H35*100,1))</f>
        <v>74.599999999999994</v>
      </c>
      <c r="I71" s="123">
        <f>IF('PX-A19'!I35=0,"    -",ROUND('PX-A19'!I64/'PX-A19'!I35*100,1))</f>
        <v>77.900000000000006</v>
      </c>
      <c r="J71" s="123">
        <f>IF('PX-A19'!J35=0,"    -",ROUND('PX-A19'!J64/'PX-A19'!J35*100,1))</f>
        <v>79.3</v>
      </c>
      <c r="K71" s="124">
        <f>IF('PX-A19'!K35=0,"    -",ROUND('PX-A19'!K64/'PX-A19'!K35*100,1))</f>
        <v>84.8</v>
      </c>
      <c r="L71" s="125">
        <f>IF('PX-A19'!L35=0,"    -",ROUND('PX-A19'!L64/'PX-A19'!L35*100,1))</f>
        <v>84.9</v>
      </c>
      <c r="M71" s="123">
        <f>IF('PX-A19'!M35=0,"    -",ROUND('PX-A19'!M64/'PX-A19'!M35*100,1))</f>
        <v>75.900000000000006</v>
      </c>
      <c r="N71" s="123">
        <f>IF('PX-A19'!N35=0,"    -",ROUND('PX-A19'!N64/'PX-A19'!N35*100,1))</f>
        <v>77.3</v>
      </c>
      <c r="O71" s="123">
        <f>IF('PX-A19'!O35=0,"    -",ROUND('PX-A19'!O64/'PX-A19'!O35*100,1))</f>
        <v>77.099999999999994</v>
      </c>
      <c r="P71" s="123">
        <f>IF('PX-A19'!P35=0,"    -",ROUND('PX-A19'!P64/'PX-A19'!P35*100,1))</f>
        <v>77.8</v>
      </c>
      <c r="Q71" s="126">
        <f>IF('PX-A19'!Q35=0,"    -",ROUND('PX-A19'!Q64/'PX-A19'!Q35*100,1))</f>
        <v>76.099999999999994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19" priority="5">
      <formula>CELL("protect",C75)=0</formula>
    </cfRule>
    <cfRule type="expression" dxfId="118" priority="6">
      <formula>CELL("protect",C75)=0</formula>
    </cfRule>
  </conditionalFormatting>
  <conditionalFormatting sqref="C73">
    <cfRule type="expression" dxfId="117" priority="3">
      <formula>CELL("protect",C73)=0</formula>
    </cfRule>
    <cfRule type="expression" dxfId="116" priority="4">
      <formula>CELL("protect",C73)=0</formula>
    </cfRule>
  </conditionalFormatting>
  <conditionalFormatting sqref="C75">
    <cfRule type="expression" dxfId="115" priority="1">
      <formula>CELL("protect",C75)=0</formula>
    </cfRule>
    <cfRule type="expression" dxfId="114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&amp;C181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>
    <tabColor rgb="FFC00000"/>
    <pageSetUpPr fitToPage="1"/>
  </sheetPr>
  <dimension ref="B1:S76"/>
  <sheetViews>
    <sheetView showGridLines="0" view="pageBreakPreview" zoomScaleNormal="75" zoomScaleSheetLayoutView="100" workbookViewId="0">
      <selection activeCell="R7" sqref="R7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33" customHeight="1">
      <c r="B2" s="685" t="s">
        <v>335</v>
      </c>
      <c r="C2" s="685"/>
      <c r="F2" s="685" t="s">
        <v>296</v>
      </c>
      <c r="G2" s="685"/>
      <c r="H2" s="397" t="s">
        <v>18</v>
      </c>
    </row>
    <row r="3" spans="2:19" ht="33" customHeight="1" thickBot="1">
      <c r="P3" s="686" t="s">
        <v>297</v>
      </c>
      <c r="Q3" s="686"/>
    </row>
    <row r="4" spans="2:19" s="12" customFormat="1" ht="30.6" customHeight="1">
      <c r="B4" s="11"/>
      <c r="C4" s="91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618" t="s">
        <v>336</v>
      </c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7.25" customHeight="1">
      <c r="B7" s="644" t="s">
        <v>433</v>
      </c>
      <c r="C7" s="645"/>
      <c r="D7" s="239">
        <f>'PTA-A20'!D36-'PTA-A20'!D65</f>
        <v>3651</v>
      </c>
      <c r="E7" s="240">
        <f>'PTA-A20'!E36-'PTA-A20'!E65</f>
        <v>3619</v>
      </c>
      <c r="F7" s="240">
        <f>'PTA-A20'!F36-'PTA-A20'!F65</f>
        <v>3272</v>
      </c>
      <c r="G7" s="240">
        <f>'PTA-A20'!G36-'PTA-A20'!G65</f>
        <v>2959</v>
      </c>
      <c r="H7" s="240">
        <f>'PTA-A20'!H36-'PTA-A20'!H65</f>
        <v>2627</v>
      </c>
      <c r="I7" s="240">
        <f>'PTA-A20'!I36-'PTA-A20'!I65</f>
        <v>2315</v>
      </c>
      <c r="J7" s="240">
        <f>'PTA-A20'!J36-'PTA-A20'!J65</f>
        <v>1775</v>
      </c>
      <c r="K7" s="241">
        <f>'PTA-A20'!K36-'PTA-A20'!K65</f>
        <v>1939</v>
      </c>
      <c r="L7" s="242">
        <f>'PTA-A20'!L36-'PTA-A20'!L65</f>
        <v>2050</v>
      </c>
      <c r="M7" s="240">
        <f>'PTA-A20'!M36-'PTA-A20'!M65</f>
        <v>2050</v>
      </c>
      <c r="N7" s="240">
        <f>'PTA-A20'!N36-'PTA-A20'!N65</f>
        <v>1750</v>
      </c>
      <c r="O7" s="240">
        <f>'PTA-A20'!O36-'PTA-A20'!O65</f>
        <v>1750</v>
      </c>
      <c r="P7" s="240">
        <f>'PTA-A20'!P36-'PTA-A20'!P65</f>
        <v>1700</v>
      </c>
      <c r="Q7" s="243">
        <f>'PTA-A20'!Q36-'PTA-A20'!Q65</f>
        <v>1700</v>
      </c>
    </row>
    <row r="8" spans="2:19" ht="16.5" customHeight="1">
      <c r="B8" s="605" t="s">
        <v>434</v>
      </c>
      <c r="C8" s="606"/>
      <c r="D8" s="239">
        <f>'PTA-A20'!D37-'PTA-A20'!D66</f>
        <v>2667</v>
      </c>
      <c r="E8" s="240">
        <f>'PTA-A20'!E37-'PTA-A20'!E66</f>
        <v>2961</v>
      </c>
      <c r="F8" s="240">
        <f>'PTA-A20'!F37-'PTA-A20'!F66</f>
        <v>1936</v>
      </c>
      <c r="G8" s="240">
        <f>'PTA-A20'!G37-'PTA-A20'!G66</f>
        <v>498</v>
      </c>
      <c r="H8" s="240">
        <f>'PTA-A20'!H37-'PTA-A20'!H66</f>
        <v>206</v>
      </c>
      <c r="I8" s="240">
        <f>'PTA-A20'!I37-'PTA-A20'!I66</f>
        <v>154</v>
      </c>
      <c r="J8" s="240">
        <f>'PTA-A20'!J37-'PTA-A20'!J66</f>
        <v>200</v>
      </c>
      <c r="K8" s="241">
        <f>'PTA-A20'!K37-'PTA-A20'!K66</f>
        <v>173</v>
      </c>
      <c r="L8" s="242">
        <f>'PTA-A20'!L37-'PTA-A20'!L66</f>
        <v>1250</v>
      </c>
      <c r="M8" s="240">
        <f>'PTA-A20'!M37-'PTA-A20'!M66</f>
        <v>1250</v>
      </c>
      <c r="N8" s="240">
        <f>'PTA-A20'!N37-'PTA-A20'!N66</f>
        <v>1250</v>
      </c>
      <c r="O8" s="240">
        <f>'PTA-A20'!O37-'PTA-A20'!O66</f>
        <v>1300</v>
      </c>
      <c r="P8" s="240">
        <f>'PTA-A20'!P37-'PTA-A20'!P66</f>
        <v>1300</v>
      </c>
      <c r="Q8" s="243">
        <f>'PTA-A20'!Q37-'PTA-A20'!Q66</f>
        <v>1300</v>
      </c>
    </row>
    <row r="9" spans="2:19" ht="16.5" customHeight="1">
      <c r="B9" s="605" t="s">
        <v>435</v>
      </c>
      <c r="C9" s="606"/>
      <c r="D9" s="239">
        <f>'PTA-A20'!D38-'PTA-A20'!D67</f>
        <v>0</v>
      </c>
      <c r="E9" s="240">
        <f>'PTA-A20'!E38-'PTA-A20'!E67</f>
        <v>0</v>
      </c>
      <c r="F9" s="240">
        <f>'PTA-A20'!F38-'PTA-A20'!F67</f>
        <v>0</v>
      </c>
      <c r="G9" s="240">
        <f>'PTA-A20'!G38-'PTA-A20'!G67</f>
        <v>0</v>
      </c>
      <c r="H9" s="240">
        <f>'PTA-A20'!H38-'PTA-A20'!H67</f>
        <v>0</v>
      </c>
      <c r="I9" s="240">
        <f>'PTA-A20'!I38-'PTA-A20'!I67</f>
        <v>0</v>
      </c>
      <c r="J9" s="240">
        <f>'PTA-A20'!J38-'PTA-A20'!J67</f>
        <v>0</v>
      </c>
      <c r="K9" s="241">
        <f>'PTA-A20'!K38-'PTA-A20'!K67</f>
        <v>0</v>
      </c>
      <c r="L9" s="242">
        <f>'PTA-A20'!L38-'PTA-A20'!L67</f>
        <v>0</v>
      </c>
      <c r="M9" s="240">
        <f>'PTA-A20'!M38-'PTA-A20'!M67</f>
        <v>0</v>
      </c>
      <c r="N9" s="240">
        <f>'PTA-A20'!N38-'PTA-A20'!N67</f>
        <v>0</v>
      </c>
      <c r="O9" s="240">
        <f>'PTA-A20'!O38-'PTA-A20'!O67</f>
        <v>0</v>
      </c>
      <c r="P9" s="240">
        <f>'PTA-A20'!P38-'PTA-A20'!P67</f>
        <v>0</v>
      </c>
      <c r="Q9" s="243">
        <f>'PTA-A20'!Q38-'PTA-A20'!Q67</f>
        <v>0</v>
      </c>
    </row>
    <row r="10" spans="2:19" ht="16.5" customHeight="1">
      <c r="B10" s="605" t="s">
        <v>436</v>
      </c>
      <c r="C10" s="606"/>
      <c r="D10" s="239">
        <f>'PTA-A20'!D39-'PTA-A20'!D68</f>
        <v>-6724</v>
      </c>
      <c r="E10" s="240">
        <f>'PTA-A20'!E39-'PTA-A20'!E68</f>
        <v>-6633</v>
      </c>
      <c r="F10" s="240">
        <f>'PTA-A20'!F39-'PTA-A20'!F68</f>
        <v>-5486</v>
      </c>
      <c r="G10" s="240">
        <f>'PTA-A20'!G39-'PTA-A20'!G68</f>
        <v>-2710</v>
      </c>
      <c r="H10" s="240">
        <f>'PTA-A20'!H39-'PTA-A20'!H68</f>
        <v>-1045</v>
      </c>
      <c r="I10" s="240">
        <f>'PTA-A20'!I39-'PTA-A20'!I68</f>
        <v>-52</v>
      </c>
      <c r="J10" s="240">
        <f>'PTA-A20'!J39-'PTA-A20'!J68</f>
        <v>117</v>
      </c>
      <c r="K10" s="241">
        <f>'PTA-A20'!K39-'PTA-A20'!K68</f>
        <v>-14</v>
      </c>
      <c r="L10" s="242">
        <f>'PTA-A20'!L39-'PTA-A20'!L68</f>
        <v>58</v>
      </c>
      <c r="M10" s="240">
        <f>'PTA-A20'!M39-'PTA-A20'!M68</f>
        <v>200</v>
      </c>
      <c r="N10" s="240">
        <f>'PTA-A20'!N39-'PTA-A20'!N68</f>
        <v>400</v>
      </c>
      <c r="O10" s="240">
        <f>'PTA-A20'!O39-'PTA-A20'!O68</f>
        <v>600</v>
      </c>
      <c r="P10" s="240">
        <f>'PTA-A20'!P39-'PTA-A20'!P68</f>
        <v>800</v>
      </c>
      <c r="Q10" s="243">
        <f>'PTA-A20'!Q39-'PTA-A20'!Q68</f>
        <v>1000</v>
      </c>
    </row>
    <row r="11" spans="2:19" ht="16.5" customHeight="1">
      <c r="B11" s="605" t="s">
        <v>437</v>
      </c>
      <c r="C11" s="606"/>
      <c r="D11" s="239">
        <f>'PTA-A20'!D40-'PTA-A20'!D69</f>
        <v>1437</v>
      </c>
      <c r="E11" s="240">
        <f>'PTA-A20'!E40-'PTA-A20'!E69</f>
        <v>1516</v>
      </c>
      <c r="F11" s="240">
        <f>'PTA-A20'!F40-'PTA-A20'!F69</f>
        <v>1429</v>
      </c>
      <c r="G11" s="240">
        <f>'PTA-A20'!G40-'PTA-A20'!G69</f>
        <v>956.79700000000003</v>
      </c>
      <c r="H11" s="240">
        <f>'PTA-A20'!H40-'PTA-A20'!H69</f>
        <v>892.50800000000004</v>
      </c>
      <c r="I11" s="240">
        <f>'PTA-A20'!I40-'PTA-A20'!I69</f>
        <v>854.00500000000011</v>
      </c>
      <c r="J11" s="240">
        <f>'PTA-A20'!J40-'PTA-A20'!J69</f>
        <v>939.82799999999997</v>
      </c>
      <c r="K11" s="241">
        <f>'PTA-A20'!K40-'PTA-A20'!K69</f>
        <v>960.83699999999999</v>
      </c>
      <c r="L11" s="242">
        <f>'PTA-A20'!L40-'PTA-A20'!L69</f>
        <v>813</v>
      </c>
      <c r="M11" s="240">
        <f>'PTA-A20'!M40-'PTA-A20'!M69</f>
        <v>762.24099999999999</v>
      </c>
      <c r="N11" s="240">
        <f>'PTA-A20'!N40-'PTA-A20'!N69</f>
        <v>711.84449289999998</v>
      </c>
      <c r="O11" s="240">
        <f>'PTA-A20'!O40-'PTA-A20'!O69</f>
        <v>661.57097239794984</v>
      </c>
      <c r="P11" s="240">
        <f>'PTA-A20'!P40-'PTA-A20'!P69</f>
        <v>610.24595643187831</v>
      </c>
      <c r="Q11" s="243">
        <f>'PTA-A20'!Q40-'PTA-A20'!Q69</f>
        <v>556.21391248085297</v>
      </c>
    </row>
    <row r="12" spans="2:19" ht="16.5" customHeight="1">
      <c r="B12" s="605" t="s">
        <v>438</v>
      </c>
      <c r="C12" s="606"/>
      <c r="D12" s="239">
        <f>'PTA-A20'!D41-'PTA-A20'!D70</f>
        <v>11</v>
      </c>
      <c r="E12" s="240">
        <f>'PTA-A20'!E41-'PTA-A20'!E70</f>
        <v>442</v>
      </c>
      <c r="F12" s="240">
        <f>'PTA-A20'!F41-'PTA-A20'!F70</f>
        <v>466</v>
      </c>
      <c r="G12" s="240">
        <f>'PTA-A20'!G41-'PTA-A20'!G70</f>
        <v>392</v>
      </c>
      <c r="H12" s="240">
        <f>'PTA-A20'!H41-'PTA-A20'!H70</f>
        <v>395</v>
      </c>
      <c r="I12" s="240">
        <f>'PTA-A20'!I41-'PTA-A20'!I70</f>
        <v>80</v>
      </c>
      <c r="J12" s="240">
        <f>'PTA-A20'!J41-'PTA-A20'!J70</f>
        <v>80</v>
      </c>
      <c r="K12" s="241">
        <f>'PTA-A20'!K41-'PTA-A20'!K70</f>
        <v>12</v>
      </c>
      <c r="L12" s="242">
        <f>'PTA-A20'!L41-'PTA-A20'!L70</f>
        <v>0</v>
      </c>
      <c r="M12" s="240">
        <f>'PTA-A20'!M41-'PTA-A20'!M70</f>
        <v>0</v>
      </c>
      <c r="N12" s="240">
        <f>'PTA-A20'!N41-'PTA-A20'!N70</f>
        <v>0</v>
      </c>
      <c r="O12" s="240">
        <f>'PTA-A20'!O41-'PTA-A20'!O70</f>
        <v>0</v>
      </c>
      <c r="P12" s="240">
        <f>'PTA-A20'!P41-'PTA-A20'!P70</f>
        <v>0</v>
      </c>
      <c r="Q12" s="243">
        <f>'PTA-A20'!Q41-'PTA-A20'!Q70</f>
        <v>0</v>
      </c>
    </row>
    <row r="13" spans="2:19" ht="16.5" customHeight="1">
      <c r="B13" s="605" t="s">
        <v>439</v>
      </c>
      <c r="C13" s="606"/>
      <c r="D13" s="239">
        <f>'PTA-A20'!D42-'PTA-A20'!D71</f>
        <v>-339</v>
      </c>
      <c r="E13" s="240">
        <f>'PTA-A20'!E42-'PTA-A20'!E71</f>
        <v>-656</v>
      </c>
      <c r="F13" s="240">
        <f>'PTA-A20'!F42-'PTA-A20'!F71</f>
        <v>-749</v>
      </c>
      <c r="G13" s="240">
        <f>'PTA-A20'!G42-'PTA-A20'!G71</f>
        <v>-939</v>
      </c>
      <c r="H13" s="240">
        <f>'PTA-A20'!H42-'PTA-A20'!H71</f>
        <v>-850</v>
      </c>
      <c r="I13" s="240">
        <f>'PTA-A20'!I42-'PTA-A20'!I71</f>
        <v>-827</v>
      </c>
      <c r="J13" s="240">
        <f>'PTA-A20'!J42-'PTA-A20'!J71</f>
        <v>-524</v>
      </c>
      <c r="K13" s="241">
        <f>'PTA-A20'!K42-'PTA-A20'!K71</f>
        <v>200</v>
      </c>
      <c r="L13" s="242">
        <f>'PTA-A20'!L42-'PTA-A20'!L71</f>
        <v>0</v>
      </c>
      <c r="M13" s="240">
        <f>'PTA-A20'!M42-'PTA-A20'!M71</f>
        <v>0</v>
      </c>
      <c r="N13" s="240">
        <f>'PTA-A20'!N42-'PTA-A20'!N71</f>
        <v>0</v>
      </c>
      <c r="O13" s="240">
        <f>'PTA-A20'!O42-'PTA-A20'!O71</f>
        <v>1300</v>
      </c>
      <c r="P13" s="240">
        <f>'PTA-A20'!P42-'PTA-A20'!P71</f>
        <v>1300</v>
      </c>
      <c r="Q13" s="243">
        <f>'PTA-A20'!Q42-'PTA-A20'!Q71</f>
        <v>1500</v>
      </c>
    </row>
    <row r="14" spans="2:19" ht="18" hidden="1" customHeight="1">
      <c r="B14" s="16"/>
      <c r="C14" s="90" t="s">
        <v>306</v>
      </c>
      <c r="D14" s="239">
        <f>'PTA-A20'!D43-'PTA-A20'!D72</f>
        <v>0</v>
      </c>
      <c r="E14" s="240">
        <f>'PTA-A20'!E43-'PTA-A20'!E72</f>
        <v>0</v>
      </c>
      <c r="F14" s="240">
        <f>'PTA-A20'!F43-'PTA-A20'!F72</f>
        <v>0</v>
      </c>
      <c r="G14" s="240">
        <f>'PTA-A20'!G43-'PTA-A20'!G72</f>
        <v>0</v>
      </c>
      <c r="H14" s="240">
        <f>'PTA-A20'!H43-'PTA-A20'!H72</f>
        <v>0</v>
      </c>
      <c r="I14" s="240">
        <f>'PTA-A20'!I43-'PTA-A20'!I72</f>
        <v>0</v>
      </c>
      <c r="J14" s="240">
        <f>'PTA-A20'!J43-'PTA-A20'!J72</f>
        <v>0</v>
      </c>
      <c r="K14" s="241">
        <f>'PTA-A20'!K43-'PTA-A20'!K72</f>
        <v>0</v>
      </c>
      <c r="L14" s="242">
        <f>'PTA-A20'!L43-'PTA-A20'!L72</f>
        <v>0</v>
      </c>
      <c r="M14" s="240">
        <f>'PTA-A20'!M43-'PTA-A20'!M72</f>
        <v>0</v>
      </c>
      <c r="N14" s="240">
        <f>'PTA-A20'!N43-'PTA-A20'!N72</f>
        <v>0</v>
      </c>
      <c r="O14" s="240">
        <f>'PTA-A20'!O43-'PTA-A20'!O72</f>
        <v>0</v>
      </c>
      <c r="P14" s="240">
        <f>'PTA-A20'!P43-'PTA-A20'!P72</f>
        <v>0</v>
      </c>
      <c r="Q14" s="243">
        <f>'PTA-A20'!Q43-'PTA-A20'!Q72</f>
        <v>0</v>
      </c>
    </row>
    <row r="15" spans="2:19" ht="16.5" customHeight="1">
      <c r="B15" s="605" t="s">
        <v>440</v>
      </c>
      <c r="C15" s="606"/>
      <c r="D15" s="239">
        <f>'PTA-A20'!D44-'PTA-A20'!D73</f>
        <v>0</v>
      </c>
      <c r="E15" s="240">
        <f>'PTA-A20'!E44-'PTA-A20'!E73</f>
        <v>0</v>
      </c>
      <c r="F15" s="240">
        <f>'PTA-A20'!F44-'PTA-A20'!F73</f>
        <v>0</v>
      </c>
      <c r="G15" s="240">
        <f>'PTA-A20'!G44-'PTA-A20'!G73</f>
        <v>0</v>
      </c>
      <c r="H15" s="240">
        <f>'PTA-A20'!H44-'PTA-A20'!H73</f>
        <v>0</v>
      </c>
      <c r="I15" s="240">
        <f>'PTA-A20'!I44-'PTA-A20'!I73</f>
        <v>0</v>
      </c>
      <c r="J15" s="240">
        <f>'PTA-A20'!J44-'PTA-A20'!J73</f>
        <v>0</v>
      </c>
      <c r="K15" s="241">
        <f>'PTA-A20'!K44-'PTA-A20'!K73</f>
        <v>0</v>
      </c>
      <c r="L15" s="242">
        <f>'PTA-A20'!L44-'PTA-A20'!L73</f>
        <v>0</v>
      </c>
      <c r="M15" s="240">
        <f>'PTA-A20'!M44-'PTA-A20'!M73</f>
        <v>0</v>
      </c>
      <c r="N15" s="240">
        <f>'PTA-A20'!N44-'PTA-A20'!N73</f>
        <v>0</v>
      </c>
      <c r="O15" s="240">
        <f>'PTA-A20'!O44-'PTA-A20'!O73</f>
        <v>0</v>
      </c>
      <c r="P15" s="240">
        <f>'PTA-A20'!P44-'PTA-A20'!P73</f>
        <v>0</v>
      </c>
      <c r="Q15" s="243">
        <f>'PTA-A20'!Q44-'PTA-A20'!Q73</f>
        <v>0</v>
      </c>
    </row>
    <row r="16" spans="2:19" ht="16.5" customHeight="1">
      <c r="B16" s="605" t="s">
        <v>441</v>
      </c>
      <c r="C16" s="606"/>
      <c r="D16" s="239">
        <f>'PTA-A20'!D45-'PTA-A20'!D74</f>
        <v>40.480000000000018</v>
      </c>
      <c r="E16" s="240">
        <f>'PTA-A20'!E45-'PTA-A20'!E74</f>
        <v>36.480000000000018</v>
      </c>
      <c r="F16" s="240">
        <f>'PTA-A20'!F45-'PTA-A20'!F74</f>
        <v>37</v>
      </c>
      <c r="G16" s="240">
        <f>'PTA-A20'!G45-'PTA-A20'!G74</f>
        <v>77.674000000000035</v>
      </c>
      <c r="H16" s="240">
        <f>'PTA-A20'!H45-'PTA-A20'!H74</f>
        <v>20.609000000000037</v>
      </c>
      <c r="I16" s="240">
        <f>'PTA-A20'!I45-'PTA-A20'!I74</f>
        <v>21.906000000000006</v>
      </c>
      <c r="J16" s="240">
        <f>'PTA-A20'!J45-'PTA-A20'!J74</f>
        <v>-15.314000000000021</v>
      </c>
      <c r="K16" s="241">
        <f>'PTA-A20'!K45-'PTA-A20'!K74</f>
        <v>27.641999999999996</v>
      </c>
      <c r="L16" s="242">
        <f>'PTA-A20'!L45-'PTA-A20'!L74</f>
        <v>27.641999999999996</v>
      </c>
      <c r="M16" s="240">
        <f>'PTA-A20'!M45-'PTA-A20'!M74</f>
        <v>27.641999999999996</v>
      </c>
      <c r="N16" s="240">
        <f>'PTA-A20'!N45-'PTA-A20'!N74</f>
        <v>27.641999999999996</v>
      </c>
      <c r="O16" s="240">
        <f>'PTA-A20'!O45-'PTA-A20'!O74</f>
        <v>27.641999999999996</v>
      </c>
      <c r="P16" s="240">
        <f>'PTA-A20'!P45-'PTA-A20'!P74</f>
        <v>27.641999999999996</v>
      </c>
      <c r="Q16" s="243">
        <f>'PTA-A20'!Q45-'PTA-A20'!Q74</f>
        <v>27.641999999999996</v>
      </c>
    </row>
    <row r="17" spans="2:17" ht="16.5" customHeight="1">
      <c r="B17" s="605" t="s">
        <v>442</v>
      </c>
      <c r="C17" s="606"/>
      <c r="D17" s="239">
        <f>'PTA-A20'!D46-'PTA-A20'!D75</f>
        <v>-236</v>
      </c>
      <c r="E17" s="240">
        <f>'PTA-A20'!E46-'PTA-A20'!E75</f>
        <v>-386</v>
      </c>
      <c r="F17" s="240">
        <f>'PTA-A20'!F46-'PTA-A20'!F75</f>
        <v>-412</v>
      </c>
      <c r="G17" s="240">
        <f>'PTA-A20'!G46-'PTA-A20'!G75</f>
        <v>-440</v>
      </c>
      <c r="H17" s="240">
        <f>'PTA-A20'!H46-'PTA-A20'!H75</f>
        <v>-470</v>
      </c>
      <c r="I17" s="240">
        <f>'PTA-A20'!I46-'PTA-A20'!I75</f>
        <v>-502</v>
      </c>
      <c r="J17" s="240">
        <f>'PTA-A20'!J46-'PTA-A20'!J75</f>
        <v>-206</v>
      </c>
      <c r="K17" s="241">
        <f>'PTA-A20'!K46-'PTA-A20'!K75</f>
        <v>-339</v>
      </c>
      <c r="L17" s="242">
        <f>'PTA-A20'!L46-'PTA-A20'!L75</f>
        <v>-359</v>
      </c>
      <c r="M17" s="240">
        <f>'PTA-A20'!M46-'PTA-A20'!M75</f>
        <v>-381</v>
      </c>
      <c r="N17" s="240">
        <f>'PTA-A20'!N46-'PTA-A20'!N75</f>
        <v>-404</v>
      </c>
      <c r="O17" s="240">
        <f>'PTA-A20'!O46-'PTA-A20'!O75</f>
        <v>-428</v>
      </c>
      <c r="P17" s="240">
        <f>'PTA-A20'!P46-'PTA-A20'!P75</f>
        <v>-454</v>
      </c>
      <c r="Q17" s="243">
        <f>'PTA-A20'!Q46-'PTA-A20'!Q75</f>
        <v>-481</v>
      </c>
    </row>
    <row r="18" spans="2:17" ht="16.5" customHeight="1">
      <c r="B18" s="607" t="s">
        <v>443</v>
      </c>
      <c r="C18" s="608"/>
      <c r="D18" s="239">
        <f>'PTA-A20'!D47-'PTA-A20'!D76</f>
        <v>311</v>
      </c>
      <c r="E18" s="240">
        <f>'PTA-A20'!E47-'PTA-A20'!E76</f>
        <v>121</v>
      </c>
      <c r="F18" s="240">
        <f>'PTA-A20'!F47-'PTA-A20'!F76</f>
        <v>42</v>
      </c>
      <c r="G18" s="240">
        <f>'PTA-A20'!G47-'PTA-A20'!G76</f>
        <v>108</v>
      </c>
      <c r="H18" s="240">
        <f>'PTA-A20'!H47-'PTA-A20'!H76</f>
        <v>60</v>
      </c>
      <c r="I18" s="240">
        <f>'PTA-A20'!I47-'PTA-A20'!I76</f>
        <v>-46</v>
      </c>
      <c r="J18" s="240">
        <f>'PTA-A20'!J47-'PTA-A20'!J76</f>
        <v>-83</v>
      </c>
      <c r="K18" s="241">
        <f>'PTA-A20'!K47-'PTA-A20'!K76</f>
        <v>-84</v>
      </c>
      <c r="L18" s="242">
        <f>'PTA-A20'!L47-'PTA-A20'!L76</f>
        <v>-77</v>
      </c>
      <c r="M18" s="240">
        <f>'PTA-A20'!M47-'PTA-A20'!M76</f>
        <v>-80</v>
      </c>
      <c r="N18" s="240">
        <f>'PTA-A20'!N47-'PTA-A20'!N76</f>
        <v>-80</v>
      </c>
      <c r="O18" s="240">
        <f>'PTA-A20'!O47-'PTA-A20'!O76</f>
        <v>-80</v>
      </c>
      <c r="P18" s="240">
        <f>'PTA-A20'!P47-'PTA-A20'!P76</f>
        <v>-80</v>
      </c>
      <c r="Q18" s="243">
        <f>'PTA-A20'!Q47-'PTA-A20'!Q76</f>
        <v>-80</v>
      </c>
    </row>
    <row r="19" spans="2:17" ht="17.25" customHeight="1">
      <c r="B19" s="620" t="s">
        <v>307</v>
      </c>
      <c r="C19" s="621"/>
      <c r="D19" s="244">
        <f t="shared" ref="D19:K19" si="0">SUM(D7:D18)</f>
        <v>818.48</v>
      </c>
      <c r="E19" s="245">
        <f t="shared" si="0"/>
        <v>1020.48</v>
      </c>
      <c r="F19" s="245">
        <f t="shared" si="0"/>
        <v>535</v>
      </c>
      <c r="G19" s="245">
        <f t="shared" si="0"/>
        <v>902.471</v>
      </c>
      <c r="H19" s="245">
        <f t="shared" si="0"/>
        <v>1836.1169999999997</v>
      </c>
      <c r="I19" s="245">
        <f t="shared" si="0"/>
        <v>1997.9110000000001</v>
      </c>
      <c r="J19" s="245">
        <f t="shared" si="0"/>
        <v>2283.5140000000001</v>
      </c>
      <c r="K19" s="246">
        <f t="shared" si="0"/>
        <v>2875.4789999999998</v>
      </c>
      <c r="L19" s="247">
        <f t="shared" ref="L19:Q19" si="1">SUM(L7:L18)</f>
        <v>3762.6419999999998</v>
      </c>
      <c r="M19" s="245">
        <f t="shared" si="1"/>
        <v>3828.8829999999998</v>
      </c>
      <c r="N19" s="245">
        <f t="shared" si="1"/>
        <v>3655.4864928999996</v>
      </c>
      <c r="O19" s="245">
        <f t="shared" si="1"/>
        <v>5131.2129723979497</v>
      </c>
      <c r="P19" s="245">
        <f t="shared" si="1"/>
        <v>5203.8879564318777</v>
      </c>
      <c r="Q19" s="248">
        <f t="shared" si="1"/>
        <v>5522.8559124808526</v>
      </c>
    </row>
    <row r="20" spans="2:17" ht="17.25" customHeight="1">
      <c r="B20" s="609" t="s">
        <v>308</v>
      </c>
      <c r="C20" s="610"/>
      <c r="D20" s="244">
        <f>'PTA-A20'!D49-'PTA-A20'!D78</f>
        <v>-55.692</v>
      </c>
      <c r="E20" s="245">
        <f>'PTA-A20'!E49-'PTA-A20'!E78</f>
        <v>-55.692</v>
      </c>
      <c r="F20" s="245">
        <f>'PTA-A20'!F49-'PTA-A20'!F78</f>
        <v>0</v>
      </c>
      <c r="G20" s="245">
        <f>'PTA-A20'!G49-'PTA-A20'!G78</f>
        <v>0</v>
      </c>
      <c r="H20" s="245">
        <f>'PTA-A20'!H49-'PTA-A20'!H78</f>
        <v>0</v>
      </c>
      <c r="I20" s="245">
        <f>'PTA-A20'!I49-'PTA-A20'!I78</f>
        <v>0</v>
      </c>
      <c r="J20" s="245">
        <f>'PTA-A20'!J49-'PTA-A20'!J78</f>
        <v>-1.792</v>
      </c>
      <c r="K20" s="246">
        <f>'PTA-A20'!K49-'PTA-A20'!K78</f>
        <v>-2</v>
      </c>
      <c r="L20" s="247">
        <f>'PTA-A20'!L49-'PTA-A20'!L78</f>
        <v>-2</v>
      </c>
      <c r="M20" s="245">
        <f>'PTA-A20'!M49-'PTA-A20'!M78</f>
        <v>-2</v>
      </c>
      <c r="N20" s="245">
        <f>'PTA-A20'!N49-'PTA-A20'!N78</f>
        <v>-2</v>
      </c>
      <c r="O20" s="245">
        <f>'PTA-A20'!O49-'PTA-A20'!O78</f>
        <v>-2</v>
      </c>
      <c r="P20" s="245">
        <f>'PTA-A20'!P49-'PTA-A20'!P78</f>
        <v>-2</v>
      </c>
      <c r="Q20" s="248">
        <f>'PTA-A20'!Q49-'PTA-A20'!Q78</f>
        <v>-2</v>
      </c>
    </row>
    <row r="21" spans="2:17" ht="16.5" customHeight="1">
      <c r="B21" s="105"/>
      <c r="C21" s="97" t="s">
        <v>309</v>
      </c>
      <c r="D21" s="244">
        <f>'PTA-A20'!D50-'PTA-A20'!D79</f>
        <v>-55.692</v>
      </c>
      <c r="E21" s="245">
        <f>'PTA-A20'!E50-'PTA-A20'!E79</f>
        <v>-55.692</v>
      </c>
      <c r="F21" s="245">
        <f>'PTA-A20'!F50-'PTA-A20'!F79</f>
        <v>0</v>
      </c>
      <c r="G21" s="245">
        <f>'PTA-A20'!G50-'PTA-A20'!G79</f>
        <v>0</v>
      </c>
      <c r="H21" s="245">
        <f>'PTA-A20'!H50-'PTA-A20'!H79</f>
        <v>0</v>
      </c>
      <c r="I21" s="245">
        <f>'PTA-A20'!I50-'PTA-A20'!I79</f>
        <v>0</v>
      </c>
      <c r="J21" s="245">
        <f>'PTA-A20'!J50-'PTA-A20'!J79</f>
        <v>-1.792</v>
      </c>
      <c r="K21" s="246">
        <f>'PTA-A20'!K50-'PTA-A20'!K79</f>
        <v>-2</v>
      </c>
      <c r="L21" s="247">
        <f>'PTA-A20'!L50-'PTA-A20'!L79</f>
        <v>-2</v>
      </c>
      <c r="M21" s="245">
        <f>'PTA-A20'!M50-'PTA-A20'!M79</f>
        <v>-2</v>
      </c>
      <c r="N21" s="245">
        <f>'PTA-A20'!N50-'PTA-A20'!N79</f>
        <v>-2</v>
      </c>
      <c r="O21" s="245">
        <f>'PTA-A20'!O50-'PTA-A20'!O79</f>
        <v>-2</v>
      </c>
      <c r="P21" s="245">
        <f>'PTA-A20'!P50-'PTA-A20'!P79</f>
        <v>-2</v>
      </c>
      <c r="Q21" s="248">
        <f>'PTA-A20'!Q50-'PTA-A20'!Q79</f>
        <v>-2</v>
      </c>
    </row>
    <row r="22" spans="2:17" ht="17.25" customHeight="1">
      <c r="B22" s="609" t="s">
        <v>310</v>
      </c>
      <c r="C22" s="610"/>
      <c r="D22" s="239">
        <f>'PTA-A20'!D51-'PTA-A20'!D80</f>
        <v>37.535000000000309</v>
      </c>
      <c r="E22" s="240">
        <f>'PTA-A20'!E51-'PTA-A20'!E80</f>
        <v>224.70499999999993</v>
      </c>
      <c r="F22" s="240">
        <f>'PTA-A20'!F51-'PTA-A20'!F80</f>
        <v>546.13299999999981</v>
      </c>
      <c r="G22" s="240">
        <f>'PTA-A20'!G51-'PTA-A20'!G80</f>
        <v>367.48799999999983</v>
      </c>
      <c r="H22" s="240">
        <f>'PTA-A20'!H51-'PTA-A20'!H80</f>
        <v>-270.6579999999999</v>
      </c>
      <c r="I22" s="240">
        <f>'PTA-A20'!I51-'PTA-A20'!I80</f>
        <v>-728.27999999999975</v>
      </c>
      <c r="J22" s="240">
        <f>'PTA-A20'!J51-'PTA-A20'!J80</f>
        <v>-673.26300000000037</v>
      </c>
      <c r="K22" s="241">
        <f>'PTA-A20'!K51-'PTA-A20'!K80</f>
        <v>-725.38599999999951</v>
      </c>
      <c r="L22" s="242">
        <f>'PTA-A20'!L51-'PTA-A20'!L80</f>
        <v>-463.83500000000004</v>
      </c>
      <c r="M22" s="240">
        <f>'PTA-A20'!M51-'PTA-A20'!M80</f>
        <v>121.06399999999985</v>
      </c>
      <c r="N22" s="240">
        <f>'PTA-A20'!N51-'PTA-A20'!N80</f>
        <v>94.417999999999665</v>
      </c>
      <c r="O22" s="240">
        <f>'PTA-A20'!O51-'PTA-A20'!O80</f>
        <v>107.16100000000006</v>
      </c>
      <c r="P22" s="240">
        <f>'PTA-A20'!P51-'PTA-A20'!P80</f>
        <v>50.731999999999971</v>
      </c>
      <c r="Q22" s="243">
        <f>'PTA-A20'!Q51-'PTA-A20'!Q80</f>
        <v>-158.73900000000049</v>
      </c>
    </row>
    <row r="23" spans="2:17" ht="16.5" customHeight="1">
      <c r="B23" s="105"/>
      <c r="C23" s="615" t="s">
        <v>311</v>
      </c>
      <c r="D23" s="244">
        <f>'PTA-A20'!D52-'PTA-A20'!D81</f>
        <v>147.20499999999993</v>
      </c>
      <c r="E23" s="245">
        <f>'PTA-A20'!E52-'PTA-A20'!E81</f>
        <v>-1.4940000000001419</v>
      </c>
      <c r="F23" s="245">
        <f>'PTA-A20'!F52-'PTA-A20'!F81</f>
        <v>199.15999999999985</v>
      </c>
      <c r="G23" s="245">
        <f>'PTA-A20'!G52-'PTA-A20'!G81</f>
        <v>-46.037000000000262</v>
      </c>
      <c r="H23" s="245">
        <f>'PTA-A20'!H52-'PTA-A20'!H81</f>
        <v>-702.00200000000041</v>
      </c>
      <c r="I23" s="245">
        <f>'PTA-A20'!I52-'PTA-A20'!I81</f>
        <v>-1121.7479999999996</v>
      </c>
      <c r="J23" s="245">
        <f>'PTA-A20'!J52-'PTA-A20'!J81</f>
        <v>-1066.4759999999997</v>
      </c>
      <c r="K23" s="246">
        <f>'PTA-A20'!K52-'PTA-A20'!K81</f>
        <v>-992.01099999999951</v>
      </c>
      <c r="L23" s="247">
        <f>'PTA-A20'!L52-'PTA-A20'!L81</f>
        <v>-749.00000000000045</v>
      </c>
      <c r="M23" s="245">
        <f>'PTA-A20'!M52-'PTA-A20'!M81</f>
        <v>-263.71100000000024</v>
      </c>
      <c r="N23" s="245">
        <f>'PTA-A20'!N52-'PTA-A20'!N81</f>
        <v>-263.65000000000055</v>
      </c>
      <c r="O23" s="245">
        <f>'PTA-A20'!O52-'PTA-A20'!O81</f>
        <v>-255.17099999999982</v>
      </c>
      <c r="P23" s="245">
        <f>'PTA-A20'!P52-'PTA-A20'!P81</f>
        <v>-317.38400000000001</v>
      </c>
      <c r="Q23" s="248">
        <f>'PTA-A20'!Q52-'PTA-A20'!Q81</f>
        <v>-559.3439999999996</v>
      </c>
    </row>
    <row r="24" spans="2:17" ht="17.25" customHeight="1">
      <c r="B24" s="609" t="s">
        <v>312</v>
      </c>
      <c r="C24" s="610"/>
      <c r="D24" s="239">
        <f>'PTA-A20'!D53-'PTA-A20'!D82</f>
        <v>-440</v>
      </c>
      <c r="E24" s="240">
        <f>'PTA-A20'!E53-'PTA-A20'!E82</f>
        <v>-792.41600000000005</v>
      </c>
      <c r="F24" s="240">
        <f>'PTA-A20'!F53-'PTA-A20'!F82</f>
        <v>-820.30100000000004</v>
      </c>
      <c r="G24" s="240">
        <f>'PTA-A20'!G53-'PTA-A20'!G82</f>
        <v>-1299</v>
      </c>
      <c r="H24" s="240">
        <f>'PTA-A20'!H53-'PTA-A20'!H82</f>
        <v>-1399</v>
      </c>
      <c r="I24" s="240">
        <f>'PTA-A20'!I53-'PTA-A20'!I82</f>
        <v>-1447</v>
      </c>
      <c r="J24" s="240">
        <f>'PTA-A20'!J53-'PTA-A20'!J82</f>
        <v>-1357</v>
      </c>
      <c r="K24" s="241">
        <f>'PTA-A20'!K53-'PTA-A20'!K82</f>
        <v>-1333.971</v>
      </c>
      <c r="L24" s="242">
        <f>'PTA-A20'!L53-'PTA-A20'!L82</f>
        <v>-1490.9839999999999</v>
      </c>
      <c r="M24" s="240">
        <f>'PTA-A20'!M53-'PTA-A20'!M82</f>
        <v>-1795.1660000000002</v>
      </c>
      <c r="N24" s="240">
        <f>'PTA-A20'!N53-'PTA-A20'!N82</f>
        <v>-1988.4760000000001</v>
      </c>
      <c r="O24" s="240">
        <f>'PTA-A20'!O53-'PTA-A20'!O82</f>
        <v>-2314.4259999999999</v>
      </c>
      <c r="P24" s="240">
        <f>'PTA-A20'!P53-'PTA-A20'!P82</f>
        <v>-2478.5479999999998</v>
      </c>
      <c r="Q24" s="243">
        <f>'PTA-A20'!Q53-'PTA-A20'!Q82</f>
        <v>-2649</v>
      </c>
    </row>
    <row r="25" spans="2:17" ht="16.5" customHeight="1">
      <c r="B25" s="16"/>
      <c r="C25" s="615" t="s">
        <v>313</v>
      </c>
      <c r="D25" s="244">
        <f>'PTA-A20'!D54-'PTA-A20'!D83</f>
        <v>0</v>
      </c>
      <c r="E25" s="245">
        <f>'PTA-A20'!E54-'PTA-A20'!E83</f>
        <v>83.534999999999997</v>
      </c>
      <c r="F25" s="245">
        <f>'PTA-A20'!F54-'PTA-A20'!F83</f>
        <v>-12.262</v>
      </c>
      <c r="G25" s="245">
        <f>'PTA-A20'!G54-'PTA-A20'!G83</f>
        <v>-148.048</v>
      </c>
      <c r="H25" s="245">
        <f>'PTA-A20'!H54-'PTA-A20'!H83</f>
        <v>-116</v>
      </c>
      <c r="I25" s="245">
        <f>'PTA-A20'!I54-'PTA-A20'!I83</f>
        <v>-60</v>
      </c>
      <c r="J25" s="245">
        <f>'PTA-A20'!J54-'PTA-A20'!J83</f>
        <v>-86</v>
      </c>
      <c r="K25" s="246">
        <f>'PTA-A20'!K54-'PTA-A20'!K83</f>
        <v>-17.831999999999994</v>
      </c>
      <c r="L25" s="247">
        <f>'PTA-A20'!L54-'PTA-A20'!L83</f>
        <v>-24.773000000000025</v>
      </c>
      <c r="M25" s="245">
        <f>'PTA-A20'!M54-'PTA-A20'!M83</f>
        <v>-30.146000000000015</v>
      </c>
      <c r="N25" s="245">
        <f>'PTA-A20'!N54-'PTA-A20'!N83</f>
        <v>-16.748999999999967</v>
      </c>
      <c r="O25" s="245">
        <f>'PTA-A20'!O54-'PTA-A20'!O83</f>
        <v>32.95999999999998</v>
      </c>
      <c r="P25" s="245">
        <f>'PTA-A20'!P54-'PTA-A20'!P83</f>
        <v>-10.050999999999988</v>
      </c>
      <c r="Q25" s="248">
        <f>'PTA-A20'!Q54-'PTA-A20'!Q83</f>
        <v>-10.050999999999988</v>
      </c>
    </row>
    <row r="26" spans="2:17" ht="17.25" customHeight="1">
      <c r="B26" s="620" t="s">
        <v>314</v>
      </c>
      <c r="C26" s="621"/>
      <c r="D26" s="244">
        <f>'PTA-A20'!D55-'PTA-A20'!D84</f>
        <v>-107</v>
      </c>
      <c r="E26" s="245">
        <f>'PTA-A20'!E55-'PTA-A20'!E84</f>
        <v>-97.819000000000003</v>
      </c>
      <c r="F26" s="245">
        <f>'PTA-A20'!F55-'PTA-A20'!F84</f>
        <v>-112.91500000000001</v>
      </c>
      <c r="G26" s="245">
        <f>'PTA-A20'!G55-'PTA-A20'!G84</f>
        <v>-117.55500000000001</v>
      </c>
      <c r="H26" s="245">
        <f>'PTA-A20'!H55-'PTA-A20'!H84</f>
        <v>-213</v>
      </c>
      <c r="I26" s="245">
        <f>'PTA-A20'!I55-'PTA-A20'!I84</f>
        <v>-140</v>
      </c>
      <c r="J26" s="245">
        <f>'PTA-A20'!J55-'PTA-A20'!J84</f>
        <v>-107</v>
      </c>
      <c r="K26" s="246">
        <f>'PTA-A20'!K55-'PTA-A20'!K84</f>
        <v>-333.726</v>
      </c>
      <c r="L26" s="247">
        <f>'PTA-A20'!L55-'PTA-A20'!L84</f>
        <v>-331.72800000000001</v>
      </c>
      <c r="M26" s="245">
        <f>'PTA-A20'!M55-'PTA-A20'!M84</f>
        <v>-346.86</v>
      </c>
      <c r="N26" s="245">
        <f>'PTA-A20'!N55-'PTA-A20'!N84</f>
        <v>-329.72399999999999</v>
      </c>
      <c r="O26" s="245">
        <f>'PTA-A20'!O55-'PTA-A20'!O84</f>
        <v>-328</v>
      </c>
      <c r="P26" s="245">
        <f>'PTA-A20'!P55-'PTA-A20'!P84</f>
        <v>-322.68</v>
      </c>
      <c r="Q26" s="248">
        <f>'PTA-A20'!Q55-'PTA-A20'!Q84</f>
        <v>-322.68</v>
      </c>
    </row>
    <row r="27" spans="2:17" ht="17.25" customHeight="1">
      <c r="B27" s="620" t="s">
        <v>315</v>
      </c>
      <c r="C27" s="621"/>
      <c r="D27" s="244">
        <f>'PTA-A20'!D56-'PTA-A20'!D85</f>
        <v>-59</v>
      </c>
      <c r="E27" s="245">
        <f>'PTA-A20'!E56-'PTA-A20'!E85</f>
        <v>-103</v>
      </c>
      <c r="F27" s="245">
        <f>'PTA-A20'!F56-'PTA-A20'!F85</f>
        <v>-137.69999999999999</v>
      </c>
      <c r="G27" s="245">
        <f>'PTA-A20'!G56-'PTA-A20'!G85</f>
        <v>-134.09999999999997</v>
      </c>
      <c r="H27" s="245">
        <f>'PTA-A20'!H56-'PTA-A20'!H85</f>
        <v>-90</v>
      </c>
      <c r="I27" s="245">
        <f>'PTA-A20'!I56-'PTA-A20'!I85</f>
        <v>-193</v>
      </c>
      <c r="J27" s="245">
        <f>'PTA-A20'!J56-'PTA-A20'!J85</f>
        <v>-170</v>
      </c>
      <c r="K27" s="246">
        <f>'PTA-A20'!K56-'PTA-A20'!K85</f>
        <v>-212</v>
      </c>
      <c r="L27" s="247">
        <f>'PTA-A20'!L56-'PTA-A20'!L85</f>
        <v>-240</v>
      </c>
      <c r="M27" s="245">
        <f>'PTA-A20'!M56-'PTA-A20'!M85</f>
        <v>-175</v>
      </c>
      <c r="N27" s="245">
        <f>'PTA-A20'!N56-'PTA-A20'!N85</f>
        <v>-167</v>
      </c>
      <c r="O27" s="245">
        <f>'PTA-A20'!O56-'PTA-A20'!O85</f>
        <v>-186</v>
      </c>
      <c r="P27" s="245">
        <f>'PTA-A20'!P56-'PTA-A20'!P85</f>
        <v>-198</v>
      </c>
      <c r="Q27" s="248">
        <f>'PTA-A20'!Q56-'PTA-A20'!Q85</f>
        <v>-224</v>
      </c>
    </row>
    <row r="28" spans="2:17" ht="16.5" customHeight="1">
      <c r="B28" s="609" t="s">
        <v>316</v>
      </c>
      <c r="C28" s="610"/>
      <c r="D28" s="239">
        <f>'PTA-A20'!D57-'PTA-A20'!D86</f>
        <v>412.7800000000002</v>
      </c>
      <c r="E28" s="240">
        <f>'PTA-A20'!E57-'PTA-A20'!E86</f>
        <v>392.1550000000002</v>
      </c>
      <c r="F28" s="240">
        <f>'PTA-A20'!F57-'PTA-A20'!F86</f>
        <v>953</v>
      </c>
      <c r="G28" s="240">
        <f>'PTA-A20'!G57-'PTA-A20'!G86</f>
        <v>-95</v>
      </c>
      <c r="H28" s="240">
        <f>'PTA-A20'!H57-'PTA-A20'!H86</f>
        <v>-165</v>
      </c>
      <c r="I28" s="240">
        <f>'PTA-A20'!I57-'PTA-A20'!I86</f>
        <v>-708</v>
      </c>
      <c r="J28" s="240">
        <f>'PTA-A20'!J57-'PTA-A20'!J86</f>
        <v>-746</v>
      </c>
      <c r="K28" s="241">
        <f>'PTA-A20'!K57-'PTA-A20'!K86</f>
        <v>-536.5</v>
      </c>
      <c r="L28" s="242">
        <f>'PTA-A20'!L57-'PTA-A20'!L86</f>
        <v>234</v>
      </c>
      <c r="M28" s="240">
        <f>'PTA-A20'!M57-'PTA-A20'!M86</f>
        <v>137</v>
      </c>
      <c r="N28" s="240">
        <f>'PTA-A20'!N57-'PTA-A20'!N86</f>
        <v>66</v>
      </c>
      <c r="O28" s="240">
        <f>'PTA-A20'!O57-'PTA-A20'!O86</f>
        <v>-3</v>
      </c>
      <c r="P28" s="240">
        <f>'PTA-A20'!P57-'PTA-A20'!P86</f>
        <v>-63</v>
      </c>
      <c r="Q28" s="243">
        <f>'PTA-A20'!Q57-'PTA-A20'!Q86</f>
        <v>-110</v>
      </c>
    </row>
    <row r="29" spans="2:17" ht="16.5" customHeight="1">
      <c r="B29" s="607" t="s">
        <v>317</v>
      </c>
      <c r="C29" s="608"/>
      <c r="D29" s="239">
        <f>'PTA-A20'!D58-'PTA-A20'!D87</f>
        <v>-10</v>
      </c>
      <c r="E29" s="240">
        <f>'PTA-A20'!E58-'PTA-A20'!E87</f>
        <v>-10</v>
      </c>
      <c r="F29" s="240">
        <f>'PTA-A20'!F58-'PTA-A20'!F87</f>
        <v>-10</v>
      </c>
      <c r="G29" s="240">
        <f>'PTA-A20'!G58-'PTA-A20'!G87</f>
        <v>-21</v>
      </c>
      <c r="H29" s="240">
        <f>'PTA-A20'!H58-'PTA-A20'!H87</f>
        <v>-33</v>
      </c>
      <c r="I29" s="240">
        <f>'PTA-A20'!I58-'PTA-A20'!I87</f>
        <v>-46</v>
      </c>
      <c r="J29" s="240">
        <f>'PTA-A20'!J58-'PTA-A20'!J87</f>
        <v>-9</v>
      </c>
      <c r="K29" s="241">
        <f>'PTA-A20'!K58-'PTA-A20'!K87</f>
        <v>-26.5</v>
      </c>
      <c r="L29" s="242">
        <f>'PTA-A20'!L58-'PTA-A20'!L87</f>
        <v>-38.5</v>
      </c>
      <c r="M29" s="240">
        <f>'PTA-A20'!M58-'PTA-A20'!M87</f>
        <v>-50.5</v>
      </c>
      <c r="N29" s="240">
        <f>'PTA-A20'!N58-'PTA-A20'!N87</f>
        <v>-61.5</v>
      </c>
      <c r="O29" s="240">
        <f>'PTA-A20'!O58-'PTA-A20'!O87</f>
        <v>-72.5</v>
      </c>
      <c r="P29" s="240">
        <f>'PTA-A20'!P58-'PTA-A20'!P87</f>
        <v>-82.5</v>
      </c>
      <c r="Q29" s="243">
        <f>'PTA-A20'!Q58-'PTA-A20'!Q87</f>
        <v>-92</v>
      </c>
    </row>
    <row r="30" spans="2:17" ht="17.25" customHeight="1">
      <c r="B30" s="620" t="s">
        <v>318</v>
      </c>
      <c r="C30" s="621"/>
      <c r="D30" s="244">
        <f t="shared" ref="D30:K30" si="2">SUM(D28:D29)</f>
        <v>402.7800000000002</v>
      </c>
      <c r="E30" s="245">
        <f t="shared" si="2"/>
        <v>382.1550000000002</v>
      </c>
      <c r="F30" s="245">
        <f t="shared" si="2"/>
        <v>943</v>
      </c>
      <c r="G30" s="245">
        <f t="shared" si="2"/>
        <v>-116</v>
      </c>
      <c r="H30" s="245">
        <f t="shared" si="2"/>
        <v>-198</v>
      </c>
      <c r="I30" s="245">
        <f t="shared" si="2"/>
        <v>-754</v>
      </c>
      <c r="J30" s="245">
        <f t="shared" si="2"/>
        <v>-755</v>
      </c>
      <c r="K30" s="246">
        <f t="shared" si="2"/>
        <v>-563</v>
      </c>
      <c r="L30" s="247">
        <f t="shared" ref="L30:Q30" si="3">SUM(L28:L29)</f>
        <v>195.5</v>
      </c>
      <c r="M30" s="245">
        <f t="shared" si="3"/>
        <v>86.5</v>
      </c>
      <c r="N30" s="245">
        <f t="shared" si="3"/>
        <v>4.5</v>
      </c>
      <c r="O30" s="245">
        <f t="shared" si="3"/>
        <v>-75.5</v>
      </c>
      <c r="P30" s="245">
        <f t="shared" si="3"/>
        <v>-145.5</v>
      </c>
      <c r="Q30" s="248">
        <f t="shared" si="3"/>
        <v>-202</v>
      </c>
    </row>
    <row r="31" spans="2:17" ht="16.5" customHeight="1">
      <c r="B31" s="609" t="s">
        <v>319</v>
      </c>
      <c r="C31" s="610"/>
      <c r="D31" s="239">
        <f>'PTA-A20'!D60-'PTA-A20'!D89</f>
        <v>297.78999999999996</v>
      </c>
      <c r="E31" s="240">
        <f>'PTA-A20'!E60-'PTA-A20'!E89</f>
        <v>297</v>
      </c>
      <c r="F31" s="240">
        <f>'PTA-A20'!F60-'PTA-A20'!F89</f>
        <v>580</v>
      </c>
      <c r="G31" s="240">
        <f>'PTA-A20'!G60-'PTA-A20'!G89</f>
        <v>580</v>
      </c>
      <c r="H31" s="240">
        <f>'PTA-A20'!H60-'PTA-A20'!H89</f>
        <v>580</v>
      </c>
      <c r="I31" s="240">
        <f>'PTA-A20'!I60-'PTA-A20'!I89</f>
        <v>580</v>
      </c>
      <c r="J31" s="240">
        <f>'PTA-A20'!J60-'PTA-A20'!J89</f>
        <v>563</v>
      </c>
      <c r="K31" s="241">
        <f>'PTA-A20'!K60-'PTA-A20'!K89</f>
        <v>547</v>
      </c>
      <c r="L31" s="242">
        <f>'PTA-A20'!L60-'PTA-A20'!L89</f>
        <v>529</v>
      </c>
      <c r="M31" s="240">
        <f>'PTA-A20'!M60-'PTA-A20'!M89</f>
        <v>508</v>
      </c>
      <c r="N31" s="240">
        <f>'PTA-A20'!N60-'PTA-A20'!N89</f>
        <v>484</v>
      </c>
      <c r="O31" s="240">
        <f>'PTA-A20'!O60-'PTA-A20'!O89</f>
        <v>458</v>
      </c>
      <c r="P31" s="240">
        <f>'PTA-A20'!P60-'PTA-A20'!P89</f>
        <v>431</v>
      </c>
      <c r="Q31" s="243">
        <f>'PTA-A20'!Q60-'PTA-A20'!Q89</f>
        <v>403</v>
      </c>
    </row>
    <row r="32" spans="2:17" ht="16.5" customHeight="1">
      <c r="B32" s="605" t="s">
        <v>320</v>
      </c>
      <c r="C32" s="606"/>
      <c r="D32" s="239">
        <f>'PTA-A20'!D61-'PTA-A20'!D90</f>
        <v>-105</v>
      </c>
      <c r="E32" s="240">
        <f>'PTA-A20'!E61-'PTA-A20'!E90</f>
        <v>-119</v>
      </c>
      <c r="F32" s="240">
        <f>'PTA-A20'!F61-'PTA-A20'!F90</f>
        <v>-134</v>
      </c>
      <c r="G32" s="240">
        <f>'PTA-A20'!G61-'PTA-A20'!G90</f>
        <v>-149</v>
      </c>
      <c r="H32" s="240">
        <f>'PTA-A20'!H61-'PTA-A20'!H90</f>
        <v>-164</v>
      </c>
      <c r="I32" s="240">
        <f>'PTA-A20'!I61-'PTA-A20'!I90</f>
        <v>-165</v>
      </c>
      <c r="J32" s="240">
        <f>'PTA-A20'!J61-'PTA-A20'!J90</f>
        <v>-140</v>
      </c>
      <c r="K32" s="241">
        <f>'PTA-A20'!K61-'PTA-A20'!K90</f>
        <v>-148</v>
      </c>
      <c r="L32" s="242">
        <f>'PTA-A20'!L61-'PTA-A20'!L90</f>
        <v>-159</v>
      </c>
      <c r="M32" s="240">
        <f>'PTA-A20'!M61-'PTA-A20'!M90</f>
        <v>-177</v>
      </c>
      <c r="N32" s="240">
        <f>'PTA-A20'!N61-'PTA-A20'!N90</f>
        <v>-195</v>
      </c>
      <c r="O32" s="240">
        <f>'PTA-A20'!O61-'PTA-A20'!O90</f>
        <v>-213</v>
      </c>
      <c r="P32" s="240">
        <f>'PTA-A20'!P61-'PTA-A20'!P90</f>
        <v>-231</v>
      </c>
      <c r="Q32" s="243">
        <f>'PTA-A20'!Q61-'PTA-A20'!Q90</f>
        <v>-249</v>
      </c>
    </row>
    <row r="33" spans="2:17" ht="16.5" customHeight="1">
      <c r="B33" s="607" t="s">
        <v>321</v>
      </c>
      <c r="C33" s="608"/>
      <c r="D33" s="239">
        <f>'PTA-A20'!D62-'PTA-A20'!D91</f>
        <v>-191.45</v>
      </c>
      <c r="E33" s="240">
        <f>'PTA-A20'!E62-'PTA-A20'!E91</f>
        <v>-189.07</v>
      </c>
      <c r="F33" s="240">
        <f>'PTA-A20'!F62-'PTA-A20'!F91</f>
        <v>-189.22499999999999</v>
      </c>
      <c r="G33" s="240">
        <f>'PTA-A20'!G62-'PTA-A20'!G91</f>
        <v>-189.22499999999999</v>
      </c>
      <c r="H33" s="240">
        <f>'PTA-A20'!H62-'PTA-A20'!H91</f>
        <v>-189.22499999999999</v>
      </c>
      <c r="I33" s="240">
        <f>'PTA-A20'!I62-'PTA-A20'!I91</f>
        <v>-184</v>
      </c>
      <c r="J33" s="240">
        <f>'PTA-A20'!J62-'PTA-A20'!J91</f>
        <v>-183</v>
      </c>
      <c r="K33" s="241">
        <f>'PTA-A20'!K62-'PTA-A20'!K91</f>
        <v>-185</v>
      </c>
      <c r="L33" s="242">
        <f>'PTA-A20'!L62-'PTA-A20'!L91</f>
        <v>-187</v>
      </c>
      <c r="M33" s="240">
        <f>'PTA-A20'!M62-'PTA-A20'!M91</f>
        <v>-191</v>
      </c>
      <c r="N33" s="240">
        <f>'PTA-A20'!N62-'PTA-A20'!N91</f>
        <v>-196</v>
      </c>
      <c r="O33" s="240">
        <f>'PTA-A20'!O62-'PTA-A20'!O91</f>
        <v>-201</v>
      </c>
      <c r="P33" s="240">
        <f>'PTA-A20'!P62-'PTA-A20'!P91</f>
        <v>-207</v>
      </c>
      <c r="Q33" s="243">
        <f>'PTA-A20'!Q62-'PTA-A20'!Q91</f>
        <v>-213</v>
      </c>
    </row>
    <row r="34" spans="2:17" ht="17.25" customHeight="1" thickBot="1">
      <c r="B34" s="622" t="s">
        <v>322</v>
      </c>
      <c r="C34" s="623"/>
      <c r="D34" s="249">
        <f t="shared" ref="D34:K34" si="4">SUM(D31:D33)</f>
        <v>1.339999999999975</v>
      </c>
      <c r="E34" s="250">
        <f t="shared" si="4"/>
        <v>-11.069999999999993</v>
      </c>
      <c r="F34" s="250">
        <f t="shared" si="4"/>
        <v>256.77499999999998</v>
      </c>
      <c r="G34" s="250">
        <f t="shared" si="4"/>
        <v>241.77500000000001</v>
      </c>
      <c r="H34" s="250">
        <f t="shared" si="4"/>
        <v>226.77500000000001</v>
      </c>
      <c r="I34" s="250">
        <f t="shared" si="4"/>
        <v>231</v>
      </c>
      <c r="J34" s="250">
        <f t="shared" si="4"/>
        <v>240</v>
      </c>
      <c r="K34" s="251">
        <f t="shared" si="4"/>
        <v>214</v>
      </c>
      <c r="L34" s="252">
        <f t="shared" ref="L34:Q34" si="5">SUM(L31:L33)</f>
        <v>183</v>
      </c>
      <c r="M34" s="250">
        <f t="shared" si="5"/>
        <v>140</v>
      </c>
      <c r="N34" s="250">
        <f t="shared" si="5"/>
        <v>93</v>
      </c>
      <c r="O34" s="250">
        <f t="shared" si="5"/>
        <v>44</v>
      </c>
      <c r="P34" s="250">
        <f t="shared" si="5"/>
        <v>-7</v>
      </c>
      <c r="Q34" s="253">
        <f t="shared" si="5"/>
        <v>-59</v>
      </c>
    </row>
    <row r="35" spans="2:17" ht="18" customHeight="1" thickTop="1" thickBot="1">
      <c r="B35" s="21"/>
      <c r="C35" s="619" t="s">
        <v>337</v>
      </c>
      <c r="D35" s="254">
        <f>SUM(D19+D20+D22+D24+D26+D27+D30+D34)</f>
        <v>598.44300000000044</v>
      </c>
      <c r="E35" s="171">
        <f t="shared" ref="E35:Q35" si="6">SUM(E19+E20+E22+E24+E26+E27+E30+E34)</f>
        <v>567.34300000000007</v>
      </c>
      <c r="F35" s="171">
        <f t="shared" si="6"/>
        <v>1209.9919999999997</v>
      </c>
      <c r="G35" s="171">
        <f t="shared" si="6"/>
        <v>-154.92100000000013</v>
      </c>
      <c r="H35" s="171">
        <f t="shared" si="6"/>
        <v>-107.76600000000016</v>
      </c>
      <c r="I35" s="171">
        <f t="shared" si="6"/>
        <v>-1033.3689999999997</v>
      </c>
      <c r="J35" s="171">
        <f t="shared" si="6"/>
        <v>-540.54100000000017</v>
      </c>
      <c r="K35" s="173">
        <f t="shared" si="6"/>
        <v>-80.603999999999701</v>
      </c>
      <c r="L35" s="172">
        <f t="shared" si="6"/>
        <v>1612.5949999999998</v>
      </c>
      <c r="M35" s="171">
        <f t="shared" si="6"/>
        <v>1857.4209999999994</v>
      </c>
      <c r="N35" s="171">
        <f t="shared" si="6"/>
        <v>1360.2044928999992</v>
      </c>
      <c r="O35" s="171">
        <f t="shared" si="6"/>
        <v>2376.4479723979498</v>
      </c>
      <c r="P35" s="171">
        <f t="shared" si="6"/>
        <v>2100.891956431878</v>
      </c>
      <c r="Q35" s="174">
        <f t="shared" si="6"/>
        <v>1905.4369124808522</v>
      </c>
    </row>
    <row r="36" spans="2:17" ht="12" customHeight="1"/>
    <row r="37" spans="2:17" ht="12" customHeight="1"/>
    <row r="38" spans="2:17" s="2" customFormat="1" ht="30.95" customHeight="1">
      <c r="B38" s="685" t="s">
        <v>338</v>
      </c>
      <c r="C38" s="685"/>
      <c r="F38" s="685" t="s">
        <v>296</v>
      </c>
      <c r="G38" s="685"/>
      <c r="H38" s="397" t="s">
        <v>18</v>
      </c>
    </row>
    <row r="39" spans="2:17" ht="15" customHeight="1" thickBot="1">
      <c r="Q39" s="12" t="s">
        <v>48</v>
      </c>
    </row>
    <row r="40" spans="2:17" s="12" customFormat="1" ht="30.95" customHeight="1">
      <c r="B40" s="11"/>
      <c r="C40" s="91"/>
      <c r="D40" s="687" t="s">
        <v>298</v>
      </c>
      <c r="E40" s="688"/>
      <c r="F40" s="688"/>
      <c r="G40" s="688"/>
      <c r="H40" s="688"/>
      <c r="I40" s="688"/>
      <c r="J40" s="688"/>
      <c r="K40" s="689"/>
      <c r="L40" s="687" t="s">
        <v>299</v>
      </c>
      <c r="M40" s="688"/>
      <c r="N40" s="688"/>
      <c r="O40" s="688"/>
      <c r="P40" s="688"/>
      <c r="Q40" s="689"/>
    </row>
    <row r="41" spans="2:17" s="12" customFormat="1" ht="15" customHeight="1">
      <c r="B41" s="9"/>
      <c r="C41" s="618" t="s">
        <v>336</v>
      </c>
      <c r="D41" s="18">
        <v>2009</v>
      </c>
      <c r="E41" s="17">
        <f>+D41+1</f>
        <v>2010</v>
      </c>
      <c r="F41" s="18">
        <f t="shared" ref="F41:Q41" si="7">+E41+1</f>
        <v>2011</v>
      </c>
      <c r="G41" s="17">
        <f t="shared" si="7"/>
        <v>2012</v>
      </c>
      <c r="H41" s="18">
        <f t="shared" si="7"/>
        <v>2013</v>
      </c>
      <c r="I41" s="17">
        <f t="shared" si="7"/>
        <v>2014</v>
      </c>
      <c r="J41" s="17">
        <f t="shared" si="7"/>
        <v>2015</v>
      </c>
      <c r="K41" s="20">
        <f t="shared" si="7"/>
        <v>2016</v>
      </c>
      <c r="L41" s="19">
        <f t="shared" si="7"/>
        <v>2017</v>
      </c>
      <c r="M41" s="18">
        <f t="shared" si="7"/>
        <v>2018</v>
      </c>
      <c r="N41" s="18">
        <f t="shared" si="7"/>
        <v>2019</v>
      </c>
      <c r="O41" s="18">
        <f t="shared" si="7"/>
        <v>2020</v>
      </c>
      <c r="P41" s="18">
        <f t="shared" si="7"/>
        <v>2021</v>
      </c>
      <c r="Q41" s="23">
        <f t="shared" si="7"/>
        <v>2022</v>
      </c>
    </row>
    <row r="42" spans="2:17" s="12" customFormat="1" ht="15" customHeight="1" thickBot="1">
      <c r="B42" s="88"/>
      <c r="C42" s="79" t="s">
        <v>303</v>
      </c>
      <c r="D42" s="141"/>
      <c r="E42" s="142"/>
      <c r="F42" s="142"/>
      <c r="G42" s="143"/>
      <c r="H42" s="142"/>
      <c r="I42" s="142"/>
      <c r="J42" s="142"/>
      <c r="K42" s="144"/>
      <c r="L42" s="145"/>
      <c r="M42" s="142"/>
      <c r="N42" s="142"/>
      <c r="O42" s="142"/>
      <c r="P42" s="142"/>
      <c r="Q42" s="144"/>
    </row>
    <row r="43" spans="2:17" ht="16.5" customHeight="1">
      <c r="B43" s="644" t="s">
        <v>433</v>
      </c>
      <c r="C43" s="645"/>
      <c r="D43" s="57">
        <f>IF('PTA-A20'!D7=0,"    -",ROUND('PTA-A20'!D36/'PTA-A20'!D7*100,1))</f>
        <v>102.4</v>
      </c>
      <c r="E43" s="58">
        <f>IF('PTA-A20'!E7=0,"    -",ROUND('PTA-A20'!E36/'PTA-A20'!E7*100,1))</f>
        <v>99.2</v>
      </c>
      <c r="F43" s="58">
        <f>IF('PTA-A20'!F7=0,"    -",ROUND('PTA-A20'!F36/'PTA-A20'!F7*100,1))</f>
        <v>93.1</v>
      </c>
      <c r="G43" s="58">
        <f>IF('PTA-A20'!G7=0,"    -",ROUND('PTA-A20'!G36/'PTA-A20'!G7*100,1))</f>
        <v>87.9</v>
      </c>
      <c r="H43" s="58">
        <f>IF('PTA-A20'!H7=0,"    -",ROUND('PTA-A20'!H36/'PTA-A20'!H7*100,1))</f>
        <v>86.6</v>
      </c>
      <c r="I43" s="58">
        <f>IF('PTA-A20'!I7=0,"    -",ROUND('PTA-A20'!I36/'PTA-A20'!I7*100,1))</f>
        <v>90</v>
      </c>
      <c r="J43" s="58">
        <f>IF('PTA-A20'!J7=0,"    -",ROUND('PTA-A20'!J36/'PTA-A20'!J7*100,1))</f>
        <v>88</v>
      </c>
      <c r="K43" s="59">
        <f>IF('PTA-A20'!K7=0,"    -",ROUND('PTA-A20'!K36/'PTA-A20'!K7*100,1))</f>
        <v>87.3</v>
      </c>
      <c r="L43" s="60">
        <f>IF('PTA-A20'!L7=0,"    -",ROUND('PTA-A20'!L36/'PTA-A20'!L7*100,1))</f>
        <v>86.9</v>
      </c>
      <c r="M43" s="58">
        <f>IF('PTA-A20'!M7=0,"    -",ROUND('PTA-A20'!M36/'PTA-A20'!M7*100,1))</f>
        <v>86.9</v>
      </c>
      <c r="N43" s="58">
        <f>IF('PTA-A20'!N7=0,"    -",ROUND('PTA-A20'!N36/'PTA-A20'!N7*100,1))</f>
        <v>81.5</v>
      </c>
      <c r="O43" s="58">
        <f>IF('PTA-A20'!O7=0,"    -",ROUND('PTA-A20'!O36/'PTA-A20'!O7*100,1))</f>
        <v>81.5</v>
      </c>
      <c r="P43" s="58">
        <f>IF('PTA-A20'!P7=0,"    -",ROUND('PTA-A20'!P36/'PTA-A20'!P7*100,1))</f>
        <v>80.599999999999994</v>
      </c>
      <c r="Q43" s="61">
        <f>IF('PTA-A20'!Q7=0,"    -",ROUND('PTA-A20'!Q36/'PTA-A20'!Q7*100,1))</f>
        <v>80.599999999999994</v>
      </c>
    </row>
    <row r="44" spans="2:17" ht="16.5" customHeight="1">
      <c r="B44" s="605" t="s">
        <v>434</v>
      </c>
      <c r="C44" s="606"/>
      <c r="D44" s="57">
        <f>IF('PTA-A20'!D8=0,"    -",ROUND('PTA-A20'!D37/'PTA-A20'!D8*100,1))</f>
        <v>92.7</v>
      </c>
      <c r="E44" s="58">
        <f>IF('PTA-A20'!E8=0,"    -",ROUND('PTA-A20'!E37/'PTA-A20'!E8*100,1))</f>
        <v>95.2</v>
      </c>
      <c r="F44" s="58">
        <f>IF('PTA-A20'!F8=0,"    -",ROUND('PTA-A20'!F37/'PTA-A20'!F8*100,1))</f>
        <v>77.400000000000006</v>
      </c>
      <c r="G44" s="58">
        <f>IF('PTA-A20'!G8=0,"    -",ROUND('PTA-A20'!G37/'PTA-A20'!G8*100,1))</f>
        <v>51.2</v>
      </c>
      <c r="H44" s="58">
        <f>IF('PTA-A20'!H8=0,"    -",ROUND('PTA-A20'!H37/'PTA-A20'!H8*100,1))</f>
        <v>48.8</v>
      </c>
      <c r="I44" s="58">
        <f>IF('PTA-A20'!I8=0,"    -",ROUND('PTA-A20'!I37/'PTA-A20'!I8*100,1))</f>
        <v>87.5</v>
      </c>
      <c r="J44" s="58">
        <f>IF('PTA-A20'!J8=0,"    -",ROUND('PTA-A20'!J37/'PTA-A20'!J8*100,1))</f>
        <v>87.4</v>
      </c>
      <c r="K44" s="59">
        <f>IF('PTA-A20'!K8=0,"    -",ROUND('PTA-A20'!K37/'PTA-A20'!K8*100,1))</f>
        <v>60.7</v>
      </c>
      <c r="L44" s="60">
        <f>IF('PTA-A20'!L8=0,"    -",ROUND('PTA-A20'!L37/'PTA-A20'!L8*100,1))</f>
        <v>85.2</v>
      </c>
      <c r="M44" s="58">
        <f>IF('PTA-A20'!M8=0,"    -",ROUND('PTA-A20'!M37/'PTA-A20'!M8*100,1))</f>
        <v>85.2</v>
      </c>
      <c r="N44" s="58">
        <f>IF('PTA-A20'!N8=0,"    -",ROUND('PTA-A20'!N37/'PTA-A20'!N8*100,1))</f>
        <v>85.2</v>
      </c>
      <c r="O44" s="58">
        <f>IF('PTA-A20'!O8=0,"    -",ROUND('PTA-A20'!O37/'PTA-A20'!O8*100,1))</f>
        <v>87.5</v>
      </c>
      <c r="P44" s="58">
        <f>IF('PTA-A20'!P8=0,"    -",ROUND('PTA-A20'!P37/'PTA-A20'!P8*100,1))</f>
        <v>87.5</v>
      </c>
      <c r="Q44" s="61">
        <f>IF('PTA-A20'!Q8=0,"    -",ROUND('PTA-A20'!Q37/'PTA-A20'!Q8*100,1))</f>
        <v>87.5</v>
      </c>
    </row>
    <row r="45" spans="2:17" ht="16.5" customHeight="1">
      <c r="B45" s="605" t="s">
        <v>435</v>
      </c>
      <c r="C45" s="606"/>
      <c r="D45" s="57" t="str">
        <f>IF('PTA-A20'!D9=0,"    -",ROUND('PTA-A20'!D38/'PTA-A20'!D9*100,1))</f>
        <v xml:space="preserve">    -</v>
      </c>
      <c r="E45" s="58" t="str">
        <f>IF('PTA-A20'!E9=0,"    -",ROUND('PTA-A20'!E38/'PTA-A20'!E9*100,1))</f>
        <v xml:space="preserve">    -</v>
      </c>
      <c r="F45" s="58" t="str">
        <f>IF('PTA-A20'!F9=0,"    -",ROUND('PTA-A20'!F38/'PTA-A20'!F9*100,1))</f>
        <v xml:space="preserve">    -</v>
      </c>
      <c r="G45" s="58" t="str">
        <f>IF('PTA-A20'!G9=0,"    -",ROUND('PTA-A20'!G38/'PTA-A20'!G9*100,1))</f>
        <v xml:space="preserve">    -</v>
      </c>
      <c r="H45" s="58" t="str">
        <f>IF('PTA-A20'!H9=0,"    -",ROUND('PTA-A20'!H38/'PTA-A20'!H9*100,1))</f>
        <v xml:space="preserve">    -</v>
      </c>
      <c r="I45" s="58" t="str">
        <f>IF('PTA-A20'!I9=0,"    -",ROUND('PTA-A20'!I38/'PTA-A20'!I9*100,1))</f>
        <v xml:space="preserve">    -</v>
      </c>
      <c r="J45" s="58" t="str">
        <f>IF('PTA-A20'!J9=0,"    -",ROUND('PTA-A20'!J38/'PTA-A20'!J9*100,1))</f>
        <v xml:space="preserve">    -</v>
      </c>
      <c r="K45" s="59" t="str">
        <f>IF('PTA-A20'!K9=0,"    -",ROUND('PTA-A20'!K38/'PTA-A20'!K9*100,1))</f>
        <v xml:space="preserve">    -</v>
      </c>
      <c r="L45" s="60" t="str">
        <f>IF('PTA-A20'!L9=0,"    -",ROUND('PTA-A20'!L38/'PTA-A20'!L9*100,1))</f>
        <v xml:space="preserve">    -</v>
      </c>
      <c r="M45" s="58" t="str">
        <f>IF('PTA-A20'!M9=0,"    -",ROUND('PTA-A20'!M38/'PTA-A20'!M9*100,1))</f>
        <v xml:space="preserve">    -</v>
      </c>
      <c r="N45" s="58" t="str">
        <f>IF('PTA-A20'!N9=0,"    -",ROUND('PTA-A20'!N38/'PTA-A20'!N9*100,1))</f>
        <v xml:space="preserve">    -</v>
      </c>
      <c r="O45" s="58" t="str">
        <f>IF('PTA-A20'!O9=0,"    -",ROUND('PTA-A20'!O38/'PTA-A20'!O9*100,1))</f>
        <v xml:space="preserve">    -</v>
      </c>
      <c r="P45" s="58" t="str">
        <f>IF('PTA-A20'!P9=0,"    -",ROUND('PTA-A20'!P38/'PTA-A20'!P9*100,1))</f>
        <v xml:space="preserve">    -</v>
      </c>
      <c r="Q45" s="61" t="str">
        <f>IF('PTA-A20'!Q9=0,"    -",ROUND('PTA-A20'!Q38/'PTA-A20'!Q9*100,1))</f>
        <v xml:space="preserve">    -</v>
      </c>
    </row>
    <row r="46" spans="2:17" ht="16.5" customHeight="1">
      <c r="B46" s="605" t="s">
        <v>436</v>
      </c>
      <c r="C46" s="606"/>
      <c r="D46" s="57">
        <f>IF('PTA-A20'!D10=0,"    -",ROUND('PTA-A20'!D39/'PTA-A20'!D10*100,1))</f>
        <v>95.9</v>
      </c>
      <c r="E46" s="58">
        <f>IF('PTA-A20'!E10=0,"    -",ROUND('PTA-A20'!E39/'PTA-A20'!E10*100,1))</f>
        <v>93.8</v>
      </c>
      <c r="F46" s="58">
        <f>IF('PTA-A20'!F10=0,"    -",ROUND('PTA-A20'!F39/'PTA-A20'!F10*100,1))</f>
        <v>85.6</v>
      </c>
      <c r="G46" s="58">
        <f>IF('PTA-A20'!G10=0,"    -",ROUND('PTA-A20'!G39/'PTA-A20'!G10*100,1))</f>
        <v>81.5</v>
      </c>
      <c r="H46" s="58">
        <f>IF('PTA-A20'!H10=0,"    -",ROUND('PTA-A20'!H39/'PTA-A20'!H10*100,1))</f>
        <v>87.3</v>
      </c>
      <c r="I46" s="58">
        <f>IF('PTA-A20'!I10=0,"    -",ROUND('PTA-A20'!I39/'PTA-A20'!I10*100,1))</f>
        <v>90.9</v>
      </c>
      <c r="J46" s="58">
        <f>IF('PTA-A20'!J10=0,"    -",ROUND('PTA-A20'!J39/'PTA-A20'!J10*100,1))</f>
        <v>91.2</v>
      </c>
      <c r="K46" s="59">
        <f>IF('PTA-A20'!K10=0,"    -",ROUND('PTA-A20'!K39/'PTA-A20'!K10*100,1))</f>
        <v>88.8</v>
      </c>
      <c r="L46" s="60">
        <f>IF('PTA-A20'!L10=0,"    -",ROUND('PTA-A20'!L39/'PTA-A20'!L10*100,1))</f>
        <v>85</v>
      </c>
      <c r="M46" s="58">
        <f>IF('PTA-A20'!M10=0,"    -",ROUND('PTA-A20'!M39/'PTA-A20'!M10*100,1))</f>
        <v>79.900000000000006</v>
      </c>
      <c r="N46" s="58">
        <f>IF('PTA-A20'!N10=0,"    -",ROUND('PTA-A20'!N39/'PTA-A20'!N10*100,1))</f>
        <v>76.099999999999994</v>
      </c>
      <c r="O46" s="58">
        <f>IF('PTA-A20'!O10=0,"    -",ROUND('PTA-A20'!O39/'PTA-A20'!O10*100,1))</f>
        <v>76.8</v>
      </c>
      <c r="P46" s="58">
        <f>IF('PTA-A20'!P10=0,"    -",ROUND('PTA-A20'!P39/'PTA-A20'!P10*100,1))</f>
        <v>77.7</v>
      </c>
      <c r="Q46" s="61">
        <f>IF('PTA-A20'!Q10=0,"    -",ROUND('PTA-A20'!Q39/'PTA-A20'!Q10*100,1))</f>
        <v>78.7</v>
      </c>
    </row>
    <row r="47" spans="2:17" ht="16.5" customHeight="1">
      <c r="B47" s="605" t="s">
        <v>437</v>
      </c>
      <c r="C47" s="606"/>
      <c r="D47" s="57">
        <f>IF('PTA-A20'!D11=0,"    -",ROUND('PTA-A20'!D40/'PTA-A20'!D11*100,1))</f>
        <v>102.4</v>
      </c>
      <c r="E47" s="58">
        <f>IF('PTA-A20'!E11=0,"    -",ROUND('PTA-A20'!E40/'PTA-A20'!E11*100,1))</f>
        <v>102.5</v>
      </c>
      <c r="F47" s="58">
        <f>IF('PTA-A20'!F11=0,"    -",ROUND('PTA-A20'!F40/'PTA-A20'!F11*100,1))</f>
        <v>94.1</v>
      </c>
      <c r="G47" s="58">
        <f>IF('PTA-A20'!G11=0,"    -",ROUND('PTA-A20'!G40/'PTA-A20'!G11*100,1))</f>
        <v>77.7</v>
      </c>
      <c r="H47" s="58">
        <f>IF('PTA-A20'!H11=0,"    -",ROUND('PTA-A20'!H40/'PTA-A20'!H11*100,1))</f>
        <v>78</v>
      </c>
      <c r="I47" s="58">
        <f>IF('PTA-A20'!I11=0,"    -",ROUND('PTA-A20'!I40/'PTA-A20'!I11*100,1))</f>
        <v>77.2</v>
      </c>
      <c r="J47" s="58">
        <f>IF('PTA-A20'!J11=0,"    -",ROUND('PTA-A20'!J40/'PTA-A20'!J11*100,1))</f>
        <v>82.5</v>
      </c>
      <c r="K47" s="59">
        <f>IF('PTA-A20'!K11=0,"    -",ROUND('PTA-A20'!K40/'PTA-A20'!K11*100,1))</f>
        <v>84.7</v>
      </c>
      <c r="L47" s="60">
        <f>IF('PTA-A20'!L11=0,"    -",ROUND('PTA-A20'!L40/'PTA-A20'!L11*100,1))</f>
        <v>80</v>
      </c>
      <c r="M47" s="58">
        <f>IF('PTA-A20'!M11=0,"    -",ROUND('PTA-A20'!M40/'PTA-A20'!M11*100,1))</f>
        <v>80</v>
      </c>
      <c r="N47" s="58">
        <f>IF('PTA-A20'!N11=0,"    -",ROUND('PTA-A20'!N40/'PTA-A20'!N11*100,1))</f>
        <v>80</v>
      </c>
      <c r="O47" s="58">
        <f>IF('PTA-A20'!O11=0,"    -",ROUND('PTA-A20'!O40/'PTA-A20'!O11*100,1))</f>
        <v>80</v>
      </c>
      <c r="P47" s="58">
        <f>IF('PTA-A20'!P11=0,"    -",ROUND('PTA-A20'!P40/'PTA-A20'!P11*100,1))</f>
        <v>80</v>
      </c>
      <c r="Q47" s="61">
        <f>IF('PTA-A20'!Q11=0,"    -",ROUND('PTA-A20'!Q40/'PTA-A20'!Q11*100,1))</f>
        <v>80</v>
      </c>
    </row>
    <row r="48" spans="2:17" ht="16.5" customHeight="1">
      <c r="B48" s="605" t="s">
        <v>438</v>
      </c>
      <c r="C48" s="606"/>
      <c r="D48" s="57">
        <f>IF('PTA-A20'!D12=0,"    -",ROUND('PTA-A20'!D41/'PTA-A20'!D12*100,1))</f>
        <v>92.5</v>
      </c>
      <c r="E48" s="58">
        <f>IF('PTA-A20'!E12=0,"    -",ROUND('PTA-A20'!E41/'PTA-A20'!E12*100,1))</f>
        <v>123.8</v>
      </c>
      <c r="F48" s="58">
        <f>IF('PTA-A20'!F12=0,"    -",ROUND('PTA-A20'!F41/'PTA-A20'!F12*100,1))</f>
        <v>96.8</v>
      </c>
      <c r="G48" s="58">
        <f>IF('PTA-A20'!G12=0,"    -",ROUND('PTA-A20'!G41/'PTA-A20'!G12*100,1))</f>
        <v>96.8</v>
      </c>
      <c r="H48" s="58">
        <f>IF('PTA-A20'!H12=0,"    -",ROUND('PTA-A20'!H41/'PTA-A20'!H12*100,1))</f>
        <v>99.3</v>
      </c>
      <c r="I48" s="58">
        <f>IF('PTA-A20'!I12=0,"    -",ROUND('PTA-A20'!I41/'PTA-A20'!I12*100,1))</f>
        <v>82.2</v>
      </c>
      <c r="J48" s="58">
        <f>IF('PTA-A20'!J12=0,"    -",ROUND('PTA-A20'!J41/'PTA-A20'!J12*100,1))</f>
        <v>82.2</v>
      </c>
      <c r="K48" s="59">
        <f>IF('PTA-A20'!K12=0,"    -",ROUND('PTA-A20'!K41/'PTA-A20'!K12*100,1))</f>
        <v>67.5</v>
      </c>
      <c r="L48" s="60">
        <f>IF('PTA-A20'!L12=0,"    -",ROUND('PTA-A20'!L41/'PTA-A20'!L12*100,1))</f>
        <v>70.099999999999994</v>
      </c>
      <c r="M48" s="58">
        <f>IF('PTA-A20'!M12=0,"    -",ROUND('PTA-A20'!M41/'PTA-A20'!M12*100,1))</f>
        <v>73.7</v>
      </c>
      <c r="N48" s="58">
        <f>IF('PTA-A20'!N12=0,"    -",ROUND('PTA-A20'!N41/'PTA-A20'!N12*100,1))</f>
        <v>77.2</v>
      </c>
      <c r="O48" s="58">
        <f>IF('PTA-A20'!O12=0,"    -",ROUND('PTA-A20'!O41/'PTA-A20'!O12*100,1))</f>
        <v>81.3</v>
      </c>
      <c r="P48" s="58">
        <f>IF('PTA-A20'!P12=0,"    -",ROUND('PTA-A20'!P41/'PTA-A20'!P12*100,1))</f>
        <v>85.3</v>
      </c>
      <c r="Q48" s="61">
        <f>IF('PTA-A20'!Q12=0,"    -",ROUND('PTA-A20'!Q41/'PTA-A20'!Q12*100,1))</f>
        <v>89.3</v>
      </c>
    </row>
    <row r="49" spans="2:17" ht="16.5" customHeight="1">
      <c r="B49" s="605" t="s">
        <v>439</v>
      </c>
      <c r="C49" s="606"/>
      <c r="D49" s="57">
        <f>IF('PTA-A20'!D13=0,"    -",ROUND('PTA-A20'!D42/'PTA-A20'!D13*100,1))</f>
        <v>92.7</v>
      </c>
      <c r="E49" s="58">
        <f>IF('PTA-A20'!E13=0,"    -",ROUND('PTA-A20'!E42/'PTA-A20'!E13*100,1))</f>
        <v>90.8</v>
      </c>
      <c r="F49" s="58">
        <f>IF('PTA-A20'!F13=0,"    -",ROUND('PTA-A20'!F42/'PTA-A20'!F13*100,1))</f>
        <v>97</v>
      </c>
      <c r="G49" s="58">
        <f>IF('PTA-A20'!G13=0,"    -",ROUND('PTA-A20'!G42/'PTA-A20'!G13*100,1))</f>
        <v>89.6</v>
      </c>
      <c r="H49" s="58">
        <f>IF('PTA-A20'!H13=0,"    -",ROUND('PTA-A20'!H42/'PTA-A20'!H13*100,1))</f>
        <v>72.400000000000006</v>
      </c>
      <c r="I49" s="58">
        <f>IF('PTA-A20'!I13=0,"    -",ROUND('PTA-A20'!I42/'PTA-A20'!I13*100,1))</f>
        <v>82.2</v>
      </c>
      <c r="J49" s="58">
        <f>IF('PTA-A20'!J13=0,"    -",ROUND('PTA-A20'!J42/'PTA-A20'!J13*100,1))</f>
        <v>55.6</v>
      </c>
      <c r="K49" s="59">
        <f>IF('PTA-A20'!K13=0,"    -",ROUND('PTA-A20'!K42/'PTA-A20'!K13*100,1))</f>
        <v>71.3</v>
      </c>
      <c r="L49" s="60">
        <f>IF('PTA-A20'!L13=0,"    -",ROUND('PTA-A20'!L42/'PTA-A20'!L13*100,1))</f>
        <v>62.8</v>
      </c>
      <c r="M49" s="58">
        <f>IF('PTA-A20'!M13=0,"    -",ROUND('PTA-A20'!M42/'PTA-A20'!M13*100,1))</f>
        <v>60.1</v>
      </c>
      <c r="N49" s="58">
        <f>IF('PTA-A20'!N13=0,"    -",ROUND('PTA-A20'!N42/'PTA-A20'!N13*100,1))</f>
        <v>59.4</v>
      </c>
      <c r="O49" s="58">
        <f>IF('PTA-A20'!O13=0,"    -",ROUND('PTA-A20'!O42/'PTA-A20'!O13*100,1))</f>
        <v>80.8</v>
      </c>
      <c r="P49" s="58">
        <f>IF('PTA-A20'!P13=0,"    -",ROUND('PTA-A20'!P42/'PTA-A20'!P13*100,1))</f>
        <v>80.8</v>
      </c>
      <c r="Q49" s="61">
        <f>IF('PTA-A20'!Q13=0,"    -",ROUND('PTA-A20'!Q42/'PTA-A20'!Q13*100,1))</f>
        <v>83.2</v>
      </c>
    </row>
    <row r="50" spans="2:17" ht="18" hidden="1" customHeight="1">
      <c r="B50" s="16"/>
      <c r="C50" s="90" t="s">
        <v>306</v>
      </c>
      <c r="D50" s="57" t="str">
        <f>IF('PTA-A20'!D14=0,"    -",ROUND('PTA-A20'!D43/'PTA-A20'!D14*100,1))</f>
        <v xml:space="preserve">    -</v>
      </c>
      <c r="E50" s="58" t="str">
        <f>IF('PTA-A20'!E14=0,"    -",ROUND('PTA-A20'!E43/'PTA-A20'!E14*100,1))</f>
        <v xml:space="preserve">    -</v>
      </c>
      <c r="F50" s="58" t="str">
        <f>IF('PTA-A20'!F14=0,"    -",ROUND('PTA-A20'!F43/'PTA-A20'!F14*100,1))</f>
        <v xml:space="preserve">    -</v>
      </c>
      <c r="G50" s="58" t="str">
        <f>IF('PTA-A20'!G14=0,"    -",ROUND('PTA-A20'!G43/'PTA-A20'!G14*100,1))</f>
        <v xml:space="preserve">    -</v>
      </c>
      <c r="H50" s="58" t="str">
        <f>IF('PTA-A20'!H14=0,"    -",ROUND('PTA-A20'!H43/'PTA-A20'!H14*100,1))</f>
        <v xml:space="preserve">    -</v>
      </c>
      <c r="I50" s="58" t="str">
        <f>IF('PTA-A20'!I14=0,"    -",ROUND('PTA-A20'!I43/'PTA-A20'!I14*100,1))</f>
        <v xml:space="preserve">    -</v>
      </c>
      <c r="J50" s="58" t="str">
        <f>IF('PTA-A20'!J14=0,"    -",ROUND('PTA-A20'!J43/'PTA-A20'!J14*100,1))</f>
        <v xml:space="preserve">    -</v>
      </c>
      <c r="K50" s="59" t="str">
        <f>IF('PTA-A20'!K14=0,"    -",ROUND('PTA-A20'!K43/'PTA-A20'!K14*100,1))</f>
        <v xml:space="preserve">    -</v>
      </c>
      <c r="L50" s="60" t="str">
        <f>IF('PTA-A20'!L14=0,"    -",ROUND('PTA-A20'!L43/'PTA-A20'!L14*100,1))</f>
        <v xml:space="preserve">    -</v>
      </c>
      <c r="M50" s="58" t="str">
        <f>IF('PTA-A20'!M14=0,"    -",ROUND('PTA-A20'!M43/'PTA-A20'!M14*100,1))</f>
        <v xml:space="preserve">    -</v>
      </c>
      <c r="N50" s="58" t="str">
        <f>IF('PTA-A20'!N14=0,"    -",ROUND('PTA-A20'!N43/'PTA-A20'!N14*100,1))</f>
        <v xml:space="preserve">    -</v>
      </c>
      <c r="O50" s="58" t="str">
        <f>IF('PTA-A20'!O14=0,"    -",ROUND('PTA-A20'!O43/'PTA-A20'!O14*100,1))</f>
        <v xml:space="preserve">    -</v>
      </c>
      <c r="P50" s="58" t="str">
        <f>IF('PTA-A20'!P14=0,"    -",ROUND('PTA-A20'!P43/'PTA-A20'!P14*100,1))</f>
        <v xml:space="preserve">    -</v>
      </c>
      <c r="Q50" s="61" t="str">
        <f>IF('PTA-A20'!Q14=0,"    -",ROUND('PTA-A20'!Q43/'PTA-A20'!Q14*100,1))</f>
        <v xml:space="preserve">    -</v>
      </c>
    </row>
    <row r="51" spans="2:17" ht="16.5" customHeight="1">
      <c r="B51" s="605" t="s">
        <v>440</v>
      </c>
      <c r="C51" s="606"/>
      <c r="D51" s="57" t="str">
        <f>IF('PTA-A20'!D15=0,"    -",ROUND('PTA-A20'!D44/'PTA-A20'!D15*100,1))</f>
        <v xml:space="preserve">    -</v>
      </c>
      <c r="E51" s="58" t="str">
        <f>IF('PTA-A20'!E15=0,"    -",ROUND('PTA-A20'!E44/'PTA-A20'!E15*100,1))</f>
        <v xml:space="preserve">    -</v>
      </c>
      <c r="F51" s="58" t="str">
        <f>IF('PTA-A20'!F15=0,"    -",ROUND('PTA-A20'!F44/'PTA-A20'!F15*100,1))</f>
        <v xml:space="preserve">    -</v>
      </c>
      <c r="G51" s="58" t="str">
        <f>IF('PTA-A20'!G15=0,"    -",ROUND('PTA-A20'!G44/'PTA-A20'!G15*100,1))</f>
        <v xml:space="preserve">    -</v>
      </c>
      <c r="H51" s="58" t="str">
        <f>IF('PTA-A20'!H15=0,"    -",ROUND('PTA-A20'!H44/'PTA-A20'!H15*100,1))</f>
        <v xml:space="preserve">    -</v>
      </c>
      <c r="I51" s="58" t="str">
        <f>IF('PTA-A20'!I15=0,"    -",ROUND('PTA-A20'!I44/'PTA-A20'!I15*100,1))</f>
        <v xml:space="preserve">    -</v>
      </c>
      <c r="J51" s="58" t="str">
        <f>IF('PTA-A20'!J15=0,"    -",ROUND('PTA-A20'!J44/'PTA-A20'!J15*100,1))</f>
        <v xml:space="preserve">    -</v>
      </c>
      <c r="K51" s="59" t="str">
        <f>IF('PTA-A20'!K15=0,"    -",ROUND('PTA-A20'!K44/'PTA-A20'!K15*100,1))</f>
        <v xml:space="preserve">    -</v>
      </c>
      <c r="L51" s="60" t="str">
        <f>IF('PTA-A20'!L15=0,"    -",ROUND('PTA-A20'!L44/'PTA-A20'!L15*100,1))</f>
        <v xml:space="preserve">    -</v>
      </c>
      <c r="M51" s="58" t="str">
        <f>IF('PTA-A20'!M15=0,"    -",ROUND('PTA-A20'!M44/'PTA-A20'!M15*100,1))</f>
        <v xml:space="preserve">    -</v>
      </c>
      <c r="N51" s="58" t="str">
        <f>IF('PTA-A20'!N15=0,"    -",ROUND('PTA-A20'!N44/'PTA-A20'!N15*100,1))</f>
        <v xml:space="preserve">    -</v>
      </c>
      <c r="O51" s="58" t="str">
        <f>IF('PTA-A20'!O15=0,"    -",ROUND('PTA-A20'!O44/'PTA-A20'!O15*100,1))</f>
        <v xml:space="preserve">    -</v>
      </c>
      <c r="P51" s="58" t="str">
        <f>IF('PTA-A20'!P15=0,"    -",ROUND('PTA-A20'!P44/'PTA-A20'!P15*100,1))</f>
        <v xml:space="preserve">    -</v>
      </c>
      <c r="Q51" s="61" t="str">
        <f>IF('PTA-A20'!Q15=0,"    -",ROUND('PTA-A20'!Q44/'PTA-A20'!Q15*100,1))</f>
        <v xml:space="preserve">    -</v>
      </c>
    </row>
    <row r="52" spans="2:17" ht="16.5" customHeight="1">
      <c r="B52" s="605" t="s">
        <v>441</v>
      </c>
      <c r="C52" s="606"/>
      <c r="D52" s="57">
        <f>IF('PTA-A20'!D16=0,"    -",ROUND('PTA-A20'!D45/'PTA-A20'!D16*100,1))</f>
        <v>90.7</v>
      </c>
      <c r="E52" s="58">
        <f>IF('PTA-A20'!E16=0,"    -",ROUND('PTA-A20'!E45/'PTA-A20'!E16*100,1))</f>
        <v>92.9</v>
      </c>
      <c r="F52" s="58">
        <f>IF('PTA-A20'!F16=0,"    -",ROUND('PTA-A20'!F45/'PTA-A20'!F16*100,1))</f>
        <v>86.7</v>
      </c>
      <c r="G52" s="58">
        <f>IF('PTA-A20'!G16=0,"    -",ROUND('PTA-A20'!G45/'PTA-A20'!G16*100,1))</f>
        <v>96.5</v>
      </c>
      <c r="H52" s="58">
        <f>IF('PTA-A20'!H16=0,"    -",ROUND('PTA-A20'!H45/'PTA-A20'!H16*100,1))</f>
        <v>94.5</v>
      </c>
      <c r="I52" s="58">
        <f>IF('PTA-A20'!I16=0,"    -",ROUND('PTA-A20'!I45/'PTA-A20'!I16*100,1))</f>
        <v>83.3</v>
      </c>
      <c r="J52" s="58">
        <f>IF('PTA-A20'!J16=0,"    -",ROUND('PTA-A20'!J45/'PTA-A20'!J16*100,1))</f>
        <v>80.8</v>
      </c>
      <c r="K52" s="59">
        <f>IF('PTA-A20'!K16=0,"    -",ROUND('PTA-A20'!K45/'PTA-A20'!K16*100,1))</f>
        <v>88</v>
      </c>
      <c r="L52" s="60">
        <f>IF('PTA-A20'!L16=0,"    -",ROUND('PTA-A20'!L45/'PTA-A20'!L16*100,1))</f>
        <v>88</v>
      </c>
      <c r="M52" s="58">
        <f>IF('PTA-A20'!M16=0,"    -",ROUND('PTA-A20'!M45/'PTA-A20'!M16*100,1))</f>
        <v>88</v>
      </c>
      <c r="N52" s="58">
        <f>IF('PTA-A20'!N16=0,"    -",ROUND('PTA-A20'!N45/'PTA-A20'!N16*100,1))</f>
        <v>88</v>
      </c>
      <c r="O52" s="58">
        <f>IF('PTA-A20'!O16=0,"    -",ROUND('PTA-A20'!O45/'PTA-A20'!O16*100,1))</f>
        <v>88</v>
      </c>
      <c r="P52" s="58">
        <f>IF('PTA-A20'!P16=0,"    -",ROUND('PTA-A20'!P45/'PTA-A20'!P16*100,1))</f>
        <v>88</v>
      </c>
      <c r="Q52" s="61">
        <f>IF('PTA-A20'!Q16=0,"    -",ROUND('PTA-A20'!Q45/'PTA-A20'!Q16*100,1))</f>
        <v>88</v>
      </c>
    </row>
    <row r="53" spans="2:17" ht="16.5" customHeight="1">
      <c r="B53" s="605" t="s">
        <v>442</v>
      </c>
      <c r="C53" s="606"/>
      <c r="D53" s="57" t="str">
        <f>IF('PTA-A20'!D17=0,"    -",ROUND('PTA-A20'!D46/'PTA-A20'!D17*100,1))</f>
        <v xml:space="preserve">    -</v>
      </c>
      <c r="E53" s="58" t="str">
        <f>IF('PTA-A20'!E17=0,"    -",ROUND('PTA-A20'!E46/'PTA-A20'!E17*100,1))</f>
        <v xml:space="preserve">    -</v>
      </c>
      <c r="F53" s="58" t="str">
        <f>IF('PTA-A20'!F17=0,"    -",ROUND('PTA-A20'!F46/'PTA-A20'!F17*100,1))</f>
        <v xml:space="preserve">    -</v>
      </c>
      <c r="G53" s="58" t="str">
        <f>IF('PTA-A20'!G17=0,"    -",ROUND('PTA-A20'!G46/'PTA-A20'!G17*100,1))</f>
        <v xml:space="preserve">    -</v>
      </c>
      <c r="H53" s="58" t="str">
        <f>IF('PTA-A20'!H17=0,"    -",ROUND('PTA-A20'!H46/'PTA-A20'!H17*100,1))</f>
        <v xml:space="preserve">    -</v>
      </c>
      <c r="I53" s="58" t="str">
        <f>IF('PTA-A20'!I17=0,"    -",ROUND('PTA-A20'!I46/'PTA-A20'!I17*100,1))</f>
        <v xml:space="preserve">    -</v>
      </c>
      <c r="J53" s="58" t="str">
        <f>IF('PTA-A20'!J17=0,"    -",ROUND('PTA-A20'!J46/'PTA-A20'!J17*100,1))</f>
        <v xml:space="preserve">    -</v>
      </c>
      <c r="K53" s="59" t="str">
        <f>IF('PTA-A20'!K17=0,"    -",ROUND('PTA-A20'!K46/'PTA-A20'!K17*100,1))</f>
        <v xml:space="preserve">    -</v>
      </c>
      <c r="L53" s="60" t="str">
        <f>IF('PTA-A20'!L17=0,"    -",ROUND('PTA-A20'!L46/'PTA-A20'!L17*100,1))</f>
        <v xml:space="preserve">    -</v>
      </c>
      <c r="M53" s="58" t="str">
        <f>IF('PTA-A20'!M17=0,"    -",ROUND('PTA-A20'!M46/'PTA-A20'!M17*100,1))</f>
        <v xml:space="preserve">    -</v>
      </c>
      <c r="N53" s="58" t="str">
        <f>IF('PTA-A20'!N17=0,"    -",ROUND('PTA-A20'!N46/'PTA-A20'!N17*100,1))</f>
        <v xml:space="preserve">    -</v>
      </c>
      <c r="O53" s="58" t="str">
        <f>IF('PTA-A20'!O17=0,"    -",ROUND('PTA-A20'!O46/'PTA-A20'!O17*100,1))</f>
        <v xml:space="preserve">    -</v>
      </c>
      <c r="P53" s="58" t="str">
        <f>IF('PTA-A20'!P17=0,"    -",ROUND('PTA-A20'!P46/'PTA-A20'!P17*100,1))</f>
        <v xml:space="preserve">    -</v>
      </c>
      <c r="Q53" s="61" t="str">
        <f>IF('PTA-A20'!Q17=0,"    -",ROUND('PTA-A20'!Q46/'PTA-A20'!Q17*100,1))</f>
        <v xml:space="preserve">    -</v>
      </c>
    </row>
    <row r="54" spans="2:17" ht="16.5" customHeight="1">
      <c r="B54" s="607" t="s">
        <v>443</v>
      </c>
      <c r="C54" s="608"/>
      <c r="D54" s="57">
        <f>IF('PTA-A20'!D18=0,"    -",ROUND('PTA-A20'!D47/'PTA-A20'!D18*100,1))</f>
        <v>98.3</v>
      </c>
      <c r="E54" s="58">
        <f>IF('PTA-A20'!E18=0,"    -",ROUND('PTA-A20'!E47/'PTA-A20'!E18*100,1))</f>
        <v>98.4</v>
      </c>
      <c r="F54" s="58">
        <f>IF('PTA-A20'!F18=0,"    -",ROUND('PTA-A20'!F47/'PTA-A20'!F18*100,1))</f>
        <v>79.400000000000006</v>
      </c>
      <c r="G54" s="58">
        <f>IF('PTA-A20'!G18=0,"    -",ROUND('PTA-A20'!G47/'PTA-A20'!G18*100,1))</f>
        <v>83.8</v>
      </c>
      <c r="H54" s="58">
        <f>IF('PTA-A20'!H18=0,"    -",ROUND('PTA-A20'!H47/'PTA-A20'!H18*100,1))</f>
        <v>73.3</v>
      </c>
      <c r="I54" s="58">
        <f>IF('PTA-A20'!I18=0,"    -",ROUND('PTA-A20'!I47/'PTA-A20'!I18*100,1))</f>
        <v>82.2</v>
      </c>
      <c r="J54" s="58">
        <f>IF('PTA-A20'!J18=0,"    -",ROUND('PTA-A20'!J47/'PTA-A20'!J18*100,1))</f>
        <v>74.900000000000006</v>
      </c>
      <c r="K54" s="59">
        <f>IF('PTA-A20'!K18=0,"    -",ROUND('PTA-A20'!K47/'PTA-A20'!K18*100,1))</f>
        <v>71.7</v>
      </c>
      <c r="L54" s="60">
        <f>IF('PTA-A20'!L18=0,"    -",ROUND('PTA-A20'!L47/'PTA-A20'!L18*100,1))</f>
        <v>72.3</v>
      </c>
      <c r="M54" s="58">
        <f>IF('PTA-A20'!M18=0,"    -",ROUND('PTA-A20'!M47/'PTA-A20'!M18*100,1))</f>
        <v>72.3</v>
      </c>
      <c r="N54" s="58">
        <f>IF('PTA-A20'!N18=0,"    -",ROUND('PTA-A20'!N47/'PTA-A20'!N18*100,1))</f>
        <v>72.3</v>
      </c>
      <c r="O54" s="58">
        <f>IF('PTA-A20'!O18=0,"    -",ROUND('PTA-A20'!O47/'PTA-A20'!O18*100,1))</f>
        <v>72.3</v>
      </c>
      <c r="P54" s="58">
        <f>IF('PTA-A20'!P18=0,"    -",ROUND('PTA-A20'!P47/'PTA-A20'!P18*100,1))</f>
        <v>72.3</v>
      </c>
      <c r="Q54" s="61">
        <f>IF('PTA-A20'!Q18=0,"    -",ROUND('PTA-A20'!Q47/'PTA-A20'!Q18*100,1))</f>
        <v>72.3</v>
      </c>
    </row>
    <row r="55" spans="2:17" ht="17.25" customHeight="1">
      <c r="B55" s="674" t="s">
        <v>307</v>
      </c>
      <c r="C55" s="675"/>
      <c r="D55" s="74">
        <f>IF('PTA-A20'!D19=0,"    -",ROUND('PTA-A20'!D48/'PTA-A20'!D19*100,1))</f>
        <v>96.5</v>
      </c>
      <c r="E55" s="75">
        <f>IF('PTA-A20'!E19=0,"    -",ROUND('PTA-A20'!E48/'PTA-A20'!E19*100,1))</f>
        <v>96.4</v>
      </c>
      <c r="F55" s="75">
        <f>IF('PTA-A20'!F19=0,"    -",ROUND('PTA-A20'!F48/'PTA-A20'!F19*100,1))</f>
        <v>87.5</v>
      </c>
      <c r="G55" s="75">
        <f>IF('PTA-A20'!G19=0,"    -",ROUND('PTA-A20'!G48/'PTA-A20'!G19*100,1))</f>
        <v>80.2</v>
      </c>
      <c r="H55" s="75">
        <f>IF('PTA-A20'!H19=0,"    -",ROUND('PTA-A20'!H48/'PTA-A20'!H19*100,1))</f>
        <v>81.900000000000006</v>
      </c>
      <c r="I55" s="75">
        <f>IF('PTA-A20'!I19=0,"    -",ROUND('PTA-A20'!I48/'PTA-A20'!I19*100,1))</f>
        <v>88.5</v>
      </c>
      <c r="J55" s="75">
        <f>IF('PTA-A20'!J19=0,"    -",ROUND('PTA-A20'!J48/'PTA-A20'!J19*100,1))</f>
        <v>85.7</v>
      </c>
      <c r="K55" s="76">
        <f>IF('PTA-A20'!K19=0,"    -",ROUND('PTA-A20'!K48/'PTA-A20'!K19*100,1))</f>
        <v>83.8</v>
      </c>
      <c r="L55" s="77">
        <f>IF('PTA-A20'!L19=0,"    -",ROUND('PTA-A20'!L48/'PTA-A20'!L19*100,1))</f>
        <v>82.1</v>
      </c>
      <c r="M55" s="75">
        <f>IF('PTA-A20'!M19=0,"    -",ROUND('PTA-A20'!M48/'PTA-A20'!M19*100,1))</f>
        <v>78.400000000000006</v>
      </c>
      <c r="N55" s="75">
        <f>IF('PTA-A20'!N19=0,"    -",ROUND('PTA-A20'!N48/'PTA-A20'!N19*100,1))</f>
        <v>75.5</v>
      </c>
      <c r="O55" s="75">
        <f>IF('PTA-A20'!O19=0,"    -",ROUND('PTA-A20'!O48/'PTA-A20'!O19*100,1))</f>
        <v>78.3</v>
      </c>
      <c r="P55" s="75">
        <f>IF('PTA-A20'!P19=0,"    -",ROUND('PTA-A20'!P48/'PTA-A20'!P19*100,1))</f>
        <v>79</v>
      </c>
      <c r="Q55" s="78">
        <f>IF('PTA-A20'!Q19=0,"    -",ROUND('PTA-A20'!Q48/'PTA-A20'!Q19*100,1))</f>
        <v>80</v>
      </c>
    </row>
    <row r="56" spans="2:17" ht="17.25" customHeight="1">
      <c r="B56" s="672" t="s">
        <v>308</v>
      </c>
      <c r="C56" s="673"/>
      <c r="D56" s="135" t="str">
        <f>IF('PTA-A20'!D20=0,"    -",ROUND('PTA-A20'!D49/'PTA-A20'!D20*100,1))</f>
        <v xml:space="preserve">    -</v>
      </c>
      <c r="E56" s="136" t="str">
        <f>IF('PTA-A20'!E20=0,"    -",ROUND('PTA-A20'!E49/'PTA-A20'!E20*100,1))</f>
        <v xml:space="preserve">    -</v>
      </c>
      <c r="F56" s="136" t="str">
        <f>IF('PTA-A20'!F20=0,"    -",ROUND('PTA-A20'!F49/'PTA-A20'!F20*100,1))</f>
        <v xml:space="preserve">    -</v>
      </c>
      <c r="G56" s="136" t="str">
        <f>IF('PTA-A20'!G20=0,"    -",ROUND('PTA-A20'!G49/'PTA-A20'!G20*100,1))</f>
        <v xml:space="preserve">    -</v>
      </c>
      <c r="H56" s="136" t="str">
        <f>IF('PTA-A20'!H20=0,"    -",ROUND('PTA-A20'!H49/'PTA-A20'!H20*100,1))</f>
        <v xml:space="preserve">    -</v>
      </c>
      <c r="I56" s="136" t="str">
        <f>IF('PTA-A20'!I20=0,"    -",ROUND('PTA-A20'!I49/'PTA-A20'!I20*100,1))</f>
        <v xml:space="preserve">    -</v>
      </c>
      <c r="J56" s="136" t="str">
        <f>IF('PTA-A20'!J20=0,"    -",ROUND('PTA-A20'!J49/'PTA-A20'!J20*100,1))</f>
        <v xml:space="preserve">    -</v>
      </c>
      <c r="K56" s="137" t="str">
        <f>IF('PTA-A20'!K20=0,"    -",ROUND('PTA-A20'!K49/'PTA-A20'!K20*100,1))</f>
        <v xml:space="preserve">    -</v>
      </c>
      <c r="L56" s="135" t="str">
        <f>IF('PTA-A20'!L20=0,"    -",ROUND('PTA-A20'!L49/'PTA-A20'!L20*100,1))</f>
        <v xml:space="preserve">    -</v>
      </c>
      <c r="M56" s="136" t="str">
        <f>IF('PTA-A20'!M20=0,"    -",ROUND('PTA-A20'!M49/'PTA-A20'!M20*100,1))</f>
        <v xml:space="preserve">    -</v>
      </c>
      <c r="N56" s="136" t="str">
        <f>IF('PTA-A20'!N20=0,"    -",ROUND('PTA-A20'!N49/'PTA-A20'!N20*100,1))</f>
        <v xml:space="preserve">    -</v>
      </c>
      <c r="O56" s="136" t="str">
        <f>IF('PTA-A20'!O20=0,"    -",ROUND('PTA-A20'!O49/'PTA-A20'!O20*100,1))</f>
        <v xml:space="preserve">    -</v>
      </c>
      <c r="P56" s="136" t="str">
        <f>IF('PTA-A20'!P20=0,"    -",ROUND('PTA-A20'!P49/'PTA-A20'!P20*100,1))</f>
        <v xml:space="preserve">    -</v>
      </c>
      <c r="Q56" s="137" t="str">
        <f>IF('PTA-A20'!Q20=0,"    -",ROUND('PTA-A20'!Q49/'PTA-A20'!Q20*100,1))</f>
        <v xml:space="preserve">    -</v>
      </c>
    </row>
    <row r="57" spans="2:17" ht="16.5" customHeight="1">
      <c r="B57" s="105"/>
      <c r="C57" s="97" t="s">
        <v>309</v>
      </c>
      <c r="D57" s="135" t="str">
        <f>IF('PTA-A20'!D21=0,"    -",ROUND('PTA-A20'!D50/'PTA-A20'!D21*100,1))</f>
        <v xml:space="preserve">    -</v>
      </c>
      <c r="E57" s="136" t="str">
        <f>IF('PTA-A20'!E21=0,"    -",ROUND('PTA-A20'!E50/'PTA-A20'!E21*100,1))</f>
        <v xml:space="preserve">    -</v>
      </c>
      <c r="F57" s="136" t="str">
        <f>IF('PTA-A20'!F21=0,"    -",ROUND('PTA-A20'!F50/'PTA-A20'!F21*100,1))</f>
        <v xml:space="preserve">    -</v>
      </c>
      <c r="G57" s="136" t="str">
        <f>IF('PTA-A20'!G21=0,"    -",ROUND('PTA-A20'!G50/'PTA-A20'!G21*100,1))</f>
        <v xml:space="preserve">    -</v>
      </c>
      <c r="H57" s="136" t="str">
        <f>IF('PTA-A20'!H21=0,"    -",ROUND('PTA-A20'!H50/'PTA-A20'!H21*100,1))</f>
        <v xml:space="preserve">    -</v>
      </c>
      <c r="I57" s="136" t="str">
        <f>IF('PTA-A20'!I21=0,"    -",ROUND('PTA-A20'!I50/'PTA-A20'!I21*100,1))</f>
        <v xml:space="preserve">    -</v>
      </c>
      <c r="J57" s="136" t="str">
        <f>IF('PTA-A20'!J21=0,"    -",ROUND('PTA-A20'!J50/'PTA-A20'!J21*100,1))</f>
        <v xml:space="preserve">    -</v>
      </c>
      <c r="K57" s="137" t="str">
        <f>IF('PTA-A20'!K21=0,"    -",ROUND('PTA-A20'!K50/'PTA-A20'!K21*100,1))</f>
        <v xml:space="preserve">    -</v>
      </c>
      <c r="L57" s="135" t="str">
        <f>IF('PTA-A20'!L21=0,"    -",ROUND('PTA-A20'!L50/'PTA-A20'!L21*100,1))</f>
        <v xml:space="preserve">    -</v>
      </c>
      <c r="M57" s="136" t="str">
        <f>IF('PTA-A20'!M21=0,"    -",ROUND('PTA-A20'!M50/'PTA-A20'!M21*100,1))</f>
        <v xml:space="preserve">    -</v>
      </c>
      <c r="N57" s="136" t="str">
        <f>IF('PTA-A20'!N21=0,"    -",ROUND('PTA-A20'!N50/'PTA-A20'!N21*100,1))</f>
        <v xml:space="preserve">    -</v>
      </c>
      <c r="O57" s="136" t="str">
        <f>IF('PTA-A20'!O21=0,"    -",ROUND('PTA-A20'!O50/'PTA-A20'!O21*100,1))</f>
        <v xml:space="preserve">    -</v>
      </c>
      <c r="P57" s="136" t="str">
        <f>IF('PTA-A20'!P21=0,"    -",ROUND('PTA-A20'!P50/'PTA-A20'!P21*100,1))</f>
        <v xml:space="preserve">    -</v>
      </c>
      <c r="Q57" s="137" t="str">
        <f>IF('PTA-A20'!Q21=0,"    -",ROUND('PTA-A20'!Q50/'PTA-A20'!Q21*100,1))</f>
        <v xml:space="preserve">    -</v>
      </c>
    </row>
    <row r="58" spans="2:17" ht="17.25" customHeight="1">
      <c r="B58" s="672" t="s">
        <v>310</v>
      </c>
      <c r="C58" s="673"/>
      <c r="D58" s="57">
        <f>IF('PTA-A20'!D22=0,"    -",ROUND('PTA-A20'!D51/'PTA-A20'!D22*100,1))</f>
        <v>77.400000000000006</v>
      </c>
      <c r="E58" s="58">
        <f>IF('PTA-A20'!E22=0,"    -",ROUND('PTA-A20'!E51/'PTA-A20'!E22*100,1))</f>
        <v>79.8</v>
      </c>
      <c r="F58" s="58">
        <f>IF('PTA-A20'!F22=0,"    -",ROUND('PTA-A20'!F51/'PTA-A20'!F22*100,1))</f>
        <v>69.8</v>
      </c>
      <c r="G58" s="58">
        <f>IF('PTA-A20'!G22=0,"    -",ROUND('PTA-A20'!G51/'PTA-A20'!G22*100,1))</f>
        <v>69.099999999999994</v>
      </c>
      <c r="H58" s="58">
        <f>IF('PTA-A20'!H22=0,"    -",ROUND('PTA-A20'!H51/'PTA-A20'!H22*100,1))</f>
        <v>63.2</v>
      </c>
      <c r="I58" s="58">
        <f>IF('PTA-A20'!I22=0,"    -",ROUND('PTA-A20'!I51/'PTA-A20'!I22*100,1))</f>
        <v>56.7</v>
      </c>
      <c r="J58" s="58">
        <f>IF('PTA-A20'!J22=0,"    -",ROUND('PTA-A20'!J51/'PTA-A20'!J22*100,1))</f>
        <v>58.3</v>
      </c>
      <c r="K58" s="59">
        <f>IF('PTA-A20'!K22=0,"    -",ROUND('PTA-A20'!K51/'PTA-A20'!K22*100,1))</f>
        <v>57.8</v>
      </c>
      <c r="L58" s="57">
        <f>IF('PTA-A20'!L22=0,"    -",ROUND('PTA-A20'!L51/'PTA-A20'!L22*100,1))</f>
        <v>65.2</v>
      </c>
      <c r="M58" s="58">
        <f>IF('PTA-A20'!M22=0,"    -",ROUND('PTA-A20'!M51/'PTA-A20'!M22*100,1))</f>
        <v>82.4</v>
      </c>
      <c r="N58" s="58">
        <f>IF('PTA-A20'!N22=0,"    -",ROUND('PTA-A20'!N51/'PTA-A20'!N22*100,1))</f>
        <v>82.7</v>
      </c>
      <c r="O58" s="58">
        <f>IF('PTA-A20'!O22=0,"    -",ROUND('PTA-A20'!O51/'PTA-A20'!O22*100,1))</f>
        <v>82.8</v>
      </c>
      <c r="P58" s="58">
        <f>IF('PTA-A20'!P22=0,"    -",ROUND('PTA-A20'!P51/'PTA-A20'!P22*100,1))</f>
        <v>81.7</v>
      </c>
      <c r="Q58" s="59">
        <f>IF('PTA-A20'!Q22=0,"    -",ROUND('PTA-A20'!Q51/'PTA-A20'!Q22*100,1))</f>
        <v>82.8</v>
      </c>
    </row>
    <row r="59" spans="2:17" ht="16.5" customHeight="1">
      <c r="B59" s="105"/>
      <c r="C59" s="615" t="s">
        <v>311</v>
      </c>
      <c r="D59" s="74">
        <f>IF('PTA-A20'!D23=0,"    -",ROUND('PTA-A20'!D52/'PTA-A20'!D23*100,1))</f>
        <v>77.400000000000006</v>
      </c>
      <c r="E59" s="75">
        <f>IF('PTA-A20'!E23=0,"    -",ROUND('PTA-A20'!E52/'PTA-A20'!E23*100,1))</f>
        <v>80.400000000000006</v>
      </c>
      <c r="F59" s="75">
        <f>IF('PTA-A20'!F23=0,"    -",ROUND('PTA-A20'!F52/'PTA-A20'!F23*100,1))</f>
        <v>68.400000000000006</v>
      </c>
      <c r="G59" s="75">
        <f>IF('PTA-A20'!G23=0,"    -",ROUND('PTA-A20'!G52/'PTA-A20'!G23*100,1))</f>
        <v>65.2</v>
      </c>
      <c r="H59" s="75">
        <f>IF('PTA-A20'!H23=0,"    -",ROUND('PTA-A20'!H52/'PTA-A20'!H23*100,1))</f>
        <v>57.2</v>
      </c>
      <c r="I59" s="75">
        <f>IF('PTA-A20'!I23=0,"    -",ROUND('PTA-A20'!I52/'PTA-A20'!I23*100,1))</f>
        <v>49.3</v>
      </c>
      <c r="J59" s="75">
        <f>IF('PTA-A20'!J23=0,"    -",ROUND('PTA-A20'!J52/'PTA-A20'!J23*100,1))</f>
        <v>52.6</v>
      </c>
      <c r="K59" s="76">
        <f>IF('PTA-A20'!K23=0,"    -",ROUND('PTA-A20'!K52/'PTA-A20'!K23*100,1))</f>
        <v>54.4</v>
      </c>
      <c r="L59" s="74">
        <f>IF('PTA-A20'!L23=0,"    -",ROUND('PTA-A20'!L52/'PTA-A20'!L23*100,1))</f>
        <v>63.3</v>
      </c>
      <c r="M59" s="75">
        <f>IF('PTA-A20'!M23=0,"    -",ROUND('PTA-A20'!M52/'PTA-A20'!M23*100,1))</f>
        <v>80.900000000000006</v>
      </c>
      <c r="N59" s="75">
        <f>IF('PTA-A20'!N23=0,"    -",ROUND('PTA-A20'!N52/'PTA-A20'!N23*100,1))</f>
        <v>81.3</v>
      </c>
      <c r="O59" s="75">
        <f>IF('PTA-A20'!O23=0,"    -",ROUND('PTA-A20'!O52/'PTA-A20'!O23*100,1))</f>
        <v>81.5</v>
      </c>
      <c r="P59" s="75">
        <f>IF('PTA-A20'!P23=0,"    -",ROUND('PTA-A20'!P52/'PTA-A20'!P23*100,1))</f>
        <v>79.8</v>
      </c>
      <c r="Q59" s="76">
        <f>IF('PTA-A20'!Q23=0,"    -",ROUND('PTA-A20'!Q52/'PTA-A20'!Q23*100,1))</f>
        <v>80.3</v>
      </c>
    </row>
    <row r="60" spans="2:17" ht="17.25" customHeight="1">
      <c r="B60" s="672" t="s">
        <v>312</v>
      </c>
      <c r="C60" s="673"/>
      <c r="D60" s="57">
        <f>IF('PTA-A20'!D24=0,"    -",ROUND('PTA-A20'!D53/'PTA-A20'!D24*100,1))</f>
        <v>63.3</v>
      </c>
      <c r="E60" s="58">
        <f>IF('PTA-A20'!E24=0,"    -",ROUND('PTA-A20'!E53/'PTA-A20'!E24*100,1))</f>
        <v>57.1</v>
      </c>
      <c r="F60" s="58">
        <f>IF('PTA-A20'!F24=0,"    -",ROUND('PTA-A20'!F53/'PTA-A20'!F24*100,1))</f>
        <v>52.9</v>
      </c>
      <c r="G60" s="58">
        <f>IF('PTA-A20'!G24=0,"    -",ROUND('PTA-A20'!G53/'PTA-A20'!G24*100,1))</f>
        <v>31.4</v>
      </c>
      <c r="H60" s="58">
        <f>IF('PTA-A20'!H24=0,"    -",ROUND('PTA-A20'!H53/'PTA-A20'!H24*100,1))</f>
        <v>34.700000000000003</v>
      </c>
      <c r="I60" s="58">
        <f>IF('PTA-A20'!I24=0,"    -",ROUND('PTA-A20'!I53/'PTA-A20'!I24*100,1))</f>
        <v>33.4</v>
      </c>
      <c r="J60" s="58">
        <f>IF('PTA-A20'!J24=0,"    -",ROUND('PTA-A20'!J53/'PTA-A20'!J24*100,1))</f>
        <v>36.4</v>
      </c>
      <c r="K60" s="59">
        <f>IF('PTA-A20'!K24=0,"    -",ROUND('PTA-A20'!K53/'PTA-A20'!K24*100,1))</f>
        <v>56</v>
      </c>
      <c r="L60" s="57">
        <f>IF('PTA-A20'!L24=0,"    -",ROUND('PTA-A20'!L53/'PTA-A20'!L24*100,1))</f>
        <v>56.4</v>
      </c>
      <c r="M60" s="58">
        <f>IF('PTA-A20'!M24=0,"    -",ROUND('PTA-A20'!M53/'PTA-A20'!M24*100,1))</f>
        <v>59.4</v>
      </c>
      <c r="N60" s="58">
        <f>IF('PTA-A20'!N24=0,"    -",ROUND('PTA-A20'!N53/'PTA-A20'!N24*100,1))</f>
        <v>61.9</v>
      </c>
      <c r="O60" s="58">
        <f>IF('PTA-A20'!O24=0,"    -",ROUND('PTA-A20'!O53/'PTA-A20'!O24*100,1))</f>
        <v>59.6</v>
      </c>
      <c r="P60" s="58">
        <f>IF('PTA-A20'!P24=0,"    -",ROUND('PTA-A20'!P53/'PTA-A20'!P24*100,1))</f>
        <v>65.2</v>
      </c>
      <c r="Q60" s="59">
        <f>IF('PTA-A20'!Q24=0,"    -",ROUND('PTA-A20'!Q53/'PTA-A20'!Q24*100,1))</f>
        <v>65.2</v>
      </c>
    </row>
    <row r="61" spans="2:17" ht="16.5" customHeight="1">
      <c r="B61" s="16"/>
      <c r="C61" s="615" t="s">
        <v>313</v>
      </c>
      <c r="D61" s="74" t="str">
        <f>IF('PTA-A20'!D25=0,"    -",ROUND('PTA-A20'!D54/'PTA-A20'!D25*100,1))</f>
        <v xml:space="preserve">    -</v>
      </c>
      <c r="E61" s="75">
        <f>IF('PTA-A20'!E25=0,"    -",ROUND('PTA-A20'!E54/'PTA-A20'!E25*100,1))</f>
        <v>80</v>
      </c>
      <c r="F61" s="75">
        <f>IF('PTA-A20'!F25=0,"    -",ROUND('PTA-A20'!F54/'PTA-A20'!F25*100,1))</f>
        <v>50.1</v>
      </c>
      <c r="G61" s="75">
        <f>IF('PTA-A20'!G25=0,"    -",ROUND('PTA-A20'!G54/'PTA-A20'!G25*100,1))</f>
        <v>12.8</v>
      </c>
      <c r="H61" s="75">
        <f>IF('PTA-A20'!H25=0,"    -",ROUND('PTA-A20'!H54/'PTA-A20'!H25*100,1))</f>
        <v>16.5</v>
      </c>
      <c r="I61" s="75">
        <f>IF('PTA-A20'!I25=0,"    -",ROUND('PTA-A20'!I54/'PTA-A20'!I25*100,1))</f>
        <v>10.9</v>
      </c>
      <c r="J61" s="75">
        <f>IF('PTA-A20'!J25=0,"    -",ROUND('PTA-A20'!J54/'PTA-A20'!J25*100,1))</f>
        <v>6.6</v>
      </c>
      <c r="K61" s="76">
        <f>IF('PTA-A20'!K25=0,"    -",ROUND('PTA-A20'!K54/'PTA-A20'!K25*100,1))</f>
        <v>46</v>
      </c>
      <c r="L61" s="74">
        <f>IF('PTA-A20'!L25=0,"    -",ROUND('PTA-A20'!L54/'PTA-A20'!L25*100,1))</f>
        <v>44.3</v>
      </c>
      <c r="M61" s="75">
        <f>IF('PTA-A20'!M25=0,"    -",ROUND('PTA-A20'!M54/'PTA-A20'!M25*100,1))</f>
        <v>45.5</v>
      </c>
      <c r="N61" s="75">
        <f>IF('PTA-A20'!N25=0,"    -",ROUND('PTA-A20'!N54/'PTA-A20'!N25*100,1))</f>
        <v>44.9</v>
      </c>
      <c r="O61" s="75">
        <f>IF('PTA-A20'!O25=0,"    -",ROUND('PTA-A20'!O54/'PTA-A20'!O25*100,1))</f>
        <v>44.6</v>
      </c>
      <c r="P61" s="75">
        <f>IF('PTA-A20'!P25=0,"    -",ROUND('PTA-A20'!P54/'PTA-A20'!P25*100,1))</f>
        <v>44.6</v>
      </c>
      <c r="Q61" s="76">
        <f>IF('PTA-A20'!Q25=0,"    -",ROUND('PTA-A20'!Q54/'PTA-A20'!Q25*100,1))</f>
        <v>44.6</v>
      </c>
    </row>
    <row r="62" spans="2:17" ht="17.25" customHeight="1">
      <c r="B62" s="674" t="s">
        <v>314</v>
      </c>
      <c r="C62" s="675"/>
      <c r="D62" s="57" t="str">
        <f>IF('PTA-A20'!D26=0,"    -",ROUND('PTA-A20'!D55/'PTA-A20'!D26*100,1))</f>
        <v xml:space="preserve">    -</v>
      </c>
      <c r="E62" s="58" t="str">
        <f>IF('PTA-A20'!E26=0,"    -",ROUND('PTA-A20'!E55/'PTA-A20'!E26*100,1))</f>
        <v xml:space="preserve">    -</v>
      </c>
      <c r="F62" s="58" t="str">
        <f>IF('PTA-A20'!F26=0,"    -",ROUND('PTA-A20'!F55/'PTA-A20'!F26*100,1))</f>
        <v xml:space="preserve">    -</v>
      </c>
      <c r="G62" s="58" t="str">
        <f>IF('PTA-A20'!G26=0,"    -",ROUND('PTA-A20'!G55/'PTA-A20'!G26*100,1))</f>
        <v xml:space="preserve">    -</v>
      </c>
      <c r="H62" s="58" t="str">
        <f>IF('PTA-A20'!H26=0,"    -",ROUND('PTA-A20'!H55/'PTA-A20'!H26*100,1))</f>
        <v xml:space="preserve">    -</v>
      </c>
      <c r="I62" s="58" t="str">
        <f>IF('PTA-A20'!I26=0,"    -",ROUND('PTA-A20'!I55/'PTA-A20'!I26*100,1))</f>
        <v xml:space="preserve">    -</v>
      </c>
      <c r="J62" s="58" t="str">
        <f>IF('PTA-A20'!J26=0,"    -",ROUND('PTA-A20'!J55/'PTA-A20'!J26*100,1))</f>
        <v xml:space="preserve">    -</v>
      </c>
      <c r="K62" s="59" t="str">
        <f>IF('PTA-A20'!K26=0,"    -",ROUND('PTA-A20'!K55/'PTA-A20'!K26*100,1))</f>
        <v xml:space="preserve">    -</v>
      </c>
      <c r="L62" s="57" t="str">
        <f>IF('PTA-A20'!L26=0,"    -",ROUND('PTA-A20'!L55/'PTA-A20'!L26*100,1))</f>
        <v xml:space="preserve">    -</v>
      </c>
      <c r="M62" s="58" t="str">
        <f>IF('PTA-A20'!M26=0,"    -",ROUND('PTA-A20'!M55/'PTA-A20'!M26*100,1))</f>
        <v xml:space="preserve">    -</v>
      </c>
      <c r="N62" s="58" t="str">
        <f>IF('PTA-A20'!N26=0,"    -",ROUND('PTA-A20'!N55/'PTA-A20'!N26*100,1))</f>
        <v xml:space="preserve">    -</v>
      </c>
      <c r="O62" s="58" t="str">
        <f>IF('PTA-A20'!O26=0,"    -",ROUND('PTA-A20'!O55/'PTA-A20'!O26*100,1))</f>
        <v xml:space="preserve">    -</v>
      </c>
      <c r="P62" s="58" t="str">
        <f>IF('PTA-A20'!P26=0,"    -",ROUND('PTA-A20'!P55/'PTA-A20'!P26*100,1))</f>
        <v xml:space="preserve">    -</v>
      </c>
      <c r="Q62" s="59" t="str">
        <f>IF('PTA-A20'!Q26=0,"    -",ROUND('PTA-A20'!Q55/'PTA-A20'!Q26*100,1))</f>
        <v xml:space="preserve">    -</v>
      </c>
    </row>
    <row r="63" spans="2:17" ht="17.25" customHeight="1">
      <c r="B63" s="674" t="s">
        <v>315</v>
      </c>
      <c r="C63" s="675"/>
      <c r="D63" s="74">
        <f>IF('PTA-A20'!D27=0,"    -",ROUND('PTA-A20'!D56/'PTA-A20'!D27*100,1))</f>
        <v>100</v>
      </c>
      <c r="E63" s="75">
        <f>IF('PTA-A20'!E27=0,"    -",ROUND('PTA-A20'!E56/'PTA-A20'!E27*100,1))</f>
        <v>99.2</v>
      </c>
      <c r="F63" s="75">
        <f>IF('PTA-A20'!F27=0,"    -",ROUND('PTA-A20'!F56/'PTA-A20'!F27*100,1))</f>
        <v>105</v>
      </c>
      <c r="G63" s="75">
        <f>IF('PTA-A20'!G27=0,"    -",ROUND('PTA-A20'!G56/'PTA-A20'!G27*100,1))</f>
        <v>103.9</v>
      </c>
      <c r="H63" s="75">
        <f>IF('PTA-A20'!H27=0,"    -",ROUND('PTA-A20'!H56/'PTA-A20'!H27*100,1))</f>
        <v>100.8</v>
      </c>
      <c r="I63" s="75">
        <f>IF('PTA-A20'!I27=0,"    -",ROUND('PTA-A20'!I56/'PTA-A20'!I27*100,1))</f>
        <v>106</v>
      </c>
      <c r="J63" s="75">
        <f>IF('PTA-A20'!J27=0,"    -",ROUND('PTA-A20'!J56/'PTA-A20'!J27*100,1))</f>
        <v>101.2</v>
      </c>
      <c r="K63" s="76">
        <f>IF('PTA-A20'!K27=0,"    -",ROUND('PTA-A20'!K56/'PTA-A20'!K27*100,1))</f>
        <v>100</v>
      </c>
      <c r="L63" s="77">
        <f>IF('PTA-A20'!L27=0,"    -",ROUND('PTA-A20'!L56/'PTA-A20'!L27*100,1))</f>
        <v>100</v>
      </c>
      <c r="M63" s="75">
        <f>IF('PTA-A20'!M27=0,"    -",ROUND('PTA-A20'!M56/'PTA-A20'!M27*100,1))</f>
        <v>74.5</v>
      </c>
      <c r="N63" s="75">
        <f>IF('PTA-A20'!N27=0,"    -",ROUND('PTA-A20'!N56/'PTA-A20'!N27*100,1))</f>
        <v>81.900000000000006</v>
      </c>
      <c r="O63" s="75">
        <f>IF('PTA-A20'!O27=0,"    -",ROUND('PTA-A20'!O56/'PTA-A20'!O27*100,1))</f>
        <v>85.1</v>
      </c>
      <c r="P63" s="75">
        <f>IF('PTA-A20'!P27=0,"    -",ROUND('PTA-A20'!P56/'PTA-A20'!P27*100,1))</f>
        <v>87.2</v>
      </c>
      <c r="Q63" s="78">
        <f>IF('PTA-A20'!Q27=0,"    -",ROUND('PTA-A20'!Q56/'PTA-A20'!Q27*100,1))</f>
        <v>88.3</v>
      </c>
    </row>
    <row r="64" spans="2:17" ht="16.5" customHeight="1">
      <c r="B64" s="672" t="s">
        <v>316</v>
      </c>
      <c r="C64" s="673"/>
      <c r="D64" s="57">
        <f>IF('PTA-A20'!D28=0,"    -",ROUND('PTA-A20'!D57/'PTA-A20'!D28*100,1))</f>
        <v>71.3</v>
      </c>
      <c r="E64" s="58">
        <f>IF('PTA-A20'!E28=0,"    -",ROUND('PTA-A20'!E57/'PTA-A20'!E28*100,1))</f>
        <v>71.900000000000006</v>
      </c>
      <c r="F64" s="58">
        <f>IF('PTA-A20'!F28=0,"    -",ROUND('PTA-A20'!F57/'PTA-A20'!F28*100,1))</f>
        <v>88.1</v>
      </c>
      <c r="G64" s="58">
        <f>IF('PTA-A20'!G28=0,"    -",ROUND('PTA-A20'!G57/'PTA-A20'!G28*100,1))</f>
        <v>88.1</v>
      </c>
      <c r="H64" s="58">
        <f>IF('PTA-A20'!H28=0,"    -",ROUND('PTA-A20'!H57/'PTA-A20'!H28*100,1))</f>
        <v>91</v>
      </c>
      <c r="I64" s="58">
        <f>IF('PTA-A20'!I28=0,"    -",ROUND('PTA-A20'!I57/'PTA-A20'!I28*100,1))</f>
        <v>90</v>
      </c>
      <c r="J64" s="58">
        <f>IF('PTA-A20'!J28=0,"    -",ROUND('PTA-A20'!J57/'PTA-A20'!J28*100,1))</f>
        <v>90</v>
      </c>
      <c r="K64" s="59">
        <f>IF('PTA-A20'!K28=0,"    -",ROUND('PTA-A20'!K57/'PTA-A20'!K28*100,1))</f>
        <v>90</v>
      </c>
      <c r="L64" s="60">
        <f>IF('PTA-A20'!L28=0,"    -",ROUND('PTA-A20'!L57/'PTA-A20'!L28*100,1))</f>
        <v>90</v>
      </c>
      <c r="M64" s="58">
        <f>IF('PTA-A20'!M28=0,"    -",ROUND('PTA-A20'!M57/'PTA-A20'!M28*100,1))</f>
        <v>90</v>
      </c>
      <c r="N64" s="58">
        <f>IF('PTA-A20'!N28=0,"    -",ROUND('PTA-A20'!N57/'PTA-A20'!N28*100,1))</f>
        <v>90</v>
      </c>
      <c r="O64" s="58">
        <f>IF('PTA-A20'!O28=0,"    -",ROUND('PTA-A20'!O57/'PTA-A20'!O28*100,1))</f>
        <v>90</v>
      </c>
      <c r="P64" s="58">
        <f>IF('PTA-A20'!P28=0,"    -",ROUND('PTA-A20'!P57/'PTA-A20'!P28*100,1))</f>
        <v>90</v>
      </c>
      <c r="Q64" s="61">
        <f>IF('PTA-A20'!Q28=0,"    -",ROUND('PTA-A20'!Q57/'PTA-A20'!Q28*100,1))</f>
        <v>90.2</v>
      </c>
    </row>
    <row r="65" spans="2:17" ht="16.5" customHeight="1">
      <c r="B65" s="670" t="s">
        <v>317</v>
      </c>
      <c r="C65" s="671"/>
      <c r="D65" s="57">
        <f>IF('PTA-A20'!D29=0,"    -",ROUND('PTA-A20'!D58/'PTA-A20'!D29*100,1))</f>
        <v>85</v>
      </c>
      <c r="E65" s="58">
        <f>IF('PTA-A20'!E29=0,"    -",ROUND('PTA-A20'!E58/'PTA-A20'!E29*100,1))</f>
        <v>85</v>
      </c>
      <c r="F65" s="58">
        <f>IF('PTA-A20'!F29=0,"    -",ROUND('PTA-A20'!F58/'PTA-A20'!F29*100,1))</f>
        <v>85</v>
      </c>
      <c r="G65" s="58">
        <f>IF('PTA-A20'!G29=0,"    -",ROUND('PTA-A20'!G58/'PTA-A20'!G29*100,1))</f>
        <v>85</v>
      </c>
      <c r="H65" s="58">
        <f>IF('PTA-A20'!H29=0,"    -",ROUND('PTA-A20'!H58/'PTA-A20'!H29*100,1))</f>
        <v>85</v>
      </c>
      <c r="I65" s="58">
        <f>IF('PTA-A20'!I29=0,"    -",ROUND('PTA-A20'!I58/'PTA-A20'!I29*100,1))</f>
        <v>85</v>
      </c>
      <c r="J65" s="58">
        <f>IF('PTA-A20'!J29=0,"    -",ROUND('PTA-A20'!J58/'PTA-A20'!J29*100,1))</f>
        <v>85.1</v>
      </c>
      <c r="K65" s="59">
        <f>IF('PTA-A20'!K29=0,"    -",ROUND('PTA-A20'!K58/'PTA-A20'!K29*100,1))</f>
        <v>85</v>
      </c>
      <c r="L65" s="60">
        <f>IF('PTA-A20'!L29=0,"    -",ROUND('PTA-A20'!L58/'PTA-A20'!L29*100,1))</f>
        <v>85</v>
      </c>
      <c r="M65" s="58">
        <f>IF('PTA-A20'!M29=0,"    -",ROUND('PTA-A20'!M58/'PTA-A20'!M29*100,1))</f>
        <v>85</v>
      </c>
      <c r="N65" s="58">
        <f>IF('PTA-A20'!N29=0,"    -",ROUND('PTA-A20'!N58/'PTA-A20'!N29*100,1))</f>
        <v>85</v>
      </c>
      <c r="O65" s="58">
        <f>IF('PTA-A20'!O29=0,"    -",ROUND('PTA-A20'!O58/'PTA-A20'!O29*100,1))</f>
        <v>85</v>
      </c>
      <c r="P65" s="58">
        <f>IF('PTA-A20'!P29=0,"    -",ROUND('PTA-A20'!P58/'PTA-A20'!P29*100,1))</f>
        <v>85</v>
      </c>
      <c r="Q65" s="61">
        <f>IF('PTA-A20'!Q29=0,"    -",ROUND('PTA-A20'!Q58/'PTA-A20'!Q29*100,1))</f>
        <v>85.1</v>
      </c>
    </row>
    <row r="66" spans="2:17" ht="17.25" customHeight="1">
      <c r="B66" s="674" t="s">
        <v>318</v>
      </c>
      <c r="C66" s="675"/>
      <c r="D66" s="74">
        <f>IF('PTA-A20'!D30=0,"    -",ROUND('PTA-A20'!D59/'PTA-A20'!D30*100,1))</f>
        <v>73.2</v>
      </c>
      <c r="E66" s="75">
        <f>IF('PTA-A20'!E30=0,"    -",ROUND('PTA-A20'!E59/'PTA-A20'!E30*100,1))</f>
        <v>73.7</v>
      </c>
      <c r="F66" s="75">
        <f>IF('PTA-A20'!F30=0,"    -",ROUND('PTA-A20'!F59/'PTA-A20'!F30*100,1))</f>
        <v>87.6</v>
      </c>
      <c r="G66" s="75">
        <f>IF('PTA-A20'!G30=0,"    -",ROUND('PTA-A20'!G59/'PTA-A20'!G30*100,1))</f>
        <v>87.6</v>
      </c>
      <c r="H66" s="75">
        <f>IF('PTA-A20'!H30=0,"    -",ROUND('PTA-A20'!H59/'PTA-A20'!H30*100,1))</f>
        <v>90.1</v>
      </c>
      <c r="I66" s="75">
        <f>IF('PTA-A20'!I30=0,"    -",ROUND('PTA-A20'!I59/'PTA-A20'!I30*100,1))</f>
        <v>89.2</v>
      </c>
      <c r="J66" s="75">
        <f>IF('PTA-A20'!J30=0,"    -",ROUND('PTA-A20'!J59/'PTA-A20'!J30*100,1))</f>
        <v>89.2</v>
      </c>
      <c r="K66" s="76">
        <f>IF('PTA-A20'!K30=0,"    -",ROUND('PTA-A20'!K59/'PTA-A20'!K30*100,1))</f>
        <v>89.2</v>
      </c>
      <c r="L66" s="77">
        <f>IF('PTA-A20'!L30=0,"    -",ROUND('PTA-A20'!L59/'PTA-A20'!L30*100,1))</f>
        <v>89.4</v>
      </c>
      <c r="M66" s="75">
        <f>IF('PTA-A20'!M30=0,"    -",ROUND('PTA-A20'!M59/'PTA-A20'!M30*100,1))</f>
        <v>89.4</v>
      </c>
      <c r="N66" s="75">
        <f>IF('PTA-A20'!N30=0,"    -",ROUND('PTA-A20'!N59/'PTA-A20'!N30*100,1))</f>
        <v>89.4</v>
      </c>
      <c r="O66" s="75">
        <f>IF('PTA-A20'!O30=0,"    -",ROUND('PTA-A20'!O59/'PTA-A20'!O30*100,1))</f>
        <v>89.4</v>
      </c>
      <c r="P66" s="75">
        <f>IF('PTA-A20'!P30=0,"    -",ROUND('PTA-A20'!P59/'PTA-A20'!P30*100,1))</f>
        <v>89.4</v>
      </c>
      <c r="Q66" s="78">
        <f>IF('PTA-A20'!Q30=0,"    -",ROUND('PTA-A20'!Q59/'PTA-A20'!Q30*100,1))</f>
        <v>89.6</v>
      </c>
    </row>
    <row r="67" spans="2:17" ht="16.5" customHeight="1">
      <c r="B67" s="672" t="s">
        <v>319</v>
      </c>
      <c r="C67" s="673"/>
      <c r="D67" s="57">
        <f>IF('PTA-A20'!D31=0,"    -",ROUND('PTA-A20'!D60/'PTA-A20'!D31*100,1))</f>
        <v>85</v>
      </c>
      <c r="E67" s="58">
        <f>IF('PTA-A20'!E31=0,"    -",ROUND('PTA-A20'!E60/'PTA-A20'!E31*100,1))</f>
        <v>82.4</v>
      </c>
      <c r="F67" s="58">
        <f>IF('PTA-A20'!F31=0,"    -",ROUND('PTA-A20'!F60/'PTA-A20'!F31*100,1))</f>
        <v>90.2</v>
      </c>
      <c r="G67" s="58">
        <f>IF('PTA-A20'!G31=0,"    -",ROUND('PTA-A20'!G60/'PTA-A20'!G31*100,1))</f>
        <v>90.2</v>
      </c>
      <c r="H67" s="58">
        <f>IF('PTA-A20'!H31=0,"    -",ROUND('PTA-A20'!H60/'PTA-A20'!H31*100,1))</f>
        <v>90.2</v>
      </c>
      <c r="I67" s="58">
        <f>IF('PTA-A20'!I31=0,"    -",ROUND('PTA-A20'!I60/'PTA-A20'!I31*100,1))</f>
        <v>90.2</v>
      </c>
      <c r="J67" s="58">
        <f>IF('PTA-A20'!J31=0,"    -",ROUND('PTA-A20'!J60/'PTA-A20'!J31*100,1))</f>
        <v>90.2</v>
      </c>
      <c r="K67" s="59">
        <f>IF('PTA-A20'!K31=0,"    -",ROUND('PTA-A20'!K60/'PTA-A20'!K31*100,1))</f>
        <v>90.2</v>
      </c>
      <c r="L67" s="60">
        <f>IF('PTA-A20'!L31=0,"    -",ROUND('PTA-A20'!L60/'PTA-A20'!L31*100,1))</f>
        <v>90.2</v>
      </c>
      <c r="M67" s="58">
        <f>IF('PTA-A20'!M31=0,"    -",ROUND('PTA-A20'!M60/'PTA-A20'!M31*100,1))</f>
        <v>90.2</v>
      </c>
      <c r="N67" s="58">
        <f>IF('PTA-A20'!N31=0,"    -",ROUND('PTA-A20'!N60/'PTA-A20'!N31*100,1))</f>
        <v>90.2</v>
      </c>
      <c r="O67" s="58">
        <f>IF('PTA-A20'!O31=0,"    -",ROUND('PTA-A20'!O60/'PTA-A20'!O31*100,1))</f>
        <v>90.2</v>
      </c>
      <c r="P67" s="58">
        <f>IF('PTA-A20'!P31=0,"    -",ROUND('PTA-A20'!P60/'PTA-A20'!P31*100,1))</f>
        <v>90.2</v>
      </c>
      <c r="Q67" s="61">
        <f>IF('PTA-A20'!Q31=0,"    -",ROUND('PTA-A20'!Q60/'PTA-A20'!Q31*100,1))</f>
        <v>90.2</v>
      </c>
    </row>
    <row r="68" spans="2:17" ht="16.5" customHeight="1">
      <c r="B68" s="668" t="s">
        <v>320</v>
      </c>
      <c r="C68" s="669"/>
      <c r="D68" s="57">
        <f>IF('PTA-A20'!D32=0,"    -",ROUND('PTA-A20'!D61/'PTA-A20'!D32*100,1))</f>
        <v>85</v>
      </c>
      <c r="E68" s="58">
        <f>IF('PTA-A20'!E32=0,"    -",ROUND('PTA-A20'!E61/'PTA-A20'!E32*100,1))</f>
        <v>85</v>
      </c>
      <c r="F68" s="58">
        <f>IF('PTA-A20'!F32=0,"    -",ROUND('PTA-A20'!F61/'PTA-A20'!F32*100,1))</f>
        <v>85</v>
      </c>
      <c r="G68" s="58">
        <f>IF('PTA-A20'!G32=0,"    -",ROUND('PTA-A20'!G61/'PTA-A20'!G32*100,1))</f>
        <v>85</v>
      </c>
      <c r="H68" s="58">
        <f>IF('PTA-A20'!H32=0,"    -",ROUND('PTA-A20'!H61/'PTA-A20'!H32*100,1))</f>
        <v>85</v>
      </c>
      <c r="I68" s="58">
        <f>IF('PTA-A20'!I32=0,"    -",ROUND('PTA-A20'!I61/'PTA-A20'!I32*100,1))</f>
        <v>85</v>
      </c>
      <c r="J68" s="58">
        <f>IF('PTA-A20'!J32=0,"    -",ROUND('PTA-A20'!J61/'PTA-A20'!J32*100,1))</f>
        <v>85</v>
      </c>
      <c r="K68" s="59">
        <f>IF('PTA-A20'!K32=0,"    -",ROUND('PTA-A20'!K61/'PTA-A20'!K32*100,1))</f>
        <v>85</v>
      </c>
      <c r="L68" s="60">
        <f>IF('PTA-A20'!L32=0,"    -",ROUND('PTA-A20'!L61/'PTA-A20'!L32*100,1))</f>
        <v>85</v>
      </c>
      <c r="M68" s="58">
        <f>IF('PTA-A20'!M32=0,"    -",ROUND('PTA-A20'!M61/'PTA-A20'!M32*100,1))</f>
        <v>85</v>
      </c>
      <c r="N68" s="58">
        <f>IF('PTA-A20'!N32=0,"    -",ROUND('PTA-A20'!N61/'PTA-A20'!N32*100,1))</f>
        <v>85</v>
      </c>
      <c r="O68" s="58">
        <f>IF('PTA-A20'!O32=0,"    -",ROUND('PTA-A20'!O61/'PTA-A20'!O32*100,1))</f>
        <v>85</v>
      </c>
      <c r="P68" s="58">
        <f>IF('PTA-A20'!P32=0,"    -",ROUND('PTA-A20'!P61/'PTA-A20'!P32*100,1))</f>
        <v>85</v>
      </c>
      <c r="Q68" s="61">
        <f>IF('PTA-A20'!Q32=0,"    -",ROUND('PTA-A20'!Q61/'PTA-A20'!Q32*100,1))</f>
        <v>85</v>
      </c>
    </row>
    <row r="69" spans="2:17" ht="16.5" customHeight="1">
      <c r="B69" s="670" t="s">
        <v>321</v>
      </c>
      <c r="C69" s="671"/>
      <c r="D69" s="57" t="str">
        <f>IF('PTA-A20'!D33=0,"    -",ROUND('PTA-A20'!D62/'PTA-A20'!D33*100,1))</f>
        <v xml:space="preserve">    -</v>
      </c>
      <c r="E69" s="58" t="str">
        <f>IF('PTA-A20'!E33=0,"    -",ROUND('PTA-A20'!E62/'PTA-A20'!E33*100,1))</f>
        <v xml:space="preserve">    -</v>
      </c>
      <c r="F69" s="58" t="str">
        <f>IF('PTA-A20'!F33=0,"    -",ROUND('PTA-A20'!F62/'PTA-A20'!F33*100,1))</f>
        <v xml:space="preserve">    -</v>
      </c>
      <c r="G69" s="58" t="str">
        <f>IF('PTA-A20'!G33=0,"    -",ROUND('PTA-A20'!G62/'PTA-A20'!G33*100,1))</f>
        <v xml:space="preserve">    -</v>
      </c>
      <c r="H69" s="58" t="str">
        <f>IF('PTA-A20'!H33=0,"    -",ROUND('PTA-A20'!H62/'PTA-A20'!H33*100,1))</f>
        <v xml:space="preserve">    -</v>
      </c>
      <c r="I69" s="58" t="str">
        <f>IF('PTA-A20'!I33=0,"    -",ROUND('PTA-A20'!I62/'PTA-A20'!I33*100,1))</f>
        <v xml:space="preserve">    -</v>
      </c>
      <c r="J69" s="58" t="str">
        <f>IF('PTA-A20'!J33=0,"    -",ROUND('PTA-A20'!J62/'PTA-A20'!J33*100,1))</f>
        <v xml:space="preserve">    -</v>
      </c>
      <c r="K69" s="59" t="str">
        <f>IF('PTA-A20'!K33=0,"    -",ROUND('PTA-A20'!K62/'PTA-A20'!K33*100,1))</f>
        <v xml:space="preserve">    -</v>
      </c>
      <c r="L69" s="60" t="str">
        <f>IF('PTA-A20'!L33=0,"    -",ROUND('PTA-A20'!L62/'PTA-A20'!L33*100,1))</f>
        <v xml:space="preserve">    -</v>
      </c>
      <c r="M69" s="58" t="str">
        <f>IF('PTA-A20'!M33=0,"    -",ROUND('PTA-A20'!M62/'PTA-A20'!M33*100,1))</f>
        <v xml:space="preserve">    -</v>
      </c>
      <c r="N69" s="58" t="str">
        <f>IF('PTA-A20'!N33=0,"    -",ROUND('PTA-A20'!N62/'PTA-A20'!N33*100,1))</f>
        <v xml:space="preserve">    -</v>
      </c>
      <c r="O69" s="58" t="str">
        <f>IF('PTA-A20'!O33=0,"    -",ROUND('PTA-A20'!O62/'PTA-A20'!O33*100,1))</f>
        <v xml:space="preserve">    -</v>
      </c>
      <c r="P69" s="58" t="str">
        <f>IF('PTA-A20'!P33=0,"    -",ROUND('PTA-A20'!P62/'PTA-A20'!P33*100,1))</f>
        <v xml:space="preserve">    -</v>
      </c>
      <c r="Q69" s="61" t="str">
        <f>IF('PTA-A20'!Q33=0,"    -",ROUND('PTA-A20'!Q62/'PTA-A20'!Q33*100,1))</f>
        <v xml:space="preserve">    -</v>
      </c>
    </row>
    <row r="70" spans="2:17" ht="17.25" customHeight="1" thickBot="1">
      <c r="B70" s="678" t="s">
        <v>322</v>
      </c>
      <c r="C70" s="679"/>
      <c r="D70" s="111">
        <f>IF('PTA-A20'!D34=0,"    -",ROUND('PTA-A20'!D63/'PTA-A20'!D34*100,1))</f>
        <v>85</v>
      </c>
      <c r="E70" s="112">
        <f>IF('PTA-A20'!E34=0,"    -",ROUND('PTA-A20'!E63/'PTA-A20'!E34*100,1))</f>
        <v>83.2</v>
      </c>
      <c r="F70" s="112">
        <f>IF('PTA-A20'!F34=0,"    -",ROUND('PTA-A20'!F63/'PTA-A20'!F34*100,1))</f>
        <v>88.6</v>
      </c>
      <c r="G70" s="112">
        <f>IF('PTA-A20'!G34=0,"    -",ROUND('PTA-A20'!G63/'PTA-A20'!G34*100,1))</f>
        <v>88.6</v>
      </c>
      <c r="H70" s="112">
        <f>IF('PTA-A20'!H34=0,"    -",ROUND('PTA-A20'!H63/'PTA-A20'!H34*100,1))</f>
        <v>88.6</v>
      </c>
      <c r="I70" s="112">
        <f>IF('PTA-A20'!I34=0,"    -",ROUND('PTA-A20'!I63/'PTA-A20'!I34*100,1))</f>
        <v>88.6</v>
      </c>
      <c r="J70" s="112">
        <f>IF('PTA-A20'!J34=0,"    -",ROUND('PTA-A20'!J63/'PTA-A20'!J34*100,1))</f>
        <v>88.6</v>
      </c>
      <c r="K70" s="113">
        <f>IF('PTA-A20'!K34=0,"    -",ROUND('PTA-A20'!K63/'PTA-A20'!K34*100,1))</f>
        <v>88.6</v>
      </c>
      <c r="L70" s="114">
        <f>IF('PTA-A20'!L34=0,"    -",ROUND('PTA-A20'!L63/'PTA-A20'!L34*100,1))</f>
        <v>88.6</v>
      </c>
      <c r="M70" s="112">
        <f>IF('PTA-A20'!M34=0,"    -",ROUND('PTA-A20'!M63/'PTA-A20'!M34*100,1))</f>
        <v>88.6</v>
      </c>
      <c r="N70" s="112">
        <f>IF('PTA-A20'!N34=0,"    -",ROUND('PTA-A20'!N63/'PTA-A20'!N34*100,1))</f>
        <v>88.6</v>
      </c>
      <c r="O70" s="112">
        <f>IF('PTA-A20'!O34=0,"    -",ROUND('PTA-A20'!O63/'PTA-A20'!O34*100,1))</f>
        <v>88.6</v>
      </c>
      <c r="P70" s="112">
        <f>IF('PTA-A20'!P34=0,"    -",ROUND('PTA-A20'!P63/'PTA-A20'!P34*100,1))</f>
        <v>88.6</v>
      </c>
      <c r="Q70" s="115">
        <f>IF('PTA-A20'!Q34=0,"    -",ROUND('PTA-A20'!Q63/'PTA-A20'!Q34*100,1))</f>
        <v>88.6</v>
      </c>
    </row>
    <row r="71" spans="2:17" ht="18" customHeight="1" thickTop="1" thickBot="1">
      <c r="B71" s="21"/>
      <c r="C71" s="619" t="s">
        <v>337</v>
      </c>
      <c r="D71" s="122">
        <f>IF('PTA-A20'!D35=0,"    -",ROUND('PTA-A20'!D64/'PTA-A20'!D35*100,1))</f>
        <v>91.8</v>
      </c>
      <c r="E71" s="123">
        <f>IF('PTA-A20'!E35=0,"    -",ROUND('PTA-A20'!E64/'PTA-A20'!E35*100,1))</f>
        <v>91.9</v>
      </c>
      <c r="F71" s="123">
        <f>IF('PTA-A20'!F35=0,"    -",ROUND('PTA-A20'!F64/'PTA-A20'!F35*100,1))</f>
        <v>85.6</v>
      </c>
      <c r="G71" s="123">
        <f>IF('PTA-A20'!G35=0,"    -",ROUND('PTA-A20'!G64/'PTA-A20'!G35*100,1))</f>
        <v>79.2</v>
      </c>
      <c r="H71" s="123">
        <f>IF('PTA-A20'!H35=0,"    -",ROUND('PTA-A20'!H64/'PTA-A20'!H35*100,1))</f>
        <v>80.599999999999994</v>
      </c>
      <c r="I71" s="123">
        <f>IF('PTA-A20'!I35=0,"    -",ROUND('PTA-A20'!I64/'PTA-A20'!I35*100,1))</f>
        <v>85.4</v>
      </c>
      <c r="J71" s="123">
        <f>IF('PTA-A20'!J35=0,"    -",ROUND('PTA-A20'!J64/'PTA-A20'!J35*100,1))</f>
        <v>83.3</v>
      </c>
      <c r="K71" s="124">
        <f>IF('PTA-A20'!K35=0,"    -",ROUND('PTA-A20'!K64/'PTA-A20'!K35*100,1))</f>
        <v>82.4</v>
      </c>
      <c r="L71" s="125">
        <f>IF('PTA-A20'!L35=0,"    -",ROUND('PTA-A20'!L64/'PTA-A20'!L35*100,1))</f>
        <v>81.5</v>
      </c>
      <c r="M71" s="123">
        <f>IF('PTA-A20'!M35=0,"    -",ROUND('PTA-A20'!M64/'PTA-A20'!M35*100,1))</f>
        <v>79.099999999999994</v>
      </c>
      <c r="N71" s="123">
        <f>IF('PTA-A20'!N35=0,"    -",ROUND('PTA-A20'!N64/'PTA-A20'!N35*100,1))</f>
        <v>76.599999999999994</v>
      </c>
      <c r="O71" s="123">
        <f>IF('PTA-A20'!O35=0,"    -",ROUND('PTA-A20'!O64/'PTA-A20'!O35*100,1))</f>
        <v>79</v>
      </c>
      <c r="P71" s="123">
        <f>IF('PTA-A20'!P35=0,"    -",ROUND('PTA-A20'!P64/'PTA-A20'!P35*100,1))</f>
        <v>79.599999999999994</v>
      </c>
      <c r="Q71" s="126">
        <f>IF('PTA-A20'!Q35=0,"    -",ROUND('PTA-A20'!Q64/'PTA-A20'!Q35*100,1))</f>
        <v>80.599999999999994</v>
      </c>
    </row>
    <row r="72" spans="2:17" ht="12" customHeight="1"/>
    <row r="73" spans="2:17" ht="13.5" customHeight="1">
      <c r="C73" t="s">
        <v>330</v>
      </c>
    </row>
    <row r="74" spans="2:17" ht="13.5" customHeight="1">
      <c r="C74" s="617" t="s">
        <v>331</v>
      </c>
    </row>
    <row r="75" spans="2:17" ht="13.5" customHeight="1">
      <c r="C75" t="s">
        <v>332</v>
      </c>
    </row>
    <row r="76" spans="2:17" ht="13.5" customHeight="1">
      <c r="C76" s="617" t="s">
        <v>333</v>
      </c>
    </row>
  </sheetData>
  <mergeCells count="22">
    <mergeCell ref="B2:C2"/>
    <mergeCell ref="F2:G2"/>
    <mergeCell ref="P3:Q3"/>
    <mergeCell ref="B38:C38"/>
    <mergeCell ref="F38:G38"/>
    <mergeCell ref="B69:C69"/>
    <mergeCell ref="B70:C70"/>
    <mergeCell ref="B64:C64"/>
    <mergeCell ref="B65:C65"/>
    <mergeCell ref="B66:C66"/>
    <mergeCell ref="B67:C67"/>
    <mergeCell ref="B68:C68"/>
    <mergeCell ref="B56:C56"/>
    <mergeCell ref="B58:C58"/>
    <mergeCell ref="B60:C60"/>
    <mergeCell ref="B62:C62"/>
    <mergeCell ref="B63:C63"/>
    <mergeCell ref="L40:Q40"/>
    <mergeCell ref="D40:K40"/>
    <mergeCell ref="D4:K4"/>
    <mergeCell ref="L4:Q4"/>
    <mergeCell ref="B55:C55"/>
  </mergeCells>
  <phoneticPr fontId="6"/>
  <conditionalFormatting sqref="C75:C76">
    <cfRule type="expression" dxfId="113" priority="5">
      <formula>CELL("protect",C75)=0</formula>
    </cfRule>
    <cfRule type="expression" dxfId="112" priority="6">
      <formula>CELL("protect",C75)=0</formula>
    </cfRule>
  </conditionalFormatting>
  <conditionalFormatting sqref="C73">
    <cfRule type="expression" dxfId="111" priority="3">
      <formula>CELL("protect",C73)=0</formula>
    </cfRule>
    <cfRule type="expression" dxfId="110" priority="4">
      <formula>CELL("protect",C73)=0</formula>
    </cfRule>
  </conditionalFormatting>
  <conditionalFormatting sqref="C75">
    <cfRule type="expression" dxfId="109" priority="1">
      <formula>CELL("protect",C75)=0</formula>
    </cfRule>
    <cfRule type="expression" dxfId="108" priority="2">
      <formula>CELL("protect",C75)=0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&amp;C182</oddFooter>
  </headerFooter>
  <rowBreaks count="1" manualBreakCount="1">
    <brk id="74" min="1" max="16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>
    <pageSetUpPr fitToPage="1"/>
  </sheetPr>
  <dimension ref="A11:AB57"/>
  <sheetViews>
    <sheetView view="pageBreakPreview" zoomScale="70" zoomScaleNormal="70" zoomScaleSheetLayoutView="70" workbookViewId="0"/>
  </sheetViews>
  <sheetFormatPr defaultColWidth="9" defaultRowHeight="13.5"/>
  <sheetData>
    <row r="11" spans="1:16" ht="2.25" customHeight="1"/>
    <row r="12" spans="1:16" hidden="1"/>
    <row r="13" spans="1:16" ht="34.5" customHeight="1">
      <c r="A13" s="700" t="s">
        <v>339</v>
      </c>
      <c r="B13" s="700"/>
      <c r="C13" s="700"/>
      <c r="D13" s="700"/>
      <c r="E13" s="700"/>
      <c r="F13" s="700"/>
      <c r="G13" s="700"/>
      <c r="H13" s="700"/>
      <c r="I13" s="700"/>
      <c r="J13" s="700"/>
      <c r="K13" s="700"/>
      <c r="L13" s="700"/>
      <c r="M13" s="700"/>
      <c r="N13" s="700"/>
      <c r="O13" s="700"/>
      <c r="P13" s="700"/>
    </row>
    <row r="14" spans="1:16" ht="286.5" customHeight="1">
      <c r="A14" s="700"/>
      <c r="B14" s="700"/>
      <c r="C14" s="700"/>
      <c r="D14" s="700"/>
      <c r="E14" s="700"/>
      <c r="F14" s="700"/>
      <c r="G14" s="700"/>
      <c r="H14" s="700"/>
      <c r="I14" s="700"/>
      <c r="J14" s="700"/>
      <c r="K14" s="700"/>
      <c r="L14" s="700"/>
      <c r="M14" s="700"/>
      <c r="N14" s="700"/>
      <c r="O14" s="700"/>
      <c r="P14" s="700"/>
    </row>
    <row r="57" spans="28:28">
      <c r="AB57">
        <v>5</v>
      </c>
    </row>
  </sheetData>
  <mergeCells count="1">
    <mergeCell ref="A13:P14"/>
  </mergeCells>
  <phoneticPr fontId="5"/>
  <printOptions horizontalCentered="1"/>
  <pageMargins left="0.39370078740157483" right="0.39370078740157483" top="0.78740157480314965" bottom="0.39370078740157483" header="0.51181102362204722" footer="0.31496062992125984"/>
  <pageSetup paperSize="9" scale="67" firstPageNumber="183" fitToHeight="0" orientation="portrait" useFirstPageNumber="1" r:id="rId1"/>
  <headerFooter scaleWithDoc="0" alignWithMargins="0">
    <oddFooter>&amp;C&amp;P</oddFooter>
    <firstFooter>&amp;C185</first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>
    <tabColor rgb="FFFFC000"/>
    <pageSetUpPr fitToPage="1"/>
  </sheetPr>
  <dimension ref="A1:Z154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  <col min="20" max="20" width="8.125" customWidth="1"/>
    <col min="21" max="21" width="9.875" style="425" bestFit="1" customWidth="1"/>
    <col min="22" max="22" width="12.125" style="425" bestFit="1" customWidth="1"/>
  </cols>
  <sheetData>
    <row r="1" spans="1:25" ht="13.5" customHeight="1">
      <c r="R1" s="26"/>
      <c r="S1" s="26"/>
      <c r="T1" s="26"/>
    </row>
    <row r="2" spans="1:25" s="2" customFormat="1" ht="17.25">
      <c r="C2" s="86"/>
      <c r="G2" s="2" t="s">
        <v>19</v>
      </c>
      <c r="R2" s="3"/>
      <c r="S2" s="3"/>
      <c r="T2" s="3"/>
      <c r="U2" s="435"/>
      <c r="V2" s="435"/>
    </row>
    <row r="3" spans="1:25" ht="27.6" customHeight="1" thickBot="1">
      <c r="G3" s="624" t="s">
        <v>340</v>
      </c>
      <c r="R3" s="686" t="s">
        <v>297</v>
      </c>
      <c r="S3" s="686"/>
      <c r="T3" s="30"/>
      <c r="X3" s="230"/>
    </row>
    <row r="4" spans="1:25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  <c r="T4" s="431"/>
      <c r="U4" s="436"/>
      <c r="V4" s="436"/>
    </row>
    <row r="5" spans="1:25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  <c r="T5" s="432"/>
      <c r="U5" s="436"/>
      <c r="V5" s="436"/>
    </row>
    <row r="6" spans="1:25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  <c r="T6" s="432"/>
      <c r="U6" s="436"/>
      <c r="V6" s="437"/>
      <c r="W6" s="277"/>
      <c r="X6" s="277"/>
      <c r="Y6" s="277"/>
    </row>
    <row r="7" spans="1:25" ht="15" customHeight="1">
      <c r="A7" s="613" t="s">
        <v>304</v>
      </c>
      <c r="B7" s="644" t="s">
        <v>433</v>
      </c>
      <c r="C7" s="645"/>
      <c r="D7" s="225">
        <f>SUM('LDPE-C2:EG-C6'!D7)+'OTHER(C2)-A11'!D7</f>
        <v>7343.0899999999992</v>
      </c>
      <c r="E7" s="226">
        <f>SUM('LDPE-C2:EG-C6'!E7)+'OTHER(C2)-A11'!E7</f>
        <v>7451.8600000000006</v>
      </c>
      <c r="F7" s="226">
        <f>SUM('LDPE-C2:EG-C6'!F7)+'OTHER(C2)-A11'!F7</f>
        <v>7594.68</v>
      </c>
      <c r="G7" s="226">
        <f>SUM('LDPE-C2:EG-C6'!G7)+'OTHER(C2)-A11'!G7</f>
        <v>7687.78</v>
      </c>
      <c r="H7" s="226">
        <f>SUM('LDPE-C2:EG-C6'!H7)+'OTHER(C2)-A11'!H7</f>
        <v>8344.58</v>
      </c>
      <c r="I7" s="226">
        <f>SUM('LDPE-C2:EG-C6'!I7)+'OTHER(C2)-A11'!I7</f>
        <v>8602.380000000001</v>
      </c>
      <c r="J7" s="226">
        <f>SUM('LDPE-C2:EG-C6'!J7)+'OTHER(C2)-A11'!J7</f>
        <v>8602.380000000001</v>
      </c>
      <c r="K7" s="231">
        <f>SUM('LDPE-C2:EG-C6'!K7)+'OTHER(C2)-A11'!K7</f>
        <v>8702.380000000001</v>
      </c>
      <c r="L7" s="232">
        <f>SUM('LDPE-C2:EG-C6'!L7)+'OTHER(C2)-A11'!L7</f>
        <v>8898.3799999999992</v>
      </c>
      <c r="M7" s="226">
        <f>SUM('LDPE-C2:EG-C6'!M7)+'OTHER(C2)-A11'!M7</f>
        <v>9314.3799999999992</v>
      </c>
      <c r="N7" s="226">
        <f>SUM('LDPE-C2:EG-C6'!N7)+'OTHER(C2)-A11'!N7</f>
        <v>10090.379999999999</v>
      </c>
      <c r="O7" s="226">
        <f>SUM('LDPE-C2:EG-C6'!O7)+'OTHER(C2)-A11'!O7</f>
        <v>10972.38</v>
      </c>
      <c r="P7" s="226">
        <f>SUM('LDPE-C2:EG-C6'!P7)+'OTHER(C2)-A11'!P7</f>
        <v>11792.38</v>
      </c>
      <c r="Q7" s="233">
        <f>SUM('LDPE-C2:EG-C6'!Q7)+'OTHER(C2)-A11'!Q7</f>
        <v>12802.38</v>
      </c>
      <c r="R7" s="276">
        <f>IF(D7=0,"     -",IF(K7=0,"     -",ROUND(((K7/D7)^(1/7)-1)*100,1)))</f>
        <v>2.5</v>
      </c>
      <c r="S7" s="298">
        <f>IF(L7=0,"     -",IF(Q7=0,"     -",ROUND(((Q7/L7)^(1/5)-1)*100,1)))</f>
        <v>7.5</v>
      </c>
      <c r="T7" s="433"/>
      <c r="W7" s="28"/>
      <c r="X7" s="28"/>
      <c r="Y7" s="28"/>
    </row>
    <row r="8" spans="1:25" ht="15" customHeight="1">
      <c r="A8" s="614" t="s">
        <v>305</v>
      </c>
      <c r="B8" s="605" t="s">
        <v>434</v>
      </c>
      <c r="C8" s="606"/>
      <c r="D8" s="140">
        <f>SUM('LDPE-C2:EG-C6'!D8)+'OTHER(C2)-A11'!D8</f>
        <v>4726.8600000000006</v>
      </c>
      <c r="E8" s="45">
        <f>SUM('LDPE-C2:EG-C6'!E8)+'OTHER(C2)-A11'!E8</f>
        <v>4726.8600000000006</v>
      </c>
      <c r="F8" s="45">
        <f>SUM('LDPE-C2:EG-C6'!F8)+'OTHER(C2)-A11'!F8</f>
        <v>4811.8600000000006</v>
      </c>
      <c r="G8" s="45">
        <f>SUM('LDPE-C2:EG-C6'!G8)+'OTHER(C2)-A11'!G8</f>
        <v>4817.66</v>
      </c>
      <c r="H8" s="45">
        <f>SUM('LDPE-C2:EG-C6'!H8)+'OTHER(C2)-A11'!H8</f>
        <v>5015.26</v>
      </c>
      <c r="I8" s="45">
        <f>SUM('LDPE-C2:EG-C6'!I8)+'OTHER(C2)-A11'!I8</f>
        <v>5015.26</v>
      </c>
      <c r="J8" s="45">
        <f>SUM('LDPE-C2:EG-C6'!J8)+'OTHER(C2)-A11'!J8</f>
        <v>5088.76</v>
      </c>
      <c r="K8" s="50">
        <f>SUM('LDPE-C2:EG-C6'!K8)+'OTHER(C2)-A11'!K8</f>
        <v>5173.76</v>
      </c>
      <c r="L8" s="49">
        <f>SUM('LDPE-C2:EG-C6'!L8)+'OTHER(C2)-A11'!L8</f>
        <v>5173.76</v>
      </c>
      <c r="M8" s="45">
        <f>SUM('LDPE-C2:EG-C6'!M8)+'OTHER(C2)-A11'!M8</f>
        <v>5173.76</v>
      </c>
      <c r="N8" s="45">
        <f>SUM('LDPE-C2:EG-C6'!N8)+'OTHER(C2)-A11'!N8</f>
        <v>5173.76</v>
      </c>
      <c r="O8" s="45">
        <f>SUM('LDPE-C2:EG-C6'!O8)+'OTHER(C2)-A11'!O8</f>
        <v>5173.76</v>
      </c>
      <c r="P8" s="45">
        <f>SUM('LDPE-C2:EG-C6'!P8)+'OTHER(C2)-A11'!P8</f>
        <v>5173.76</v>
      </c>
      <c r="Q8" s="51">
        <f>SUM('LDPE-C2:EG-C6'!Q8)+'OTHER(C2)-A11'!Q8</f>
        <v>5173.76</v>
      </c>
      <c r="R8" s="299">
        <f t="shared" ref="R8:R71" si="0">IF(D8=0,"     -",IF(K8=0,"     -",ROUND(((K8/D8)^(1/7)-1)*100,1)))</f>
        <v>1.3</v>
      </c>
      <c r="S8" s="300">
        <f t="shared" ref="S8:S71" si="1">IF(L8=0,"     -",IF(Q8=0,"     -",ROUND(((Q8/L8)^(1/5)-1)*100,1)))</f>
        <v>0</v>
      </c>
      <c r="T8" s="433"/>
      <c r="W8" s="28"/>
      <c r="X8" s="28"/>
      <c r="Y8" s="28"/>
    </row>
    <row r="9" spans="1:25" ht="15" customHeight="1">
      <c r="A9" s="16"/>
      <c r="B9" s="605" t="s">
        <v>435</v>
      </c>
      <c r="C9" s="606"/>
      <c r="D9" s="140">
        <f>SUM('LDPE-C2:EG-C6'!D9)+'OTHER(C2)-A11'!D9</f>
        <v>2343.2200000000003</v>
      </c>
      <c r="E9" s="45">
        <f>SUM('LDPE-C2:EG-C6'!E9)+'OTHER(C2)-A11'!E9</f>
        <v>2343.52</v>
      </c>
      <c r="F9" s="45">
        <f>SUM('LDPE-C2:EG-C6'!F9)+'OTHER(C2)-A11'!F9</f>
        <v>3617.22</v>
      </c>
      <c r="G9" s="45">
        <f>SUM('LDPE-C2:EG-C6'!G9)+'OTHER(C2)-A11'!G9</f>
        <v>3985.22</v>
      </c>
      <c r="H9" s="45">
        <f>SUM('LDPE-C2:EG-C6'!H9)+'OTHER(C2)-A11'!H9</f>
        <v>3985.22</v>
      </c>
      <c r="I9" s="45">
        <f>SUM('LDPE-C2:EG-C6'!I9)+'OTHER(C2)-A11'!I9</f>
        <v>4405.2199999999993</v>
      </c>
      <c r="J9" s="45">
        <f>SUM('LDPE-C2:EG-C6'!J9)+'OTHER(C2)-A11'!J9</f>
        <v>4405.2199999999993</v>
      </c>
      <c r="K9" s="50">
        <f>SUM('LDPE-C2:EG-C6'!K9)+'OTHER(C2)-A11'!K9</f>
        <v>4468.2199999999993</v>
      </c>
      <c r="L9" s="49">
        <f>SUM('LDPE-C2:EG-C6'!L9)+'OTHER(C2)-A11'!L9</f>
        <v>4468.2199999999993</v>
      </c>
      <c r="M9" s="45">
        <f>SUM('LDPE-C2:EG-C6'!M9)+'OTHER(C2)-A11'!M9</f>
        <v>4468.2199999999993</v>
      </c>
      <c r="N9" s="45">
        <f>SUM('LDPE-C2:EG-C6'!N9)+'OTHER(C2)-A11'!N9</f>
        <v>4487.2199999999993</v>
      </c>
      <c r="O9" s="45">
        <f>SUM('LDPE-C2:EG-C6'!O9)+'OTHER(C2)-A11'!O9</f>
        <v>4487.2199999999993</v>
      </c>
      <c r="P9" s="45">
        <f>SUM('LDPE-C2:EG-C6'!P9)+'OTHER(C2)-A11'!P9</f>
        <v>4487.2199999999993</v>
      </c>
      <c r="Q9" s="51">
        <f>SUM('LDPE-C2:EG-C6'!Q9)+'OTHER(C2)-A11'!Q9</f>
        <v>4487.2199999999993</v>
      </c>
      <c r="R9" s="301">
        <f t="shared" si="0"/>
        <v>9.6999999999999993</v>
      </c>
      <c r="S9" s="300">
        <f t="shared" si="1"/>
        <v>0.1</v>
      </c>
      <c r="T9" s="433"/>
      <c r="W9" s="28"/>
      <c r="X9" s="28"/>
      <c r="Y9" s="28"/>
    </row>
    <row r="10" spans="1:25" ht="15" customHeight="1">
      <c r="A10" s="16"/>
      <c r="B10" s="605" t="s">
        <v>436</v>
      </c>
      <c r="C10" s="606"/>
      <c r="D10" s="140">
        <f>SUM('LDPE-C2:EG-C6'!D10)+'OTHER(C2)-A11'!D10</f>
        <v>16447.820651566519</v>
      </c>
      <c r="E10" s="45">
        <f>SUM('LDPE-C2:EG-C6'!E10)+'OTHER(C2)-A11'!E10</f>
        <v>18040.24705882353</v>
      </c>
      <c r="F10" s="45">
        <f>SUM('LDPE-C2:EG-C6'!F10)+'OTHER(C2)-A11'!F10</f>
        <v>19062.787512054005</v>
      </c>
      <c r="G10" s="45">
        <f>SUM('LDPE-C2:EG-C6'!G10)+'OTHER(C2)-A11'!G10</f>
        <v>22089.289678765126</v>
      </c>
      <c r="H10" s="45">
        <f>SUM('LDPE-C2:EG-C6'!H10)+'OTHER(C2)-A11'!H10</f>
        <v>23887.863529411767</v>
      </c>
      <c r="I10" s="45">
        <f>SUM('LDPE-C2:EG-C6'!I10)+'OTHER(C2)-A11'!I10</f>
        <v>25960.430588235296</v>
      </c>
      <c r="J10" s="45">
        <f>SUM('LDPE-C2:EG-C6'!J10)+'OTHER(C2)-A11'!J10</f>
        <v>27749.257647058825</v>
      </c>
      <c r="K10" s="50">
        <f>SUM('LDPE-C2:EG-C6'!K10)+'OTHER(C2)-A11'!K10</f>
        <v>28998.374705882354</v>
      </c>
      <c r="L10" s="49">
        <f>SUM('LDPE-C2:EG-C6'!L10)+'OTHER(C2)-A11'!L10</f>
        <v>32345.648235294117</v>
      </c>
      <c r="M10" s="45">
        <f>SUM('LDPE-C2:EG-C6'!M10)+'OTHER(C2)-A11'!M10</f>
        <v>36205.421764705883</v>
      </c>
      <c r="N10" s="45">
        <f>SUM('LDPE-C2:EG-C6'!N10)+'OTHER(C2)-A11'!N10</f>
        <v>41131.635294117652</v>
      </c>
      <c r="O10" s="45">
        <f>SUM('LDPE-C2:EG-C6'!O10)+'OTHER(C2)-A11'!O10</f>
        <v>45875.61882352941</v>
      </c>
      <c r="P10" s="45">
        <f>SUM('LDPE-C2:EG-C6'!P10)+'OTHER(C2)-A11'!P10</f>
        <v>47255.692352941172</v>
      </c>
      <c r="Q10" s="51">
        <f>SUM('LDPE-C2:EG-C6'!Q10)+'OTHER(C2)-A11'!Q10</f>
        <v>48407.415882352943</v>
      </c>
      <c r="R10" s="299">
        <f t="shared" si="0"/>
        <v>8.4</v>
      </c>
      <c r="S10" s="300">
        <f t="shared" si="1"/>
        <v>8.4</v>
      </c>
      <c r="T10" s="433"/>
      <c r="W10" s="28"/>
      <c r="X10" s="28"/>
      <c r="Y10" s="28"/>
    </row>
    <row r="11" spans="1:25" ht="15" customHeight="1">
      <c r="A11" s="16"/>
      <c r="B11" s="605" t="s">
        <v>437</v>
      </c>
      <c r="C11" s="606"/>
      <c r="D11" s="140">
        <f>SUM('LDPE-C2:EG-C6'!D11)+'OTHER(C2)-A11'!D11</f>
        <v>4540.92</v>
      </c>
      <c r="E11" s="45">
        <f>SUM('LDPE-C2:EG-C6'!E11)+'OTHER(C2)-A11'!E11</f>
        <v>4915.12</v>
      </c>
      <c r="F11" s="45">
        <f>SUM('LDPE-C2:EG-C6'!F11)+'OTHER(C2)-A11'!F11</f>
        <v>4915.12</v>
      </c>
      <c r="G11" s="45">
        <f>SUM('LDPE-C2:EG-C6'!G11)+'OTHER(C2)-A11'!G11</f>
        <v>4915.12</v>
      </c>
      <c r="H11" s="45">
        <f>SUM('LDPE-C2:EG-C6'!H11)+'OTHER(C2)-A11'!H11</f>
        <v>4932.5199999999995</v>
      </c>
      <c r="I11" s="45">
        <f>SUM('LDPE-C2:EG-C6'!I11)+'OTHER(C2)-A11'!I11</f>
        <v>4932.5199999999995</v>
      </c>
      <c r="J11" s="45">
        <f>SUM('LDPE-C2:EG-C6'!J11)+'OTHER(C2)-A11'!J11</f>
        <v>4983.4799999999996</v>
      </c>
      <c r="K11" s="50">
        <f>SUM('LDPE-C2:EG-C6'!K11)+'OTHER(C2)-A11'!K11</f>
        <v>4983.4799999999996</v>
      </c>
      <c r="L11" s="49">
        <f>SUM('LDPE-C2:EG-C6'!L11)+'OTHER(C2)-A11'!L11</f>
        <v>5375.48</v>
      </c>
      <c r="M11" s="45">
        <f>SUM('LDPE-C2:EG-C6'!M11)+'OTHER(C2)-A11'!M11</f>
        <v>5375.48</v>
      </c>
      <c r="N11" s="45">
        <f>SUM('LDPE-C2:EG-C6'!N11)+'OTHER(C2)-A11'!N11</f>
        <v>5375.48</v>
      </c>
      <c r="O11" s="45">
        <f>SUM('LDPE-C2:EG-C6'!O11)+'OTHER(C2)-A11'!O11</f>
        <v>5375.48</v>
      </c>
      <c r="P11" s="45">
        <f>SUM('LDPE-C2:EG-C6'!P11)+'OTHER(C2)-A11'!P11</f>
        <v>5375.48</v>
      </c>
      <c r="Q11" s="51">
        <f>SUM('LDPE-C2:EG-C6'!Q11)+'OTHER(C2)-A11'!Q11</f>
        <v>5375.48</v>
      </c>
      <c r="R11" s="302">
        <f t="shared" si="0"/>
        <v>1.3</v>
      </c>
      <c r="S11" s="300">
        <f t="shared" si="1"/>
        <v>0</v>
      </c>
      <c r="T11" s="433"/>
      <c r="W11" s="28"/>
      <c r="X11" s="28"/>
      <c r="Y11" s="28"/>
    </row>
    <row r="12" spans="1:25" ht="15" customHeight="1">
      <c r="A12" s="16"/>
      <c r="B12" s="605" t="s">
        <v>438</v>
      </c>
      <c r="C12" s="606"/>
      <c r="D12" s="140">
        <f>SUM('LDPE-C2:EG-C6'!D12)+'OTHER(C2)-A11'!D12</f>
        <v>1327.24</v>
      </c>
      <c r="E12" s="45">
        <f>SUM('LDPE-C2:EG-C6'!E12)+'OTHER(C2)-A11'!E12</f>
        <v>1327.24</v>
      </c>
      <c r="F12" s="45">
        <f>SUM('LDPE-C2:EG-C6'!F12)+'OTHER(C2)-A11'!F12</f>
        <v>1327.24</v>
      </c>
      <c r="G12" s="45">
        <f>SUM('LDPE-C2:EG-C6'!G12)+'OTHER(C2)-A11'!G12</f>
        <v>1327.24</v>
      </c>
      <c r="H12" s="45">
        <f>SUM('LDPE-C2:EG-C6'!H12)+'OTHER(C2)-A11'!H12</f>
        <v>1327.24</v>
      </c>
      <c r="I12" s="45">
        <f>SUM('LDPE-C2:EG-C6'!I12)+'OTHER(C2)-A11'!I12</f>
        <v>1452.24</v>
      </c>
      <c r="J12" s="45">
        <f>SUM('LDPE-C2:EG-C6'!J12)+'OTHER(C2)-A11'!J12</f>
        <v>1517.24</v>
      </c>
      <c r="K12" s="50">
        <f>SUM('LDPE-C2:EG-C6'!K12)+'OTHER(C2)-A11'!K12</f>
        <v>1517.24</v>
      </c>
      <c r="L12" s="49">
        <f>SUM('LDPE-C2:EG-C6'!L12)+'OTHER(C2)-A11'!L12</f>
        <v>1517.24</v>
      </c>
      <c r="M12" s="45">
        <f>SUM('LDPE-C2:EG-C6'!M12)+'OTHER(C2)-A11'!M12</f>
        <v>1517.24</v>
      </c>
      <c r="N12" s="45">
        <f>SUM('LDPE-C2:EG-C6'!N12)+'OTHER(C2)-A11'!N12</f>
        <v>1517.24</v>
      </c>
      <c r="O12" s="45">
        <f>SUM('LDPE-C2:EG-C6'!O12)+'OTHER(C2)-A11'!O12</f>
        <v>1517.24</v>
      </c>
      <c r="P12" s="45">
        <f>SUM('LDPE-C2:EG-C6'!P12)+'OTHER(C2)-A11'!P12</f>
        <v>1517.24</v>
      </c>
      <c r="Q12" s="51">
        <f>SUM('LDPE-C2:EG-C6'!Q12)+'OTHER(C2)-A11'!Q12</f>
        <v>2532.2399999999998</v>
      </c>
      <c r="R12" s="302">
        <f t="shared" si="0"/>
        <v>1.9</v>
      </c>
      <c r="S12" s="300">
        <f t="shared" si="1"/>
        <v>10.8</v>
      </c>
      <c r="T12" s="433"/>
      <c r="W12" s="28"/>
      <c r="X12" s="28"/>
      <c r="Y12" s="28"/>
    </row>
    <row r="13" spans="1:25" ht="15" customHeight="1">
      <c r="A13" s="16"/>
      <c r="B13" s="605" t="s">
        <v>439</v>
      </c>
      <c r="C13" s="606"/>
      <c r="D13" s="140">
        <f>SUM('LDPE-C2:EG-C6'!D13)+'OTHER(C2)-A11'!D13</f>
        <v>4565.2</v>
      </c>
      <c r="E13" s="45">
        <f>SUM('LDPE-C2:EG-C6'!E13)+'OTHER(C2)-A11'!E13</f>
        <v>4747.2</v>
      </c>
      <c r="F13" s="45">
        <f>SUM('LDPE-C2:EG-C6'!F13)+'OTHER(C2)-A11'!F13</f>
        <v>5139.2</v>
      </c>
      <c r="G13" s="45">
        <f>SUM('LDPE-C2:EG-C6'!G13)+'OTHER(C2)-A11'!G13</f>
        <v>5213.7</v>
      </c>
      <c r="H13" s="45">
        <f>SUM('LDPE-C2:EG-C6'!H13)+'OTHER(C2)-A11'!H13</f>
        <v>5390</v>
      </c>
      <c r="I13" s="45">
        <f>SUM('LDPE-C2:EG-C6'!I13)+'OTHER(C2)-A11'!I13</f>
        <v>5390</v>
      </c>
      <c r="J13" s="45">
        <f>SUM('LDPE-C2:EG-C6'!J13)+'OTHER(C2)-A11'!J13</f>
        <v>6955.12</v>
      </c>
      <c r="K13" s="50">
        <f>SUM('LDPE-C2:EG-C6'!K13)+'OTHER(C2)-A11'!K13</f>
        <v>7603.62</v>
      </c>
      <c r="L13" s="49">
        <f>SUM('LDPE-C2:EG-C6'!L13)+'OTHER(C2)-A11'!L13</f>
        <v>7603.62</v>
      </c>
      <c r="M13" s="45">
        <f>SUM('LDPE-C2:EG-C6'!M13)+'OTHER(C2)-A11'!M13</f>
        <v>7603.62</v>
      </c>
      <c r="N13" s="45">
        <f>SUM('LDPE-C2:EG-C6'!N13)+'OTHER(C2)-A11'!N13</f>
        <v>7603.62</v>
      </c>
      <c r="O13" s="45">
        <f>SUM('LDPE-C2:EG-C6'!O13)+'OTHER(C2)-A11'!O13</f>
        <v>7603.62</v>
      </c>
      <c r="P13" s="45">
        <f>SUM('LDPE-C2:EG-C6'!P13)+'OTHER(C2)-A11'!P13</f>
        <v>7603.62</v>
      </c>
      <c r="Q13" s="51">
        <f>SUM('LDPE-C2:EG-C6'!Q13)+'OTHER(C2)-A11'!Q13</f>
        <v>7603.62</v>
      </c>
      <c r="R13" s="302">
        <f t="shared" si="0"/>
        <v>7.6</v>
      </c>
      <c r="S13" s="300">
        <f t="shared" si="1"/>
        <v>0</v>
      </c>
      <c r="T13" s="433"/>
      <c r="W13" s="28"/>
      <c r="X13" s="28"/>
      <c r="Y13" s="28"/>
    </row>
    <row r="14" spans="1:25" ht="15.75" hidden="1" customHeight="1">
      <c r="A14" s="16"/>
      <c r="B14" s="16"/>
      <c r="C14" s="90" t="s">
        <v>306</v>
      </c>
      <c r="D14" s="140">
        <f>SUM('LDPE-C2:EG-C6'!D14)+'OTHER(C2)-A11'!D14</f>
        <v>0</v>
      </c>
      <c r="E14" s="45">
        <f>SUM('LDPE-C2:EG-C6'!E14)+'OTHER(C2)-A11'!E14</f>
        <v>0</v>
      </c>
      <c r="F14" s="45">
        <f>SUM('LDPE-C2:EG-C6'!F14)+'OTHER(C2)-A11'!F14</f>
        <v>0</v>
      </c>
      <c r="G14" s="45">
        <f>SUM('LDPE-C2:EG-C6'!G14)+'OTHER(C2)-A11'!G14</f>
        <v>0</v>
      </c>
      <c r="H14" s="45">
        <f>SUM('LDPE-C2:EG-C6'!H14)+'OTHER(C2)-A11'!H14</f>
        <v>0</v>
      </c>
      <c r="I14" s="45">
        <f>SUM('LDPE-C2:EG-C6'!I14)+'OTHER(C2)-A11'!I14</f>
        <v>0</v>
      </c>
      <c r="J14" s="45">
        <f>SUM('LDPE-C2:EG-C6'!J14)+'OTHER(C2)-A11'!J14</f>
        <v>0</v>
      </c>
      <c r="K14" s="50">
        <f>SUM('LDPE-C2:EG-C6'!K14)+'OTHER(C2)-A11'!K14</f>
        <v>0</v>
      </c>
      <c r="L14" s="49">
        <f>SUM('LDPE-C2:EG-C6'!L14)+'OTHER(C2)-A11'!L14</f>
        <v>0</v>
      </c>
      <c r="M14" s="45">
        <f>SUM('LDPE-C2:EG-C6'!M14)+'OTHER(C2)-A11'!M14</f>
        <v>0</v>
      </c>
      <c r="N14" s="45">
        <f>SUM('LDPE-C2:EG-C6'!N14)+'OTHER(C2)-A11'!N14</f>
        <v>0</v>
      </c>
      <c r="O14" s="45">
        <f>SUM('LDPE-C2:EG-C6'!O14)+'OTHER(C2)-A11'!O14</f>
        <v>0</v>
      </c>
      <c r="P14" s="45">
        <f>SUM('LDPE-C2:EG-C6'!P14)+'OTHER(C2)-A11'!P14</f>
        <v>0</v>
      </c>
      <c r="Q14" s="51">
        <f>SUM('LDPE-C2:EG-C6'!Q14)+'OTHER(C2)-A11'!Q14</f>
        <v>0</v>
      </c>
      <c r="R14" s="302" t="str">
        <f t="shared" si="0"/>
        <v xml:space="preserve">     -</v>
      </c>
      <c r="S14" s="300" t="str">
        <f t="shared" si="1"/>
        <v xml:space="preserve">     -</v>
      </c>
      <c r="T14" s="433"/>
      <c r="W14" s="28"/>
      <c r="X14" s="28"/>
      <c r="Y14" s="28"/>
    </row>
    <row r="15" spans="1:25" ht="15" customHeight="1">
      <c r="A15" s="16"/>
      <c r="B15" s="605" t="s">
        <v>440</v>
      </c>
      <c r="C15" s="606"/>
      <c r="D15" s="140">
        <f>SUM('LDPE-C2:EG-C6'!D15)+'OTHER(C2)-A11'!D15</f>
        <v>504.4</v>
      </c>
      <c r="E15" s="45">
        <f>SUM('LDPE-C2:EG-C6'!E15)+'OTHER(C2)-A11'!E15</f>
        <v>504.4</v>
      </c>
      <c r="F15" s="45">
        <f>SUM('LDPE-C2:EG-C6'!F15)+'OTHER(C2)-A11'!F15</f>
        <v>504.4</v>
      </c>
      <c r="G15" s="45">
        <f>SUM('LDPE-C2:EG-C6'!G15)+'OTHER(C2)-A11'!G15</f>
        <v>504.4</v>
      </c>
      <c r="H15" s="45">
        <f>SUM('LDPE-C2:EG-C6'!H15)+'OTHER(C2)-A11'!H15</f>
        <v>504.4</v>
      </c>
      <c r="I15" s="45">
        <f>SUM('LDPE-C2:EG-C6'!I15)+'OTHER(C2)-A11'!I15</f>
        <v>645.79999999999995</v>
      </c>
      <c r="J15" s="45">
        <f>SUM('LDPE-C2:EG-C6'!J15)+'OTHER(C2)-A11'!J15</f>
        <v>645.79999999999995</v>
      </c>
      <c r="K15" s="50">
        <f>SUM('LDPE-C2:EG-C6'!K15)+'OTHER(C2)-A11'!K15</f>
        <v>645.79999999999995</v>
      </c>
      <c r="L15" s="49">
        <f>SUM('LDPE-C2:EG-C6'!L15)+'OTHER(C2)-A11'!L15</f>
        <v>645.79999999999995</v>
      </c>
      <c r="M15" s="45">
        <f>SUM('LDPE-C2:EG-C6'!M15)+'OTHER(C2)-A11'!M15</f>
        <v>700.8</v>
      </c>
      <c r="N15" s="45">
        <f>SUM('LDPE-C2:EG-C6'!N15)+'OTHER(C2)-A11'!N15</f>
        <v>700.8</v>
      </c>
      <c r="O15" s="45">
        <f>SUM('LDPE-C2:EG-C6'!O15)+'OTHER(C2)-A11'!O15</f>
        <v>862.4</v>
      </c>
      <c r="P15" s="45">
        <f>SUM('LDPE-C2:EG-C6'!P15)+'OTHER(C2)-A11'!P15</f>
        <v>862.4</v>
      </c>
      <c r="Q15" s="51">
        <f>SUM('LDPE-C2:EG-C6'!Q15)+'OTHER(C2)-A11'!Q15</f>
        <v>862.4</v>
      </c>
      <c r="R15" s="302">
        <f t="shared" si="0"/>
        <v>3.6</v>
      </c>
      <c r="S15" s="300">
        <f t="shared" si="1"/>
        <v>6</v>
      </c>
      <c r="T15" s="433"/>
      <c r="W15" s="28"/>
      <c r="X15" s="28"/>
      <c r="Y15" s="28"/>
    </row>
    <row r="16" spans="1:25" ht="15" customHeight="1">
      <c r="A16" s="16"/>
      <c r="B16" s="605" t="s">
        <v>441</v>
      </c>
      <c r="C16" s="606"/>
      <c r="D16" s="140">
        <f>SUM('LDPE-C2:EG-C6'!D16)+'OTHER(C2)-A11'!D16</f>
        <v>1579.9</v>
      </c>
      <c r="E16" s="45">
        <f>SUM('LDPE-C2:EG-C6'!E16)+'OTHER(C2)-A11'!E16</f>
        <v>1579.9</v>
      </c>
      <c r="F16" s="45">
        <f>SUM('LDPE-C2:EG-C6'!F16)+'OTHER(C2)-A11'!F16</f>
        <v>1579.9</v>
      </c>
      <c r="G16" s="45">
        <f>SUM('LDPE-C2:EG-C6'!G16)+'OTHER(C2)-A11'!G16</f>
        <v>1504.9</v>
      </c>
      <c r="H16" s="45">
        <f>SUM('LDPE-C2:EG-C6'!H16)+'OTHER(C2)-A11'!H16</f>
        <v>1504.9</v>
      </c>
      <c r="I16" s="45">
        <f>SUM('LDPE-C2:EG-C6'!I16)+'OTHER(C2)-A11'!I16</f>
        <v>1504.9</v>
      </c>
      <c r="J16" s="45">
        <f>SUM('LDPE-C2:EG-C6'!J16)+'OTHER(C2)-A11'!J16</f>
        <v>1504.9</v>
      </c>
      <c r="K16" s="50">
        <f>SUM('LDPE-C2:EG-C6'!K16)+'OTHER(C2)-A11'!K16</f>
        <v>1504.9</v>
      </c>
      <c r="L16" s="49">
        <f>SUM('LDPE-C2:EG-C6'!L16)+'OTHER(C2)-A11'!L16</f>
        <v>1504.9</v>
      </c>
      <c r="M16" s="45">
        <f>SUM('LDPE-C2:EG-C6'!M16)+'OTHER(C2)-A11'!M16</f>
        <v>1504.9</v>
      </c>
      <c r="N16" s="45">
        <f>SUM('LDPE-C2:EG-C6'!N16)+'OTHER(C2)-A11'!N16</f>
        <v>2706.9</v>
      </c>
      <c r="O16" s="45">
        <f>SUM('LDPE-C2:EG-C6'!O16)+'OTHER(C2)-A11'!O16</f>
        <v>2706.9</v>
      </c>
      <c r="P16" s="45">
        <f>SUM('LDPE-C2:EG-C6'!P16)+'OTHER(C2)-A11'!P16</f>
        <v>2706.9</v>
      </c>
      <c r="Q16" s="51">
        <f>SUM('LDPE-C2:EG-C6'!Q16)+'OTHER(C2)-A11'!Q16</f>
        <v>2706.9</v>
      </c>
      <c r="R16" s="302">
        <f t="shared" si="0"/>
        <v>-0.7</v>
      </c>
      <c r="S16" s="300">
        <f t="shared" si="1"/>
        <v>12.5</v>
      </c>
      <c r="T16" s="433"/>
      <c r="W16" s="28"/>
      <c r="X16" s="28"/>
      <c r="Y16" s="28"/>
    </row>
    <row r="17" spans="1:25" ht="15" customHeight="1">
      <c r="A17" s="16"/>
      <c r="B17" s="605" t="s">
        <v>442</v>
      </c>
      <c r="C17" s="606"/>
      <c r="D17" s="140">
        <f>SUM('LDPE-C2:EG-C6'!D17)+'OTHER(C2)-A11'!D17</f>
        <v>145</v>
      </c>
      <c r="E17" s="45">
        <f>SUM('LDPE-C2:EG-C6'!E17)+'OTHER(C2)-A11'!E17</f>
        <v>150</v>
      </c>
      <c r="F17" s="45">
        <f>SUM('LDPE-C2:EG-C6'!F17)+'OTHER(C2)-A11'!F17</f>
        <v>150</v>
      </c>
      <c r="G17" s="45">
        <f>SUM('LDPE-C2:EG-C6'!G17)+'OTHER(C2)-A11'!G17</f>
        <v>150</v>
      </c>
      <c r="H17" s="45">
        <f>SUM('LDPE-C2:EG-C6'!H17)+'OTHER(C2)-A11'!H17</f>
        <v>150</v>
      </c>
      <c r="I17" s="45">
        <f>SUM('LDPE-C2:EG-C6'!I17)+'OTHER(C2)-A11'!I17</f>
        <v>150</v>
      </c>
      <c r="J17" s="45">
        <f>SUM('LDPE-C2:EG-C6'!J17)+'OTHER(C2)-A11'!J17</f>
        <v>175</v>
      </c>
      <c r="K17" s="50">
        <f>SUM('LDPE-C2:EG-C6'!K17)+'OTHER(C2)-A11'!K17</f>
        <v>175</v>
      </c>
      <c r="L17" s="49">
        <f>SUM('LDPE-C2:EG-C6'!L17)+'OTHER(C2)-A11'!L17</f>
        <v>175</v>
      </c>
      <c r="M17" s="45">
        <f>SUM('LDPE-C2:EG-C6'!M17)+'OTHER(C2)-A11'!M17</f>
        <v>175</v>
      </c>
      <c r="N17" s="45">
        <f>SUM('LDPE-C2:EG-C6'!N17)+'OTHER(C2)-A11'!N17</f>
        <v>175</v>
      </c>
      <c r="O17" s="45">
        <f>SUM('LDPE-C2:EG-C6'!O17)+'OTHER(C2)-A11'!O17</f>
        <v>175</v>
      </c>
      <c r="P17" s="45">
        <f>SUM('LDPE-C2:EG-C6'!P17)+'OTHER(C2)-A11'!P17</f>
        <v>175</v>
      </c>
      <c r="Q17" s="51">
        <f>SUM('LDPE-C2:EG-C6'!Q17)+'OTHER(C2)-A11'!Q17</f>
        <v>1133</v>
      </c>
      <c r="R17" s="302">
        <f t="shared" si="0"/>
        <v>2.7</v>
      </c>
      <c r="S17" s="300">
        <f t="shared" si="1"/>
        <v>45.3</v>
      </c>
      <c r="T17" s="433"/>
      <c r="W17" s="28"/>
      <c r="X17" s="28"/>
      <c r="Y17" s="28"/>
    </row>
    <row r="18" spans="1:25" ht="15" customHeight="1">
      <c r="A18" s="16"/>
      <c r="B18" s="607" t="s">
        <v>443</v>
      </c>
      <c r="C18" s="608"/>
      <c r="D18" s="140">
        <f>SUM('LDPE-C2:EG-C6'!D18)+'OTHER(C2)-A11'!D18</f>
        <v>7669.58</v>
      </c>
      <c r="E18" s="45">
        <f>SUM('LDPE-C2:EG-C6'!E18)+'OTHER(C2)-A11'!E18</f>
        <v>7493.47</v>
      </c>
      <c r="F18" s="45">
        <f>SUM('LDPE-C2:EG-C6'!F18)+'OTHER(C2)-A11'!F18</f>
        <v>7412.1100000000006</v>
      </c>
      <c r="G18" s="45">
        <f>SUM('LDPE-C2:EG-C6'!G18)+'OTHER(C2)-A11'!G18</f>
        <v>7332.75</v>
      </c>
      <c r="H18" s="45">
        <f>SUM('LDPE-C2:EG-C6'!H18)+'OTHER(C2)-A11'!H18</f>
        <v>7235.0780000000004</v>
      </c>
      <c r="I18" s="45">
        <f>SUM('LDPE-C2:EG-C6'!I18)+'OTHER(C2)-A11'!I18</f>
        <v>6939.518</v>
      </c>
      <c r="J18" s="45">
        <f>SUM('LDPE-C2:EG-C6'!J18)+'OTHER(C2)-A11'!J18</f>
        <v>6865.478000000001</v>
      </c>
      <c r="K18" s="50">
        <f>SUM('LDPE-C2:EG-C6'!K18)+'OTHER(C2)-A11'!K18</f>
        <v>6881.8460000000005</v>
      </c>
      <c r="L18" s="49">
        <f>SUM('LDPE-C2:EG-C6'!L18)+'OTHER(C2)-A11'!L18</f>
        <v>6881.8460000000005</v>
      </c>
      <c r="M18" s="45">
        <f>SUM('LDPE-C2:EG-C6'!M18)+'OTHER(C2)-A11'!M18</f>
        <v>6881.8460000000005</v>
      </c>
      <c r="N18" s="45">
        <f>SUM('LDPE-C2:EG-C6'!N18)+'OTHER(C2)-A11'!N18</f>
        <v>6841.8460000000005</v>
      </c>
      <c r="O18" s="45">
        <f>SUM('LDPE-C2:EG-C6'!O18)+'OTHER(C2)-A11'!O18</f>
        <v>6801.8460000000005</v>
      </c>
      <c r="P18" s="45">
        <f>SUM('LDPE-C2:EG-C6'!P18)+'OTHER(C2)-A11'!P18</f>
        <v>6801.8460000000005</v>
      </c>
      <c r="Q18" s="51">
        <f>SUM('LDPE-C2:EG-C6'!Q18)+'OTHER(C2)-A11'!Q18</f>
        <v>6801.8460000000005</v>
      </c>
      <c r="R18" s="299">
        <f t="shared" si="0"/>
        <v>-1.5</v>
      </c>
      <c r="S18" s="300">
        <f t="shared" si="1"/>
        <v>-0.2</v>
      </c>
      <c r="T18" s="433"/>
      <c r="W18" s="28"/>
      <c r="X18" s="28"/>
      <c r="Y18" s="28"/>
    </row>
    <row r="19" spans="1:25" ht="15.75" customHeight="1">
      <c r="A19" s="16"/>
      <c r="B19" s="674" t="s">
        <v>307</v>
      </c>
      <c r="C19" s="675"/>
      <c r="D19" s="95">
        <f t="shared" ref="D19:Q19" si="2">SUM(D7:D18)</f>
        <v>51193.230651566519</v>
      </c>
      <c r="E19" s="92">
        <f t="shared" si="2"/>
        <v>53279.81705882353</v>
      </c>
      <c r="F19" s="93">
        <f t="shared" si="2"/>
        <v>56114.517512054008</v>
      </c>
      <c r="G19" s="93">
        <f t="shared" si="2"/>
        <v>59528.05967876513</v>
      </c>
      <c r="H19" s="93">
        <f t="shared" si="2"/>
        <v>62277.061529411767</v>
      </c>
      <c r="I19" s="93">
        <f t="shared" si="2"/>
        <v>64998.268588235296</v>
      </c>
      <c r="J19" s="93">
        <f t="shared" si="2"/>
        <v>68492.635647058822</v>
      </c>
      <c r="K19" s="96">
        <f t="shared" si="2"/>
        <v>70654.620705882349</v>
      </c>
      <c r="L19" s="94">
        <f t="shared" si="2"/>
        <v>74589.894235294123</v>
      </c>
      <c r="M19" s="93">
        <f t="shared" si="2"/>
        <v>78920.667764705882</v>
      </c>
      <c r="N19" s="93">
        <f t="shared" si="2"/>
        <v>85803.881294117658</v>
      </c>
      <c r="O19" s="93">
        <f t="shared" si="2"/>
        <v>91551.464823529401</v>
      </c>
      <c r="P19" s="93">
        <f t="shared" si="2"/>
        <v>93751.538352941163</v>
      </c>
      <c r="Q19" s="227">
        <f t="shared" si="2"/>
        <v>97886.261882352934</v>
      </c>
      <c r="R19" s="303">
        <f t="shared" si="0"/>
        <v>4.7</v>
      </c>
      <c r="S19" s="304">
        <f t="shared" si="1"/>
        <v>5.6</v>
      </c>
      <c r="T19" s="433"/>
      <c r="W19" s="28"/>
      <c r="X19" s="28"/>
      <c r="Y19" s="28"/>
    </row>
    <row r="20" spans="1:25" ht="15.75" customHeight="1">
      <c r="A20" s="16"/>
      <c r="B20" s="672" t="s">
        <v>308</v>
      </c>
      <c r="C20" s="673"/>
      <c r="D20" s="139">
        <f>SUM('LDPE-C2:EG-C6'!D20)+'OTHER(C2)-A11'!D20</f>
        <v>535.43999999999994</v>
      </c>
      <c r="E20" s="98">
        <f>SUM('LDPE-C2:EG-C6'!E20)+'OTHER(C2)-A11'!E20</f>
        <v>535.43999999999994</v>
      </c>
      <c r="F20" s="98">
        <f>SUM('LDPE-C2:EG-C6'!F20)+'OTHER(C2)-A11'!F20</f>
        <v>491.43999999999994</v>
      </c>
      <c r="G20" s="98">
        <f>SUM('LDPE-C2:EG-C6'!G20)+'OTHER(C2)-A11'!G20</f>
        <v>488.16</v>
      </c>
      <c r="H20" s="98">
        <f>SUM('LDPE-C2:EG-C6'!H20)+'OTHER(C2)-A11'!H20</f>
        <v>488.16</v>
      </c>
      <c r="I20" s="98">
        <f>SUM('LDPE-C2:EG-C6'!I20)+'OTHER(C2)-A11'!I20</f>
        <v>488.16</v>
      </c>
      <c r="J20" s="98">
        <f>SUM('LDPE-C2:EG-C6'!J20)+'OTHER(C2)-A11'!J20</f>
        <v>419.16</v>
      </c>
      <c r="K20" s="228">
        <f>SUM('LDPE-C2:EG-C6'!K20)+'OTHER(C2)-A11'!K20</f>
        <v>413.16</v>
      </c>
      <c r="L20" s="99">
        <f>SUM('LDPE-C2:EG-C6'!L20)+'OTHER(C2)-A11'!L20</f>
        <v>413.16</v>
      </c>
      <c r="M20" s="98">
        <f>SUM('LDPE-C2:EG-C6'!M20)+'OTHER(C2)-A11'!M20</f>
        <v>413.16</v>
      </c>
      <c r="N20" s="98">
        <f>SUM('LDPE-C2:EG-C6'!N20)+'OTHER(C2)-A11'!N20</f>
        <v>413.16</v>
      </c>
      <c r="O20" s="98">
        <f>SUM('LDPE-C2:EG-C6'!O20)+'OTHER(C2)-A11'!O20</f>
        <v>413.16</v>
      </c>
      <c r="P20" s="98">
        <f>SUM('LDPE-C2:EG-C6'!P20)+'OTHER(C2)-A11'!P20</f>
        <v>413.16</v>
      </c>
      <c r="Q20" s="229">
        <f>SUM('LDPE-C2:EG-C6'!Q20)+'OTHER(C2)-A11'!Q20</f>
        <v>413.16</v>
      </c>
      <c r="R20" s="303">
        <f t="shared" si="0"/>
        <v>-3.6</v>
      </c>
      <c r="S20" s="304">
        <f t="shared" si="1"/>
        <v>0</v>
      </c>
      <c r="T20" s="433"/>
      <c r="W20" s="28"/>
      <c r="X20" s="28"/>
      <c r="Y20" s="28"/>
    </row>
    <row r="21" spans="1:25" ht="15" customHeight="1">
      <c r="A21" s="16"/>
      <c r="B21" s="105"/>
      <c r="C21" s="97" t="s">
        <v>309</v>
      </c>
      <c r="D21" s="139">
        <f>SUM('LDPE-C2:EG-C6'!D21)+'OTHER(C2)-A11'!D21</f>
        <v>535.43999999999994</v>
      </c>
      <c r="E21" s="98">
        <f>SUM('LDPE-C2:EG-C6'!E21)+'OTHER(C2)-A11'!E21</f>
        <v>535.43999999999994</v>
      </c>
      <c r="F21" s="98">
        <f>SUM('LDPE-C2:EG-C6'!F21)+'OTHER(C2)-A11'!F21</f>
        <v>491.43999999999994</v>
      </c>
      <c r="G21" s="98">
        <f>SUM('LDPE-C2:EG-C6'!G21)+'OTHER(C2)-A11'!G21</f>
        <v>488.16</v>
      </c>
      <c r="H21" s="98">
        <f>SUM('LDPE-C2:EG-C6'!H21)+'OTHER(C2)-A11'!H21</f>
        <v>488.16</v>
      </c>
      <c r="I21" s="98">
        <f>SUM('LDPE-C2:EG-C6'!I21)+'OTHER(C2)-A11'!I21</f>
        <v>488.16</v>
      </c>
      <c r="J21" s="98">
        <f>SUM('LDPE-C2:EG-C6'!J21)+'OTHER(C2)-A11'!J21</f>
        <v>419.16</v>
      </c>
      <c r="K21" s="228">
        <f>SUM('LDPE-C2:EG-C6'!K21)+'OTHER(C2)-A11'!K21</f>
        <v>413.16</v>
      </c>
      <c r="L21" s="99">
        <f>SUM('LDPE-C2:EG-C6'!L21)+'OTHER(C2)-A11'!L21</f>
        <v>413.16</v>
      </c>
      <c r="M21" s="98">
        <f>SUM('LDPE-C2:EG-C6'!M21)+'OTHER(C2)-A11'!M21</f>
        <v>413.16</v>
      </c>
      <c r="N21" s="98">
        <f>SUM('LDPE-C2:EG-C6'!N21)+'OTHER(C2)-A11'!N21</f>
        <v>413.16</v>
      </c>
      <c r="O21" s="98">
        <f>SUM('LDPE-C2:EG-C6'!O21)+'OTHER(C2)-A11'!O21</f>
        <v>413.16</v>
      </c>
      <c r="P21" s="98">
        <f>SUM('LDPE-C2:EG-C6'!P21)+'OTHER(C2)-A11'!P21</f>
        <v>413.16</v>
      </c>
      <c r="Q21" s="229">
        <f>SUM('LDPE-C2:EG-C6'!Q21)+'OTHER(C2)-A11'!Q21</f>
        <v>413.16</v>
      </c>
      <c r="R21" s="303">
        <f t="shared" si="0"/>
        <v>-3.6</v>
      </c>
      <c r="S21" s="304">
        <f t="shared" si="1"/>
        <v>0</v>
      </c>
      <c r="T21" s="433"/>
      <c r="W21" s="28"/>
      <c r="X21" s="28"/>
      <c r="Y21" s="28"/>
    </row>
    <row r="22" spans="1:25" ht="15.75" customHeight="1">
      <c r="A22" s="16"/>
      <c r="B22" s="672" t="s">
        <v>310</v>
      </c>
      <c r="C22" s="673"/>
      <c r="D22" s="140">
        <f>SUM('LDPE-C2:EG-C6'!D22)+'OTHER(C2)-A11'!D22</f>
        <v>26867.9</v>
      </c>
      <c r="E22" s="45">
        <f>SUM('LDPE-C2:EG-C6'!E22)+'OTHER(C2)-A11'!E22</f>
        <v>26300.46</v>
      </c>
      <c r="F22" s="45">
        <f>SUM('LDPE-C2:EG-C6'!F22)+'OTHER(C2)-A11'!F22</f>
        <v>26028.379999999997</v>
      </c>
      <c r="G22" s="45">
        <f>SUM('LDPE-C2:EG-C6'!G22)+'OTHER(C2)-A11'!G22</f>
        <v>25238.68</v>
      </c>
      <c r="H22" s="45">
        <f>SUM('LDPE-C2:EG-C6'!H22)+'OTHER(C2)-A11'!H22</f>
        <v>24760.35</v>
      </c>
      <c r="I22" s="45">
        <f>SUM('LDPE-C2:EG-C6'!I22)+'OTHER(C2)-A11'!I22</f>
        <v>24611.65</v>
      </c>
      <c r="J22" s="45">
        <f>SUM('LDPE-C2:EG-C6'!J22)+'OTHER(C2)-A11'!J22</f>
        <v>24660.65</v>
      </c>
      <c r="K22" s="50">
        <f>SUM('LDPE-C2:EG-C6'!K22)+'OTHER(C2)-A11'!K22</f>
        <v>24736.300000000003</v>
      </c>
      <c r="L22" s="49">
        <f>SUM('LDPE-C2:EG-C6'!L22)+'OTHER(C2)-A11'!L22</f>
        <v>24836.300000000003</v>
      </c>
      <c r="M22" s="45">
        <f>SUM('LDPE-C2:EG-C6'!M22)+'OTHER(C2)-A11'!M22</f>
        <v>25117.100000000002</v>
      </c>
      <c r="N22" s="45">
        <f>SUM('LDPE-C2:EG-C6'!N22)+'OTHER(C2)-A11'!N22</f>
        <v>25117.100000000002</v>
      </c>
      <c r="O22" s="45">
        <f>SUM('LDPE-C2:EG-C6'!O22)+'OTHER(C2)-A11'!O22</f>
        <v>25117.100000000002</v>
      </c>
      <c r="P22" s="45">
        <f>SUM('LDPE-C2:EG-C6'!P22)+'OTHER(C2)-A11'!P22</f>
        <v>25117.100000000002</v>
      </c>
      <c r="Q22" s="51">
        <f>SUM('LDPE-C2:EG-C6'!Q22)+'OTHER(C2)-A11'!Q22</f>
        <v>25117.100000000002</v>
      </c>
      <c r="R22" s="299">
        <f t="shared" si="0"/>
        <v>-1.2</v>
      </c>
      <c r="S22" s="300">
        <f t="shared" si="1"/>
        <v>0.2</v>
      </c>
      <c r="T22" s="433"/>
      <c r="W22" s="28"/>
      <c r="X22" s="28"/>
      <c r="Y22" s="28"/>
    </row>
    <row r="23" spans="1:25" ht="15" customHeight="1">
      <c r="A23" s="16"/>
      <c r="B23" s="105"/>
      <c r="C23" s="615" t="s">
        <v>311</v>
      </c>
      <c r="D23" s="139">
        <f>SUM('LDPE-C2:EG-C6'!D23)+'OTHER(C2)-A11'!D23</f>
        <v>24079.599999999999</v>
      </c>
      <c r="E23" s="98">
        <f>SUM('LDPE-C2:EG-C6'!E23)+'OTHER(C2)-A11'!E23</f>
        <v>23484.66</v>
      </c>
      <c r="F23" s="98">
        <f>SUM('LDPE-C2:EG-C6'!F23)+'OTHER(C2)-A11'!F23</f>
        <v>23387.88</v>
      </c>
      <c r="G23" s="98">
        <f>SUM('LDPE-C2:EG-C6'!G23)+'OTHER(C2)-A11'!G23</f>
        <v>22620.78</v>
      </c>
      <c r="H23" s="98">
        <f>SUM('LDPE-C2:EG-C6'!H23)+'OTHER(C2)-A11'!H23</f>
        <v>22142.45</v>
      </c>
      <c r="I23" s="98">
        <f>SUM('LDPE-C2:EG-C6'!I23)+'OTHER(C2)-A11'!I23</f>
        <v>22128.75</v>
      </c>
      <c r="J23" s="98">
        <f>SUM('LDPE-C2:EG-C6'!J23)+'OTHER(C2)-A11'!J23</f>
        <v>22128.75</v>
      </c>
      <c r="K23" s="228">
        <f>SUM('LDPE-C2:EG-C6'!K23)+'OTHER(C2)-A11'!K23</f>
        <v>22219.4</v>
      </c>
      <c r="L23" s="99">
        <f>SUM('LDPE-C2:EG-C6'!L23)+'OTHER(C2)-A11'!L23</f>
        <v>22319.4</v>
      </c>
      <c r="M23" s="98">
        <f>SUM('LDPE-C2:EG-C6'!M23)+'OTHER(C2)-A11'!M23</f>
        <v>22319.4</v>
      </c>
      <c r="N23" s="98">
        <f>SUM('LDPE-C2:EG-C6'!N23)+'OTHER(C2)-A11'!N23</f>
        <v>22319.4</v>
      </c>
      <c r="O23" s="98">
        <f>SUM('LDPE-C2:EG-C6'!O23)+'OTHER(C2)-A11'!O23</f>
        <v>22319.4</v>
      </c>
      <c r="P23" s="98">
        <f>SUM('LDPE-C2:EG-C6'!P23)+'OTHER(C2)-A11'!P23</f>
        <v>22319.4</v>
      </c>
      <c r="Q23" s="229">
        <f>SUM('LDPE-C2:EG-C6'!Q23)+'OTHER(C2)-A11'!Q23</f>
        <v>22319.4</v>
      </c>
      <c r="R23" s="303">
        <f t="shared" si="0"/>
        <v>-1.1000000000000001</v>
      </c>
      <c r="S23" s="304">
        <f t="shared" si="1"/>
        <v>0</v>
      </c>
      <c r="T23" s="433"/>
      <c r="W23" s="28"/>
      <c r="X23" s="28"/>
      <c r="Y23" s="28"/>
    </row>
    <row r="24" spans="1:25" ht="15.75" customHeight="1">
      <c r="A24" s="16"/>
      <c r="B24" s="672" t="s">
        <v>312</v>
      </c>
      <c r="C24" s="673"/>
      <c r="D24" s="140">
        <f>SUM('LDPE-C2:EG-C6'!D24)+'OTHER(C2)-A11'!D24</f>
        <v>22517.95</v>
      </c>
      <c r="E24" s="45">
        <f>SUM('LDPE-C2:EG-C6'!E24)+'OTHER(C2)-A11'!E24</f>
        <v>24910.370000000003</v>
      </c>
      <c r="F24" s="45">
        <f>SUM('LDPE-C2:EG-C6'!F24)+'OTHER(C2)-A11'!F24</f>
        <v>26573.130000000005</v>
      </c>
      <c r="G24" s="45">
        <f>SUM('LDPE-C2:EG-C6'!G24)+'OTHER(C2)-A11'!G24</f>
        <v>26676.790000000005</v>
      </c>
      <c r="H24" s="45">
        <f>SUM('LDPE-C2:EG-C6'!H24)+'OTHER(C2)-A11'!H24</f>
        <v>28906.59</v>
      </c>
      <c r="I24" s="45">
        <f>SUM('LDPE-C2:EG-C6'!I24)+'OTHER(C2)-A11'!I24</f>
        <v>29089.59</v>
      </c>
      <c r="J24" s="45">
        <f>SUM('LDPE-C2:EG-C6'!J24)+'OTHER(C2)-A11'!J24</f>
        <v>30767.59</v>
      </c>
      <c r="K24" s="50">
        <f>SUM('LDPE-C2:EG-C6'!K24)+'OTHER(C2)-A11'!K24</f>
        <v>31065.99</v>
      </c>
      <c r="L24" s="49">
        <f>SUM('LDPE-C2:EG-C6'!L24)+'OTHER(C2)-A11'!L24</f>
        <v>31365.99</v>
      </c>
      <c r="M24" s="45">
        <f>SUM('LDPE-C2:EG-C6'!M24)+'OTHER(C2)-A11'!M24</f>
        <v>31830.79</v>
      </c>
      <c r="N24" s="45">
        <f>SUM('LDPE-C2:EG-C6'!N24)+'OTHER(C2)-A11'!N24</f>
        <v>33006.29</v>
      </c>
      <c r="O24" s="45">
        <f>SUM('LDPE-C2:EG-C6'!O24)+'OTHER(C2)-A11'!O24</f>
        <v>33106.29</v>
      </c>
      <c r="P24" s="45">
        <f>SUM('LDPE-C2:EG-C6'!P24)+'OTHER(C2)-A11'!P24</f>
        <v>33536.29</v>
      </c>
      <c r="Q24" s="51">
        <f>SUM('LDPE-C2:EG-C6'!Q24)+'OTHER(C2)-A11'!Q24</f>
        <v>33836.29</v>
      </c>
      <c r="R24" s="302">
        <f t="shared" si="0"/>
        <v>4.7</v>
      </c>
      <c r="S24" s="300">
        <f t="shared" si="1"/>
        <v>1.5</v>
      </c>
      <c r="T24" s="433"/>
      <c r="W24" s="28"/>
      <c r="X24" s="28"/>
      <c r="Y24" s="28"/>
    </row>
    <row r="25" spans="1:25" ht="15" customHeight="1">
      <c r="A25" s="16"/>
      <c r="B25" s="16"/>
      <c r="C25" s="615" t="s">
        <v>313</v>
      </c>
      <c r="D25" s="139">
        <f>SUM('LDPE-C2:EG-C6'!D25)+'OTHER(C2)-A11'!D25</f>
        <v>8758.6</v>
      </c>
      <c r="E25" s="98">
        <f>SUM('LDPE-C2:EG-C6'!E25)+'OTHER(C2)-A11'!E25</f>
        <v>14142.73</v>
      </c>
      <c r="F25" s="98">
        <f>SUM('LDPE-C2:EG-C6'!F25)+'OTHER(C2)-A11'!F25</f>
        <v>15286.73</v>
      </c>
      <c r="G25" s="98">
        <f>SUM('LDPE-C2:EG-C6'!G25)+'OTHER(C2)-A11'!G25</f>
        <v>15482.73</v>
      </c>
      <c r="H25" s="98">
        <f>SUM('LDPE-C2:EG-C6'!H25)+'OTHER(C2)-A11'!H25</f>
        <v>15810.73</v>
      </c>
      <c r="I25" s="98">
        <f>SUM('LDPE-C2:EG-C6'!I25)+'OTHER(C2)-A11'!I25</f>
        <v>15818.23</v>
      </c>
      <c r="J25" s="98">
        <f>SUM('LDPE-C2:EG-C6'!J25)+'OTHER(C2)-A11'!J25</f>
        <v>17426.23</v>
      </c>
      <c r="K25" s="228">
        <f>SUM('LDPE-C2:EG-C6'!K25)+'OTHER(C2)-A11'!K25</f>
        <v>17587.93</v>
      </c>
      <c r="L25" s="99">
        <f>SUM('LDPE-C2:EG-C6'!L25)+'OTHER(C2)-A11'!L25</f>
        <v>17587.93</v>
      </c>
      <c r="M25" s="98">
        <f>SUM('LDPE-C2:EG-C6'!M25)+'OTHER(C2)-A11'!M25</f>
        <v>17640.73</v>
      </c>
      <c r="N25" s="98">
        <f>SUM('LDPE-C2:EG-C6'!N25)+'OTHER(C2)-A11'!N25</f>
        <v>17640.73</v>
      </c>
      <c r="O25" s="98">
        <f>SUM('LDPE-C2:EG-C6'!O25)+'OTHER(C2)-A11'!O25</f>
        <v>17640.73</v>
      </c>
      <c r="P25" s="98">
        <f>SUM('LDPE-C2:EG-C6'!P25)+'OTHER(C2)-A11'!P25</f>
        <v>17973.629999999997</v>
      </c>
      <c r="Q25" s="229">
        <f>SUM('LDPE-C2:EG-C6'!Q25)+'OTHER(C2)-A11'!Q25</f>
        <v>17973.629999999997</v>
      </c>
      <c r="R25" s="303">
        <f t="shared" si="0"/>
        <v>10.5</v>
      </c>
      <c r="S25" s="304">
        <f t="shared" si="1"/>
        <v>0.4</v>
      </c>
      <c r="T25" s="433"/>
      <c r="W25" s="28"/>
      <c r="X25" s="28"/>
      <c r="Y25" s="28"/>
    </row>
    <row r="26" spans="1:25" ht="15.75" customHeight="1">
      <c r="A26" s="16"/>
      <c r="B26" s="674" t="s">
        <v>314</v>
      </c>
      <c r="C26" s="675"/>
      <c r="D26" s="139">
        <f>SUM('LDPE-C2:EG-C6'!D26)+'OTHER(C2)-A11'!D26</f>
        <v>1609.1</v>
      </c>
      <c r="E26" s="98">
        <f>SUM('LDPE-C2:EG-C6'!E26)+'OTHER(C2)-A11'!E26</f>
        <v>1607.1</v>
      </c>
      <c r="F26" s="98">
        <f>SUM('LDPE-C2:EG-C6'!F26)+'OTHER(C2)-A11'!F26</f>
        <v>1689.6</v>
      </c>
      <c r="G26" s="98">
        <f>SUM('LDPE-C2:EG-C6'!G26)+'OTHER(C2)-A11'!G26</f>
        <v>1669.6</v>
      </c>
      <c r="H26" s="98">
        <f>SUM('LDPE-C2:EG-C6'!H26)+'OTHER(C2)-A11'!H26</f>
        <v>1669.6</v>
      </c>
      <c r="I26" s="98">
        <f>SUM('LDPE-C2:EG-C6'!I26)+'OTHER(C2)-A11'!I26</f>
        <v>1669.6</v>
      </c>
      <c r="J26" s="98">
        <f>SUM('LDPE-C2:EG-C6'!J26)+'OTHER(C2)-A11'!J26</f>
        <v>2173.6</v>
      </c>
      <c r="K26" s="228">
        <f>SUM('LDPE-C2:EG-C6'!K26)+'OTHER(C2)-A11'!K26</f>
        <v>2233.6</v>
      </c>
      <c r="L26" s="99">
        <f>SUM('LDPE-C2:EG-C6'!L26)+'OTHER(C2)-A11'!L26</f>
        <v>2233.6</v>
      </c>
      <c r="M26" s="98">
        <f>SUM('LDPE-C2:EG-C6'!M26)+'OTHER(C2)-A11'!M26</f>
        <v>2233.6</v>
      </c>
      <c r="N26" s="98">
        <f>SUM('LDPE-C2:EG-C6'!N26)+'OTHER(C2)-A11'!N26</f>
        <v>2233.6</v>
      </c>
      <c r="O26" s="98">
        <f>SUM('LDPE-C2:EG-C6'!O26)+'OTHER(C2)-A11'!O26</f>
        <v>2233.6</v>
      </c>
      <c r="P26" s="98">
        <f>SUM('LDPE-C2:EG-C6'!P26)+'OTHER(C2)-A11'!P26</f>
        <v>2233.6</v>
      </c>
      <c r="Q26" s="229">
        <f>SUM('LDPE-C2:EG-C6'!Q26)+'OTHER(C2)-A11'!Q26</f>
        <v>2233.6</v>
      </c>
      <c r="R26" s="305">
        <f t="shared" si="0"/>
        <v>4.8</v>
      </c>
      <c r="S26" s="304">
        <f t="shared" si="1"/>
        <v>0</v>
      </c>
      <c r="T26" s="433"/>
      <c r="W26" s="28"/>
      <c r="X26" s="28"/>
      <c r="Y26" s="28"/>
    </row>
    <row r="27" spans="1:25" ht="15.75" customHeight="1">
      <c r="A27" s="16"/>
      <c r="B27" s="674" t="s">
        <v>315</v>
      </c>
      <c r="C27" s="675"/>
      <c r="D27" s="139">
        <f>SUM('LDPE-C2:EG-C6'!D27)+'OTHER(C2)-A11'!D27</f>
        <v>4031.9600000000005</v>
      </c>
      <c r="E27" s="98">
        <f>SUM('LDPE-C2:EG-C6'!E27)+'OTHER(C2)-A11'!E27</f>
        <v>4187.9600000000009</v>
      </c>
      <c r="F27" s="98">
        <f>SUM('LDPE-C2:EG-C6'!F27)+'OTHER(C2)-A11'!F27</f>
        <v>4187.9600000000009</v>
      </c>
      <c r="G27" s="98">
        <f>SUM('LDPE-C2:EG-C6'!G27)+'OTHER(C2)-A11'!G27</f>
        <v>4082.4399999999996</v>
      </c>
      <c r="H27" s="98">
        <f>SUM('LDPE-C2:EG-C6'!H27)+'OTHER(C2)-A11'!H27</f>
        <v>4271.2899999999991</v>
      </c>
      <c r="I27" s="98">
        <f>SUM('LDPE-C2:EG-C6'!I27)+'OTHER(C2)-A11'!I27</f>
        <v>4694.6049999999996</v>
      </c>
      <c r="J27" s="98">
        <f>SUM('LDPE-C2:EG-C6'!J27)+'OTHER(C2)-A11'!J27</f>
        <v>4807.0149999999994</v>
      </c>
      <c r="K27" s="228">
        <f>SUM('LDPE-C2:EG-C6'!K27)+'OTHER(C2)-A11'!K27</f>
        <v>5069.29</v>
      </c>
      <c r="L27" s="99">
        <f>SUM('LDPE-C2:EG-C6'!L27)+'OTHER(C2)-A11'!L27</f>
        <v>5599.6900000000005</v>
      </c>
      <c r="M27" s="98">
        <f>SUM('LDPE-C2:EG-C6'!M27)+'OTHER(C2)-A11'!M27</f>
        <v>6594.4900000000007</v>
      </c>
      <c r="N27" s="98">
        <f>SUM('LDPE-C2:EG-C6'!N27)+'OTHER(C2)-A11'!N27</f>
        <v>6790.4900000000007</v>
      </c>
      <c r="O27" s="98">
        <f>SUM('LDPE-C2:EG-C6'!O27)+'OTHER(C2)-A11'!O27</f>
        <v>7558.4900000000007</v>
      </c>
      <c r="P27" s="98">
        <f>SUM('LDPE-C2:EG-C6'!P27)+'OTHER(C2)-A11'!P27</f>
        <v>9262.4900000000016</v>
      </c>
      <c r="Q27" s="229">
        <f>SUM('LDPE-C2:EG-C6'!Q27)+'OTHER(C2)-A11'!Q27</f>
        <v>9262.4900000000016</v>
      </c>
      <c r="R27" s="303">
        <f t="shared" si="0"/>
        <v>3.3</v>
      </c>
      <c r="S27" s="304">
        <f t="shared" si="1"/>
        <v>10.6</v>
      </c>
      <c r="T27" s="433"/>
      <c r="W27" s="28"/>
      <c r="X27" s="28"/>
      <c r="Y27" s="28"/>
    </row>
    <row r="28" spans="1:25" ht="15" customHeight="1">
      <c r="A28" s="16"/>
      <c r="B28" s="672" t="s">
        <v>316</v>
      </c>
      <c r="C28" s="673"/>
      <c r="D28" s="140">
        <f>SUM('LDPE-C2:EG-C6'!D28)+'OTHER(C2)-A11'!D28</f>
        <v>26452.469999999998</v>
      </c>
      <c r="E28" s="45">
        <f>SUM('LDPE-C2:EG-C6'!E28)+'OTHER(C2)-A11'!E28</f>
        <v>26243.429999999997</v>
      </c>
      <c r="F28" s="45">
        <f>SUM('LDPE-C2:EG-C6'!F28)+'OTHER(C2)-A11'!F28</f>
        <v>26276.670000000002</v>
      </c>
      <c r="G28" s="45">
        <f>SUM('LDPE-C2:EG-C6'!G28)+'OTHER(C2)-A11'!G28</f>
        <v>27174.890000000003</v>
      </c>
      <c r="H28" s="45">
        <f>SUM('LDPE-C2:EG-C6'!H28)+'OTHER(C2)-A11'!H28</f>
        <v>27389.13</v>
      </c>
      <c r="I28" s="45">
        <f>SUM('LDPE-C2:EG-C6'!I28)+'OTHER(C2)-A11'!I28</f>
        <v>27420.690000000002</v>
      </c>
      <c r="J28" s="45">
        <f>SUM('LDPE-C2:EG-C6'!J28)+'OTHER(C2)-A11'!J28</f>
        <v>27920.37</v>
      </c>
      <c r="K28" s="50">
        <f>SUM('LDPE-C2:EG-C6'!K28)+'OTHER(C2)-A11'!K28</f>
        <v>29191.19</v>
      </c>
      <c r="L28" s="49">
        <f>SUM('LDPE-C2:EG-C6'!L28)+'OTHER(C2)-A11'!L28</f>
        <v>32036.59</v>
      </c>
      <c r="M28" s="45">
        <f>SUM('LDPE-C2:EG-C6'!M28)+'OTHER(C2)-A11'!M28</f>
        <v>34348.850000000006</v>
      </c>
      <c r="N28" s="45">
        <f>SUM('LDPE-C2:EG-C6'!N28)+'OTHER(C2)-A11'!N28</f>
        <v>36668.229999999996</v>
      </c>
      <c r="O28" s="45">
        <f>SUM('LDPE-C2:EG-C6'!O28)+'OTHER(C2)-A11'!O28</f>
        <v>37837.53</v>
      </c>
      <c r="P28" s="45">
        <f>SUM('LDPE-C2:EG-C6'!P28)+'OTHER(C2)-A11'!P28</f>
        <v>38721.81</v>
      </c>
      <c r="Q28" s="51">
        <f>SUM('LDPE-C2:EG-C6'!Q28)+'OTHER(C2)-A11'!Q28</f>
        <v>38690.01</v>
      </c>
      <c r="R28" s="299">
        <f t="shared" si="0"/>
        <v>1.4</v>
      </c>
      <c r="S28" s="300">
        <f t="shared" si="1"/>
        <v>3.8</v>
      </c>
      <c r="T28" s="433"/>
      <c r="W28" s="28"/>
      <c r="X28" s="28"/>
      <c r="Y28" s="28"/>
    </row>
    <row r="29" spans="1:25" ht="15" customHeight="1">
      <c r="A29" s="16"/>
      <c r="B29" s="670" t="s">
        <v>317</v>
      </c>
      <c r="C29" s="671"/>
      <c r="D29" s="140">
        <f>SUM('LDPE-C2:EG-C6'!D29)+'OTHER(C2)-A11'!D29</f>
        <v>5225.09</v>
      </c>
      <c r="E29" s="45">
        <f>SUM('LDPE-C2:EG-C6'!E29)+'OTHER(C2)-A11'!E29</f>
        <v>5225.09</v>
      </c>
      <c r="F29" s="45">
        <f>SUM('LDPE-C2:EG-C6'!F29)+'OTHER(C2)-A11'!F29</f>
        <v>5215.1900000000005</v>
      </c>
      <c r="G29" s="45">
        <f>SUM('LDPE-C2:EG-C6'!G29)+'OTHER(C2)-A11'!G29</f>
        <v>5247.23</v>
      </c>
      <c r="H29" s="45">
        <f>SUM('LDPE-C2:EG-C6'!H29)+'OTHER(C2)-A11'!H29</f>
        <v>5247.23</v>
      </c>
      <c r="I29" s="45">
        <f>SUM('LDPE-C2:EG-C6'!I29)+'OTHER(C2)-A11'!I29</f>
        <v>5273.23</v>
      </c>
      <c r="J29" s="45">
        <f>SUM('LDPE-C2:EG-C6'!J29)+'OTHER(C2)-A11'!J29</f>
        <v>5805.49</v>
      </c>
      <c r="K29" s="50">
        <f>SUM('LDPE-C2:EG-C6'!K29)+'OTHER(C2)-A11'!K29</f>
        <v>5963.8899999999994</v>
      </c>
      <c r="L29" s="49">
        <f>SUM('LDPE-C2:EG-C6'!L29)+'OTHER(C2)-A11'!L29</f>
        <v>5963.8899999999994</v>
      </c>
      <c r="M29" s="45">
        <f>SUM('LDPE-C2:EG-C6'!M29)+'OTHER(C2)-A11'!M29</f>
        <v>5963.8899999999994</v>
      </c>
      <c r="N29" s="45">
        <f>SUM('LDPE-C2:EG-C6'!N29)+'OTHER(C2)-A11'!N29</f>
        <v>5963.8899999999994</v>
      </c>
      <c r="O29" s="45">
        <f>SUM('LDPE-C2:EG-C6'!O29)+'OTHER(C2)-A11'!O29</f>
        <v>6074.6299999999992</v>
      </c>
      <c r="P29" s="45">
        <f>SUM('LDPE-C2:EG-C6'!P29)+'OTHER(C2)-A11'!P29</f>
        <v>6404.8899999999994</v>
      </c>
      <c r="Q29" s="51">
        <f>SUM('LDPE-C2:EG-C6'!Q29)+'OTHER(C2)-A11'!Q29</f>
        <v>6404.8899999999994</v>
      </c>
      <c r="R29" s="299">
        <f t="shared" si="0"/>
        <v>1.9</v>
      </c>
      <c r="S29" s="300">
        <f t="shared" si="1"/>
        <v>1.4</v>
      </c>
      <c r="T29" s="433"/>
      <c r="W29" s="28"/>
      <c r="X29" s="28"/>
      <c r="Y29" s="28"/>
    </row>
    <row r="30" spans="1:25" ht="15.75" customHeight="1">
      <c r="A30" s="16"/>
      <c r="B30" s="674" t="s">
        <v>318</v>
      </c>
      <c r="C30" s="675"/>
      <c r="D30" s="139">
        <f>SUM('LDPE-C2:EG-C6'!D30)+'OTHER(C2)-A11'!D30</f>
        <v>31677.559999999998</v>
      </c>
      <c r="E30" s="98">
        <f>SUM('LDPE-C2:EG-C6'!E30)+'OTHER(C2)-A11'!E30</f>
        <v>31468.52</v>
      </c>
      <c r="F30" s="98">
        <f>SUM('LDPE-C2:EG-C6'!F30)+'OTHER(C2)-A11'!F30</f>
        <v>31491.860000000004</v>
      </c>
      <c r="G30" s="98">
        <f>SUM('LDPE-C2:EG-C6'!G30)+'OTHER(C2)-A11'!G30</f>
        <v>32422.120000000003</v>
      </c>
      <c r="H30" s="98">
        <f>SUM('LDPE-C2:EG-C6'!H30)+'OTHER(C2)-A11'!H30</f>
        <v>32636.360000000004</v>
      </c>
      <c r="I30" s="98">
        <f>SUM('LDPE-C2:EG-C6'!I30)+'OTHER(C2)-A11'!I30</f>
        <v>32693.920000000002</v>
      </c>
      <c r="J30" s="98">
        <f>SUM('LDPE-C2:EG-C6'!J30)+'OTHER(C2)-A11'!J30</f>
        <v>33725.86</v>
      </c>
      <c r="K30" s="228">
        <f>SUM('LDPE-C2:EG-C6'!K30)+'OTHER(C2)-A11'!K30</f>
        <v>35155.08</v>
      </c>
      <c r="L30" s="99">
        <f>SUM('LDPE-C2:EG-C6'!L30)+'OTHER(C2)-A11'!L30</f>
        <v>38000.479999999996</v>
      </c>
      <c r="M30" s="98">
        <f>SUM('LDPE-C2:EG-C6'!M30)+'OTHER(C2)-A11'!M30</f>
        <v>40312.740000000005</v>
      </c>
      <c r="N30" s="98">
        <f>SUM('LDPE-C2:EG-C6'!N30)+'OTHER(C2)-A11'!N30</f>
        <v>42632.119999999995</v>
      </c>
      <c r="O30" s="98">
        <f>SUM('LDPE-C2:EG-C6'!O30)+'OTHER(C2)-A11'!O30</f>
        <v>43912.160000000003</v>
      </c>
      <c r="P30" s="98">
        <f>SUM('LDPE-C2:EG-C6'!P30)+'OTHER(C2)-A11'!P30</f>
        <v>45126.700000000004</v>
      </c>
      <c r="Q30" s="229">
        <f>SUM('LDPE-C2:EG-C6'!Q30)+'OTHER(C2)-A11'!Q30</f>
        <v>45094.900000000009</v>
      </c>
      <c r="R30" s="303">
        <f t="shared" si="0"/>
        <v>1.5</v>
      </c>
      <c r="S30" s="304">
        <f t="shared" si="1"/>
        <v>3.5</v>
      </c>
      <c r="T30" s="433"/>
      <c r="W30" s="28"/>
      <c r="X30" s="28"/>
      <c r="Y30" s="28"/>
    </row>
    <row r="31" spans="1:25" ht="15" customHeight="1">
      <c r="A31" s="16"/>
      <c r="B31" s="672" t="s">
        <v>319</v>
      </c>
      <c r="C31" s="673"/>
      <c r="D31" s="140">
        <f>SUM('LDPE-C2:EG-C6'!D31)+'OTHER(C2)-A11'!D31</f>
        <v>1833.9</v>
      </c>
      <c r="E31" s="45">
        <f>SUM('LDPE-C2:EG-C6'!E31)+'OTHER(C2)-A11'!E31</f>
        <v>1848.1698161111112</v>
      </c>
      <c r="F31" s="45">
        <f>SUM('LDPE-C2:EG-C6'!F31)+'OTHER(C2)-A11'!F31</f>
        <v>1593.9</v>
      </c>
      <c r="G31" s="45">
        <f>SUM('LDPE-C2:EG-C6'!G31)+'OTHER(C2)-A11'!G31</f>
        <v>1593.9</v>
      </c>
      <c r="H31" s="45">
        <f>SUM('LDPE-C2:EG-C6'!H31)+'OTHER(C2)-A11'!H31</f>
        <v>1593.9</v>
      </c>
      <c r="I31" s="45">
        <f>SUM('LDPE-C2:EG-C6'!I31)+'OTHER(C2)-A11'!I31</f>
        <v>1883.9</v>
      </c>
      <c r="J31" s="45">
        <f>SUM('LDPE-C2:EG-C6'!J31)+'OTHER(C2)-A11'!J31</f>
        <v>2640.92</v>
      </c>
      <c r="K31" s="50">
        <f>SUM('LDPE-C2:EG-C6'!K31)+'OTHER(C2)-A11'!K31</f>
        <v>2993.6</v>
      </c>
      <c r="L31" s="49">
        <f>SUM('LDPE-C2:EG-C6'!L31)+'OTHER(C2)-A11'!L31</f>
        <v>2993.6</v>
      </c>
      <c r="M31" s="45">
        <f>SUM('LDPE-C2:EG-C6'!M31)+'OTHER(C2)-A11'!M31</f>
        <v>2993.6</v>
      </c>
      <c r="N31" s="45">
        <f>SUM('LDPE-C2:EG-C6'!N31)+'OTHER(C2)-A11'!N31</f>
        <v>2993.6</v>
      </c>
      <c r="O31" s="45">
        <f>SUM('LDPE-C2:EG-C6'!O31)+'OTHER(C2)-A11'!O31</f>
        <v>2993.6</v>
      </c>
      <c r="P31" s="45">
        <f>SUM('LDPE-C2:EG-C6'!P31)+'OTHER(C2)-A11'!P31</f>
        <v>2993.6</v>
      </c>
      <c r="Q31" s="51">
        <f>SUM('LDPE-C2:EG-C6'!Q31)+'OTHER(C2)-A11'!Q31</f>
        <v>2993.6</v>
      </c>
      <c r="R31" s="299">
        <f t="shared" si="0"/>
        <v>7.3</v>
      </c>
      <c r="S31" s="300">
        <f t="shared" si="1"/>
        <v>0</v>
      </c>
      <c r="T31" s="433"/>
      <c r="W31" s="28"/>
      <c r="X31" s="28"/>
      <c r="Y31" s="28"/>
    </row>
    <row r="32" spans="1:25" ht="15" customHeight="1">
      <c r="A32" s="16"/>
      <c r="B32" s="668" t="s">
        <v>320</v>
      </c>
      <c r="C32" s="669"/>
      <c r="D32" s="140">
        <f>SUM('LDPE-C2:EG-C6'!D32)+'OTHER(C2)-A11'!D32</f>
        <v>3878.4126573099416</v>
      </c>
      <c r="E32" s="45">
        <f>SUM('LDPE-C2:EG-C6'!E32)+'OTHER(C2)-A11'!E32</f>
        <v>3862.27</v>
      </c>
      <c r="F32" s="45">
        <f>SUM('LDPE-C2:EG-C6'!F32)+'OTHER(C2)-A11'!F32</f>
        <v>3915.6699999999996</v>
      </c>
      <c r="G32" s="45">
        <f>SUM('LDPE-C2:EG-C6'!G32)+'OTHER(C2)-A11'!G32</f>
        <v>3915.6699999999996</v>
      </c>
      <c r="H32" s="45">
        <f>SUM('LDPE-C2:EG-C6'!H32)+'OTHER(C2)-A11'!H32</f>
        <v>3915.6699999999996</v>
      </c>
      <c r="I32" s="45">
        <f>SUM('LDPE-C2:EG-C6'!I32)+'OTHER(C2)-A11'!I32</f>
        <v>4028.8399999999997</v>
      </c>
      <c r="J32" s="45">
        <f>SUM('LDPE-C2:EG-C6'!J32)+'OTHER(C2)-A11'!J32</f>
        <v>4028.8399999999997</v>
      </c>
      <c r="K32" s="50">
        <f>SUM('LDPE-C2:EG-C6'!K32)+'OTHER(C2)-A11'!K32</f>
        <v>4028.8399999999997</v>
      </c>
      <c r="L32" s="49">
        <f>SUM('LDPE-C2:EG-C6'!L32)+'OTHER(C2)-A11'!L32</f>
        <v>4038.8399999999997</v>
      </c>
      <c r="M32" s="45">
        <f>SUM('LDPE-C2:EG-C6'!M32)+'OTHER(C2)-A11'!M32</f>
        <v>4073.6399999999994</v>
      </c>
      <c r="N32" s="45">
        <f>SUM('LDPE-C2:EG-C6'!N32)+'OTHER(C2)-A11'!N32</f>
        <v>4085.24</v>
      </c>
      <c r="O32" s="45">
        <f>SUM('LDPE-C2:EG-C6'!O32)+'OTHER(C2)-A11'!O32</f>
        <v>4085.24</v>
      </c>
      <c r="P32" s="45">
        <f>SUM('LDPE-C2:EG-C6'!P32)+'OTHER(C2)-A11'!P32</f>
        <v>4085.24</v>
      </c>
      <c r="Q32" s="51">
        <f>SUM('LDPE-C2:EG-C6'!Q32)+'OTHER(C2)-A11'!Q32</f>
        <v>4085.24</v>
      </c>
      <c r="R32" s="299">
        <f t="shared" si="0"/>
        <v>0.5</v>
      </c>
      <c r="S32" s="300">
        <f t="shared" si="1"/>
        <v>0.2</v>
      </c>
      <c r="T32" s="433"/>
      <c r="W32" s="28"/>
      <c r="X32" s="28"/>
      <c r="Y32" s="28"/>
    </row>
    <row r="33" spans="1:25" ht="15" customHeight="1">
      <c r="A33" s="16"/>
      <c r="B33" s="670" t="s">
        <v>321</v>
      </c>
      <c r="C33" s="671"/>
      <c r="D33" s="140">
        <f>SUM('LDPE-C2:EG-C6'!D33)+'OTHER(C2)-A11'!D33</f>
        <v>1925.48</v>
      </c>
      <c r="E33" s="45">
        <f>SUM('LDPE-C2:EG-C6'!E33)+'OTHER(C2)-A11'!E33</f>
        <v>1925.48</v>
      </c>
      <c r="F33" s="45">
        <f>SUM('LDPE-C2:EG-C6'!F33)+'OTHER(C2)-A11'!F33</f>
        <v>1918.8133333333333</v>
      </c>
      <c r="G33" s="45">
        <f>SUM('LDPE-C2:EG-C6'!G33)+'OTHER(C2)-A11'!G33</f>
        <v>1842.2800000000002</v>
      </c>
      <c r="H33" s="45">
        <f>SUM('LDPE-C2:EG-C6'!H33)+'OTHER(C2)-A11'!H33</f>
        <v>1866.7800000000002</v>
      </c>
      <c r="I33" s="45">
        <f>SUM('LDPE-C2:EG-C6'!I33)+'OTHER(C2)-A11'!I33</f>
        <v>1871.7800000000002</v>
      </c>
      <c r="J33" s="45">
        <f>SUM('LDPE-C2:EG-C6'!J33)+'OTHER(C2)-A11'!J33</f>
        <v>1871.7800000000002</v>
      </c>
      <c r="K33" s="50">
        <f>SUM('LDPE-C2:EG-C6'!K33)+'OTHER(C2)-A11'!K33</f>
        <v>1871.7800000000002</v>
      </c>
      <c r="L33" s="49">
        <f>SUM('LDPE-C2:EG-C6'!L33)+'OTHER(C2)-A11'!L33</f>
        <v>1871.7800000000002</v>
      </c>
      <c r="M33" s="45">
        <f>SUM('LDPE-C2:EG-C6'!M33)+'OTHER(C2)-A11'!M33</f>
        <v>1871.7800000000002</v>
      </c>
      <c r="N33" s="45">
        <f>SUM('LDPE-C2:EG-C6'!N33)+'OTHER(C2)-A11'!N33</f>
        <v>1871.7800000000002</v>
      </c>
      <c r="O33" s="45">
        <f>SUM('LDPE-C2:EG-C6'!O33)+'OTHER(C2)-A11'!O33</f>
        <v>1871.7800000000002</v>
      </c>
      <c r="P33" s="45">
        <f>SUM('LDPE-C2:EG-C6'!P33)+'OTHER(C2)-A11'!P33</f>
        <v>1871.7800000000002</v>
      </c>
      <c r="Q33" s="51">
        <f>SUM('LDPE-C2:EG-C6'!Q33)+'OTHER(C2)-A11'!Q33</f>
        <v>1871.7800000000002</v>
      </c>
      <c r="R33" s="299">
        <f t="shared" si="0"/>
        <v>-0.4</v>
      </c>
      <c r="S33" s="300">
        <f t="shared" si="1"/>
        <v>0</v>
      </c>
      <c r="T33" s="433"/>
      <c r="W33" s="28"/>
      <c r="X33" s="28"/>
      <c r="Y33" s="28"/>
    </row>
    <row r="34" spans="1:25" ht="15.75" customHeight="1" thickBot="1">
      <c r="A34" s="16"/>
      <c r="B34" s="678" t="s">
        <v>322</v>
      </c>
      <c r="C34" s="679"/>
      <c r="D34" s="234">
        <f>SUM('LDPE-C2:EG-C6'!D34)+'OTHER(C2)-A11'!D34</f>
        <v>7637.7926573099412</v>
      </c>
      <c r="E34" s="235">
        <f>SUM('LDPE-C2:EG-C6'!E34)+'OTHER(C2)-A11'!E34</f>
        <v>7635.9198161111108</v>
      </c>
      <c r="F34" s="235">
        <f>SUM('LDPE-C2:EG-C6'!F34)+'OTHER(C2)-A11'!F34</f>
        <v>7428.3833333333332</v>
      </c>
      <c r="G34" s="235">
        <f>SUM('LDPE-C2:EG-C6'!G34)+'OTHER(C2)-A11'!G34</f>
        <v>7351.85</v>
      </c>
      <c r="H34" s="235">
        <f>SUM('LDPE-C2:EG-C6'!H34)+'OTHER(C2)-A11'!H34</f>
        <v>7376.35</v>
      </c>
      <c r="I34" s="235">
        <f>SUM('LDPE-C2:EG-C6'!I34)+'OTHER(C2)-A11'!I34</f>
        <v>7784.52</v>
      </c>
      <c r="J34" s="235">
        <f>SUM('LDPE-C2:EG-C6'!J34)+'OTHER(C2)-A11'!J34</f>
        <v>8541.5400000000009</v>
      </c>
      <c r="K34" s="236">
        <f>SUM('LDPE-C2:EG-C6'!K34)+'OTHER(C2)-A11'!K34</f>
        <v>8894.2199999999993</v>
      </c>
      <c r="L34" s="237">
        <f>SUM('LDPE-C2:EG-C6'!L34)+'OTHER(C2)-A11'!L34</f>
        <v>8904.2199999999993</v>
      </c>
      <c r="M34" s="235">
        <f>SUM('LDPE-C2:EG-C6'!M34)+'OTHER(C2)-A11'!M34</f>
        <v>8939.02</v>
      </c>
      <c r="N34" s="235">
        <f>SUM('LDPE-C2:EG-C6'!N34)+'OTHER(C2)-A11'!N34</f>
        <v>8950.619999999999</v>
      </c>
      <c r="O34" s="235">
        <f>SUM('LDPE-C2:EG-C6'!O34)+'OTHER(C2)-A11'!O34</f>
        <v>8950.619999999999</v>
      </c>
      <c r="P34" s="235">
        <f>SUM('LDPE-C2:EG-C6'!P34)+'OTHER(C2)-A11'!P34</f>
        <v>8950.619999999999</v>
      </c>
      <c r="Q34" s="238">
        <f>SUM('LDPE-C2:EG-C6'!Q34)+'OTHER(C2)-A11'!Q34</f>
        <v>8950.619999999999</v>
      </c>
      <c r="R34" s="306">
        <f t="shared" si="0"/>
        <v>2.2000000000000002</v>
      </c>
      <c r="S34" s="307">
        <f t="shared" si="1"/>
        <v>0.1</v>
      </c>
      <c r="T34" s="433"/>
      <c r="W34" s="28"/>
      <c r="X34" s="28"/>
      <c r="Y34" s="28"/>
    </row>
    <row r="35" spans="1:25" ht="18" customHeight="1" thickTop="1" thickBot="1">
      <c r="A35" s="21"/>
      <c r="B35" s="625"/>
      <c r="C35" s="626" t="s">
        <v>323</v>
      </c>
      <c r="D35" s="118">
        <f>D34+D30+D27+D26+D24+D22+D20+D19</f>
        <v>146070.93330887647</v>
      </c>
      <c r="E35" s="116">
        <f t="shared" ref="E35:Q35" si="3">E34+E30+E27+E26+E24+E22+E20+E19</f>
        <v>149925.58687493464</v>
      </c>
      <c r="F35" s="116">
        <f t="shared" si="3"/>
        <v>154005.27084538736</v>
      </c>
      <c r="G35" s="116">
        <f t="shared" si="3"/>
        <v>157457.69967876514</v>
      </c>
      <c r="H35" s="116">
        <f t="shared" si="3"/>
        <v>162385.76152941177</v>
      </c>
      <c r="I35" s="116">
        <f t="shared" si="3"/>
        <v>166030.31358823529</v>
      </c>
      <c r="J35" s="116">
        <f t="shared" si="3"/>
        <v>173588.05064705882</v>
      </c>
      <c r="K35" s="264">
        <f>K34+K30+K27+K26+K24+K22+K20+K19</f>
        <v>178222.26070588236</v>
      </c>
      <c r="L35" s="263">
        <f t="shared" si="3"/>
        <v>185943.33423529414</v>
      </c>
      <c r="M35" s="262">
        <f t="shared" si="3"/>
        <v>194361.56776470592</v>
      </c>
      <c r="N35" s="262">
        <f t="shared" si="3"/>
        <v>204947.26129411766</v>
      </c>
      <c r="O35" s="262">
        <f t="shared" si="3"/>
        <v>212842.8848235294</v>
      </c>
      <c r="P35" s="262">
        <f t="shared" si="3"/>
        <v>218391.49835294118</v>
      </c>
      <c r="Q35" s="399">
        <f t="shared" si="3"/>
        <v>222794.42188235297</v>
      </c>
      <c r="R35" s="308">
        <f t="shared" si="0"/>
        <v>2.9</v>
      </c>
      <c r="S35" s="309">
        <f t="shared" si="1"/>
        <v>3.7</v>
      </c>
      <c r="T35" s="433"/>
      <c r="W35" s="28"/>
      <c r="X35" s="28"/>
      <c r="Y35" s="28"/>
    </row>
    <row r="36" spans="1:25" ht="15" customHeight="1">
      <c r="A36" s="613" t="s">
        <v>324</v>
      </c>
      <c r="B36" s="644" t="s">
        <v>433</v>
      </c>
      <c r="C36" s="645"/>
      <c r="D36" s="140">
        <f>SUM('LDPE-C2:EG-C6'!D36)+'OTHER(C2)-A11'!D36+'VCM-B8'!D7*0.49+'EDC-B9'!D7*0.29</f>
        <v>6785.87</v>
      </c>
      <c r="E36" s="45">
        <f>SUM('LDPE-C2:EG-C6'!E36)+'OTHER(C2)-A11'!E36+'VCM-B8'!E7*0.49+'EDC-B9'!E7*0.29</f>
        <v>6742.89</v>
      </c>
      <c r="F36" s="45">
        <f>SUM('LDPE-C2:EG-C6'!F36)+'OTHER(C2)-A11'!F36+'VCM-B8'!F7*0.49+'EDC-B9'!F7*0.29</f>
        <v>6988.15</v>
      </c>
      <c r="G36" s="45">
        <f>SUM('LDPE-C2:EG-C6'!G36)+'OTHER(C2)-A11'!G36+'VCM-B8'!G7*0.49+'EDC-B9'!G7*0.29</f>
        <v>7226.9800000000005</v>
      </c>
      <c r="H36" s="45">
        <f>SUM('LDPE-C2:EG-C6'!H36)+'OTHER(C2)-A11'!H36+'VCM-B8'!H7*0.49+'EDC-B9'!H7*0.29</f>
        <v>7672.67</v>
      </c>
      <c r="I36" s="45">
        <f>SUM('LDPE-C2:EG-C6'!I36)+'OTHER(C2)-A11'!I36+'VCM-B8'!I7*0.49+'EDC-B9'!I7*0.29</f>
        <v>7765.19</v>
      </c>
      <c r="J36" s="45">
        <f>SUM('LDPE-C2:EG-C6'!J36)+'OTHER(C2)-A11'!J36+'VCM-B8'!J7*0.49+'EDC-B9'!J7*0.29</f>
        <v>7875.9000000000015</v>
      </c>
      <c r="K36" s="50">
        <f>SUM('LDPE-C2:EG-C6'!K36)+'OTHER(C2)-A11'!K36+'VCM-B8'!K7*0.49+'EDC-B9'!K7*0.29</f>
        <v>8049.2</v>
      </c>
      <c r="L36" s="49">
        <f>SUM('LDPE-C2:EG-C6'!L36)+'OTHER(C2)-A11'!L36+'VCM-B8'!L7*0.49+'EDC-B9'!L7*0.29</f>
        <v>8038.4</v>
      </c>
      <c r="M36" s="45">
        <f>SUM('LDPE-C2:EG-C6'!M36)+'OTHER(C2)-A11'!M36+'VCM-B8'!M7*0.49+'EDC-B9'!M7*0.29</f>
        <v>8350.4</v>
      </c>
      <c r="N36" s="45">
        <f>SUM('LDPE-C2:EG-C6'!N36)+'OTHER(C2)-A11'!N36+'VCM-B8'!N7*0.49+'EDC-B9'!N7*0.29</f>
        <v>8884.9</v>
      </c>
      <c r="O36" s="45">
        <f>SUM('LDPE-C2:EG-C6'!O36)+'OTHER(C2)-A11'!O36+'VCM-B8'!O7*0.49+'EDC-B9'!O7*0.29</f>
        <v>9784.7000000000007</v>
      </c>
      <c r="P36" s="45">
        <f>SUM('LDPE-C2:EG-C6'!P36)+'OTHER(C2)-A11'!P36+'VCM-B8'!P7*0.49+'EDC-B9'!P7*0.29</f>
        <v>10610.5</v>
      </c>
      <c r="Q36" s="51">
        <f>SUM('LDPE-C2:EG-C6'!Q36)+'OTHER(C2)-A11'!Q36+'VCM-B8'!Q7*0.49+'EDC-B9'!Q7*0.29</f>
        <v>11112.5</v>
      </c>
      <c r="R36" s="299">
        <f t="shared" si="0"/>
        <v>2.5</v>
      </c>
      <c r="S36" s="300">
        <f t="shared" si="1"/>
        <v>6.7</v>
      </c>
      <c r="T36" s="433"/>
      <c r="W36" s="28"/>
      <c r="X36" s="28"/>
      <c r="Y36" s="28"/>
    </row>
    <row r="37" spans="1:25" ht="15" customHeight="1">
      <c r="A37" s="614" t="s">
        <v>325</v>
      </c>
      <c r="B37" s="605" t="s">
        <v>434</v>
      </c>
      <c r="C37" s="606"/>
      <c r="D37" s="140">
        <f>SUM('LDPE-C2:EG-C6'!D37)+'OTHER(C2)-A11'!D37+'VCM-B8'!D8*0.49+'EDC-B9'!D8*0.29</f>
        <v>4203.88</v>
      </c>
      <c r="E37" s="45">
        <f>SUM('LDPE-C2:EG-C6'!E37)+'OTHER(C2)-A11'!E37+'VCM-B8'!E8*0.49+'EDC-B9'!E8*0.29</f>
        <v>3849.2100000000005</v>
      </c>
      <c r="F37" s="45">
        <f>SUM('LDPE-C2:EG-C6'!F37)+'OTHER(C2)-A11'!F37+'VCM-B8'!F8*0.49+'EDC-B9'!F8*0.29</f>
        <v>3841.42</v>
      </c>
      <c r="G37" s="45">
        <f>SUM('LDPE-C2:EG-C6'!G37)+'OTHER(C2)-A11'!G37+'VCM-B8'!G8*0.49+'EDC-B9'!G8*0.29</f>
        <v>4180.6600000000008</v>
      </c>
      <c r="H37" s="45">
        <f>SUM('LDPE-C2:EG-C6'!H37)+'OTHER(C2)-A11'!H37+'VCM-B8'!H8*0.49+'EDC-B9'!H8*0.29</f>
        <v>4173.57</v>
      </c>
      <c r="I37" s="45">
        <f>SUM('LDPE-C2:EG-C6'!I37)+'OTHER(C2)-A11'!I37+'VCM-B8'!I8*0.49+'EDC-B9'!I8*0.29</f>
        <v>4383.26</v>
      </c>
      <c r="J37" s="45">
        <f>SUM('LDPE-C2:EG-C6'!J37)+'OTHER(C2)-A11'!J37+'VCM-B8'!J8*0.49+'EDC-B9'!J8*0.29</f>
        <v>4459.8999999999996</v>
      </c>
      <c r="K37" s="50">
        <f>SUM('LDPE-C2:EG-C6'!K37)+'OTHER(C2)-A11'!K37+'VCM-B8'!K8*0.49+'EDC-B9'!K8*0.29</f>
        <v>4443.1000000000004</v>
      </c>
      <c r="L37" s="49">
        <f>SUM('LDPE-C2:EG-C6'!L37)+'OTHER(C2)-A11'!L37+'VCM-B8'!L8*0.49+'EDC-B9'!L8*0.29</f>
        <v>4488.8999999999996</v>
      </c>
      <c r="M37" s="45">
        <f>SUM('LDPE-C2:EG-C6'!M37)+'OTHER(C2)-A11'!M37+'VCM-B8'!M8*0.49+'EDC-B9'!M8*0.29</f>
        <v>4509.7</v>
      </c>
      <c r="N37" s="45">
        <f>SUM('LDPE-C2:EG-C6'!N37)+'OTHER(C2)-A11'!N37+'VCM-B8'!N8*0.49+'EDC-B9'!N8*0.29</f>
        <v>4509.7</v>
      </c>
      <c r="O37" s="45">
        <f>SUM('LDPE-C2:EG-C6'!O37)+'OTHER(C2)-A11'!O37+'VCM-B8'!O8*0.49+'EDC-B9'!O8*0.29</f>
        <v>4602</v>
      </c>
      <c r="P37" s="45">
        <f>SUM('LDPE-C2:EG-C6'!P37)+'OTHER(C2)-A11'!P37+'VCM-B8'!P8*0.49+'EDC-B9'!P8*0.29</f>
        <v>4602</v>
      </c>
      <c r="Q37" s="51">
        <f>SUM('LDPE-C2:EG-C6'!Q37)+'OTHER(C2)-A11'!Q37+'VCM-B8'!Q8*0.49+'EDC-B9'!Q8*0.29</f>
        <v>4602</v>
      </c>
      <c r="R37" s="299">
        <f t="shared" si="0"/>
        <v>0.8</v>
      </c>
      <c r="S37" s="300">
        <f t="shared" si="1"/>
        <v>0.5</v>
      </c>
      <c r="T37" s="433"/>
      <c r="W37" s="28"/>
      <c r="X37" s="28"/>
      <c r="Y37" s="28"/>
    </row>
    <row r="38" spans="1:25" ht="15" customHeight="1">
      <c r="A38" s="16"/>
      <c r="B38" s="605" t="s">
        <v>435</v>
      </c>
      <c r="C38" s="606"/>
      <c r="D38" s="140">
        <f>SUM('LDPE-C2:EG-C6'!D38)+'OTHER(C2)-A11'!D38+'VCM-B8'!D9*0.49+'EDC-B9'!D9*0.29</f>
        <v>2223.6800000000003</v>
      </c>
      <c r="E38" s="45">
        <f>SUM('LDPE-C2:EG-C6'!E38)+'OTHER(C2)-A11'!E38+'VCM-B8'!E9*0.49+'EDC-B9'!E9*0.29</f>
        <v>2186.8256666666666</v>
      </c>
      <c r="F38" s="45">
        <f>SUM('LDPE-C2:EG-C6'!F38)+'OTHER(C2)-A11'!F38+'VCM-B8'!F9*0.49+'EDC-B9'!F9*0.29</f>
        <v>2389.9340000000002</v>
      </c>
      <c r="G38" s="45">
        <f>SUM('LDPE-C2:EG-C6'!G38)+'OTHER(C2)-A11'!G38+'VCM-B8'!G9*0.49+'EDC-B9'!G9*0.29</f>
        <v>3369.5855999999999</v>
      </c>
      <c r="H38" s="45">
        <f>SUM('LDPE-C2:EG-C6'!H38)+'OTHER(C2)-A11'!H38+'VCM-B8'!H9*0.49+'EDC-B9'!H9*0.29</f>
        <v>3644.4736562672465</v>
      </c>
      <c r="I38" s="45">
        <f>SUM('LDPE-C2:EG-C6'!I38)+'OTHER(C2)-A11'!I38+'VCM-B8'!I9*0.49+'EDC-B9'!I9*0.29</f>
        <v>3744.0470701940185</v>
      </c>
      <c r="J38" s="45">
        <f>SUM('LDPE-C2:EG-C6'!J38)+'OTHER(C2)-A11'!J38+'VCM-B8'!J9*0.49+'EDC-B9'!J9*0.29</f>
        <v>3471.13</v>
      </c>
      <c r="K38" s="50">
        <f>SUM('LDPE-C2:EG-C6'!K38)+'OTHER(C2)-A11'!K38+'VCM-B8'!K9*0.49+'EDC-B9'!K9*0.29</f>
        <v>3710.1</v>
      </c>
      <c r="L38" s="49">
        <f>SUM('LDPE-C2:EG-C6'!L38)+'OTHER(C2)-A11'!L38+'VCM-B8'!L9*0.49+'EDC-B9'!L9*0.29</f>
        <v>3937.8</v>
      </c>
      <c r="M38" s="45">
        <f>SUM('LDPE-C2:EG-C6'!M38)+'OTHER(C2)-A11'!M38+'VCM-B8'!M9*0.49+'EDC-B9'!M9*0.29</f>
        <v>3993.0400000000004</v>
      </c>
      <c r="N38" s="45">
        <f>SUM('LDPE-C2:EG-C6'!N38)+'OTHER(C2)-A11'!N38+'VCM-B8'!N9*0.49+'EDC-B9'!N9*0.29</f>
        <v>4101.46</v>
      </c>
      <c r="O38" s="45">
        <f>SUM('LDPE-C2:EG-C6'!O38)+'OTHER(C2)-A11'!O38+'VCM-B8'!O9*0.49+'EDC-B9'!O9*0.29</f>
        <v>4067.8799999999997</v>
      </c>
      <c r="P38" s="45">
        <f>SUM('LDPE-C2:EG-C6'!P38)+'OTHER(C2)-A11'!P38+'VCM-B8'!P9*0.49+'EDC-B9'!P9*0.29</f>
        <v>3994.82</v>
      </c>
      <c r="Q38" s="51">
        <f>SUM('LDPE-C2:EG-C6'!Q38)+'OTHER(C2)-A11'!Q38+'VCM-B8'!Q9*0.49+'EDC-B9'!Q9*0.29</f>
        <v>4014.8999999999996</v>
      </c>
      <c r="R38" s="301">
        <f t="shared" si="0"/>
        <v>7.6</v>
      </c>
      <c r="S38" s="300">
        <f t="shared" si="1"/>
        <v>0.4</v>
      </c>
      <c r="T38" s="433"/>
      <c r="W38" s="28"/>
      <c r="X38" s="28"/>
      <c r="Y38" s="28"/>
    </row>
    <row r="39" spans="1:25" ht="15" customHeight="1">
      <c r="A39" s="16"/>
      <c r="B39" s="605" t="s">
        <v>436</v>
      </c>
      <c r="C39" s="606"/>
      <c r="D39" s="140">
        <f>SUM('LDPE-C2:EG-C6'!D39)+'OTHER(C2)-A11'!D39+'VCM-B8'!D10*0.49+'EDC-B9'!D10*0.29</f>
        <v>14787.295053831538</v>
      </c>
      <c r="E39" s="45">
        <f>SUM('LDPE-C2:EG-C6'!E39)+'OTHER(C2)-A11'!E39+'VCM-B8'!E10*0.49+'EDC-B9'!E10*0.29</f>
        <v>16139.109999999997</v>
      </c>
      <c r="F39" s="45">
        <f>SUM('LDPE-C2:EG-C6'!F39)+'OTHER(C2)-A11'!F39+'VCM-B8'!F10*0.49+'EDC-B9'!F10*0.29</f>
        <v>16011.886885245902</v>
      </c>
      <c r="G39" s="45">
        <f>SUM('LDPE-C2:EG-C6'!G39)+'OTHER(C2)-A11'!G39+'VCM-B8'!G10*0.49+'EDC-B9'!G10*0.29</f>
        <v>17978.278226950351</v>
      </c>
      <c r="H39" s="45">
        <f>SUM('LDPE-C2:EG-C6'!H39)+'OTHER(C2)-A11'!H39+'VCM-B8'!H10*0.49+'EDC-B9'!H10*0.29</f>
        <v>19482.14</v>
      </c>
      <c r="I39" s="45">
        <f>SUM('LDPE-C2:EG-C6'!I39)+'OTHER(C2)-A11'!I39+'VCM-B8'!I10*0.49+'EDC-B9'!I10*0.29</f>
        <v>20868.95</v>
      </c>
      <c r="J39" s="45">
        <f>SUM('LDPE-C2:EG-C6'!J39)+'OTHER(C2)-A11'!J39+'VCM-B8'!J10*0.49+'EDC-B9'!J10*0.29</f>
        <v>23303.7</v>
      </c>
      <c r="K39" s="50">
        <f>SUM('LDPE-C2:EG-C6'!K39)+'OTHER(C2)-A11'!K39+'VCM-B8'!K10*0.49+'EDC-B9'!K10*0.29</f>
        <v>25033.009999999995</v>
      </c>
      <c r="L39" s="49">
        <f>SUM('LDPE-C2:EG-C6'!L39)+'OTHER(C2)-A11'!L39+'VCM-B8'!L10*0.49+'EDC-B9'!L10*0.29</f>
        <v>27731.71</v>
      </c>
      <c r="M39" s="45">
        <f>SUM('LDPE-C2:EG-C6'!M39)+'OTHER(C2)-A11'!M39+'VCM-B8'!M10*0.49+'EDC-B9'!M10*0.29</f>
        <v>29835.919999999998</v>
      </c>
      <c r="N39" s="45">
        <f>SUM('LDPE-C2:EG-C6'!N39)+'OTHER(C2)-A11'!N39+'VCM-B8'!N10*0.49+'EDC-B9'!N10*0.29</f>
        <v>32334.11</v>
      </c>
      <c r="O39" s="45">
        <f>SUM('LDPE-C2:EG-C6'!O39)+'OTHER(C2)-A11'!O39+'VCM-B8'!O10*0.49+'EDC-B9'!O10*0.29</f>
        <v>34971.24</v>
      </c>
      <c r="P39" s="45">
        <f>SUM('LDPE-C2:EG-C6'!P39)+'OTHER(C2)-A11'!P39+'VCM-B8'!P10*0.49+'EDC-B9'!P10*0.29</f>
        <v>37063.909999999996</v>
      </c>
      <c r="Q39" s="51">
        <f>SUM('LDPE-C2:EG-C6'!Q39)+'OTHER(C2)-A11'!Q39+'VCM-B8'!Q10*0.49+'EDC-B9'!Q10*0.29</f>
        <v>39112.810000000005</v>
      </c>
      <c r="R39" s="299">
        <f t="shared" si="0"/>
        <v>7.8</v>
      </c>
      <c r="S39" s="300">
        <f t="shared" si="1"/>
        <v>7.1</v>
      </c>
      <c r="T39" s="433"/>
      <c r="W39" s="28"/>
      <c r="X39" s="28"/>
      <c r="Y39" s="28"/>
    </row>
    <row r="40" spans="1:25" ht="15" customHeight="1">
      <c r="A40" s="16"/>
      <c r="B40" s="605" t="s">
        <v>437</v>
      </c>
      <c r="C40" s="606"/>
      <c r="D40" s="140">
        <f>SUM('LDPE-C2:EG-C6'!D40)+'OTHER(C2)-A11'!D40+'VCM-B8'!D11*0.49+'EDC-B9'!D11*0.29</f>
        <v>3023.0650000000001</v>
      </c>
      <c r="E40" s="45">
        <f>SUM('LDPE-C2:EG-C6'!E40)+'OTHER(C2)-A11'!E40+'VCM-B8'!E11*0.49+'EDC-B9'!E11*0.29</f>
        <v>3869.7850000000003</v>
      </c>
      <c r="F40" s="45">
        <f>SUM('LDPE-C2:EG-C6'!F40)+'OTHER(C2)-A11'!F40+'VCM-B8'!F11*0.49+'EDC-B9'!F11*0.29</f>
        <v>3920.0350000000003</v>
      </c>
      <c r="G40" s="45">
        <f>SUM('LDPE-C2:EG-C6'!G40)+'OTHER(C2)-A11'!G40+'VCM-B8'!G11*0.49+'EDC-B9'!G11*0.29</f>
        <v>3962.0325800000005</v>
      </c>
      <c r="H40" s="45">
        <f>SUM('LDPE-C2:EG-C6'!H40)+'OTHER(C2)-A11'!H40+'VCM-B8'!H11*0.49+'EDC-B9'!H11*0.29</f>
        <v>3972.8889903946128</v>
      </c>
      <c r="I40" s="45">
        <f>SUM('LDPE-C2:EG-C6'!I40)+'OTHER(C2)-A11'!I40+'VCM-B8'!I11*0.49+'EDC-B9'!I11*0.29</f>
        <v>4186.4269184060586</v>
      </c>
      <c r="J40" s="45">
        <f>SUM('LDPE-C2:EG-C6'!J40)+'OTHER(C2)-A11'!J40+'VCM-B8'!J11*0.49+'EDC-B9'!J11*0.29</f>
        <v>4130.1908025516814</v>
      </c>
      <c r="K40" s="50">
        <f>SUM('LDPE-C2:EG-C6'!K40)+'OTHER(C2)-A11'!K40+'VCM-B8'!K11*0.49+'EDC-B9'!K11*0.29</f>
        <v>4178.545525880375</v>
      </c>
      <c r="L40" s="49">
        <f>SUM('LDPE-C2:EG-C6'!L40)+'OTHER(C2)-A11'!L40+'VCM-B8'!L11*0.49+'EDC-B9'!L11*0.29</f>
        <v>4464.8511609590196</v>
      </c>
      <c r="M40" s="45">
        <f>SUM('LDPE-C2:EG-C6'!M40)+'OTHER(C2)-A11'!M40+'VCM-B8'!M11*0.49+'EDC-B9'!M11*0.29</f>
        <v>4464.8511609590196</v>
      </c>
      <c r="N40" s="45">
        <f>SUM('LDPE-C2:EG-C6'!N40)+'OTHER(C2)-A11'!N40+'VCM-B8'!N11*0.49+'EDC-B9'!N11*0.29</f>
        <v>4464.8511609590196</v>
      </c>
      <c r="O40" s="45">
        <f>SUM('LDPE-C2:EG-C6'!O40)+'OTHER(C2)-A11'!O40+'VCM-B8'!O11*0.49+'EDC-B9'!O11*0.29</f>
        <v>4464.8511609590196</v>
      </c>
      <c r="P40" s="45">
        <f>SUM('LDPE-C2:EG-C6'!P40)+'OTHER(C2)-A11'!P40+'VCM-B8'!P11*0.49+'EDC-B9'!P11*0.29</f>
        <v>4464.8511609590196</v>
      </c>
      <c r="Q40" s="51">
        <f>SUM('LDPE-C2:EG-C6'!Q40)+'OTHER(C2)-A11'!Q40+'VCM-B8'!Q11*0.49+'EDC-B9'!Q11*0.29</f>
        <v>4464.8511609590196</v>
      </c>
      <c r="R40" s="302">
        <f t="shared" si="0"/>
        <v>4.7</v>
      </c>
      <c r="S40" s="300">
        <f t="shared" si="1"/>
        <v>0</v>
      </c>
      <c r="T40" s="433"/>
      <c r="W40" s="28"/>
      <c r="X40" s="28"/>
      <c r="Y40" s="28"/>
    </row>
    <row r="41" spans="1:25" ht="15" customHeight="1">
      <c r="A41" s="16"/>
      <c r="B41" s="605" t="s">
        <v>438</v>
      </c>
      <c r="C41" s="606"/>
      <c r="D41" s="140">
        <f>SUM('LDPE-C2:EG-C6'!D41)+'OTHER(C2)-A11'!D41+'VCM-B8'!D12*0.49+'EDC-B9'!D12*0.29</f>
        <v>1028.5328244344578</v>
      </c>
      <c r="E41" s="45">
        <f>SUM('LDPE-C2:EG-C6'!E41)+'OTHER(C2)-A11'!E41+'VCM-B8'!E12*0.49+'EDC-B9'!E12*0.29</f>
        <v>986.4373493975902</v>
      </c>
      <c r="F41" s="45">
        <f>SUM('LDPE-C2:EG-C6'!F41)+'OTHER(C2)-A11'!F41+'VCM-B8'!F12*0.49+'EDC-B9'!F12*0.29</f>
        <v>1087.8051807228915</v>
      </c>
      <c r="G41" s="45">
        <f>SUM('LDPE-C2:EG-C6'!G41)+'OTHER(C2)-A11'!G41+'VCM-B8'!G12*0.49+'EDC-B9'!G12*0.29</f>
        <v>1087.8051807228915</v>
      </c>
      <c r="H41" s="45">
        <f>SUM('LDPE-C2:EG-C6'!H41)+'OTHER(C2)-A11'!H41+'VCM-B8'!H12*0.49+'EDC-B9'!H12*0.29</f>
        <v>1029.7251807228915</v>
      </c>
      <c r="I41" s="45">
        <f>SUM('LDPE-C2:EG-C6'!I41)+'OTHER(C2)-A11'!I41+'VCM-B8'!I12*0.49+'EDC-B9'!I12*0.29</f>
        <v>1326.16</v>
      </c>
      <c r="J41" s="45">
        <f>SUM('LDPE-C2:EG-C6'!J41)+'OTHER(C2)-A11'!J41+'VCM-B8'!J12*0.49+'EDC-B9'!J12*0.29</f>
        <v>1421.825</v>
      </c>
      <c r="K41" s="50">
        <f>SUM('LDPE-C2:EG-C6'!K41)+'OTHER(C2)-A11'!K41+'VCM-B8'!K12*0.49+'EDC-B9'!K12*0.29</f>
        <v>1411.9099999999999</v>
      </c>
      <c r="L41" s="49">
        <f>SUM('LDPE-C2:EG-C6'!L41)+'OTHER(C2)-A11'!L41+'VCM-B8'!L12*0.49+'EDC-B9'!L12*0.29</f>
        <v>1434.38</v>
      </c>
      <c r="M41" s="45">
        <f>SUM('LDPE-C2:EG-C6'!M41)+'OTHER(C2)-A11'!M41+'VCM-B8'!M12*0.49+'EDC-B9'!M12*0.29</f>
        <v>1406.63</v>
      </c>
      <c r="N41" s="45">
        <f>SUM('LDPE-C2:EG-C6'!N41)+'OTHER(C2)-A11'!N41+'VCM-B8'!N12*0.49+'EDC-B9'!N12*0.29</f>
        <v>1383.23</v>
      </c>
      <c r="O41" s="45">
        <f>SUM('LDPE-C2:EG-C6'!O41)+'OTHER(C2)-A11'!O41+'VCM-B8'!O12*0.49+'EDC-B9'!O12*0.29</f>
        <v>2170.8999999999996</v>
      </c>
      <c r="P41" s="45">
        <f>SUM('LDPE-C2:EG-C6'!P41)+'OTHER(C2)-A11'!P41+'VCM-B8'!P12*0.49+'EDC-B9'!P12*0.29</f>
        <v>2140.9500000000003</v>
      </c>
      <c r="Q41" s="51">
        <f>SUM('LDPE-C2:EG-C6'!Q41)+'OTHER(C2)-A11'!Q41+'VCM-B8'!Q12*0.49+'EDC-B9'!Q12*0.29</f>
        <v>2107.85</v>
      </c>
      <c r="R41" s="302">
        <f t="shared" si="0"/>
        <v>4.5999999999999996</v>
      </c>
      <c r="S41" s="300">
        <f t="shared" si="1"/>
        <v>8</v>
      </c>
      <c r="T41" s="433"/>
      <c r="W41" s="28"/>
      <c r="X41" s="28"/>
      <c r="Y41" s="28"/>
    </row>
    <row r="42" spans="1:25" ht="15" customHeight="1">
      <c r="A42" s="16"/>
      <c r="B42" s="605" t="s">
        <v>439</v>
      </c>
      <c r="C42" s="606"/>
      <c r="D42" s="140">
        <f>SUM('LDPE-C2:EG-C6'!D42)+'OTHER(C2)-A11'!D42+'VCM-B8'!D13*0.49+'EDC-B9'!D13*0.29</f>
        <v>3856.33</v>
      </c>
      <c r="E42" s="45">
        <f>SUM('LDPE-C2:EG-C6'!E42)+'OTHER(C2)-A11'!E42+'VCM-B8'!E13*0.49+'EDC-B9'!E13*0.29</f>
        <v>4102.1399999999994</v>
      </c>
      <c r="F42" s="45">
        <f>SUM('LDPE-C2:EG-C6'!F42)+'OTHER(C2)-A11'!F42+'VCM-B8'!F13*0.49+'EDC-B9'!F13*0.29</f>
        <v>3526.7649999999999</v>
      </c>
      <c r="G42" s="45">
        <f>SUM('LDPE-C2:EG-C6'!G42)+'OTHER(C2)-A11'!G42+'VCM-B8'!G13*0.49+'EDC-B9'!G13*0.29</f>
        <v>3754.8049999999998</v>
      </c>
      <c r="H42" s="45">
        <f>SUM('LDPE-C2:EG-C6'!H42)+'OTHER(C2)-A11'!H42+'VCM-B8'!H13*0.49+'EDC-B9'!H13*0.29</f>
        <v>3981.36</v>
      </c>
      <c r="I42" s="45">
        <f>SUM('LDPE-C2:EG-C6'!I42)+'OTHER(C2)-A11'!I42+'VCM-B8'!I13*0.49+'EDC-B9'!I13*0.29</f>
        <v>4521.9400000000005</v>
      </c>
      <c r="J42" s="45">
        <f>SUM('LDPE-C2:EG-C6'!J42)+'OTHER(C2)-A11'!J42+'VCM-B8'!J13*0.49+'EDC-B9'!J13*0.29</f>
        <v>4159.3999999999996</v>
      </c>
      <c r="K42" s="50">
        <f>SUM('LDPE-C2:EG-C6'!K42)+'OTHER(C2)-A11'!K42+'VCM-B8'!K13*0.49+'EDC-B9'!K13*0.29</f>
        <v>4616.8</v>
      </c>
      <c r="L42" s="49">
        <f>SUM('LDPE-C2:EG-C6'!L42)+'OTHER(C2)-A11'!L42+'VCM-B8'!L13*0.49+'EDC-B9'!L13*0.29</f>
        <v>5196.8</v>
      </c>
      <c r="M42" s="45">
        <f>SUM('LDPE-C2:EG-C6'!M42)+'OTHER(C2)-A11'!M42+'VCM-B8'!M13*0.49+'EDC-B9'!M13*0.29</f>
        <v>5564</v>
      </c>
      <c r="N42" s="45">
        <f>SUM('LDPE-C2:EG-C6'!N42)+'OTHER(C2)-A11'!N42+'VCM-B8'!N13*0.49+'EDC-B9'!N13*0.29</f>
        <v>5973.3</v>
      </c>
      <c r="O42" s="45">
        <f>SUM('LDPE-C2:EG-C6'!O42)+'OTHER(C2)-A11'!O42+'VCM-B8'!O13*0.49+'EDC-B9'!O13*0.29</f>
        <v>6237</v>
      </c>
      <c r="P42" s="45">
        <f>SUM('LDPE-C2:EG-C6'!P42)+'OTHER(C2)-A11'!P42+'VCM-B8'!P13*0.49+'EDC-B9'!P13*0.29</f>
        <v>6506.5</v>
      </c>
      <c r="Q42" s="51">
        <f>SUM('LDPE-C2:EG-C6'!Q42)+'OTHER(C2)-A11'!Q42+'VCM-B8'!Q13*0.49+'EDC-B9'!Q13*0.29</f>
        <v>6457.5</v>
      </c>
      <c r="R42" s="299">
        <f t="shared" si="0"/>
        <v>2.6</v>
      </c>
      <c r="S42" s="300">
        <f t="shared" si="1"/>
        <v>4.4000000000000004</v>
      </c>
      <c r="T42" s="433"/>
      <c r="W42" s="28"/>
      <c r="X42" s="28"/>
      <c r="Y42" s="28"/>
    </row>
    <row r="43" spans="1:25" ht="15.75" hidden="1" customHeight="1">
      <c r="A43" s="16"/>
      <c r="B43" s="16"/>
      <c r="C43" s="90" t="s">
        <v>306</v>
      </c>
      <c r="D43" s="140">
        <f>SUM('LDPE-C2:EG-C6'!D43)+'OTHER(C2)-A11'!D43+'VCM-B8'!D14*0.49+'EDC-B9'!D14*0.29</f>
        <v>0</v>
      </c>
      <c r="E43" s="45">
        <f>SUM('LDPE-C2:EG-C6'!E43)+'OTHER(C2)-A11'!E43+'VCM-B8'!E14*0.49+'EDC-B9'!E14*0.29</f>
        <v>0</v>
      </c>
      <c r="F43" s="45">
        <f>SUM('LDPE-C2:EG-C6'!F43)+'OTHER(C2)-A11'!F43+'VCM-B8'!F14*0.49+'EDC-B9'!F14*0.29</f>
        <v>0</v>
      </c>
      <c r="G43" s="45">
        <f>SUM('LDPE-C2:EG-C6'!G43)+'OTHER(C2)-A11'!G43+'VCM-B8'!G14*0.49+'EDC-B9'!G14*0.29</f>
        <v>0</v>
      </c>
      <c r="H43" s="45">
        <f>SUM('LDPE-C2:EG-C6'!H43)+'OTHER(C2)-A11'!H43+'VCM-B8'!H14*0.49+'EDC-B9'!H14*0.29</f>
        <v>0</v>
      </c>
      <c r="I43" s="45">
        <f>SUM('LDPE-C2:EG-C6'!I43)+'OTHER(C2)-A11'!I43+'VCM-B8'!I14*0.49+'EDC-B9'!I14*0.29</f>
        <v>0</v>
      </c>
      <c r="J43" s="45">
        <f>SUM('LDPE-C2:EG-C6'!J43)+'OTHER(C2)-A11'!J43+'VCM-B8'!J14*0.49+'EDC-B9'!J14*0.29</f>
        <v>0</v>
      </c>
      <c r="K43" s="50">
        <f>SUM('LDPE-C2:EG-C6'!K43)+'OTHER(C2)-A11'!K43+'VCM-B8'!K14*0.49+'EDC-B9'!K14*0.29</f>
        <v>0</v>
      </c>
      <c r="L43" s="49">
        <f>SUM('LDPE-C2:EG-C6'!L43)+'OTHER(C2)-A11'!L43+'VCM-B8'!L14*0.49+'EDC-B9'!L14*0.29</f>
        <v>0</v>
      </c>
      <c r="M43" s="45">
        <f>SUM('LDPE-C2:EG-C6'!M43)+'OTHER(C2)-A11'!M43+'VCM-B8'!M14*0.49+'EDC-B9'!M14*0.29</f>
        <v>0</v>
      </c>
      <c r="N43" s="45">
        <f>SUM('LDPE-C2:EG-C6'!N43)+'OTHER(C2)-A11'!N43+'VCM-B8'!N14*0.49+'EDC-B9'!N14*0.29</f>
        <v>0</v>
      </c>
      <c r="O43" s="45">
        <f>SUM('LDPE-C2:EG-C6'!O43)+'OTHER(C2)-A11'!O43+'VCM-B8'!O14*0.49+'EDC-B9'!O14*0.29</f>
        <v>0</v>
      </c>
      <c r="P43" s="45">
        <f>SUM('LDPE-C2:EG-C6'!P43)+'OTHER(C2)-A11'!P43+'VCM-B8'!P14*0.49+'EDC-B9'!P14*0.29</f>
        <v>0</v>
      </c>
      <c r="Q43" s="51">
        <f>SUM('LDPE-C2:EG-C6'!Q43)+'OTHER(C2)-A11'!Q43+'VCM-B8'!Q14*0.49+'EDC-B9'!Q14*0.29</f>
        <v>0</v>
      </c>
      <c r="R43" s="302" t="str">
        <f t="shared" si="0"/>
        <v xml:space="preserve">     -</v>
      </c>
      <c r="S43" s="300" t="str">
        <f t="shared" si="1"/>
        <v xml:space="preserve">     -</v>
      </c>
      <c r="T43" s="433"/>
      <c r="W43" s="28"/>
      <c r="X43" s="28"/>
      <c r="Y43" s="28"/>
    </row>
    <row r="44" spans="1:25" ht="15" customHeight="1">
      <c r="A44" s="16"/>
      <c r="B44" s="605" t="s">
        <v>440</v>
      </c>
      <c r="C44" s="606"/>
      <c r="D44" s="140">
        <f>SUM('LDPE-C2:EG-C6'!D44)+'OTHER(C2)-A11'!D44+'VCM-B8'!D15*0.49+'EDC-B9'!D15*0.29</f>
        <v>135.92000000000002</v>
      </c>
      <c r="E44" s="45">
        <f>SUM('LDPE-C2:EG-C6'!E44)+'OTHER(C2)-A11'!E44+'VCM-B8'!E15*0.49+'EDC-B9'!E15*0.29</f>
        <v>109.63999999999999</v>
      </c>
      <c r="F44" s="45">
        <f>SUM('LDPE-C2:EG-C6'!F44)+'OTHER(C2)-A11'!F44+'VCM-B8'!F15*0.49+'EDC-B9'!F15*0.29</f>
        <v>100.72999999999999</v>
      </c>
      <c r="G44" s="45">
        <f>SUM('LDPE-C2:EG-C6'!G44)+'OTHER(C2)-A11'!G44+'VCM-B8'!G15*0.49+'EDC-B9'!G15*0.29</f>
        <v>37.940000000000005</v>
      </c>
      <c r="H44" s="45">
        <f>SUM('LDPE-C2:EG-C6'!H44)+'OTHER(C2)-A11'!H44+'VCM-B8'!H15*0.49+'EDC-B9'!H15*0.29</f>
        <v>28.570000000000004</v>
      </c>
      <c r="I44" s="45">
        <f>SUM('LDPE-C2:EG-C6'!I44)+'OTHER(C2)-A11'!I44+'VCM-B8'!I15*0.49+'EDC-B9'!I15*0.29</f>
        <v>138.9314</v>
      </c>
      <c r="J44" s="45">
        <f>SUM('LDPE-C2:EG-C6'!J44)+'OTHER(C2)-A11'!J44+'VCM-B8'!J15*0.49+'EDC-B9'!J15*0.29</f>
        <v>201.8</v>
      </c>
      <c r="K44" s="50">
        <f>SUM('LDPE-C2:EG-C6'!K44)+'OTHER(C2)-A11'!K44+'VCM-B8'!K15*0.49+'EDC-B9'!K15*0.29</f>
        <v>263</v>
      </c>
      <c r="L44" s="49">
        <f>SUM('LDPE-C2:EG-C6'!L44)+'OTHER(C2)-A11'!L44+'VCM-B8'!L15*0.49+'EDC-B9'!L15*0.29+34</f>
        <v>337.4</v>
      </c>
      <c r="M44" s="45">
        <f>SUM('LDPE-C2:EG-C6'!M44)+'OTHER(C2)-A11'!M44+'VCM-B8'!M15*0.49+'EDC-B9'!M15*0.29</f>
        <v>344.35</v>
      </c>
      <c r="N44" s="45">
        <f>SUM('LDPE-C2:EG-C6'!N44)+'OTHER(C2)-A11'!N44+'VCM-B8'!N15*0.49+'EDC-B9'!N15*0.29</f>
        <v>384.86</v>
      </c>
      <c r="O44" s="45">
        <f>SUM('LDPE-C2:EG-C6'!O44)+'OTHER(C2)-A11'!O44+'VCM-B8'!O15*0.49+'EDC-B9'!O15*0.29</f>
        <v>425.37</v>
      </c>
      <c r="P44" s="45">
        <f>SUM('LDPE-C2:EG-C6'!P44)+'OTHER(C2)-A11'!P44+'VCM-B8'!P15*0.49+'EDC-B9'!P15*0.29</f>
        <v>465.88</v>
      </c>
      <c r="Q44" s="51">
        <f>SUM('LDPE-C2:EG-C6'!Q44)+'OTHER(C2)-A11'!Q44+'VCM-B8'!Q15*0.49+'EDC-B9'!Q15*0.29</f>
        <v>506.4</v>
      </c>
      <c r="R44" s="302">
        <f t="shared" si="0"/>
        <v>9.9</v>
      </c>
      <c r="S44" s="300">
        <f t="shared" si="1"/>
        <v>8.5</v>
      </c>
      <c r="T44" s="433"/>
      <c r="W44" s="28"/>
      <c r="X44" s="28"/>
      <c r="Y44" s="28"/>
    </row>
    <row r="45" spans="1:25" ht="15" customHeight="1">
      <c r="A45" s="16"/>
      <c r="B45" s="605" t="s">
        <v>441</v>
      </c>
      <c r="C45" s="606"/>
      <c r="D45" s="140">
        <f>SUM('LDPE-C2:EG-C6'!D45)+'OTHER(C2)-A11'!D45+'VCM-B8'!D16*0.49+'EDC-B9'!D16*0.29</f>
        <v>1423.3593827160494</v>
      </c>
      <c r="E45" s="45">
        <f>SUM('LDPE-C2:EG-C6'!E45)+'OTHER(C2)-A11'!E45+'VCM-B8'!E16*0.49+'EDC-B9'!E16*0.29</f>
        <v>1422.993002557467</v>
      </c>
      <c r="F45" s="45">
        <f>SUM('LDPE-C2:EG-C6'!F45)+'OTHER(C2)-A11'!F45+'VCM-B8'!F16*0.49+'EDC-B9'!F16*0.29</f>
        <v>1441.8649999999998</v>
      </c>
      <c r="G45" s="45">
        <f>SUM('LDPE-C2:EG-C6'!G45)+'OTHER(C2)-A11'!G45+'VCM-B8'!G16*0.49+'EDC-B9'!G16*0.29</f>
        <v>1333.2919400000001</v>
      </c>
      <c r="H45" s="45">
        <f>SUM('LDPE-C2:EG-C6'!H45)+'OTHER(C2)-A11'!H45+'VCM-B8'!H16*0.49+'EDC-B9'!H16*0.29</f>
        <v>1197.91031</v>
      </c>
      <c r="I45" s="45">
        <f>SUM('LDPE-C2:EG-C6'!I45)+'OTHER(C2)-A11'!I45+'VCM-B8'!I16*0.49+'EDC-B9'!I16*0.29</f>
        <v>1300.4672616581001</v>
      </c>
      <c r="J45" s="45">
        <f>SUM('LDPE-C2:EG-C6'!J45)+'OTHER(C2)-A11'!J45+'VCM-B8'!J16*0.49+'EDC-B9'!J16*0.29</f>
        <v>1245.6671999999999</v>
      </c>
      <c r="K45" s="50">
        <f>SUM('LDPE-C2:EG-C6'!K45)+'OTHER(C2)-A11'!K45+'VCM-B8'!K16*0.49+'EDC-B9'!K16*0.29</f>
        <v>1257.8403584</v>
      </c>
      <c r="L45" s="49">
        <f>SUM('LDPE-C2:EG-C6'!L45)+'OTHER(C2)-A11'!L45+'VCM-B8'!L16*0.49+'EDC-B9'!L16*0.29</f>
        <v>1257.8403584</v>
      </c>
      <c r="M45" s="45">
        <f>SUM('LDPE-C2:EG-C6'!M45)+'OTHER(C2)-A11'!M45+'VCM-B8'!M16*0.49+'EDC-B9'!M16*0.29</f>
        <v>1257.8403584</v>
      </c>
      <c r="N45" s="45">
        <f>SUM('LDPE-C2:EG-C6'!N45)+'OTHER(C2)-A11'!N45+'VCM-B8'!N16*0.49+'EDC-B9'!N16*0.29</f>
        <v>2095.6503584000002</v>
      </c>
      <c r="O45" s="45">
        <f>SUM('LDPE-C2:EG-C6'!O45)+'OTHER(C2)-A11'!O45+'VCM-B8'!O16*0.49+'EDC-B9'!O16*0.29</f>
        <v>2315.7703584000001</v>
      </c>
      <c r="P45" s="45">
        <f>SUM('LDPE-C2:EG-C6'!P45)+'OTHER(C2)-A11'!P45+'VCM-B8'!P16*0.49+'EDC-B9'!P16*0.29</f>
        <v>2344.7553584000002</v>
      </c>
      <c r="Q45" s="51">
        <f>SUM('LDPE-C2:EG-C6'!Q45)+'OTHER(C2)-A11'!Q45+'VCM-B8'!Q16*0.49+'EDC-B9'!Q16*0.29</f>
        <v>2385.8953583999996</v>
      </c>
      <c r="R45" s="302">
        <f t="shared" si="0"/>
        <v>-1.8</v>
      </c>
      <c r="S45" s="300">
        <f t="shared" si="1"/>
        <v>13.7</v>
      </c>
      <c r="T45" s="433"/>
      <c r="W45" s="28"/>
      <c r="X45" s="28"/>
      <c r="Y45" s="28"/>
    </row>
    <row r="46" spans="1:25" ht="15" customHeight="1">
      <c r="A46" s="16"/>
      <c r="B46" s="605" t="s">
        <v>442</v>
      </c>
      <c r="C46" s="606"/>
      <c r="D46" s="140">
        <f>SUM('LDPE-C2:EG-C6'!D46)+'OTHER(C2)-A11'!D46+'VCM-B8'!D17*0.49+'EDC-B9'!D17*0.29</f>
        <v>22.5</v>
      </c>
      <c r="E46" s="45">
        <f>SUM('LDPE-C2:EG-C6'!E46)+'OTHER(C2)-A11'!E46+'VCM-B8'!E17*0.49+'EDC-B9'!E17*0.29</f>
        <v>14.170000000000016</v>
      </c>
      <c r="F46" s="45">
        <f>SUM('LDPE-C2:EG-C6'!F46)+'OTHER(C2)-A11'!F46+'VCM-B8'!F17*0.49+'EDC-B9'!F17*0.29</f>
        <v>14.170000000000016</v>
      </c>
      <c r="G46" s="45">
        <f>SUM('LDPE-C2:EG-C6'!G46)+'OTHER(C2)-A11'!G46+'VCM-B8'!G17*0.49+'EDC-B9'!G17*0.29</f>
        <v>14.170000000000016</v>
      </c>
      <c r="H46" s="45">
        <f>SUM('LDPE-C2:EG-C6'!H46)+'OTHER(C2)-A11'!H46+'VCM-B8'!H17*0.49+'EDC-B9'!H17*0.29</f>
        <v>14.170000000000016</v>
      </c>
      <c r="I46" s="45">
        <f>SUM('LDPE-C2:EG-C6'!I46)+'OTHER(C2)-A11'!I46+'VCM-B8'!I17*0.49+'EDC-B9'!I17*0.29</f>
        <v>3.3900000000000148</v>
      </c>
      <c r="J46" s="45">
        <f>SUM('LDPE-C2:EG-C6'!J46)+'OTHER(C2)-A11'!J46+'VCM-B8'!J17*0.49+'EDC-B9'!J17*0.29</f>
        <v>33.390000000000015</v>
      </c>
      <c r="K46" s="50">
        <f>SUM('LDPE-C2:EG-C6'!K46)+'OTHER(C2)-A11'!K46+'VCM-B8'!K17*0.49+'EDC-B9'!K17*0.29</f>
        <v>28.390000000000015</v>
      </c>
      <c r="L46" s="49">
        <f>SUM('LDPE-C2:EG-C6'!L46)+'OTHER(C2)-A11'!L46+'VCM-B8'!L17*0.49+'EDC-B9'!L17*0.29</f>
        <v>33.390000000000015</v>
      </c>
      <c r="M46" s="45">
        <f>SUM('LDPE-C2:EG-C6'!M46)+'OTHER(C2)-A11'!M46+'VCM-B8'!M17*0.49+'EDC-B9'!M17*0.29</f>
        <v>33.390000000000015</v>
      </c>
      <c r="N46" s="45">
        <f>SUM('LDPE-C2:EG-C6'!N46)+'OTHER(C2)-A11'!N46+'VCM-B8'!N17*0.49+'EDC-B9'!N17*0.29</f>
        <v>33.390000000000015</v>
      </c>
      <c r="O46" s="45">
        <f>SUM('LDPE-C2:EG-C6'!O46)+'OTHER(C2)-A11'!O46+'VCM-B8'!O17*0.49+'EDC-B9'!O17*0.29</f>
        <v>33.390000000000015</v>
      </c>
      <c r="P46" s="45">
        <f>SUM('LDPE-C2:EG-C6'!P46)+'OTHER(C2)-A11'!P46+'VCM-B8'!P17*0.49+'EDC-B9'!P17*0.29</f>
        <v>33.390000000000015</v>
      </c>
      <c r="Q46" s="51">
        <f>SUM('LDPE-C2:EG-C6'!Q46)+'OTHER(C2)-A11'!Q46+'VCM-B8'!Q17*0.49+'EDC-B9'!Q17*0.29</f>
        <v>991.39</v>
      </c>
      <c r="R46" s="302">
        <f t="shared" si="0"/>
        <v>3.4</v>
      </c>
      <c r="S46" s="300">
        <f t="shared" si="1"/>
        <v>97</v>
      </c>
      <c r="T46" s="433"/>
      <c r="W46" s="28"/>
      <c r="X46" s="28"/>
      <c r="Y46" s="28"/>
    </row>
    <row r="47" spans="1:25" ht="15" customHeight="1">
      <c r="A47" s="16"/>
      <c r="B47" s="607" t="s">
        <v>443</v>
      </c>
      <c r="C47" s="608"/>
      <c r="D47" s="140">
        <f>SUM('LDPE-C2:EG-C6'!D47)+'OTHER(C2)-A11'!D47+'VCM-B8'!D18*0.49+'EDC-B9'!D18*0.29</f>
        <v>6618.5999999999985</v>
      </c>
      <c r="E47" s="45">
        <f>SUM('LDPE-C2:EG-C6'!E47)+'OTHER(C2)-A11'!E47+'VCM-B8'!E18*0.49+'EDC-B9'!E18*0.29</f>
        <v>6188.2000000000007</v>
      </c>
      <c r="F47" s="45">
        <f>SUM('LDPE-C2:EG-C6'!F47)+'OTHER(C2)-A11'!F47+'VCM-B8'!F18*0.49+'EDC-B9'!F18*0.29</f>
        <v>5575.4999999999991</v>
      </c>
      <c r="G47" s="45">
        <f>SUM('LDPE-C2:EG-C6'!G47)+'OTHER(C2)-A11'!G47+'VCM-B8'!G18*0.49+'EDC-B9'!G18*0.29</f>
        <v>5823.4999999999991</v>
      </c>
      <c r="H47" s="45">
        <f>SUM('LDPE-C2:EG-C6'!H47)+'OTHER(C2)-A11'!H47+'VCM-B8'!H18*0.49+'EDC-B9'!H18*0.29</f>
        <v>5859.6999999999989</v>
      </c>
      <c r="I47" s="45">
        <f>SUM('LDPE-C2:EG-C6'!I47)+'OTHER(C2)-A11'!I47+'VCM-B8'!I18*0.49+'EDC-B9'!I18*0.29</f>
        <v>5960.4</v>
      </c>
      <c r="J47" s="45">
        <f>SUM('LDPE-C2:EG-C6'!J47)+'OTHER(C2)-A11'!J47+'VCM-B8'!J18*0.49+'EDC-B9'!J18*0.29</f>
        <v>5717.3</v>
      </c>
      <c r="K47" s="50">
        <f>SUM('LDPE-C2:EG-C6'!K47)+'OTHER(C2)-A11'!K47+'VCM-B8'!K18*0.49+'EDC-B9'!K18*0.29</f>
        <v>5961</v>
      </c>
      <c r="L47" s="49">
        <f>SUM('LDPE-C2:EG-C6'!L47)+'OTHER(C2)-A11'!L47+'VCM-B8'!L18*0.49+'EDC-B9'!L18*0.29</f>
        <v>5672.9</v>
      </c>
      <c r="M47" s="45">
        <f>SUM('LDPE-C2:EG-C6'!M47)+'OTHER(C2)-A11'!M47+'VCM-B8'!M18*0.49+'EDC-B9'!M18*0.29</f>
        <v>5614.4544999999998</v>
      </c>
      <c r="N47" s="45">
        <f>SUM('LDPE-C2:EG-C6'!N47)+'OTHER(C2)-A11'!N47+'VCM-B8'!N18*0.49+'EDC-B9'!N18*0.29</f>
        <v>5556.924</v>
      </c>
      <c r="O47" s="45">
        <f>SUM('LDPE-C2:EG-C6'!O47)+'OTHER(C2)-A11'!O47+'VCM-B8'!O18*0.49+'EDC-B9'!O18*0.29</f>
        <v>5586.9070000000002</v>
      </c>
      <c r="P47" s="45">
        <f>SUM('LDPE-C2:EG-C6'!P47)+'OTHER(C2)-A11'!P47+'VCM-B8'!P18*0.49+'EDC-B9'!P18*0.29</f>
        <v>5519.5385000000006</v>
      </c>
      <c r="Q47" s="51">
        <f>SUM('LDPE-C2:EG-C6'!Q47)+'OTHER(C2)-A11'!Q47+'VCM-B8'!Q18*0.49+'EDC-B9'!Q18*0.29</f>
        <v>5573.2934999999998</v>
      </c>
      <c r="R47" s="299">
        <f t="shared" si="0"/>
        <v>-1.5</v>
      </c>
      <c r="S47" s="300">
        <f t="shared" si="1"/>
        <v>-0.4</v>
      </c>
      <c r="T47" s="433"/>
      <c r="W47" s="28"/>
      <c r="X47" s="28"/>
      <c r="Y47" s="28"/>
    </row>
    <row r="48" spans="1:25" ht="15.75" customHeight="1">
      <c r="A48" s="16"/>
      <c r="B48" s="674" t="s">
        <v>307</v>
      </c>
      <c r="C48" s="675"/>
      <c r="D48" s="95">
        <f>SUM(D36:D47)</f>
        <v>44109.032260982043</v>
      </c>
      <c r="E48" s="93">
        <f t="shared" ref="E48:K48" si="4">SUM(E36:E47)</f>
        <v>45611.40101862172</v>
      </c>
      <c r="F48" s="93">
        <f t="shared" si="4"/>
        <v>44898.261065968793</v>
      </c>
      <c r="G48" s="93">
        <f t="shared" si="4"/>
        <v>48769.048527673251</v>
      </c>
      <c r="H48" s="93">
        <f t="shared" si="4"/>
        <v>51057.178137384741</v>
      </c>
      <c r="I48" s="93">
        <f t="shared" si="4"/>
        <v>54199.162650258186</v>
      </c>
      <c r="J48" s="93">
        <f t="shared" si="4"/>
        <v>56020.203002551687</v>
      </c>
      <c r="K48" s="96">
        <f t="shared" si="4"/>
        <v>58952.895884280377</v>
      </c>
      <c r="L48" s="94">
        <f t="shared" ref="L48:Q48" si="5">SUM(L36:L47)</f>
        <v>62594.371519359018</v>
      </c>
      <c r="M48" s="93">
        <f t="shared" si="5"/>
        <v>65374.57601935901</v>
      </c>
      <c r="N48" s="93">
        <f t="shared" si="5"/>
        <v>69722.375519359033</v>
      </c>
      <c r="O48" s="93">
        <f t="shared" si="5"/>
        <v>74660.00851935902</v>
      </c>
      <c r="P48" s="93">
        <f t="shared" si="5"/>
        <v>77747.095019359011</v>
      </c>
      <c r="Q48" s="227">
        <f t="shared" si="5"/>
        <v>81329.390019359009</v>
      </c>
      <c r="R48" s="303">
        <f t="shared" si="0"/>
        <v>4.2</v>
      </c>
      <c r="S48" s="304">
        <f t="shared" si="1"/>
        <v>5.4</v>
      </c>
      <c r="T48" s="433"/>
      <c r="W48" s="28"/>
      <c r="X48" s="28"/>
      <c r="Y48" s="28"/>
    </row>
    <row r="49" spans="1:25" ht="15.75" customHeight="1">
      <c r="A49" s="16"/>
      <c r="B49" s="672" t="s">
        <v>308</v>
      </c>
      <c r="C49" s="673"/>
      <c r="D49" s="139">
        <f>SUM('LDPE-C2:EG-C6'!D49)+'OTHER(C2)-A11'!D49+'VCM-B8'!D20*0.49+'EDC-B9'!D20*0.29</f>
        <v>389.06317999999993</v>
      </c>
      <c r="E49" s="98">
        <f>SUM('LDPE-C2:EG-C6'!E49)+'OTHER(C2)-A11'!E49+'VCM-B8'!E20*0.49+'EDC-B9'!E20*0.29</f>
        <v>336.98005999999998</v>
      </c>
      <c r="F49" s="98">
        <f>SUM('LDPE-C2:EG-C6'!F49)+'OTHER(C2)-A11'!F49+'VCM-B8'!F20*0.49+'EDC-B9'!F20*0.29</f>
        <v>360.1</v>
      </c>
      <c r="G49" s="98">
        <f>SUM('LDPE-C2:EG-C6'!G49)+'OTHER(C2)-A11'!G49+'VCM-B8'!G20*0.49+'EDC-B9'!G20*0.29</f>
        <v>384.5</v>
      </c>
      <c r="H49" s="98">
        <f>SUM('LDPE-C2:EG-C6'!H49)+'OTHER(C2)-A11'!H49+'VCM-B8'!H20*0.49+'EDC-B9'!H20*0.29</f>
        <v>385.15999999999997</v>
      </c>
      <c r="I49" s="98">
        <f>SUM('LDPE-C2:EG-C6'!I49)+'OTHER(C2)-A11'!I49+'VCM-B8'!I20*0.49+'EDC-B9'!I20*0.29</f>
        <v>385.15999999999997</v>
      </c>
      <c r="J49" s="98">
        <f>SUM('LDPE-C2:EG-C6'!J49)+'OTHER(C2)-A11'!J49+'VCM-B8'!J20*0.49+'EDC-B9'!J20*0.29</f>
        <v>389.76</v>
      </c>
      <c r="K49" s="228">
        <f>SUM('LDPE-C2:EG-C6'!K49)+'OTHER(C2)-A11'!K49+'VCM-B8'!K20*0.49+'EDC-B9'!K20*0.29</f>
        <v>362.96</v>
      </c>
      <c r="L49" s="99">
        <f>SUM('LDPE-C2:EG-C6'!L49)+'OTHER(C2)-A11'!L49+'VCM-B8'!L20*0.49+'EDC-B9'!L20*0.29</f>
        <v>373.35999999999996</v>
      </c>
      <c r="M49" s="98">
        <f>SUM('LDPE-C2:EG-C6'!M49)+'OTHER(C2)-A11'!M49+'VCM-B8'!M20*0.49+'EDC-B9'!M20*0.29</f>
        <v>373.35999999999996</v>
      </c>
      <c r="N49" s="98">
        <f>SUM('LDPE-C2:EG-C6'!N49)+'OTHER(C2)-A11'!N49+'VCM-B8'!N20*0.49+'EDC-B9'!N20*0.29</f>
        <v>373.35999999999996</v>
      </c>
      <c r="O49" s="98">
        <f>SUM('LDPE-C2:EG-C6'!O49)+'OTHER(C2)-A11'!O49+'VCM-B8'!O20*0.49+'EDC-B9'!O20*0.29</f>
        <v>373.35999999999996</v>
      </c>
      <c r="P49" s="98">
        <f>SUM('LDPE-C2:EG-C6'!P49)+'OTHER(C2)-A11'!P49+'VCM-B8'!P20*0.49+'EDC-B9'!P20*0.29</f>
        <v>373.35999999999996</v>
      </c>
      <c r="Q49" s="229">
        <f>SUM('LDPE-C2:EG-C6'!Q49)+'OTHER(C2)-A11'!Q49+'VCM-B8'!Q20*0.49+'EDC-B9'!Q20*0.29</f>
        <v>373.35999999999996</v>
      </c>
      <c r="R49" s="305">
        <f t="shared" si="0"/>
        <v>-1</v>
      </c>
      <c r="S49" s="304">
        <f t="shared" si="1"/>
        <v>0</v>
      </c>
      <c r="T49" s="433"/>
      <c r="W49" s="28"/>
      <c r="X49" s="28"/>
      <c r="Y49" s="28"/>
    </row>
    <row r="50" spans="1:25" ht="15" customHeight="1">
      <c r="A50" s="16"/>
      <c r="B50" s="105"/>
      <c r="C50" s="97" t="s">
        <v>309</v>
      </c>
      <c r="D50" s="139">
        <f>SUM('LDPE-C2:EG-C6'!D50)+'OTHER(C2)-A11'!D50+'VCM-B8'!D21*0.49+'EDC-B9'!D21*0.29</f>
        <v>389.06317999999993</v>
      </c>
      <c r="E50" s="98">
        <f>SUM('LDPE-C2:EG-C6'!E50)+'OTHER(C2)-A11'!E50+'VCM-B8'!E21*0.49+'EDC-B9'!E21*0.29</f>
        <v>336.98005999999998</v>
      </c>
      <c r="F50" s="98">
        <f>SUM('LDPE-C2:EG-C6'!F50)+'OTHER(C2)-A11'!F50+'VCM-B8'!F21*0.49+'EDC-B9'!F21*0.29</f>
        <v>360.1</v>
      </c>
      <c r="G50" s="98">
        <f>SUM('LDPE-C2:EG-C6'!G50)+'OTHER(C2)-A11'!G50+'VCM-B8'!G21*0.49+'EDC-B9'!G21*0.29</f>
        <v>384.5</v>
      </c>
      <c r="H50" s="98">
        <f>SUM('LDPE-C2:EG-C6'!H50)+'OTHER(C2)-A11'!H50+'VCM-B8'!H21*0.49+'EDC-B9'!H21*0.29</f>
        <v>385.15999999999997</v>
      </c>
      <c r="I50" s="98">
        <f>SUM('LDPE-C2:EG-C6'!I50)+'OTHER(C2)-A11'!I50+'VCM-B8'!I21*0.49+'EDC-B9'!I21*0.29</f>
        <v>385.15999999999997</v>
      </c>
      <c r="J50" s="98">
        <f>SUM('LDPE-C2:EG-C6'!J50)+'OTHER(C2)-A11'!J50+'VCM-B8'!J21*0.49+'EDC-B9'!J21*0.29</f>
        <v>389.76</v>
      </c>
      <c r="K50" s="228">
        <f>SUM('LDPE-C2:EG-C6'!K50)+'OTHER(C2)-A11'!K50+'VCM-B8'!K21*0.49+'EDC-B9'!K21*0.29</f>
        <v>362.96</v>
      </c>
      <c r="L50" s="99">
        <f>SUM('LDPE-C2:EG-C6'!L50)+'OTHER(C2)-A11'!L50+'VCM-B8'!L21*0.49+'EDC-B9'!L21*0.29</f>
        <v>373.35999999999996</v>
      </c>
      <c r="M50" s="98">
        <f>SUM('LDPE-C2:EG-C6'!M50)+'OTHER(C2)-A11'!M50+'VCM-B8'!M21*0.49+'EDC-B9'!M21*0.29</f>
        <v>373.35999999999996</v>
      </c>
      <c r="N50" s="98">
        <f>SUM('LDPE-C2:EG-C6'!N50)+'OTHER(C2)-A11'!N50+'VCM-B8'!N21*0.49+'EDC-B9'!N21*0.29</f>
        <v>373.35999999999996</v>
      </c>
      <c r="O50" s="98">
        <f>SUM('LDPE-C2:EG-C6'!O50)+'OTHER(C2)-A11'!O50+'VCM-B8'!O21*0.49+'EDC-B9'!O21*0.29</f>
        <v>373.35999999999996</v>
      </c>
      <c r="P50" s="98">
        <f>SUM('LDPE-C2:EG-C6'!P50)+'OTHER(C2)-A11'!P50+'VCM-B8'!P21*0.49+'EDC-B9'!P21*0.29</f>
        <v>373.35999999999996</v>
      </c>
      <c r="Q50" s="229">
        <f>SUM('LDPE-C2:EG-C6'!Q50)+'OTHER(C2)-A11'!Q50+'VCM-B8'!Q21*0.49+'EDC-B9'!Q21*0.29</f>
        <v>373.35999999999996</v>
      </c>
      <c r="R50" s="305">
        <f t="shared" si="0"/>
        <v>-1</v>
      </c>
      <c r="S50" s="304">
        <f t="shared" si="1"/>
        <v>0</v>
      </c>
      <c r="T50" s="433"/>
      <c r="W50" s="28"/>
      <c r="X50" s="28"/>
      <c r="Y50" s="28"/>
    </row>
    <row r="51" spans="1:25" ht="15.75" customHeight="1">
      <c r="A51" s="16"/>
      <c r="B51" s="672" t="s">
        <v>310</v>
      </c>
      <c r="C51" s="673"/>
      <c r="D51" s="140">
        <f>SUM('LDPE-C2:EG-C6'!D51)+'OTHER(C2)-A11'!D51+'VCM-B8'!D22*0.49+'EDC-B9'!D22*0.29</f>
        <v>23505.149260000002</v>
      </c>
      <c r="E51" s="45">
        <f>SUM('LDPE-C2:EG-C6'!E51)+'OTHER(C2)-A11'!E51+'VCM-B8'!E22*0.49+'EDC-B9'!E22*0.29</f>
        <v>21276.484599999996</v>
      </c>
      <c r="F51" s="45">
        <f>SUM('LDPE-C2:EG-C6'!F51)+'OTHER(C2)-A11'!F51+'VCM-B8'!F22*0.49+'EDC-B9'!F22*0.29</f>
        <v>19787.925519999997</v>
      </c>
      <c r="G51" s="45">
        <f>SUM('LDPE-C2:EG-C6'!G51)+'OTHER(C2)-A11'!G51+'VCM-B8'!G22*0.49+'EDC-B9'!G22*0.29</f>
        <v>20276.856760000002</v>
      </c>
      <c r="H51" s="45">
        <f>SUM('LDPE-C2:EG-C6'!H51)+'OTHER(C2)-A11'!H51+'VCM-B8'!H22*0.49+'EDC-B9'!H22*0.29</f>
        <v>20664.6443</v>
      </c>
      <c r="I51" s="45">
        <f>SUM('LDPE-C2:EG-C6'!I51)+'OTHER(C2)-A11'!I51+'VCM-B8'!I22*0.49+'EDC-B9'!I22*0.29</f>
        <v>20731.632000000005</v>
      </c>
      <c r="J51" s="45">
        <f>SUM('LDPE-C2:EG-C6'!J51)+'OTHER(C2)-A11'!J51+'VCM-B8'!J22*0.49+'EDC-B9'!J22*0.29</f>
        <v>20870.20319968</v>
      </c>
      <c r="K51" s="50">
        <f>SUM('LDPE-C2:EG-C6'!K51)+'OTHER(C2)-A11'!K51+'VCM-B8'!K22*0.49+'EDC-B9'!K22*0.29</f>
        <v>20568.468941239997</v>
      </c>
      <c r="L51" s="49">
        <f>SUM('LDPE-C2:EG-C6'!L51)+'OTHER(C2)-A11'!L51+'VCM-B8'!L22*0.49+'EDC-B9'!L22*0.29</f>
        <v>20288.346833920004</v>
      </c>
      <c r="M51" s="45">
        <f>SUM('LDPE-C2:EG-C6'!M51)+'OTHER(C2)-A11'!M51+'VCM-B8'!M22*0.49+'EDC-B9'!M22*0.29</f>
        <v>20500.744260300002</v>
      </c>
      <c r="N51" s="45">
        <f>SUM('LDPE-C2:EG-C6'!N51)+'OTHER(C2)-A11'!N51+'VCM-B8'!N22*0.49+'EDC-B9'!N22*0.29</f>
        <v>20650.796341360005</v>
      </c>
      <c r="O51" s="45">
        <f>SUM('LDPE-C2:EG-C6'!O51)+'OTHER(C2)-A11'!O51+'VCM-B8'!O22*0.49+'EDC-B9'!O22*0.29</f>
        <v>20712.223922640005</v>
      </c>
      <c r="P51" s="45">
        <f>SUM('LDPE-C2:EG-C6'!P51)+'OTHER(C2)-A11'!P51+'VCM-B8'!P22*0.49+'EDC-B9'!P22*0.29</f>
        <v>20841.114118400001</v>
      </c>
      <c r="Q51" s="51">
        <f>SUM('LDPE-C2:EG-C6'!Q51)+'OTHER(C2)-A11'!Q51+'VCM-B8'!Q22*0.49+'EDC-B9'!Q22*0.29</f>
        <v>21180.03440008</v>
      </c>
      <c r="R51" s="299">
        <f t="shared" si="0"/>
        <v>-1.9</v>
      </c>
      <c r="S51" s="300">
        <f t="shared" si="1"/>
        <v>0.9</v>
      </c>
      <c r="T51" s="433"/>
      <c r="W51" s="28"/>
      <c r="X51" s="28"/>
      <c r="Y51" s="28"/>
    </row>
    <row r="52" spans="1:25" ht="15" customHeight="1">
      <c r="A52" s="16"/>
      <c r="B52" s="105"/>
      <c r="C52" s="615" t="s">
        <v>311</v>
      </c>
      <c r="D52" s="139">
        <f>SUM('LDPE-C2:EG-C6'!D52)+'OTHER(C2)-A11'!D52+'VCM-B8'!D23*0.49+'EDC-B9'!D23*0.29</f>
        <v>20922.870239999997</v>
      </c>
      <c r="E52" s="98">
        <f>SUM('LDPE-C2:EG-C6'!E52)+'OTHER(C2)-A11'!E52+'VCM-B8'!E23*0.49+'EDC-B9'!E23*0.29</f>
        <v>19452.248399999997</v>
      </c>
      <c r="F52" s="98">
        <f>SUM('LDPE-C2:EG-C6'!F52)+'OTHER(C2)-A11'!F52+'VCM-B8'!F23*0.49+'EDC-B9'!F23*0.29</f>
        <v>18031.708200000001</v>
      </c>
      <c r="G52" s="98">
        <f>SUM('LDPE-C2:EG-C6'!G52)+'OTHER(C2)-A11'!G52+'VCM-B8'!G23*0.49+'EDC-B9'!G23*0.29</f>
        <v>18372.751459999999</v>
      </c>
      <c r="H52" s="98">
        <f>SUM('LDPE-C2:EG-C6'!H52)+'OTHER(C2)-A11'!H52+'VCM-B8'!H23*0.49+'EDC-B9'!H23*0.29</f>
        <v>18807.535800000001</v>
      </c>
      <c r="I52" s="98">
        <f>SUM('LDPE-C2:EG-C6'!I52)+'OTHER(C2)-A11'!I52+'VCM-B8'!I23*0.49+'EDC-B9'!I23*0.29</f>
        <v>18831.913219999999</v>
      </c>
      <c r="J52" s="98">
        <f>SUM('LDPE-C2:EG-C6'!J52)+'OTHER(C2)-A11'!J52+'VCM-B8'!J23*0.49+'EDC-B9'!J23*0.29</f>
        <v>19187.731047199999</v>
      </c>
      <c r="K52" s="228">
        <f>SUM('LDPE-C2:EG-C6'!K52)+'OTHER(C2)-A11'!K52+'VCM-B8'!K23*0.49+'EDC-B9'!K23*0.29</f>
        <v>18652.133542399999</v>
      </c>
      <c r="L52" s="99">
        <f>SUM('LDPE-C2:EG-C6'!L52)+'OTHER(C2)-A11'!L52+'VCM-B8'!L23*0.49+'EDC-B9'!L23*0.29</f>
        <v>18398.962084039998</v>
      </c>
      <c r="M52" s="98">
        <f>SUM('LDPE-C2:EG-C6'!M52)+'OTHER(C2)-A11'!M52+'VCM-B8'!M23*0.49+'EDC-B9'!M23*0.29</f>
        <v>18546.762952059998</v>
      </c>
      <c r="N52" s="98">
        <f>SUM('LDPE-C2:EG-C6'!N52)+'OTHER(C2)-A11'!N52+'VCM-B8'!N23*0.49+'EDC-B9'!N23*0.29</f>
        <v>18625.206793279998</v>
      </c>
      <c r="O52" s="98">
        <f>SUM('LDPE-C2:EG-C6'!O52)+'OTHER(C2)-A11'!O52+'VCM-B8'!O23*0.49+'EDC-B9'!O23*0.29</f>
        <v>18678.53980776</v>
      </c>
      <c r="P52" s="98">
        <f>SUM('LDPE-C2:EG-C6'!P52)+'OTHER(C2)-A11'!P52+'VCM-B8'!P23*0.49+'EDC-B9'!P23*0.29</f>
        <v>18808.8184845</v>
      </c>
      <c r="Q52" s="229">
        <f>SUM('LDPE-C2:EG-C6'!Q52)+'OTHER(C2)-A11'!Q52+'VCM-B8'!Q23*0.49+'EDC-B9'!Q23*0.29</f>
        <v>19172.875859600004</v>
      </c>
      <c r="R52" s="303">
        <f t="shared" si="0"/>
        <v>-1.6</v>
      </c>
      <c r="S52" s="304">
        <f t="shared" si="1"/>
        <v>0.8</v>
      </c>
      <c r="T52" s="433"/>
      <c r="W52" s="28"/>
      <c r="X52" s="28"/>
      <c r="Y52" s="28"/>
    </row>
    <row r="53" spans="1:25" ht="15.75" customHeight="1">
      <c r="A53" s="16"/>
      <c r="B53" s="672" t="s">
        <v>312</v>
      </c>
      <c r="C53" s="673"/>
      <c r="D53" s="140">
        <f>SUM('LDPE-C2:EG-C6'!D53)+'OTHER(C2)-A11'!D53+'VCM-B8'!D24*0.49+'EDC-B9'!D24*0.29</f>
        <v>17946.150000000001</v>
      </c>
      <c r="E53" s="45">
        <f>SUM('LDPE-C2:EG-C6'!E53)+'OTHER(C2)-A11'!E53+'VCM-B8'!E24*0.49+'EDC-B9'!E24*0.29</f>
        <v>20957.05</v>
      </c>
      <c r="F53" s="45">
        <f>SUM('LDPE-C2:EG-C6'!F53)+'OTHER(C2)-A11'!F53+'VCM-B8'!F24*0.49+'EDC-B9'!F24*0.29</f>
        <v>22535.856161616161</v>
      </c>
      <c r="G53" s="45">
        <f>SUM('LDPE-C2:EG-C6'!G53)+'OTHER(C2)-A11'!G53+'VCM-B8'!G24*0.49+'EDC-B9'!G24*0.29</f>
        <v>23718.60750841751</v>
      </c>
      <c r="H53" s="45">
        <f>SUM('LDPE-C2:EG-C6'!H53)+'OTHER(C2)-A11'!H53+'VCM-B8'!H24*0.49+'EDC-B9'!H24*0.29</f>
        <v>25706.00193602694</v>
      </c>
      <c r="I53" s="45">
        <f>SUM('LDPE-C2:EG-C6'!I53)+'OTHER(C2)-A11'!I53+'VCM-B8'!I24*0.49+'EDC-B9'!I24*0.29</f>
        <v>25915.079999999998</v>
      </c>
      <c r="J53" s="45">
        <f>SUM('LDPE-C2:EG-C6'!J53)+'OTHER(C2)-A11'!J53+'VCM-B8'!J24*0.49+'EDC-B9'!J24*0.29</f>
        <v>27170.05</v>
      </c>
      <c r="K53" s="50">
        <f>SUM('LDPE-C2:EG-C6'!K53)+'OTHER(C2)-A11'!K53+'VCM-B8'!K24*0.49+'EDC-B9'!K24*0.29</f>
        <v>28061.069999999996</v>
      </c>
      <c r="L53" s="49">
        <f>SUM('LDPE-C2:EG-C6'!L53)+'OTHER(C2)-A11'!L53+'VCM-B8'!L24*0.49+'EDC-B9'!L24*0.29</f>
        <v>29128.780000000002</v>
      </c>
      <c r="M53" s="45">
        <f>SUM('LDPE-C2:EG-C6'!M53)+'OTHER(C2)-A11'!M53+'VCM-B8'!M24*0.49+'EDC-B9'!M24*0.29</f>
        <v>29740.230000000003</v>
      </c>
      <c r="N53" s="45">
        <f>SUM('LDPE-C2:EG-C6'!N53)+'OTHER(C2)-A11'!N53+'VCM-B8'!N24*0.49+'EDC-B9'!N24*0.29</f>
        <v>30356.46</v>
      </c>
      <c r="O53" s="45">
        <f>SUM('LDPE-C2:EG-C6'!O53)+'OTHER(C2)-A11'!O53+'VCM-B8'!O24*0.49+'EDC-B9'!O24*0.29</f>
        <v>30937.750000000004</v>
      </c>
      <c r="P53" s="45">
        <f>SUM('LDPE-C2:EG-C6'!P53)+'OTHER(C2)-A11'!P53+'VCM-B8'!P24*0.49+'EDC-B9'!P24*0.29</f>
        <v>31772.54</v>
      </c>
      <c r="Q53" s="51">
        <f>SUM('LDPE-C2:EG-C6'!Q53)+'OTHER(C2)-A11'!Q53+'VCM-B8'!Q24*0.49+'EDC-B9'!Q24*0.29</f>
        <v>32346.68</v>
      </c>
      <c r="R53" s="302">
        <f t="shared" si="0"/>
        <v>6.6</v>
      </c>
      <c r="S53" s="300">
        <f t="shared" si="1"/>
        <v>2.1</v>
      </c>
      <c r="T53" s="433"/>
      <c r="W53" s="28"/>
      <c r="X53" s="28"/>
      <c r="Y53" s="28"/>
    </row>
    <row r="54" spans="1:25" ht="15" customHeight="1">
      <c r="A54" s="16"/>
      <c r="B54" s="16"/>
      <c r="C54" s="615" t="s">
        <v>313</v>
      </c>
      <c r="D54" s="139">
        <f>SUM('LDPE-C2:EG-C6'!D54)+'OTHER(C2)-A11'!D54+'VCM-B8'!D25*0.49+'EDC-B9'!D25*0.29</f>
        <v>3830.49</v>
      </c>
      <c r="E54" s="98">
        <f>SUM('LDPE-C2:EG-C6'!E54)+'OTHER(C2)-A11'!E54+'VCM-B8'!E25*0.49+'EDC-B9'!E25*0.29</f>
        <v>11648.460000000001</v>
      </c>
      <c r="F54" s="98">
        <f>SUM('LDPE-C2:EG-C6'!F54)+'OTHER(C2)-A11'!F54+'VCM-B8'!F25*0.49+'EDC-B9'!F25*0.29</f>
        <v>12277.464848484848</v>
      </c>
      <c r="G54" s="98">
        <f>SUM('LDPE-C2:EG-C6'!G54)+'OTHER(C2)-A11'!G54+'VCM-B8'!G25*0.49+'EDC-B9'!G25*0.29</f>
        <v>12980.6</v>
      </c>
      <c r="H54" s="98">
        <f>SUM('LDPE-C2:EG-C6'!H54)+'OTHER(C2)-A11'!H54+'VCM-B8'!H25*0.49+'EDC-B9'!H25*0.29</f>
        <v>13913.459831649832</v>
      </c>
      <c r="I54" s="98">
        <f>SUM('LDPE-C2:EG-C6'!I54)+'OTHER(C2)-A11'!I54+'VCM-B8'!I25*0.49+'EDC-B9'!I25*0.29</f>
        <v>13499.92769230769</v>
      </c>
      <c r="J54" s="98">
        <f>SUM('LDPE-C2:EG-C6'!J54)+'OTHER(C2)-A11'!J54+'VCM-B8'!J25*0.49+'EDC-B9'!J25*0.29</f>
        <v>14079.303076923075</v>
      </c>
      <c r="K54" s="228">
        <f>SUM('LDPE-C2:EG-C6'!K54)+'OTHER(C2)-A11'!K54+'VCM-B8'!K25*0.49+'EDC-B9'!K25*0.29</f>
        <v>14524.204102564103</v>
      </c>
      <c r="L54" s="99">
        <f>SUM('LDPE-C2:EG-C6'!L54)+'OTHER(C2)-A11'!L54+'VCM-B8'!L25*0.49+'EDC-B9'!L25*0.29</f>
        <v>15000.884871794871</v>
      </c>
      <c r="M54" s="98">
        <f>SUM('LDPE-C2:EG-C6'!M54)+'OTHER(C2)-A11'!M54+'VCM-B8'!M25*0.49+'EDC-B9'!M25*0.29</f>
        <v>15325.604871794869</v>
      </c>
      <c r="N54" s="98">
        <f>SUM('LDPE-C2:EG-C6'!N54)+'OTHER(C2)-A11'!N54+'VCM-B8'!N25*0.49+'EDC-B9'!N25*0.29</f>
        <v>15512.866410256411</v>
      </c>
      <c r="O54" s="98">
        <f>SUM('LDPE-C2:EG-C6'!O54)+'OTHER(C2)-A11'!O54+'VCM-B8'!O25*0.49+'EDC-B9'!O25*0.29</f>
        <v>15621.58717948718</v>
      </c>
      <c r="P54" s="98">
        <f>SUM('LDPE-C2:EG-C6'!P54)+'OTHER(C2)-A11'!P54+'VCM-B8'!P25*0.49+'EDC-B9'!P25*0.29</f>
        <v>15915.779999999999</v>
      </c>
      <c r="Q54" s="229">
        <f>SUM('LDPE-C2:EG-C6'!Q54)+'OTHER(C2)-A11'!Q54+'VCM-B8'!Q25*0.49+'EDC-B9'!Q25*0.29</f>
        <v>16150.51</v>
      </c>
      <c r="R54" s="303">
        <f t="shared" si="0"/>
        <v>21</v>
      </c>
      <c r="S54" s="304">
        <f t="shared" si="1"/>
        <v>1.5</v>
      </c>
      <c r="T54" s="433"/>
      <c r="W54" s="28"/>
      <c r="X54" s="28"/>
      <c r="Y54" s="28"/>
    </row>
    <row r="55" spans="1:25" ht="15.75" customHeight="1">
      <c r="A55" s="16"/>
      <c r="B55" s="674" t="s">
        <v>314</v>
      </c>
      <c r="C55" s="675"/>
      <c r="D55" s="139">
        <f>SUM('LDPE-C2:EG-C6'!D55)+'OTHER(C2)-A11'!D55+'VCM-B8'!D26*0.49+'EDC-B9'!D26*0.29</f>
        <v>1413.28</v>
      </c>
      <c r="E55" s="98">
        <f>SUM('LDPE-C2:EG-C6'!E55)+'OTHER(C2)-A11'!E55+'VCM-B8'!E26*0.49+'EDC-B9'!E26*0.29</f>
        <v>1122.3600000000001</v>
      </c>
      <c r="F55" s="98">
        <f>SUM('LDPE-C2:EG-C6'!F55)+'OTHER(C2)-A11'!F55+'VCM-B8'!F26*0.49+'EDC-B9'!F26*0.29</f>
        <v>1110.21</v>
      </c>
      <c r="G55" s="98">
        <f>SUM('LDPE-C2:EG-C6'!G55)+'OTHER(C2)-A11'!G55+'VCM-B8'!G26*0.49+'EDC-B9'!G26*0.29</f>
        <v>985.36028913260225</v>
      </c>
      <c r="H55" s="98">
        <f>SUM('LDPE-C2:EG-C6'!H55)+'OTHER(C2)-A11'!H55+'VCM-B8'!H26*0.49+'EDC-B9'!H26*0.29</f>
        <v>1015.6914057826519</v>
      </c>
      <c r="I55" s="98">
        <f>SUM('LDPE-C2:EG-C6'!I55)+'OTHER(C2)-A11'!I55+'VCM-B8'!I26*0.49+'EDC-B9'!I26*0.29</f>
        <v>1212.5800000000002</v>
      </c>
      <c r="J55" s="98">
        <f>SUM('LDPE-C2:EG-C6'!J55)+'OTHER(C2)-A11'!J55+'VCM-B8'!J26*0.49+'EDC-B9'!J26*0.29</f>
        <v>1288.25</v>
      </c>
      <c r="K55" s="228">
        <f>SUM('LDPE-C2:EG-C6'!K55)+'OTHER(C2)-A11'!K55+'VCM-B8'!K26*0.49+'EDC-B9'!K26*0.29</f>
        <v>1541.0200000000002</v>
      </c>
      <c r="L55" s="99">
        <f>SUM('LDPE-C2:EG-C6'!L55)+'OTHER(C2)-A11'!L55+'VCM-B8'!L26*0.49+'EDC-B9'!L26*0.29</f>
        <v>1689.58</v>
      </c>
      <c r="M55" s="98">
        <f>SUM('LDPE-C2:EG-C6'!M55)+'OTHER(C2)-A11'!M55+'VCM-B8'!M26*0.49+'EDC-B9'!M26*0.29</f>
        <v>1685.96</v>
      </c>
      <c r="N55" s="98">
        <f>SUM('LDPE-C2:EG-C6'!N55)+'OTHER(C2)-A11'!N55+'VCM-B8'!N26*0.49+'EDC-B9'!N26*0.29</f>
        <v>1706.3500000000001</v>
      </c>
      <c r="O55" s="98">
        <f>SUM('LDPE-C2:EG-C6'!O55)+'OTHER(C2)-A11'!O55+'VCM-B8'!O26*0.49+'EDC-B9'!O26*0.29</f>
        <v>1750.5</v>
      </c>
      <c r="P55" s="98">
        <f>SUM('LDPE-C2:EG-C6'!P55)+'OTHER(C2)-A11'!P55+'VCM-B8'!P26*0.49+'EDC-B9'!P26*0.29</f>
        <v>1794.1000000000001</v>
      </c>
      <c r="Q55" s="229">
        <f>SUM('LDPE-C2:EG-C6'!Q55)+'OTHER(C2)-A11'!Q55+'VCM-B8'!Q26*0.49+'EDC-B9'!Q26*0.29</f>
        <v>1861.4799999999998</v>
      </c>
      <c r="R55" s="303">
        <f t="shared" si="0"/>
        <v>1.2</v>
      </c>
      <c r="S55" s="304">
        <f t="shared" si="1"/>
        <v>2</v>
      </c>
      <c r="T55" s="433"/>
      <c r="W55" s="28"/>
      <c r="X55" s="28"/>
      <c r="Y55" s="28"/>
    </row>
    <row r="56" spans="1:25" ht="15.75" customHeight="1">
      <c r="A56" s="16"/>
      <c r="B56" s="674" t="s">
        <v>315</v>
      </c>
      <c r="C56" s="675"/>
      <c r="D56" s="139">
        <f>SUM('LDPE-C2:EG-C6'!D56)+'OTHER(C2)-A11'!D56+'VCM-B8'!D27*0.49+'EDC-B9'!D27*0.29</f>
        <v>2761.74</v>
      </c>
      <c r="E56" s="98">
        <f>SUM('LDPE-C2:EG-C6'!E56)+'OTHER(C2)-A11'!E56+'VCM-B8'!E27*0.49+'EDC-B9'!E27*0.29</f>
        <v>2898.6</v>
      </c>
      <c r="F56" s="98">
        <f>SUM('LDPE-C2:EG-C6'!F56)+'OTHER(C2)-A11'!F56+'VCM-B8'!F27*0.49+'EDC-B9'!F27*0.29</f>
        <v>2624.1650399999999</v>
      </c>
      <c r="G56" s="98">
        <f>SUM('LDPE-C2:EG-C6'!G56)+'OTHER(C2)-A11'!G56+'VCM-B8'!G27*0.49+'EDC-B9'!G27*0.29</f>
        <v>3002.1955385200004</v>
      </c>
      <c r="H56" s="98">
        <f>SUM('LDPE-C2:EG-C6'!H56)+'OTHER(C2)-A11'!H56+'VCM-B8'!H27*0.49+'EDC-B9'!H27*0.29</f>
        <v>2820.19</v>
      </c>
      <c r="I56" s="98">
        <f>SUM('LDPE-C2:EG-C6'!I56)+'OTHER(C2)-A11'!I56+'VCM-B8'!I27*0.49+'EDC-B9'!I27*0.29</f>
        <v>2892.83</v>
      </c>
      <c r="J56" s="98">
        <f>SUM('LDPE-C2:EG-C6'!J56)+'OTHER(C2)-A11'!J56+'VCM-B8'!J27*0.49+'EDC-B9'!J27*0.29</f>
        <v>3583.3439899999998</v>
      </c>
      <c r="K56" s="228">
        <f>SUM('LDPE-C2:EG-C6'!K56)+'OTHER(C2)-A11'!K56+'VCM-B8'!K27*0.49+'EDC-B9'!K27*0.29</f>
        <v>3574.1096327999999</v>
      </c>
      <c r="L56" s="99">
        <f>SUM('LDPE-C2:EG-C6'!L56)+'OTHER(C2)-A11'!L56+'VCM-B8'!L27*0.49+'EDC-B9'!L27*0.29</f>
        <v>3965.0601869247998</v>
      </c>
      <c r="M56" s="98">
        <f>SUM('LDPE-C2:EG-C6'!M56)+'OTHER(C2)-A11'!M56+'VCM-B8'!M27*0.49+'EDC-B9'!M27*0.29</f>
        <v>4827.1777105212232</v>
      </c>
      <c r="N56" s="98">
        <f>SUM('LDPE-C2:EG-C6'!N56)+'OTHER(C2)-A11'!N56+'VCM-B8'!N27*0.49+'EDC-B9'!N27*0.29</f>
        <v>4942.6603761790411</v>
      </c>
      <c r="O56" s="98">
        <f>SUM('LDPE-C2:EG-C6'!O56)+'OTHER(C2)-A11'!O56+'VCM-B8'!O27*0.49+'EDC-B9'!O27*0.29</f>
        <v>5578.3752818217254</v>
      </c>
      <c r="P56" s="98">
        <f>SUM('LDPE-C2:EG-C6'!P56)+'OTHER(C2)-A11'!P56+'VCM-B8'!P27*0.49+'EDC-B9'!P27*0.29</f>
        <v>6214.3259110490517</v>
      </c>
      <c r="Q56" s="229">
        <f>SUM('LDPE-C2:EG-C6'!Q56)+'OTHER(C2)-A11'!Q56+'VCM-B8'!Q27*0.49+'EDC-B9'!Q27*0.29</f>
        <v>6752.2757997147874</v>
      </c>
      <c r="R56" s="303">
        <f t="shared" si="0"/>
        <v>3.8</v>
      </c>
      <c r="S56" s="304">
        <f t="shared" si="1"/>
        <v>11.2</v>
      </c>
      <c r="T56" s="433"/>
      <c r="W56" s="28"/>
      <c r="X56" s="28"/>
      <c r="Y56" s="28"/>
    </row>
    <row r="57" spans="1:25" ht="15" customHeight="1">
      <c r="A57" s="16"/>
      <c r="B57" s="672" t="s">
        <v>316</v>
      </c>
      <c r="C57" s="673"/>
      <c r="D57" s="140">
        <f>SUM('LDPE-C2:EG-C6'!D57)+'OTHER(C2)-A11'!D57+'VCM-B8'!D28*0.49+'EDC-B9'!D28*0.29</f>
        <v>24043.62</v>
      </c>
      <c r="E57" s="45">
        <f>SUM('LDPE-C2:EG-C6'!E57)+'OTHER(C2)-A11'!E57+'VCM-B8'!E28*0.49+'EDC-B9'!E28*0.29</f>
        <v>26269.399600000004</v>
      </c>
      <c r="F57" s="45">
        <f>SUM('LDPE-C2:EG-C6'!F57)+'OTHER(C2)-A11'!F57+'VCM-B8'!F28*0.49+'EDC-B9'!F28*0.29</f>
        <v>25968.5</v>
      </c>
      <c r="G57" s="45">
        <f>SUM('LDPE-C2:EG-C6'!G57)+'OTHER(C2)-A11'!G57+'VCM-B8'!G28*0.49+'EDC-B9'!G28*0.29</f>
        <v>27058.842628000006</v>
      </c>
      <c r="H57" s="45">
        <f>SUM('LDPE-C2:EG-C6'!H57)+'OTHER(C2)-A11'!H57+'VCM-B8'!H28*0.49+'EDC-B9'!H28*0.29</f>
        <v>26969.87</v>
      </c>
      <c r="I57" s="45">
        <f>SUM('LDPE-C2:EG-C6'!I57)+'OTHER(C2)-A11'!I57+'VCM-B8'!I28*0.49+'EDC-B9'!I28*0.29</f>
        <v>27968.26</v>
      </c>
      <c r="J57" s="45">
        <f>SUM('LDPE-C2:EG-C6'!J57)+'OTHER(C2)-A11'!J57+'VCM-B8'!J28*0.49+'EDC-B9'!J28*0.29</f>
        <v>27890.991999999998</v>
      </c>
      <c r="K57" s="50">
        <f>SUM('LDPE-C2:EG-C6'!K57)+'OTHER(C2)-A11'!K57+'VCM-B8'!K28*0.49+'EDC-B9'!K28*0.29</f>
        <v>28872.078000000001</v>
      </c>
      <c r="L57" s="49">
        <f>SUM('LDPE-C2:EG-C6'!L57)+'OTHER(C2)-A11'!L57+'VCM-B8'!L28*0.49+'EDC-B9'!L28*0.29</f>
        <v>31133.98</v>
      </c>
      <c r="M57" s="45">
        <f>SUM('LDPE-C2:EG-C6'!M57)+'OTHER(C2)-A11'!M57+'VCM-B8'!M28*0.49+'EDC-B9'!M28*0.29</f>
        <v>33044.069000000003</v>
      </c>
      <c r="N57" s="45">
        <f>SUM('LDPE-C2:EG-C6'!N57)+'OTHER(C2)-A11'!N57+'VCM-B8'!N28*0.49+'EDC-B9'!N28*0.29</f>
        <v>35006.550999999999</v>
      </c>
      <c r="O57" s="45">
        <f>SUM('LDPE-C2:EG-C6'!O57)+'OTHER(C2)-A11'!O57+'VCM-B8'!O28*0.49+'EDC-B9'!O28*0.29</f>
        <v>36473.231</v>
      </c>
      <c r="P57" s="45">
        <f>SUM('LDPE-C2:EG-C6'!P57)+'OTHER(C2)-A11'!P57+'VCM-B8'!P28*0.49+'EDC-B9'!P28*0.29</f>
        <v>37163.003000000012</v>
      </c>
      <c r="Q57" s="51">
        <f>SUM('LDPE-C2:EG-C6'!Q57)+'OTHER(C2)-A11'!Q57+'VCM-B8'!Q28*0.49+'EDC-B9'!Q28*0.29</f>
        <v>37035.119000000006</v>
      </c>
      <c r="R57" s="299">
        <f t="shared" si="0"/>
        <v>2.6</v>
      </c>
      <c r="S57" s="300">
        <f t="shared" si="1"/>
        <v>3.5</v>
      </c>
      <c r="T57" s="433"/>
      <c r="W57" s="28"/>
      <c r="X57" s="28"/>
      <c r="Y57" s="28"/>
    </row>
    <row r="58" spans="1:25" ht="15" customHeight="1">
      <c r="A58" s="16"/>
      <c r="B58" s="670" t="s">
        <v>317</v>
      </c>
      <c r="C58" s="671"/>
      <c r="D58" s="140">
        <f>SUM('LDPE-C2:EG-C6'!D58)+'OTHER(C2)-A11'!D58+'VCM-B8'!D29*0.49+'EDC-B9'!D29*0.29</f>
        <v>4251.0535744084682</v>
      </c>
      <c r="E58" s="45">
        <f>SUM('LDPE-C2:EG-C6'!E58)+'OTHER(C2)-A11'!E58+'VCM-B8'!E29*0.49+'EDC-B9'!E29*0.29</f>
        <v>4163.4936280245947</v>
      </c>
      <c r="F58" s="45">
        <f>SUM('LDPE-C2:EG-C6'!F58)+'OTHER(C2)-A11'!F58+'VCM-B8'!F29*0.49+'EDC-B9'!F29*0.29</f>
        <v>4604.34</v>
      </c>
      <c r="G58" s="45">
        <f>SUM('LDPE-C2:EG-C6'!G58)+'OTHER(C2)-A11'!G58+'VCM-B8'!G29*0.49+'EDC-B9'!G29*0.29</f>
        <v>4684.846802431638</v>
      </c>
      <c r="H58" s="45">
        <f>SUM('LDPE-C2:EG-C6'!H58)+'OTHER(C2)-A11'!H58+'VCM-B8'!H29*0.49+'EDC-B9'!H29*0.29</f>
        <v>4640.8801544681119</v>
      </c>
      <c r="I58" s="45">
        <f>SUM('LDPE-C2:EG-C6'!I58)+'OTHER(C2)-A11'!I58+'VCM-B8'!I29*0.49+'EDC-B9'!I29*0.29</f>
        <v>4829.6900000000005</v>
      </c>
      <c r="J58" s="45">
        <f>SUM('LDPE-C2:EG-C6'!J58)+'OTHER(C2)-A11'!J58+'VCM-B8'!J29*0.49+'EDC-B9'!J29*0.29</f>
        <v>4998.53</v>
      </c>
      <c r="K58" s="50">
        <f>SUM('LDPE-C2:EG-C6'!K58)+'OTHER(C2)-A11'!K58+'VCM-B8'!K29*0.49+'EDC-B9'!K29*0.29</f>
        <v>5009.3099999999995</v>
      </c>
      <c r="L58" s="49">
        <f>SUM('LDPE-C2:EG-C6'!L58)+'OTHER(C2)-A11'!L58+'VCM-B8'!L29*0.49+'EDC-B9'!L29*0.29</f>
        <v>5009.3099999999995</v>
      </c>
      <c r="M58" s="45">
        <f>SUM('LDPE-C2:EG-C6'!M58)+'OTHER(C2)-A11'!M58+'VCM-B8'!M29*0.49+'EDC-B9'!M29*0.29</f>
        <v>5009.3099999999995</v>
      </c>
      <c r="N58" s="45">
        <f>SUM('LDPE-C2:EG-C6'!N58)+'OTHER(C2)-A11'!N58+'VCM-B8'!N29*0.49+'EDC-B9'!N29*0.29</f>
        <v>5009.3099999999995</v>
      </c>
      <c r="O58" s="45">
        <f>SUM('LDPE-C2:EG-C6'!O58)+'OTHER(C2)-A11'!O58+'VCM-B8'!O29*0.49+'EDC-B9'!O29*0.29</f>
        <v>5103.3899999999994</v>
      </c>
      <c r="P58" s="45">
        <f>SUM('LDPE-C2:EG-C6'!P58)+'OTHER(C2)-A11'!P58+'VCM-B8'!P29*0.49+'EDC-B9'!P29*0.29</f>
        <v>5384.4500000000007</v>
      </c>
      <c r="Q58" s="51">
        <f>SUM('LDPE-C2:EG-C6'!Q58)+'OTHER(C2)-A11'!Q58+'VCM-B8'!Q29*0.49+'EDC-B9'!Q29*0.29</f>
        <v>5384.4500000000007</v>
      </c>
      <c r="R58" s="299">
        <f t="shared" si="0"/>
        <v>2.4</v>
      </c>
      <c r="S58" s="300">
        <f t="shared" si="1"/>
        <v>1.5</v>
      </c>
      <c r="T58" s="433"/>
      <c r="W58" s="28"/>
      <c r="X58" s="28"/>
      <c r="Y58" s="28"/>
    </row>
    <row r="59" spans="1:25" ht="15.75" customHeight="1">
      <c r="A59" s="16"/>
      <c r="B59" s="674" t="s">
        <v>318</v>
      </c>
      <c r="C59" s="675"/>
      <c r="D59" s="139">
        <f>SUM('LDPE-C2:EG-C6'!D59)+'OTHER(C2)-A11'!D59+'VCM-B8'!D30*0.49+'EDC-B9'!D30*0.29</f>
        <v>28294.673574408465</v>
      </c>
      <c r="E59" s="98">
        <f>SUM('LDPE-C2:EG-C6'!E59)+'OTHER(C2)-A11'!E59+'VCM-B8'!E30*0.49+'EDC-B9'!E30*0.29</f>
        <v>30432.893228024601</v>
      </c>
      <c r="F59" s="98">
        <f>SUM('LDPE-C2:EG-C6'!F59)+'OTHER(C2)-A11'!F59+'VCM-B8'!F30*0.49+'EDC-B9'!F30*0.29</f>
        <v>30572.84</v>
      </c>
      <c r="G59" s="98">
        <f>SUM('LDPE-C2:EG-C6'!G59)+'OTHER(C2)-A11'!G59+'VCM-B8'!G30*0.49+'EDC-B9'!G30*0.29</f>
        <v>31743.689430431645</v>
      </c>
      <c r="H59" s="98">
        <f>SUM('LDPE-C2:EG-C6'!H59)+'OTHER(C2)-A11'!H59+'VCM-B8'!H30*0.49+'EDC-B9'!H30*0.29</f>
        <v>31610.750154468114</v>
      </c>
      <c r="I59" s="98">
        <f>SUM('LDPE-C2:EG-C6'!I59)+'OTHER(C2)-A11'!I59+'VCM-B8'!I30*0.49+'EDC-B9'!I30*0.29</f>
        <v>32797.949999999997</v>
      </c>
      <c r="J59" s="98">
        <f>SUM('LDPE-C2:EG-C6'!J59)+'OTHER(C2)-A11'!J59+'VCM-B8'!J30*0.49+'EDC-B9'!J30*0.29</f>
        <v>32889.522000000004</v>
      </c>
      <c r="K59" s="228">
        <f>SUM('LDPE-C2:EG-C6'!K59)+'OTHER(C2)-A11'!K59+'VCM-B8'!K30*0.49+'EDC-B9'!K30*0.29</f>
        <v>33881.387999999999</v>
      </c>
      <c r="L59" s="99">
        <f>SUM('LDPE-C2:EG-C6'!L59)+'OTHER(C2)-A11'!L59+'VCM-B8'!L30*0.49+'EDC-B9'!L30*0.29</f>
        <v>36143.29</v>
      </c>
      <c r="M59" s="98">
        <f>SUM('LDPE-C2:EG-C6'!M59)+'OTHER(C2)-A11'!M59+'VCM-B8'!M30*0.49+'EDC-B9'!M30*0.29</f>
        <v>38053.379000000001</v>
      </c>
      <c r="N59" s="98">
        <f>SUM('LDPE-C2:EG-C6'!N59)+'OTHER(C2)-A11'!N59+'VCM-B8'!N30*0.49+'EDC-B9'!N30*0.29</f>
        <v>40015.860999999997</v>
      </c>
      <c r="O59" s="98">
        <f>SUM('LDPE-C2:EG-C6'!O59)+'OTHER(C2)-A11'!O59+'VCM-B8'!O30*0.49+'EDC-B9'!O30*0.29</f>
        <v>41576.620999999999</v>
      </c>
      <c r="P59" s="98">
        <f>SUM('LDPE-C2:EG-C6'!P59)+'OTHER(C2)-A11'!P59+'VCM-B8'!P30*0.49+'EDC-B9'!P30*0.29</f>
        <v>42547.453000000001</v>
      </c>
      <c r="Q59" s="229">
        <f>SUM('LDPE-C2:EG-C6'!Q59)+'OTHER(C2)-A11'!Q59+'VCM-B8'!Q30*0.49+'EDC-B9'!Q30*0.29</f>
        <v>42419.569000000003</v>
      </c>
      <c r="R59" s="303">
        <f t="shared" si="0"/>
        <v>2.6</v>
      </c>
      <c r="S59" s="304">
        <f t="shared" si="1"/>
        <v>3.3</v>
      </c>
      <c r="T59" s="433"/>
      <c r="W59" s="28"/>
      <c r="X59" s="28"/>
      <c r="Y59" s="28"/>
    </row>
    <row r="60" spans="1:25" ht="15" customHeight="1">
      <c r="A60" s="16"/>
      <c r="B60" s="672" t="s">
        <v>319</v>
      </c>
      <c r="C60" s="673"/>
      <c r="D60" s="140">
        <f>SUM('LDPE-C2:EG-C6'!D60)+'OTHER(C2)-A11'!D60+'VCM-B8'!D31*0.49+'EDC-B9'!D31*0.29</f>
        <v>1492.30115</v>
      </c>
      <c r="E60" s="45">
        <f>SUM('LDPE-C2:EG-C6'!E60)+'OTHER(C2)-A11'!E60+'VCM-B8'!E31*0.49+'EDC-B9'!E31*0.29</f>
        <v>1453.6378345000001</v>
      </c>
      <c r="F60" s="45">
        <f>SUM('LDPE-C2:EG-C6'!F60)+'OTHER(C2)-A11'!F60+'VCM-B8'!F31*0.49+'EDC-B9'!F31*0.29</f>
        <v>1191.105</v>
      </c>
      <c r="G60" s="45">
        <f>SUM('LDPE-C2:EG-C6'!G60)+'OTHER(C2)-A11'!G60+'VCM-B8'!G31*0.49+'EDC-B9'!G31*0.29</f>
        <v>1138.0449999999998</v>
      </c>
      <c r="H60" s="45">
        <f>SUM('LDPE-C2:EG-C6'!H60)+'OTHER(C2)-A11'!H60+'VCM-B8'!H31*0.49+'EDC-B9'!H31*0.29</f>
        <v>1086.6950000000002</v>
      </c>
      <c r="I60" s="45">
        <f>SUM('LDPE-C2:EG-C6'!I60)+'OTHER(C2)-A11'!I60+'VCM-B8'!I31*0.49+'EDC-B9'!I31*0.29</f>
        <v>1131.8</v>
      </c>
      <c r="J60" s="45">
        <f>SUM('LDPE-C2:EG-C6'!J60)+'OTHER(C2)-A11'!J60+'VCM-B8'!J31*0.49+'EDC-B9'!J31*0.29</f>
        <v>1555.3300000000002</v>
      </c>
      <c r="K60" s="50">
        <f>SUM('LDPE-C2:EG-C6'!K60)+'OTHER(C2)-A11'!K60+'VCM-B8'!K31*0.49+'EDC-B9'!K31*0.29</f>
        <v>1958.05</v>
      </c>
      <c r="L60" s="49">
        <f>SUM('LDPE-C2:EG-C6'!L60)+'OTHER(C2)-A11'!L60+'VCM-B8'!L31*0.49+'EDC-B9'!L31*0.29</f>
        <v>1953.6019999999999</v>
      </c>
      <c r="M60" s="45">
        <f>SUM('LDPE-C2:EG-C6'!M60)+'OTHER(C2)-A11'!M60+'VCM-B8'!M31*0.49+'EDC-B9'!M31*0.29</f>
        <v>1948.3819999999998</v>
      </c>
      <c r="N60" s="45">
        <f>SUM('LDPE-C2:EG-C6'!N60)+'OTHER(C2)-A11'!N60+'VCM-B8'!N31*0.49+'EDC-B9'!N31*0.29</f>
        <v>1957.952</v>
      </c>
      <c r="O60" s="45">
        <f>SUM('LDPE-C2:EG-C6'!O60)+'OTHER(C2)-A11'!O60+'VCM-B8'!O31*0.49+'EDC-B9'!O31*0.29</f>
        <v>1957.952</v>
      </c>
      <c r="P60" s="45">
        <f>SUM('LDPE-C2:EG-C6'!P60)+'OTHER(C2)-A11'!P60+'VCM-B8'!P31*0.49+'EDC-B9'!P31*0.29</f>
        <v>1958.1020000000001</v>
      </c>
      <c r="Q60" s="51">
        <f>SUM('LDPE-C2:EG-C6'!Q60)+'OTHER(C2)-A11'!Q60+'VCM-B8'!Q31*0.49+'EDC-B9'!Q31*0.29</f>
        <v>1958.1020000000001</v>
      </c>
      <c r="R60" s="299">
        <f t="shared" si="0"/>
        <v>4</v>
      </c>
      <c r="S60" s="300">
        <f t="shared" si="1"/>
        <v>0</v>
      </c>
      <c r="T60" s="433"/>
      <c r="W60" s="28"/>
      <c r="X60" s="28"/>
      <c r="Y60" s="28"/>
    </row>
    <row r="61" spans="1:25" ht="15" customHeight="1">
      <c r="A61" s="16"/>
      <c r="B61" s="668" t="s">
        <v>320</v>
      </c>
      <c r="C61" s="669"/>
      <c r="D61" s="140">
        <f>SUM('LDPE-C2:EG-C6'!D61)+'OTHER(C2)-A11'!D61+'VCM-B8'!D32*0.49+'EDC-B9'!D32*0.29</f>
        <v>3084.1983915789474</v>
      </c>
      <c r="E61" s="45">
        <f>SUM('LDPE-C2:EG-C6'!E61)+'OTHER(C2)-A11'!E61+'VCM-B8'!E32*0.49+'EDC-B9'!E32*0.29</f>
        <v>3169.1509594105264</v>
      </c>
      <c r="F61" s="45">
        <f>SUM('LDPE-C2:EG-C6'!F61)+'OTHER(C2)-A11'!F61+'VCM-B8'!F32*0.49+'EDC-B9'!F32*0.29</f>
        <v>3256.9677785987369</v>
      </c>
      <c r="G61" s="45">
        <f>SUM('LDPE-C2:EG-C6'!G61)+'OTHER(C2)-A11'!G61+'VCM-B8'!G32*0.49+'EDC-B9'!G32*0.29</f>
        <v>3293.2899999999995</v>
      </c>
      <c r="H61" s="45">
        <f>SUM('LDPE-C2:EG-C6'!H61)+'OTHER(C2)-A11'!H61+'VCM-B8'!H32*0.49+'EDC-B9'!H32*0.29</f>
        <v>3295.24</v>
      </c>
      <c r="I61" s="45">
        <f>SUM('LDPE-C2:EG-C6'!I61)+'OTHER(C2)-A11'!I61+'VCM-B8'!I32*0.49+'EDC-B9'!I32*0.29</f>
        <v>3460.54</v>
      </c>
      <c r="J61" s="45">
        <f>SUM('LDPE-C2:EG-C6'!J61)+'OTHER(C2)-A11'!J61+'VCM-B8'!J32*0.49+'EDC-B9'!J32*0.29</f>
        <v>3532.61</v>
      </c>
      <c r="K61" s="50">
        <f>SUM('LDPE-C2:EG-C6'!K61)+'OTHER(C2)-A11'!K61+'VCM-B8'!K32*0.49+'EDC-B9'!K32*0.29</f>
        <v>3512.4009999999998</v>
      </c>
      <c r="L61" s="49">
        <f>SUM('LDPE-C2:EG-C6'!L61)+'OTHER(C2)-A11'!L61+'VCM-B8'!L32*0.49+'EDC-B9'!L32*0.29</f>
        <v>3543.0029999999997</v>
      </c>
      <c r="M61" s="45">
        <f>SUM('LDPE-C2:EG-C6'!M61)+'OTHER(C2)-A11'!M61+'VCM-B8'!M32*0.49+'EDC-B9'!M32*0.29</f>
        <v>3564.1240000000003</v>
      </c>
      <c r="N61" s="45">
        <f>SUM('LDPE-C2:EG-C6'!N61)+'OTHER(C2)-A11'!N61+'VCM-B8'!N32*0.49+'EDC-B9'!N32*0.29</f>
        <v>3565.654</v>
      </c>
      <c r="O61" s="45">
        <f>SUM('LDPE-C2:EG-C6'!O61)+'OTHER(C2)-A11'!O61+'VCM-B8'!O32*0.49+'EDC-B9'!O32*0.29</f>
        <v>3557.3240000000001</v>
      </c>
      <c r="P61" s="45">
        <f>SUM('LDPE-C2:EG-C6'!P61)+'OTHER(C2)-A11'!P61+'VCM-B8'!P32*0.49+'EDC-B9'!P32*0.29</f>
        <v>3548.9939999999997</v>
      </c>
      <c r="Q61" s="51">
        <f>SUM('LDPE-C2:EG-C6'!Q61)+'OTHER(C2)-A11'!Q61+'VCM-B8'!Q32*0.49+'EDC-B9'!Q32*0.29</f>
        <v>3540.4490000000001</v>
      </c>
      <c r="R61" s="299">
        <f t="shared" si="0"/>
        <v>1.9</v>
      </c>
      <c r="S61" s="300">
        <f t="shared" si="1"/>
        <v>0</v>
      </c>
      <c r="T61" s="433"/>
      <c r="W61" s="28"/>
      <c r="X61" s="28"/>
      <c r="Y61" s="28"/>
    </row>
    <row r="62" spans="1:25" ht="15" customHeight="1">
      <c r="A62" s="16"/>
      <c r="B62" s="670" t="s">
        <v>321</v>
      </c>
      <c r="C62" s="671"/>
      <c r="D62" s="140">
        <f>SUM('LDPE-C2:EG-C6'!D62)+'OTHER(C2)-A11'!D62+'VCM-B8'!D33*0.49+'EDC-B9'!D33*0.29</f>
        <v>1474.6399999999999</v>
      </c>
      <c r="E62" s="45">
        <f>SUM('LDPE-C2:EG-C6'!E62)+'OTHER(C2)-A11'!E62+'VCM-B8'!E33*0.49+'EDC-B9'!E33*0.29</f>
        <v>1646.1000000000001</v>
      </c>
      <c r="F62" s="45">
        <f>SUM('LDPE-C2:EG-C6'!F62)+'OTHER(C2)-A11'!F62+'VCM-B8'!F33*0.49+'EDC-B9'!F33*0.29</f>
        <v>1648.72</v>
      </c>
      <c r="G62" s="45">
        <f>SUM('LDPE-C2:EG-C6'!G62)+'OTHER(C2)-A11'!G62+'VCM-B8'!G33*0.49+'EDC-B9'!G33*0.29</f>
        <v>1591.7200000000003</v>
      </c>
      <c r="H62" s="45">
        <f>SUM('LDPE-C2:EG-C6'!H62)+'OTHER(C2)-A11'!H62+'VCM-B8'!H33*0.49+'EDC-B9'!H33*0.29</f>
        <v>1609.5002564102565</v>
      </c>
      <c r="I62" s="45">
        <f>SUM('LDPE-C2:EG-C6'!I62)+'OTHER(C2)-A11'!I62+'VCM-B8'!I33*0.49+'EDC-B9'!I33*0.29</f>
        <v>1628.915905654175</v>
      </c>
      <c r="J62" s="45">
        <f>SUM('LDPE-C2:EG-C6'!J62)+'OTHER(C2)-A11'!J62+'VCM-B8'!J33*0.49+'EDC-B9'!J33*0.29</f>
        <v>1629.01</v>
      </c>
      <c r="K62" s="50">
        <f>SUM('LDPE-C2:EG-C6'!K62)+'OTHER(C2)-A11'!K62+'VCM-B8'!K33*0.49+'EDC-B9'!K33*0.29</f>
        <v>1627.8500000000001</v>
      </c>
      <c r="L62" s="49">
        <f>SUM('LDPE-C2:EG-C6'!L62)+'OTHER(C2)-A11'!L62+'VCM-B8'!L33*0.49+'EDC-B9'!L33*0.29</f>
        <v>1643.22</v>
      </c>
      <c r="M62" s="45">
        <f>SUM('LDPE-C2:EG-C6'!M62)+'OTHER(C2)-A11'!M62+'VCM-B8'!M33*0.49+'EDC-B9'!M33*0.29</f>
        <v>1643.71</v>
      </c>
      <c r="N62" s="45">
        <f>SUM('LDPE-C2:EG-C6'!N62)+'OTHER(C2)-A11'!N62+'VCM-B8'!N33*0.49+'EDC-B9'!N33*0.29</f>
        <v>1643.22</v>
      </c>
      <c r="O62" s="45">
        <f>SUM('LDPE-C2:EG-C6'!O62)+'OTHER(C2)-A11'!O62+'VCM-B8'!O33*0.49+'EDC-B9'!O33*0.29</f>
        <v>1643.22</v>
      </c>
      <c r="P62" s="45">
        <f>SUM('LDPE-C2:EG-C6'!P62)+'OTHER(C2)-A11'!P62+'VCM-B8'!P33*0.49+'EDC-B9'!P33*0.29</f>
        <v>1643.22</v>
      </c>
      <c r="Q62" s="51">
        <f>SUM('LDPE-C2:EG-C6'!Q62)+'OTHER(C2)-A11'!Q62+'VCM-B8'!Q33*0.49+'EDC-B9'!Q33*0.29</f>
        <v>1643.22</v>
      </c>
      <c r="R62" s="299">
        <f t="shared" si="0"/>
        <v>1.4</v>
      </c>
      <c r="S62" s="300">
        <f t="shared" si="1"/>
        <v>0</v>
      </c>
      <c r="T62" s="433"/>
      <c r="W62" s="28"/>
      <c r="X62" s="28"/>
      <c r="Y62" s="28"/>
    </row>
    <row r="63" spans="1:25" ht="15.75" customHeight="1" thickBot="1">
      <c r="A63" s="16"/>
      <c r="B63" s="678" t="s">
        <v>322</v>
      </c>
      <c r="C63" s="679"/>
      <c r="D63" s="234">
        <f>SUM('LDPE-C2:EG-C6'!D63)+'OTHER(C2)-A11'!D63+'VCM-B8'!D34*0.49+'EDC-B9'!D34*0.29</f>
        <v>6051.1395415789484</v>
      </c>
      <c r="E63" s="235">
        <f>SUM('LDPE-C2:EG-C6'!E63)+'OTHER(C2)-A11'!E63+'VCM-B8'!E34*0.49+'EDC-B9'!E34*0.29</f>
        <v>6268.8887939105271</v>
      </c>
      <c r="F63" s="235">
        <f>SUM('LDPE-C2:EG-C6'!F63)+'OTHER(C2)-A11'!F63+'VCM-B8'!F34*0.49+'EDC-B9'!F34*0.29</f>
        <v>6096.7927785987376</v>
      </c>
      <c r="G63" s="235">
        <f>SUM('LDPE-C2:EG-C6'!G63)+'OTHER(C2)-A11'!G63+'VCM-B8'!G34*0.49+'EDC-B9'!G34*0.29</f>
        <v>6023.0550000000012</v>
      </c>
      <c r="H63" s="235">
        <f>SUM('LDPE-C2:EG-C6'!H63)+'OTHER(C2)-A11'!H63+'VCM-B8'!H34*0.49+'EDC-B9'!H34*0.29</f>
        <v>5991.4352564102564</v>
      </c>
      <c r="I63" s="235">
        <f>SUM('LDPE-C2:EG-C6'!I63)+'OTHER(C2)-A11'!I63+'VCM-B8'!I34*0.49+'EDC-B9'!I34*0.29</f>
        <v>6221.2559056541731</v>
      </c>
      <c r="J63" s="235">
        <f>SUM('LDPE-C2:EG-C6'!J63)+'OTHER(C2)-A11'!J63+'VCM-B8'!J34*0.49+'EDC-B9'!J34*0.29</f>
        <v>6716.9500000000007</v>
      </c>
      <c r="K63" s="236">
        <f>SUM('LDPE-C2:EG-C6'!K63)+'OTHER(C2)-A11'!K63+'VCM-B8'!K34*0.49+'EDC-B9'!K34*0.29</f>
        <v>7098.3010000000004</v>
      </c>
      <c r="L63" s="237">
        <f>SUM('LDPE-C2:EG-C6'!L63)+'OTHER(C2)-A11'!L63+'VCM-B8'!L34*0.49+'EDC-B9'!L34*0.29</f>
        <v>7139.8249999999998</v>
      </c>
      <c r="M63" s="235">
        <f>SUM('LDPE-C2:EG-C6'!M63)+'OTHER(C2)-A11'!M63+'VCM-B8'!M34*0.49+'EDC-B9'!M34*0.29</f>
        <v>7156.2160000000003</v>
      </c>
      <c r="N63" s="235">
        <f>SUM('LDPE-C2:EG-C6'!N63)+'OTHER(C2)-A11'!N63+'VCM-B8'!N34*0.49+'EDC-B9'!N34*0.29</f>
        <v>7166.826</v>
      </c>
      <c r="O63" s="235">
        <f>SUM('LDPE-C2:EG-C6'!O63)+'OTHER(C2)-A11'!O63+'VCM-B8'!O34*0.49+'EDC-B9'!O34*0.29</f>
        <v>7158.4960000000001</v>
      </c>
      <c r="P63" s="235">
        <f>SUM('LDPE-C2:EG-C6'!P63)+'OTHER(C2)-A11'!P63+'VCM-B8'!P34*0.49+'EDC-B9'!P34*0.29</f>
        <v>7150.3159999999998</v>
      </c>
      <c r="Q63" s="238">
        <f>SUM('LDPE-C2:EG-C6'!Q63)+'OTHER(C2)-A11'!Q63+'VCM-B8'!Q34*0.49+'EDC-B9'!Q34*0.29</f>
        <v>7141.7709999999997</v>
      </c>
      <c r="R63" s="306">
        <f t="shared" si="0"/>
        <v>2.2999999999999998</v>
      </c>
      <c r="S63" s="307">
        <f t="shared" si="1"/>
        <v>0</v>
      </c>
      <c r="T63" s="433"/>
      <c r="W63" s="28"/>
      <c r="X63" s="28"/>
      <c r="Y63" s="28"/>
    </row>
    <row r="64" spans="1:25" ht="18" customHeight="1" thickTop="1" thickBot="1">
      <c r="A64" s="16"/>
      <c r="B64" s="625"/>
      <c r="C64" s="626" t="s">
        <v>342</v>
      </c>
      <c r="D64" s="118">
        <f t="shared" ref="D64:Q64" si="6">D63+D59+D56+D55+D53+D51+D49+D48</f>
        <v>124470.22781696946</v>
      </c>
      <c r="E64" s="116">
        <f t="shared" si="6"/>
        <v>128904.65770055684</v>
      </c>
      <c r="F64" s="116">
        <f t="shared" si="6"/>
        <v>127986.15056618369</v>
      </c>
      <c r="G64" s="116">
        <f t="shared" si="6"/>
        <v>134903.313054175</v>
      </c>
      <c r="H64" s="116">
        <f t="shared" si="6"/>
        <v>139251.0511900727</v>
      </c>
      <c r="I64" s="116">
        <f t="shared" si="6"/>
        <v>144355.65055591238</v>
      </c>
      <c r="J64" s="116">
        <f t="shared" si="6"/>
        <v>148928.28219223168</v>
      </c>
      <c r="K64" s="47">
        <f t="shared" si="6"/>
        <v>154040.21345832036</v>
      </c>
      <c r="L64" s="46">
        <f t="shared" si="6"/>
        <v>161322.61354020383</v>
      </c>
      <c r="M64" s="33">
        <f t="shared" si="6"/>
        <v>167711.64299018023</v>
      </c>
      <c r="N64" s="33">
        <f t="shared" si="6"/>
        <v>174934.68923689809</v>
      </c>
      <c r="O64" s="33">
        <f t="shared" si="6"/>
        <v>182747.33472382074</v>
      </c>
      <c r="P64" s="33">
        <f t="shared" si="6"/>
        <v>188440.30404880806</v>
      </c>
      <c r="Q64" s="48">
        <f t="shared" si="6"/>
        <v>193404.56021915379</v>
      </c>
      <c r="R64" s="310">
        <f t="shared" si="0"/>
        <v>3.1</v>
      </c>
      <c r="S64" s="311">
        <f t="shared" si="1"/>
        <v>3.7</v>
      </c>
      <c r="T64" s="433"/>
      <c r="W64" s="28"/>
      <c r="X64" s="28"/>
      <c r="Y64" s="28"/>
    </row>
    <row r="65" spans="1:25" ht="15" customHeight="1">
      <c r="A65" s="616" t="s">
        <v>327</v>
      </c>
      <c r="B65" s="644" t="s">
        <v>433</v>
      </c>
      <c r="C65" s="645"/>
      <c r="D65" s="225">
        <f>SUM('LDPE-C2:EG-C6'!D65)+'OTHER(C2)-A11'!D65</f>
        <v>4256.1499999999996</v>
      </c>
      <c r="E65" s="226">
        <f>SUM('LDPE-C2:EG-C6'!E65)+'OTHER(C2)-A11'!E65</f>
        <v>4369.6900000000005</v>
      </c>
      <c r="F65" s="226">
        <f>SUM('LDPE-C2:EG-C6'!F65)+'OTHER(C2)-A11'!F65</f>
        <v>4307.34</v>
      </c>
      <c r="G65" s="226">
        <f>SUM('LDPE-C2:EG-C6'!G65)+'OTHER(C2)-A11'!G65</f>
        <v>4423.12</v>
      </c>
      <c r="H65" s="226">
        <f>SUM('LDPE-C2:EG-C6'!H65)+'OTHER(C2)-A11'!H65</f>
        <v>4440.9699999999993</v>
      </c>
      <c r="I65" s="226">
        <f>SUM('LDPE-C2:EG-C6'!I65)+'OTHER(C2)-A11'!I65</f>
        <v>4616.3500000000004</v>
      </c>
      <c r="J65" s="226">
        <f>SUM('LDPE-C2:EG-C6'!J65)+'OTHER(C2)-A11'!J65</f>
        <v>4849.6900000000005</v>
      </c>
      <c r="K65" s="231">
        <f>SUM('LDPE-C2:EG-C6'!K65)+'OTHER(C2)-A11'!K65</f>
        <v>4983.62</v>
      </c>
      <c r="L65" s="232">
        <f>SUM('LDPE-C2:EG-C6'!L65)+'OTHER(C2)-A11'!L65</f>
        <v>5064.6000000000004</v>
      </c>
      <c r="M65" s="226">
        <f>SUM('LDPE-C2:EG-C6'!M65)+'OTHER(C2)-A11'!M65</f>
        <v>5134.3999999999996</v>
      </c>
      <c r="N65" s="226">
        <f>SUM('LDPE-C2:EG-C6'!N65)+'OTHER(C2)-A11'!N65</f>
        <v>5214.6000000000004</v>
      </c>
      <c r="O65" s="226">
        <f>SUM('LDPE-C2:EG-C6'!O65)+'OTHER(C2)-A11'!O65</f>
        <v>5394.1</v>
      </c>
      <c r="P65" s="226">
        <f>SUM('LDPE-C2:EG-C6'!P65)+'OTHER(C2)-A11'!P65</f>
        <v>5563.9</v>
      </c>
      <c r="Q65" s="233">
        <f>SUM('LDPE-C2:EG-C6'!Q65)+'OTHER(C2)-A11'!Q65</f>
        <v>5633.9</v>
      </c>
      <c r="R65" s="276">
        <f t="shared" si="0"/>
        <v>2.2999999999999998</v>
      </c>
      <c r="S65" s="298">
        <f t="shared" si="1"/>
        <v>2.2000000000000002</v>
      </c>
      <c r="T65" s="433"/>
      <c r="W65" s="28"/>
      <c r="X65" s="28"/>
      <c r="Y65" s="28"/>
    </row>
    <row r="66" spans="1:25" ht="15" customHeight="1">
      <c r="A66" s="614" t="s">
        <v>328</v>
      </c>
      <c r="B66" s="605" t="s">
        <v>434</v>
      </c>
      <c r="C66" s="606"/>
      <c r="D66" s="140">
        <f>SUM('LDPE-C2:EG-C6'!D66)+'OTHER(C2)-A11'!D66</f>
        <v>2478.52</v>
      </c>
      <c r="E66" s="45">
        <f>SUM('LDPE-C2:EG-C6'!E66)+'OTHER(C2)-A11'!E66</f>
        <v>2377.4499999999998</v>
      </c>
      <c r="F66" s="45">
        <f>SUM('LDPE-C2:EG-C6'!F66)+'OTHER(C2)-A11'!F66</f>
        <v>2293.2200000000003</v>
      </c>
      <c r="G66" s="45">
        <f>SUM('LDPE-C2:EG-C6'!G66)+'OTHER(C2)-A11'!G66</f>
        <v>2405.8599999999997</v>
      </c>
      <c r="H66" s="45">
        <f>SUM('LDPE-C2:EG-C6'!H66)+'OTHER(C2)-A11'!H66</f>
        <v>2362.56</v>
      </c>
      <c r="I66" s="45">
        <f>SUM('LDPE-C2:EG-C6'!I66)+'OTHER(C2)-A11'!I66</f>
        <v>2411.42</v>
      </c>
      <c r="J66" s="45">
        <f>SUM('LDPE-C2:EG-C6'!J66)+'OTHER(C2)-A11'!J66</f>
        <v>2521.3000000000002</v>
      </c>
      <c r="K66" s="50">
        <f>SUM('LDPE-C2:EG-C6'!K66)+'OTHER(C2)-A11'!K66</f>
        <v>2383.69</v>
      </c>
      <c r="L66" s="49">
        <f>SUM('LDPE-C2:EG-C6'!L66)+'OTHER(C2)-A11'!L66</f>
        <v>2557.3000000000002</v>
      </c>
      <c r="M66" s="45">
        <f>SUM('LDPE-C2:EG-C6'!M66)+'OTHER(C2)-A11'!M66</f>
        <v>2559.8000000000002</v>
      </c>
      <c r="N66" s="45">
        <f>SUM('LDPE-C2:EG-C6'!N66)+'OTHER(C2)-A11'!N66</f>
        <v>2613.6</v>
      </c>
      <c r="O66" s="45">
        <f>SUM('LDPE-C2:EG-C6'!O66)+'OTHER(C2)-A11'!O66</f>
        <v>2656.4</v>
      </c>
      <c r="P66" s="45">
        <f>SUM('LDPE-C2:EG-C6'!P66)+'OTHER(C2)-A11'!P66</f>
        <v>2658.9</v>
      </c>
      <c r="Q66" s="51">
        <f>SUM('LDPE-C2:EG-C6'!Q66)+'OTHER(C2)-A11'!Q66</f>
        <v>2658.9</v>
      </c>
      <c r="R66" s="299">
        <f t="shared" si="0"/>
        <v>-0.6</v>
      </c>
      <c r="S66" s="300">
        <f t="shared" si="1"/>
        <v>0.8</v>
      </c>
      <c r="T66" s="433"/>
      <c r="W66" s="28"/>
      <c r="X66" s="28"/>
      <c r="Y66" s="28"/>
    </row>
    <row r="67" spans="1:25" ht="15" customHeight="1">
      <c r="A67" s="16"/>
      <c r="B67" s="605" t="s">
        <v>435</v>
      </c>
      <c r="C67" s="606"/>
      <c r="D67" s="140">
        <f>SUM('LDPE-C2:EG-C6'!D67)+'OTHER(C2)-A11'!D67</f>
        <v>379.93</v>
      </c>
      <c r="E67" s="45">
        <f>SUM('LDPE-C2:EG-C6'!E67)+'OTHER(C2)-A11'!E67</f>
        <v>268.80780666666669</v>
      </c>
      <c r="F67" s="45">
        <f>SUM('LDPE-C2:EG-C6'!F67)+'OTHER(C2)-A11'!F67</f>
        <v>256.36537765333333</v>
      </c>
      <c r="G67" s="45">
        <f>SUM('LDPE-C2:EG-C6'!G67)+'OTHER(C2)-A11'!G67</f>
        <v>260.85671100415999</v>
      </c>
      <c r="H67" s="45">
        <f>SUM('LDPE-C2:EG-C6'!H67)+'OTHER(C2)-A11'!H67</f>
        <v>273.00450562328064</v>
      </c>
      <c r="I67" s="45">
        <f>SUM('LDPE-C2:EG-C6'!I67)+'OTHER(C2)-A11'!I67</f>
        <v>309.55869762574628</v>
      </c>
      <c r="J67" s="45">
        <f>SUM('LDPE-C2:EG-C6'!J67)+'OTHER(C2)-A11'!J67</f>
        <v>316.47000000000003</v>
      </c>
      <c r="K67" s="50">
        <f>SUM('LDPE-C2:EG-C6'!K67)+'OTHER(C2)-A11'!K67</f>
        <v>329.26</v>
      </c>
      <c r="L67" s="49">
        <f>SUM('LDPE-C2:EG-C6'!L67)+'OTHER(C2)-A11'!L67</f>
        <v>336.27</v>
      </c>
      <c r="M67" s="45">
        <f>SUM('LDPE-C2:EG-C6'!M67)+'OTHER(C2)-A11'!M67</f>
        <v>340.29</v>
      </c>
      <c r="N67" s="45">
        <f>SUM('LDPE-C2:EG-C6'!N67)+'OTHER(C2)-A11'!N67</f>
        <v>344.45000000000005</v>
      </c>
      <c r="O67" s="45">
        <f>SUM('LDPE-C2:EG-C6'!O67)+'OTHER(C2)-A11'!O67</f>
        <v>344.95000000000005</v>
      </c>
      <c r="P67" s="45">
        <f>SUM('LDPE-C2:EG-C6'!P67)+'OTHER(C2)-A11'!P67</f>
        <v>354.11</v>
      </c>
      <c r="Q67" s="51">
        <f>SUM('LDPE-C2:EG-C6'!Q67)+'OTHER(C2)-A11'!Q67</f>
        <v>357.61</v>
      </c>
      <c r="R67" s="301">
        <f t="shared" si="0"/>
        <v>-2</v>
      </c>
      <c r="S67" s="300">
        <f t="shared" si="1"/>
        <v>1.2</v>
      </c>
      <c r="T67" s="433"/>
      <c r="W67" s="28"/>
      <c r="X67" s="28"/>
      <c r="Y67" s="28"/>
    </row>
    <row r="68" spans="1:25" ht="15" customHeight="1">
      <c r="A68" s="16"/>
      <c r="B68" s="605" t="s">
        <v>436</v>
      </c>
      <c r="C68" s="606"/>
      <c r="D68" s="140">
        <f>SUM('LDPE-C2:EG-C6'!D68)+'OTHER(C2)-A11'!D68</f>
        <v>28303.78505383154</v>
      </c>
      <c r="E68" s="45">
        <f>SUM('LDPE-C2:EG-C6'!E68)+'OTHER(C2)-A11'!E68</f>
        <v>29855.699999999997</v>
      </c>
      <c r="F68" s="45">
        <f>SUM('LDPE-C2:EG-C6'!F68)+'OTHER(C2)-A11'!F68</f>
        <v>30651.196885245899</v>
      </c>
      <c r="G68" s="45">
        <f>SUM('LDPE-C2:EG-C6'!G68)+'OTHER(C2)-A11'!G68</f>
        <v>33811.968226950354</v>
      </c>
      <c r="H68" s="45">
        <f>SUM('LDPE-C2:EG-C6'!H68)+'OTHER(C2)-A11'!H68</f>
        <v>35381.81</v>
      </c>
      <c r="I68" s="45">
        <f>SUM('LDPE-C2:EG-C6'!I68)+'OTHER(C2)-A11'!I68</f>
        <v>37839.97</v>
      </c>
      <c r="J68" s="45">
        <f>SUM('LDPE-C2:EG-C6'!J68)+'OTHER(C2)-A11'!J68</f>
        <v>39754.21</v>
      </c>
      <c r="K68" s="50">
        <f>SUM('LDPE-C2:EG-C6'!K68)+'OTHER(C2)-A11'!K68</f>
        <v>44107.05</v>
      </c>
      <c r="L68" s="49">
        <f>SUM('LDPE-C2:EG-C6'!L68)+'OTHER(C2)-A11'!L68</f>
        <v>46679.92</v>
      </c>
      <c r="M68" s="45">
        <f>SUM('LDPE-C2:EG-C6'!M68)+'OTHER(C2)-A11'!M68</f>
        <v>49202.45</v>
      </c>
      <c r="N68" s="45">
        <f>SUM('LDPE-C2:EG-C6'!N68)+'OTHER(C2)-A11'!N68</f>
        <v>51650.930000000008</v>
      </c>
      <c r="O68" s="45">
        <f>SUM('LDPE-C2:EG-C6'!O68)+'OTHER(C2)-A11'!O68</f>
        <v>54157.600000000006</v>
      </c>
      <c r="P68" s="45">
        <f>SUM('LDPE-C2:EG-C6'!P68)+'OTHER(C2)-A11'!P68</f>
        <v>56717.18</v>
      </c>
      <c r="Q68" s="51">
        <f>SUM('LDPE-C2:EG-C6'!Q68)+'OTHER(C2)-A11'!Q68</f>
        <v>59082.26</v>
      </c>
      <c r="R68" s="299">
        <f t="shared" si="0"/>
        <v>6.5</v>
      </c>
      <c r="S68" s="300">
        <f t="shared" si="1"/>
        <v>4.8</v>
      </c>
      <c r="T68" s="433"/>
      <c r="W68" s="28"/>
      <c r="X68" s="28"/>
      <c r="Y68" s="28"/>
    </row>
    <row r="69" spans="1:25" ht="15" customHeight="1">
      <c r="A69" s="16"/>
      <c r="B69" s="605" t="s">
        <v>437</v>
      </c>
      <c r="C69" s="606"/>
      <c r="D69" s="140">
        <f>SUM('LDPE-C2:EG-C6'!D69)+'OTHER(C2)-A11'!D69</f>
        <v>1994.1000000000001</v>
      </c>
      <c r="E69" s="45">
        <f>SUM('LDPE-C2:EG-C6'!E69)+'OTHER(C2)-A11'!E69</f>
        <v>2131.2200000000003</v>
      </c>
      <c r="F69" s="45">
        <f>SUM('LDPE-C2:EG-C6'!F69)+'OTHER(C2)-A11'!F69</f>
        <v>2076.0400000000004</v>
      </c>
      <c r="G69" s="45">
        <f>SUM('LDPE-C2:EG-C6'!G69)+'OTHER(C2)-A11'!G69</f>
        <v>2077.7521200000001</v>
      </c>
      <c r="H69" s="45">
        <f>SUM('LDPE-C2:EG-C6'!H69)+'OTHER(C2)-A11'!H69</f>
        <v>2200.6541199999997</v>
      </c>
      <c r="I69" s="45">
        <f>SUM('LDPE-C2:EG-C6'!I69)+'OTHER(C2)-A11'!I69</f>
        <v>2197.1818170840002</v>
      </c>
      <c r="J69" s="45">
        <f>SUM('LDPE-C2:EG-C6'!J69)+'OTHER(C2)-A11'!J69</f>
        <v>2534.1459</v>
      </c>
      <c r="K69" s="50">
        <f>SUM('LDPE-C2:EG-C6'!K69)+'OTHER(C2)-A11'!K69</f>
        <v>2637.4189000000001</v>
      </c>
      <c r="L69" s="49">
        <f>SUM('LDPE-C2:EG-C6'!L69)+'OTHER(C2)-A11'!L69</f>
        <v>2736.0217488999997</v>
      </c>
      <c r="M69" s="45">
        <f>SUM('LDPE-C2:EG-C6'!M69)+'OTHER(C2)-A11'!M69</f>
        <v>2831.3712816378898</v>
      </c>
      <c r="N69" s="45">
        <f>SUM('LDPE-C2:EG-C6'!N69)+'OTHER(C2)-A11'!N69</f>
        <v>2925.9608532974025</v>
      </c>
      <c r="O69" s="45">
        <f>SUM('LDPE-C2:EG-C6'!O69)+'OTHER(C2)-A11'!O69</f>
        <v>3020.2455074346899</v>
      </c>
      <c r="P69" s="45">
        <f>SUM('LDPE-C2:EG-C6'!P69)+'OTHER(C2)-A11'!P69</f>
        <v>3116.4306066339009</v>
      </c>
      <c r="Q69" s="51">
        <f>SUM('LDPE-C2:EG-C6'!Q69)+'OTHER(C2)-A11'!Q69</f>
        <v>3217.6157423740615</v>
      </c>
      <c r="R69" s="299">
        <f t="shared" si="0"/>
        <v>4.0999999999999996</v>
      </c>
      <c r="S69" s="300">
        <f t="shared" si="1"/>
        <v>3.3</v>
      </c>
      <c r="T69" s="433"/>
      <c r="W69" s="28"/>
      <c r="X69" s="28"/>
      <c r="Y69" s="28"/>
    </row>
    <row r="70" spans="1:25" ht="15" customHeight="1">
      <c r="A70" s="16"/>
      <c r="B70" s="605" t="s">
        <v>438</v>
      </c>
      <c r="C70" s="606"/>
      <c r="D70" s="140">
        <f>SUM('LDPE-C2:EG-C6'!D70)+'OTHER(C2)-A11'!D70</f>
        <v>1301.8770105254885</v>
      </c>
      <c r="E70" s="45">
        <f>SUM('LDPE-C2:EG-C6'!E70)+'OTHER(C2)-A11'!E70</f>
        <v>1357.2008958612053</v>
      </c>
      <c r="F70" s="45">
        <f>SUM('LDPE-C2:EG-C6'!F70)+'OTHER(C2)-A11'!F70</f>
        <v>1684.3681660707173</v>
      </c>
      <c r="G70" s="45">
        <f>SUM('LDPE-C2:EG-C6'!G70)+'OTHER(C2)-A11'!G70</f>
        <v>1779.68</v>
      </c>
      <c r="H70" s="45">
        <f>SUM('LDPE-C2:EG-C6'!H70)+'OTHER(C2)-A11'!H70</f>
        <v>1805.96</v>
      </c>
      <c r="I70" s="45">
        <f>SUM('LDPE-C2:EG-C6'!I70)+'OTHER(C2)-A11'!I70</f>
        <v>1849.5200000000002</v>
      </c>
      <c r="J70" s="45">
        <f>SUM('LDPE-C2:EG-C6'!J70)+'OTHER(C2)-A11'!J70</f>
        <v>1918.67</v>
      </c>
      <c r="K70" s="50">
        <f>SUM('LDPE-C2:EG-C6'!K70)+'OTHER(C2)-A11'!K70</f>
        <v>2112.8000000000002</v>
      </c>
      <c r="L70" s="49">
        <f>SUM('LDPE-C2:EG-C6'!L70)+'OTHER(C2)-A11'!L70</f>
        <v>2106</v>
      </c>
      <c r="M70" s="45">
        <f>SUM('LDPE-C2:EG-C6'!M70)+'OTHER(C2)-A11'!M70</f>
        <v>2212.0500000000002</v>
      </c>
      <c r="N70" s="45">
        <f>SUM('LDPE-C2:EG-C6'!N70)+'OTHER(C2)-A11'!N70</f>
        <v>2317.6</v>
      </c>
      <c r="O70" s="45">
        <f>SUM('LDPE-C2:EG-C6'!O70)+'OTHER(C2)-A11'!O70</f>
        <v>2436.2999999999997</v>
      </c>
      <c r="P70" s="45">
        <f>SUM('LDPE-C2:EG-C6'!P70)+'OTHER(C2)-A11'!P70</f>
        <v>2552.5</v>
      </c>
      <c r="Q70" s="51">
        <f>SUM('LDPE-C2:EG-C6'!Q70)+'OTHER(C2)-A11'!Q70</f>
        <v>2669.75</v>
      </c>
      <c r="R70" s="299">
        <f t="shared" si="0"/>
        <v>7.2</v>
      </c>
      <c r="S70" s="300">
        <f t="shared" si="1"/>
        <v>4.9000000000000004</v>
      </c>
      <c r="T70" s="433"/>
      <c r="W70" s="28"/>
      <c r="X70" s="28"/>
      <c r="Y70" s="28"/>
    </row>
    <row r="71" spans="1:25" ht="15" customHeight="1">
      <c r="A71" s="16"/>
      <c r="B71" s="605" t="s">
        <v>439</v>
      </c>
      <c r="C71" s="606"/>
      <c r="D71" s="140">
        <f>SUM('LDPE-C2:EG-C6'!D71)+'OTHER(C2)-A11'!D71</f>
        <v>5602.72</v>
      </c>
      <c r="E71" s="45">
        <f>SUM('LDPE-C2:EG-C6'!E71)+'OTHER(C2)-A11'!E71</f>
        <v>5326.93</v>
      </c>
      <c r="F71" s="45">
        <f>SUM('LDPE-C2:EG-C6'!F71)+'OTHER(C2)-A11'!F71</f>
        <v>5836.87</v>
      </c>
      <c r="G71" s="45">
        <f>SUM('LDPE-C2:EG-C6'!G71)+'OTHER(C2)-A11'!G71</f>
        <v>6339.77</v>
      </c>
      <c r="H71" s="45">
        <f>SUM('LDPE-C2:EG-C6'!H71)+'OTHER(C2)-A11'!H71</f>
        <v>6037.7199999999993</v>
      </c>
      <c r="I71" s="45">
        <f>SUM('LDPE-C2:EG-C6'!I71)+'OTHER(C2)-A11'!I71</f>
        <v>6998.06</v>
      </c>
      <c r="J71" s="45">
        <f>SUM('LDPE-C2:EG-C6'!J71)+'OTHER(C2)-A11'!J71</f>
        <v>7101.9800000000005</v>
      </c>
      <c r="K71" s="50">
        <f>SUM('LDPE-C2:EG-C6'!K71)+'OTHER(C2)-A11'!K71</f>
        <v>8078</v>
      </c>
      <c r="L71" s="49">
        <f>SUM('LDPE-C2:EG-C6'!L71)+'OTHER(C2)-A11'!L71</f>
        <v>8788</v>
      </c>
      <c r="M71" s="45">
        <f>SUM('LDPE-C2:EG-C6'!M71)+'OTHER(C2)-A11'!M71</f>
        <v>9025</v>
      </c>
      <c r="N71" s="45">
        <f>SUM('LDPE-C2:EG-C6'!N71)+'OTHER(C2)-A11'!N71</f>
        <v>9295</v>
      </c>
      <c r="O71" s="45">
        <f>SUM('LDPE-C2:EG-C6'!O71)+'OTHER(C2)-A11'!O71</f>
        <v>9692</v>
      </c>
      <c r="P71" s="45">
        <f>SUM('LDPE-C2:EG-C6'!P71)+'OTHER(C2)-A11'!P71</f>
        <v>9962</v>
      </c>
      <c r="Q71" s="51">
        <f>SUM('LDPE-C2:EG-C6'!Q71)+'OTHER(C2)-A11'!Q71</f>
        <v>9962</v>
      </c>
      <c r="R71" s="299">
        <f t="shared" si="0"/>
        <v>5.4</v>
      </c>
      <c r="S71" s="300">
        <f t="shared" si="1"/>
        <v>2.5</v>
      </c>
      <c r="T71" s="433"/>
      <c r="W71" s="28"/>
      <c r="X71" s="28"/>
      <c r="Y71" s="28"/>
    </row>
    <row r="72" spans="1:25" ht="15.75" hidden="1" customHeight="1">
      <c r="A72" s="16"/>
      <c r="B72" s="16"/>
      <c r="C72" s="90" t="s">
        <v>306</v>
      </c>
      <c r="D72" s="140">
        <f>SUM('LDPE-C2:EG-C6'!D72)+'OTHER(C2)-A11'!D72</f>
        <v>0</v>
      </c>
      <c r="E72" s="45">
        <f>SUM('LDPE-C2:EG-C6'!E72)+'OTHER(C2)-A11'!E72</f>
        <v>0</v>
      </c>
      <c r="F72" s="45">
        <f>SUM('LDPE-C2:EG-C6'!F72)+'OTHER(C2)-A11'!F72</f>
        <v>0</v>
      </c>
      <c r="G72" s="45">
        <f>SUM('LDPE-C2:EG-C6'!G72)+'OTHER(C2)-A11'!G72</f>
        <v>0</v>
      </c>
      <c r="H72" s="45">
        <f>SUM('LDPE-C2:EG-C6'!H72)+'OTHER(C2)-A11'!H72</f>
        <v>0</v>
      </c>
      <c r="I72" s="45">
        <f>SUM('LDPE-C2:EG-C6'!I72)+'OTHER(C2)-A11'!I72</f>
        <v>0</v>
      </c>
      <c r="J72" s="45">
        <f>SUM('LDPE-C2:EG-C6'!J72)+'OTHER(C2)-A11'!J72</f>
        <v>0</v>
      </c>
      <c r="K72" s="50">
        <f>SUM('LDPE-C2:EG-C6'!K72)+'OTHER(C2)-A11'!K72</f>
        <v>0</v>
      </c>
      <c r="L72" s="49">
        <f>SUM('LDPE-C2:EG-C6'!L72)+'OTHER(C2)-A11'!L72</f>
        <v>0</v>
      </c>
      <c r="M72" s="45">
        <f>SUM('LDPE-C2:EG-C6'!M72)+'OTHER(C2)-A11'!M72</f>
        <v>0</v>
      </c>
      <c r="N72" s="45">
        <f>SUM('LDPE-C2:EG-C6'!N72)+'OTHER(C2)-A11'!N72</f>
        <v>0</v>
      </c>
      <c r="O72" s="45">
        <f>SUM('LDPE-C2:EG-C6'!O72)+'OTHER(C2)-A11'!O72</f>
        <v>0</v>
      </c>
      <c r="P72" s="45">
        <f>SUM('LDPE-C2:EG-C6'!P72)+'OTHER(C2)-A11'!P72</f>
        <v>0</v>
      </c>
      <c r="Q72" s="51">
        <f>SUM('LDPE-C2:EG-C6'!Q72)+'OTHER(C2)-A11'!Q72</f>
        <v>0</v>
      </c>
      <c r="R72" s="299" t="str">
        <f t="shared" ref="R72:R93" si="7">IF(D72=0,"     -",IF(K72=0,"     -",ROUND(((K72/D72)^(1/7)-1)*100,1)))</f>
        <v xml:space="preserve">     -</v>
      </c>
      <c r="S72" s="300" t="str">
        <f t="shared" ref="S72:S93" si="8">IF(L72=0,"     -",IF(Q72=0,"     -",ROUND(((Q72/L72)^(1/5)-1)*100,1)))</f>
        <v xml:space="preserve">     -</v>
      </c>
      <c r="T72" s="433"/>
      <c r="W72" s="28"/>
      <c r="X72" s="28"/>
      <c r="Y72" s="28"/>
    </row>
    <row r="73" spans="1:25" ht="15" customHeight="1">
      <c r="A73" s="16"/>
      <c r="B73" s="605" t="s">
        <v>440</v>
      </c>
      <c r="C73" s="606"/>
      <c r="D73" s="140">
        <f>SUM('LDPE-C2:EG-C6'!D73)+'OTHER(C2)-A11'!D73</f>
        <v>381.78000000000003</v>
      </c>
      <c r="E73" s="45">
        <f>SUM('LDPE-C2:EG-C6'!E73)+'OTHER(C2)-A11'!E73</f>
        <v>384.54999999999995</v>
      </c>
      <c r="F73" s="45">
        <f>SUM('LDPE-C2:EG-C6'!F73)+'OTHER(C2)-A11'!F73</f>
        <v>450.12</v>
      </c>
      <c r="G73" s="45">
        <f>SUM('LDPE-C2:EG-C6'!G73)+'OTHER(C2)-A11'!G73</f>
        <v>360.65000000000003</v>
      </c>
      <c r="H73" s="45">
        <f>SUM('LDPE-C2:EG-C6'!H73)+'OTHER(C2)-A11'!H73</f>
        <v>417.09</v>
      </c>
      <c r="I73" s="45">
        <f>SUM('LDPE-C2:EG-C6'!I73)+'OTHER(C2)-A11'!I73</f>
        <v>441.38319999999999</v>
      </c>
      <c r="J73" s="45">
        <f>SUM('LDPE-C2:EG-C6'!J73)+'OTHER(C2)-A11'!J73</f>
        <v>470.07000000000005</v>
      </c>
      <c r="K73" s="50">
        <f>SUM('LDPE-C2:EG-C6'!K73)+'OTHER(C2)-A11'!K73</f>
        <v>505.3</v>
      </c>
      <c r="L73" s="49">
        <f>SUM('LDPE-C2:EG-C6'!L73)+'OTHER(C2)-A11'!L73</f>
        <v>540.0100000000001</v>
      </c>
      <c r="M73" s="45">
        <f>SUM('LDPE-C2:EG-C6'!M73)+'OTHER(C2)-A11'!M73</f>
        <v>576.7600000000001</v>
      </c>
      <c r="N73" s="45">
        <f>SUM('LDPE-C2:EG-C6'!N73)+'OTHER(C2)-A11'!N73</f>
        <v>614.5100000000001</v>
      </c>
      <c r="O73" s="45">
        <f>SUM('LDPE-C2:EG-C6'!O73)+'OTHER(C2)-A11'!O73</f>
        <v>653.79999999999995</v>
      </c>
      <c r="P73" s="45">
        <f>SUM('LDPE-C2:EG-C6'!P73)+'OTHER(C2)-A11'!P73</f>
        <v>695.13000000000011</v>
      </c>
      <c r="Q73" s="51">
        <f>SUM('LDPE-C2:EG-C6'!Q73)+'OTHER(C2)-A11'!Q73</f>
        <v>738.5</v>
      </c>
      <c r="R73" s="302">
        <f t="shared" si="7"/>
        <v>4.0999999999999996</v>
      </c>
      <c r="S73" s="300">
        <f t="shared" si="8"/>
        <v>6.5</v>
      </c>
      <c r="T73" s="433"/>
      <c r="W73" s="28"/>
      <c r="X73" s="28"/>
      <c r="Y73" s="28"/>
    </row>
    <row r="74" spans="1:25" ht="15" customHeight="1">
      <c r="A74" s="16"/>
      <c r="B74" s="605" t="s">
        <v>441</v>
      </c>
      <c r="C74" s="606"/>
      <c r="D74" s="140">
        <f>SUM('LDPE-C2:EG-C6'!D74)+'OTHER(C2)-A11'!D74</f>
        <v>1256.6051398365307</v>
      </c>
      <c r="E74" s="45">
        <f>SUM('LDPE-C2:EG-C6'!E74)+'OTHER(C2)-A11'!E74</f>
        <v>1334.7041545454545</v>
      </c>
      <c r="F74" s="45">
        <f>SUM('LDPE-C2:EG-C6'!F74)+'OTHER(C2)-A11'!F74</f>
        <v>1278.1699999999998</v>
      </c>
      <c r="G74" s="45">
        <f>SUM('LDPE-C2:EG-C6'!G74)+'OTHER(C2)-A11'!G74</f>
        <v>1349.60194</v>
      </c>
      <c r="H74" s="45">
        <f>SUM('LDPE-C2:EG-C6'!H74)+'OTHER(C2)-A11'!H74</f>
        <v>1615.8547299999998</v>
      </c>
      <c r="I74" s="45">
        <f>SUM('LDPE-C2:EG-C6'!I74)+'OTHER(C2)-A11'!I74</f>
        <v>1604.2102416580999</v>
      </c>
      <c r="J74" s="45">
        <f>SUM('LDPE-C2:EG-C6'!J74)+'OTHER(C2)-A11'!J74</f>
        <v>1593.2509399999997</v>
      </c>
      <c r="K74" s="50">
        <f>SUM('LDPE-C2:EG-C6'!K74)+'OTHER(C2)-A11'!K74</f>
        <v>1692.8541799999998</v>
      </c>
      <c r="L74" s="49">
        <f>SUM('LDPE-C2:EG-C6'!L74)+'OTHER(C2)-A11'!L74</f>
        <v>1759.83029296</v>
      </c>
      <c r="M74" s="45">
        <f>SUM('LDPE-C2:EG-C6'!M74)+'OTHER(C2)-A11'!M74</f>
        <v>1828.4622834361599</v>
      </c>
      <c r="N74" s="45">
        <f>SUM('LDPE-C2:EG-C6'!N74)+'OTHER(C2)-A11'!N74</f>
        <v>1903.3726090410955</v>
      </c>
      <c r="O74" s="45">
        <f>SUM('LDPE-C2:EG-C6'!O74)+'OTHER(C2)-A11'!O74</f>
        <v>1982.5328471186845</v>
      </c>
      <c r="P74" s="45">
        <f>SUM('LDPE-C2:EG-C6'!P74)+'OTHER(C2)-A11'!P74</f>
        <v>2065.5244407192286</v>
      </c>
      <c r="Q74" s="51">
        <f>SUM('LDPE-C2:EG-C6'!Q74)+'OTHER(C2)-A11'!Q74</f>
        <v>2152.5328274500393</v>
      </c>
      <c r="R74" s="299">
        <f t="shared" si="7"/>
        <v>4.3</v>
      </c>
      <c r="S74" s="300">
        <f t="shared" si="8"/>
        <v>4.0999999999999996</v>
      </c>
      <c r="T74" s="433"/>
      <c r="W74" s="28"/>
      <c r="X74" s="28"/>
      <c r="Y74" s="28"/>
    </row>
    <row r="75" spans="1:25" ht="15" customHeight="1">
      <c r="A75" s="16"/>
      <c r="B75" s="605" t="s">
        <v>442</v>
      </c>
      <c r="C75" s="606"/>
      <c r="D75" s="140">
        <f>SUM('LDPE-C2:EG-C6'!D75)+'OTHER(C2)-A11'!D75</f>
        <v>773.72</v>
      </c>
      <c r="E75" s="45">
        <f>SUM('LDPE-C2:EG-C6'!E75)+'OTHER(C2)-A11'!E75</f>
        <v>827.08999999999992</v>
      </c>
      <c r="F75" s="45">
        <f>SUM('LDPE-C2:EG-C6'!F75)+'OTHER(C2)-A11'!F75</f>
        <v>930.07</v>
      </c>
      <c r="G75" s="45">
        <f>SUM('LDPE-C2:EG-C6'!G75)+'OTHER(C2)-A11'!G75</f>
        <v>994.28</v>
      </c>
      <c r="H75" s="45">
        <f>SUM('LDPE-C2:EG-C6'!H75)+'OTHER(C2)-A11'!H75</f>
        <v>1059.07</v>
      </c>
      <c r="I75" s="45">
        <f>SUM('LDPE-C2:EG-C6'!I75)+'OTHER(C2)-A11'!I75</f>
        <v>1129.8499999999999</v>
      </c>
      <c r="J75" s="45">
        <f>SUM('LDPE-C2:EG-C6'!J75)+'OTHER(C2)-A11'!J75</f>
        <v>1105.6599999999999</v>
      </c>
      <c r="K75" s="50">
        <f>SUM('LDPE-C2:EG-C6'!K75)+'OTHER(C2)-A11'!K75</f>
        <v>2362.6200000000003</v>
      </c>
      <c r="L75" s="49">
        <f>SUM('LDPE-C2:EG-C6'!L75)+'OTHER(C2)-A11'!L75</f>
        <v>2691.3439999999996</v>
      </c>
      <c r="M75" s="45">
        <f>SUM('LDPE-C2:EG-C6'!M75)+'OTHER(C2)-A11'!M75</f>
        <v>2850.7999999999997</v>
      </c>
      <c r="N75" s="45">
        <f>SUM('LDPE-C2:EG-C6'!N75)+'OTHER(C2)-A11'!N75</f>
        <v>3021.64</v>
      </c>
      <c r="O75" s="45">
        <f>SUM('LDPE-C2:EG-C6'!O75)+'OTHER(C2)-A11'!O75</f>
        <v>3202.1400000000003</v>
      </c>
      <c r="P75" s="45">
        <f>SUM('LDPE-C2:EG-C6'!P75)+'OTHER(C2)-A11'!P75</f>
        <v>3395.73</v>
      </c>
      <c r="Q75" s="51">
        <f>SUM('LDPE-C2:EG-C6'!Q75)+'OTHER(C2)-A11'!Q75</f>
        <v>3597.12</v>
      </c>
      <c r="R75" s="302">
        <f t="shared" si="7"/>
        <v>17.3</v>
      </c>
      <c r="S75" s="300">
        <f t="shared" si="8"/>
        <v>6</v>
      </c>
      <c r="T75" s="433"/>
      <c r="W75" s="28"/>
      <c r="X75" s="28"/>
      <c r="Y75" s="28"/>
    </row>
    <row r="76" spans="1:25" ht="15" customHeight="1">
      <c r="A76" s="16"/>
      <c r="B76" s="607" t="s">
        <v>443</v>
      </c>
      <c r="C76" s="608"/>
      <c r="D76" s="140">
        <f>SUM('LDPE-C2:EG-C6'!D76)+'OTHER(C2)-A11'!D76</f>
        <v>4925.4475000000002</v>
      </c>
      <c r="E76" s="45">
        <f>SUM('LDPE-C2:EG-C6'!E76)+'OTHER(C2)-A11'!E76</f>
        <v>5090.2379999999994</v>
      </c>
      <c r="F76" s="45">
        <f>SUM('LDPE-C2:EG-C6'!F76)+'OTHER(C2)-A11'!F76</f>
        <v>4772.0339999999997</v>
      </c>
      <c r="G76" s="45">
        <f>SUM('LDPE-C2:EG-C6'!G76)+'OTHER(C2)-A11'!G76</f>
        <v>4832.8809999999994</v>
      </c>
      <c r="H76" s="45">
        <f>SUM('LDPE-C2:EG-C6'!H76)+'OTHER(C2)-A11'!H76</f>
        <v>4957.626666666667</v>
      </c>
      <c r="I76" s="45">
        <f>SUM('LDPE-C2:EG-C6'!I76)+'OTHER(C2)-A11'!I76</f>
        <v>4737.75414</v>
      </c>
      <c r="J76" s="45">
        <f>SUM('LDPE-C2:EG-C6'!J76)+'OTHER(C2)-A11'!J76</f>
        <v>4660.2912299999998</v>
      </c>
      <c r="K76" s="50">
        <f>SUM('LDPE-C2:EG-C6'!K76)+'OTHER(C2)-A11'!K76</f>
        <v>4929.4120000000003</v>
      </c>
      <c r="L76" s="49">
        <f>SUM('LDPE-C2:EG-C6'!L76)+'OTHER(C2)-A11'!L76</f>
        <v>4785.0969999999998</v>
      </c>
      <c r="M76" s="45">
        <f>SUM('LDPE-C2:EG-C6'!M76)+'OTHER(C2)-A11'!M76</f>
        <v>4783.1675000000005</v>
      </c>
      <c r="N76" s="45">
        <f>SUM('LDPE-C2:EG-C6'!N76)+'OTHER(C2)-A11'!N76</f>
        <v>4760.5450000000001</v>
      </c>
      <c r="O76" s="45">
        <f>SUM('LDPE-C2:EG-C6'!O76)+'OTHER(C2)-A11'!O76</f>
        <v>4753.4699999999993</v>
      </c>
      <c r="P76" s="45">
        <f>SUM('LDPE-C2:EG-C6'!P76)+'OTHER(C2)-A11'!P76</f>
        <v>4753.6475</v>
      </c>
      <c r="Q76" s="51">
        <f>SUM('LDPE-C2:EG-C6'!Q76)+'OTHER(C2)-A11'!Q76</f>
        <v>4753.7024999999994</v>
      </c>
      <c r="R76" s="299">
        <f t="shared" si="7"/>
        <v>0</v>
      </c>
      <c r="S76" s="300">
        <f t="shared" si="8"/>
        <v>-0.1</v>
      </c>
      <c r="T76" s="433"/>
      <c r="W76" s="28"/>
      <c r="X76" s="28"/>
      <c r="Y76" s="28"/>
    </row>
    <row r="77" spans="1:25" ht="15" customHeight="1">
      <c r="A77" s="16"/>
      <c r="B77" s="674" t="s">
        <v>307</v>
      </c>
      <c r="C77" s="675"/>
      <c r="D77" s="95">
        <f>SUM(D65:D76)</f>
        <v>51654.634704193559</v>
      </c>
      <c r="E77" s="93">
        <f t="shared" ref="E77:K77" si="9">SUM(E65:E76)</f>
        <v>53323.580857073321</v>
      </c>
      <c r="F77" s="93">
        <f t="shared" si="9"/>
        <v>54535.794428969952</v>
      </c>
      <c r="G77" s="93">
        <f t="shared" si="9"/>
        <v>58636.419997954516</v>
      </c>
      <c r="H77" s="93">
        <f t="shared" si="9"/>
        <v>60552.320022289932</v>
      </c>
      <c r="I77" s="93">
        <f t="shared" si="9"/>
        <v>64135.258096367827</v>
      </c>
      <c r="J77" s="93">
        <f t="shared" si="9"/>
        <v>66825.738070000007</v>
      </c>
      <c r="K77" s="96">
        <f t="shared" si="9"/>
        <v>74122.025079999992</v>
      </c>
      <c r="L77" s="94">
        <f t="shared" ref="L77:Q77" si="10">SUM(L65:L76)</f>
        <v>78044.393041859992</v>
      </c>
      <c r="M77" s="93">
        <f t="shared" si="10"/>
        <v>81344.551065074047</v>
      </c>
      <c r="N77" s="93">
        <f t="shared" si="10"/>
        <v>84662.208462338487</v>
      </c>
      <c r="O77" s="93">
        <f t="shared" si="10"/>
        <v>88293.538354553384</v>
      </c>
      <c r="P77" s="93">
        <f t="shared" si="10"/>
        <v>91835.052547353131</v>
      </c>
      <c r="Q77" s="227">
        <f t="shared" si="10"/>
        <v>94823.891069824094</v>
      </c>
      <c r="R77" s="303">
        <f t="shared" si="7"/>
        <v>5.3</v>
      </c>
      <c r="S77" s="304">
        <f t="shared" si="8"/>
        <v>4</v>
      </c>
      <c r="T77" s="433"/>
      <c r="W77" s="28"/>
      <c r="X77" s="28"/>
      <c r="Y77" s="28"/>
    </row>
    <row r="78" spans="1:25" ht="15.75" customHeight="1">
      <c r="A78" s="16"/>
      <c r="B78" s="672" t="s">
        <v>308</v>
      </c>
      <c r="C78" s="673"/>
      <c r="D78" s="139">
        <f>SUM('LDPE-C2:EG-C6'!D78)+'OTHER(C2)-A11'!D78</f>
        <v>1010.1991599999999</v>
      </c>
      <c r="E78" s="98">
        <f>SUM('LDPE-C2:EG-C6'!E78)+'OTHER(C2)-A11'!E78</f>
        <v>846.01415999999995</v>
      </c>
      <c r="F78" s="98">
        <f>SUM('LDPE-C2:EG-C6'!F78)+'OTHER(C2)-A11'!F78</f>
        <v>698.2399999999999</v>
      </c>
      <c r="G78" s="98">
        <f>SUM('LDPE-C2:EG-C6'!G78)+'OTHER(C2)-A11'!G78</f>
        <v>761.9559999999999</v>
      </c>
      <c r="H78" s="98">
        <f>SUM('LDPE-C2:EG-C6'!H78)+'OTHER(C2)-A11'!H78</f>
        <v>755.37599999999998</v>
      </c>
      <c r="I78" s="98">
        <f>SUM('LDPE-C2:EG-C6'!I78)+'OTHER(C2)-A11'!I78</f>
        <v>755.78</v>
      </c>
      <c r="J78" s="98">
        <f>SUM('LDPE-C2:EG-C6'!J78)+'OTHER(C2)-A11'!J78</f>
        <v>757.48875999999996</v>
      </c>
      <c r="K78" s="228">
        <f>SUM('LDPE-C2:EG-C6'!K78)+'OTHER(C2)-A11'!K78</f>
        <v>764.08</v>
      </c>
      <c r="L78" s="99">
        <f>SUM('LDPE-C2:EG-C6'!L78)+'OTHER(C2)-A11'!L78</f>
        <v>790</v>
      </c>
      <c r="M78" s="98">
        <f>SUM('LDPE-C2:EG-C6'!M78)+'OTHER(C2)-A11'!M78</f>
        <v>791</v>
      </c>
      <c r="N78" s="98">
        <f>SUM('LDPE-C2:EG-C6'!N78)+'OTHER(C2)-A11'!N78</f>
        <v>800.64</v>
      </c>
      <c r="O78" s="98">
        <f>SUM('LDPE-C2:EG-C6'!O78)+'OTHER(C2)-A11'!O78</f>
        <v>802.64</v>
      </c>
      <c r="P78" s="98">
        <f>SUM('LDPE-C2:EG-C6'!P78)+'OTHER(C2)-A11'!P78</f>
        <v>811.62</v>
      </c>
      <c r="Q78" s="229">
        <f>SUM('LDPE-C2:EG-C6'!Q78)+'OTHER(C2)-A11'!Q78</f>
        <v>813.62</v>
      </c>
      <c r="R78" s="305">
        <f t="shared" si="7"/>
        <v>-3.9</v>
      </c>
      <c r="S78" s="304">
        <f t="shared" si="8"/>
        <v>0.6</v>
      </c>
      <c r="T78" s="433"/>
      <c r="W78" s="28"/>
      <c r="X78" s="28"/>
      <c r="Y78" s="28"/>
    </row>
    <row r="79" spans="1:25" ht="15" customHeight="1">
      <c r="A79" s="16"/>
      <c r="B79" s="105"/>
      <c r="C79" s="97" t="s">
        <v>309</v>
      </c>
      <c r="D79" s="139">
        <f>SUM('LDPE-C2:EG-C6'!D79)+'OTHER(C2)-A11'!D79</f>
        <v>808.33215999999993</v>
      </c>
      <c r="E79" s="98">
        <f>SUM('LDPE-C2:EG-C6'!E79)+'OTHER(C2)-A11'!E79</f>
        <v>846.01415999999995</v>
      </c>
      <c r="F79" s="98">
        <f>SUM('LDPE-C2:EG-C6'!F79)+'OTHER(C2)-A11'!F79</f>
        <v>697.87599999999986</v>
      </c>
      <c r="G79" s="98">
        <f>SUM('LDPE-C2:EG-C6'!G79)+'OTHER(C2)-A11'!G79</f>
        <v>761.9559999999999</v>
      </c>
      <c r="H79" s="98">
        <f>SUM('LDPE-C2:EG-C6'!H79)+'OTHER(C2)-A11'!H79</f>
        <v>755.37599999999998</v>
      </c>
      <c r="I79" s="98">
        <f>SUM('LDPE-C2:EG-C6'!I79)+'OTHER(C2)-A11'!I79</f>
        <v>755.78</v>
      </c>
      <c r="J79" s="98">
        <f>SUM('LDPE-C2:EG-C6'!J79)+'OTHER(C2)-A11'!J79</f>
        <v>757.48875999999996</v>
      </c>
      <c r="K79" s="228">
        <f>SUM('LDPE-C2:EG-C6'!K79)+'OTHER(C2)-A11'!K79</f>
        <v>764.08</v>
      </c>
      <c r="L79" s="99">
        <f>SUM('LDPE-C2:EG-C6'!L79)+'OTHER(C2)-A11'!L79</f>
        <v>790</v>
      </c>
      <c r="M79" s="98">
        <f>SUM('LDPE-C2:EG-C6'!M79)+'OTHER(C2)-A11'!M79</f>
        <v>791</v>
      </c>
      <c r="N79" s="98">
        <f>SUM('LDPE-C2:EG-C6'!N79)+'OTHER(C2)-A11'!N79</f>
        <v>800.64</v>
      </c>
      <c r="O79" s="98">
        <f>SUM('LDPE-C2:EG-C6'!O79)+'OTHER(C2)-A11'!O79</f>
        <v>802.64</v>
      </c>
      <c r="P79" s="98">
        <f>SUM('LDPE-C2:EG-C6'!P79)+'OTHER(C2)-A11'!P79</f>
        <v>811.62</v>
      </c>
      <c r="Q79" s="229">
        <f>SUM('LDPE-C2:EG-C6'!Q79)+'OTHER(C2)-A11'!Q79</f>
        <v>813.62</v>
      </c>
      <c r="R79" s="305">
        <f t="shared" si="7"/>
        <v>-0.8</v>
      </c>
      <c r="S79" s="304">
        <f t="shared" si="8"/>
        <v>0.6</v>
      </c>
      <c r="T79" s="433"/>
      <c r="W79" s="28"/>
      <c r="X79" s="28"/>
      <c r="Y79" s="28"/>
    </row>
    <row r="80" spans="1:25" ht="15.75" customHeight="1">
      <c r="A80" s="16"/>
      <c r="B80" s="672" t="s">
        <v>310</v>
      </c>
      <c r="C80" s="673"/>
      <c r="D80" s="140">
        <f>SUM('LDPE-C2:EG-C6'!D80)+'OTHER(C2)-A11'!D80</f>
        <v>26842.616760000001</v>
      </c>
      <c r="E80" s="45">
        <f>SUM('LDPE-C2:EG-C6'!E80)+'OTHER(C2)-A11'!E80</f>
        <v>22060.146439999997</v>
      </c>
      <c r="F80" s="45">
        <f>SUM('LDPE-C2:EG-C6'!F80)+'OTHER(C2)-A11'!F80</f>
        <v>20727.185380000003</v>
      </c>
      <c r="G80" s="45">
        <f>SUM('LDPE-C2:EG-C6'!G80)+'OTHER(C2)-A11'!G80</f>
        <v>20940.958719999999</v>
      </c>
      <c r="H80" s="45">
        <f>SUM('LDPE-C2:EG-C6'!H80)+'OTHER(C2)-A11'!H80</f>
        <v>20783.943844000001</v>
      </c>
      <c r="I80" s="45">
        <f>SUM('LDPE-C2:EG-C6'!I80)+'OTHER(C2)-A11'!I80</f>
        <v>21354.283199999998</v>
      </c>
      <c r="J80" s="45">
        <f>SUM('LDPE-C2:EG-C6'!J80)+'OTHER(C2)-A11'!J80</f>
        <v>21963.338502000002</v>
      </c>
      <c r="K80" s="50">
        <f>SUM('LDPE-C2:EG-C6'!K80)+'OTHER(C2)-A11'!K80</f>
        <v>21906.702929180003</v>
      </c>
      <c r="L80" s="49">
        <f>SUM('LDPE-C2:EG-C6'!L80)+'OTHER(C2)-A11'!L80</f>
        <v>22167.909924060001</v>
      </c>
      <c r="M80" s="45">
        <f>SUM('LDPE-C2:EG-C6'!M80)+'OTHER(C2)-A11'!M80</f>
        <v>22472.212012460001</v>
      </c>
      <c r="N80" s="45">
        <f>SUM('LDPE-C2:EG-C6'!N80)+'OTHER(C2)-A11'!N80</f>
        <v>22740.658159160001</v>
      </c>
      <c r="O80" s="45">
        <f>SUM('LDPE-C2:EG-C6'!O80)+'OTHER(C2)-A11'!O80</f>
        <v>22993.150385119996</v>
      </c>
      <c r="P80" s="45">
        <f>SUM('LDPE-C2:EG-C6'!P80)+'OTHER(C2)-A11'!P80</f>
        <v>23242.170776820003</v>
      </c>
      <c r="Q80" s="51">
        <f>SUM('LDPE-C2:EG-C6'!Q80)+'OTHER(C2)-A11'!Q80</f>
        <v>23553.617994979999</v>
      </c>
      <c r="R80" s="299">
        <f t="shared" si="7"/>
        <v>-2.9</v>
      </c>
      <c r="S80" s="300">
        <f t="shared" si="8"/>
        <v>1.2</v>
      </c>
      <c r="T80" s="433"/>
      <c r="W80" s="28"/>
      <c r="X80" s="28"/>
      <c r="Y80" s="28"/>
    </row>
    <row r="81" spans="1:26" ht="15" customHeight="1">
      <c r="A81" s="16"/>
      <c r="B81" s="105"/>
      <c r="C81" s="615" t="s">
        <v>311</v>
      </c>
      <c r="D81" s="139">
        <f>SUM('LDPE-C2:EG-C6'!D81)+'OTHER(C2)-A11'!D81</f>
        <v>22242.842959999998</v>
      </c>
      <c r="E81" s="98">
        <f>SUM('LDPE-C2:EG-C6'!E81)+'OTHER(C2)-A11'!E81</f>
        <v>18966.469280000001</v>
      </c>
      <c r="F81" s="98">
        <f>SUM('LDPE-C2:EG-C6'!F81)+'OTHER(C2)-A11'!F81</f>
        <v>18078.663760000003</v>
      </c>
      <c r="G81" s="98">
        <f>SUM('LDPE-C2:EG-C6'!G81)+'OTHER(C2)-A11'!G81</f>
        <v>18286.69918</v>
      </c>
      <c r="H81" s="98">
        <f>SUM('LDPE-C2:EG-C6'!H81)+'OTHER(C2)-A11'!H81</f>
        <v>18178.391100000001</v>
      </c>
      <c r="I81" s="98">
        <f>SUM('LDPE-C2:EG-C6'!I81)+'OTHER(C2)-A11'!I81</f>
        <v>18585.844059999999</v>
      </c>
      <c r="J81" s="98">
        <f>SUM('LDPE-C2:EG-C6'!J81)+'OTHER(C2)-A11'!J81</f>
        <v>19114.642256259998</v>
      </c>
      <c r="K81" s="228">
        <f>SUM('LDPE-C2:EG-C6'!K81)+'OTHER(C2)-A11'!K81</f>
        <v>18985.594348980001</v>
      </c>
      <c r="L81" s="99">
        <f>SUM('LDPE-C2:EG-C6'!L81)+'OTHER(C2)-A11'!L81</f>
        <v>19183.508896079999</v>
      </c>
      <c r="M81" s="98">
        <f>SUM('LDPE-C2:EG-C6'!M81)+'OTHER(C2)-A11'!M81</f>
        <v>19406.09278594</v>
      </c>
      <c r="N81" s="98">
        <f>SUM('LDPE-C2:EG-C6'!N81)+'OTHER(C2)-A11'!N81</f>
        <v>19600.279406459998</v>
      </c>
      <c r="O81" s="98">
        <f>SUM('LDPE-C2:EG-C6'!O81)+'OTHER(C2)-A11'!O81</f>
        <v>19788.953042659999</v>
      </c>
      <c r="P81" s="98">
        <f>SUM('LDPE-C2:EG-C6'!P81)+'OTHER(C2)-A11'!P81</f>
        <v>19969.835395620001</v>
      </c>
      <c r="Q81" s="229">
        <f>SUM('LDPE-C2:EG-C6'!Q81)+'OTHER(C2)-A11'!Q81</f>
        <v>20208.7739282</v>
      </c>
      <c r="R81" s="303">
        <f t="shared" si="7"/>
        <v>-2.2000000000000002</v>
      </c>
      <c r="S81" s="304">
        <f t="shared" si="8"/>
        <v>1</v>
      </c>
      <c r="T81" s="433"/>
      <c r="W81" s="28"/>
      <c r="X81" s="28"/>
      <c r="Y81" s="28"/>
    </row>
    <row r="82" spans="1:26" ht="15.75" customHeight="1">
      <c r="A82" s="16"/>
      <c r="B82" s="672" t="s">
        <v>312</v>
      </c>
      <c r="C82" s="673"/>
      <c r="D82" s="140">
        <f>SUM('LDPE-C2:EG-C6'!D82)+'OTHER(C2)-A11'!D82</f>
        <v>5744.06</v>
      </c>
      <c r="E82" s="45">
        <f>SUM('LDPE-C2:EG-C6'!E82)+'OTHER(C2)-A11'!E82</f>
        <v>8197.65</v>
      </c>
      <c r="F82" s="45">
        <f>SUM('LDPE-C2:EG-C6'!F82)+'OTHER(C2)-A11'!F82</f>
        <v>8379.1288999999997</v>
      </c>
      <c r="G82" s="45">
        <f>SUM('LDPE-C2:EG-C6'!G82)+'OTHER(C2)-A11'!G82</f>
        <v>8606.9500609999996</v>
      </c>
      <c r="H82" s="45">
        <f>SUM('LDPE-C2:EG-C6'!H82)+'OTHER(C2)-A11'!H82</f>
        <v>9087.2455640500011</v>
      </c>
      <c r="I82" s="45">
        <f>SUM('LDPE-C2:EG-C6'!I82)+'OTHER(C2)-A11'!I82</f>
        <v>9119.0741182525016</v>
      </c>
      <c r="J82" s="45">
        <f>SUM('LDPE-C2:EG-C6'!J82)+'OTHER(C2)-A11'!J82</f>
        <v>9390.0618241651246</v>
      </c>
      <c r="K82" s="50">
        <f>SUM('LDPE-C2:EG-C6'!K82)+'OTHER(C2)-A11'!K82</f>
        <v>9605.6339153733825</v>
      </c>
      <c r="L82" s="49">
        <f>SUM('LDPE-C2:EG-C6'!L82)+'OTHER(C2)-A11'!L82</f>
        <v>10229.773611142049</v>
      </c>
      <c r="M82" s="45">
        <f>SUM('LDPE-C2:EG-C6'!M82)+'OTHER(C2)-A11'!M82</f>
        <v>10668.24</v>
      </c>
      <c r="N82" s="45">
        <f>SUM('LDPE-C2:EG-C6'!N82)+'OTHER(C2)-A11'!N82</f>
        <v>11115.43</v>
      </c>
      <c r="O82" s="45">
        <f>SUM('LDPE-C2:EG-C6'!O82)+'OTHER(C2)-A11'!O82</f>
        <v>11590.045291699153</v>
      </c>
      <c r="P82" s="45">
        <f>SUM('LDPE-C2:EG-C6'!P82)+'OTHER(C2)-A11'!P82</f>
        <v>11887.02</v>
      </c>
      <c r="Q82" s="51">
        <f>SUM('LDPE-C2:EG-C6'!Q82)+'OTHER(C2)-A11'!Q82</f>
        <v>12377.480000000001</v>
      </c>
      <c r="R82" s="299">
        <f t="shared" si="7"/>
        <v>7.6</v>
      </c>
      <c r="S82" s="300">
        <f t="shared" si="8"/>
        <v>3.9</v>
      </c>
      <c r="T82" s="433"/>
      <c r="W82" s="28"/>
      <c r="X82" s="28"/>
      <c r="Y82" s="28"/>
    </row>
    <row r="83" spans="1:26" ht="15" customHeight="1">
      <c r="A83" s="16"/>
      <c r="B83" s="16"/>
      <c r="C83" s="615" t="s">
        <v>313</v>
      </c>
      <c r="D83" s="139">
        <f>SUM('LDPE-C2:EG-C6'!D83)+'OTHER(C2)-A11'!D83</f>
        <v>1185.08</v>
      </c>
      <c r="E83" s="98">
        <f>SUM('LDPE-C2:EG-C6'!E83)+'OTHER(C2)-A11'!E83</f>
        <v>1306.95</v>
      </c>
      <c r="F83" s="98">
        <f>SUM('LDPE-C2:EG-C6'!F83)+'OTHER(C2)-A11'!F83</f>
        <v>1374.5705</v>
      </c>
      <c r="G83" s="98">
        <f>SUM('LDPE-C2:EG-C6'!G83)+'OTHER(C2)-A11'!G83</f>
        <v>1407.71</v>
      </c>
      <c r="H83" s="98">
        <f>SUM('LDPE-C2:EG-C6'!H83)+'OTHER(C2)-A11'!H83</f>
        <v>1473.4530749999999</v>
      </c>
      <c r="I83" s="98">
        <f>SUM('LDPE-C2:EG-C6'!I83)+'OTHER(C2)-A11'!I83</f>
        <v>1516.6050623684382</v>
      </c>
      <c r="J83" s="98">
        <f>SUM('LDPE-C2:EG-C6'!J83)+'OTHER(C2)-A11'!J83</f>
        <v>1536.5913475065158</v>
      </c>
      <c r="K83" s="228">
        <f>SUM('LDPE-C2:EG-C6'!K83)+'OTHER(C2)-A11'!K83</f>
        <v>1560.3706430358773</v>
      </c>
      <c r="L83" s="99">
        <f>SUM('LDPE-C2:EG-C6'!L83)+'OTHER(C2)-A11'!L83</f>
        <v>1608.2712805953763</v>
      </c>
      <c r="M83" s="98">
        <f>SUM('LDPE-C2:EG-C6'!M83)+'OTHER(C2)-A11'!M83</f>
        <v>1658.3123870146403</v>
      </c>
      <c r="N83" s="98">
        <f>SUM('LDPE-C2:EG-C6'!N83)+'OTHER(C2)-A11'!N83</f>
        <v>1710.7299299809038</v>
      </c>
      <c r="O83" s="98">
        <f>SUM('LDPE-C2:EG-C6'!O83)+'OTHER(C2)-A11'!O83</f>
        <v>1762.7976448122215</v>
      </c>
      <c r="P83" s="98">
        <f>SUM('LDPE-C2:EG-C6'!P83)+'OTHER(C2)-A11'!P83</f>
        <v>1814.3577593889243</v>
      </c>
      <c r="Q83" s="229">
        <f>SUM('LDPE-C2:EG-C6'!Q83)+'OTHER(C2)-A11'!Q83</f>
        <v>1886.1599999999999</v>
      </c>
      <c r="R83" s="303">
        <f t="shared" si="7"/>
        <v>4</v>
      </c>
      <c r="S83" s="304">
        <f t="shared" si="8"/>
        <v>3.2</v>
      </c>
      <c r="T83" s="433"/>
      <c r="W83" s="28"/>
      <c r="X83" s="28"/>
      <c r="Y83" s="28"/>
    </row>
    <row r="84" spans="1:26" ht="15.75" customHeight="1">
      <c r="A84" s="16"/>
      <c r="B84" s="674" t="s">
        <v>314</v>
      </c>
      <c r="C84" s="675"/>
      <c r="D84" s="139">
        <f>SUM('LDPE-C2:EG-C6'!D84)+'OTHER(C2)-A11'!D84</f>
        <v>2936.16</v>
      </c>
      <c r="E84" s="98">
        <f>SUM('LDPE-C2:EG-C6'!E84)+'OTHER(C2)-A11'!E84</f>
        <v>3040.7300000000005</v>
      </c>
      <c r="F84" s="98">
        <f>SUM('LDPE-C2:EG-C6'!F84)+'OTHER(C2)-A11'!F84</f>
        <v>3160.6041</v>
      </c>
      <c r="G84" s="98">
        <f>SUM('LDPE-C2:EG-C6'!G84)+'OTHER(C2)-A11'!G84</f>
        <v>3387.3957000000005</v>
      </c>
      <c r="H84" s="98">
        <f>SUM('LDPE-C2:EG-C6'!H84)+'OTHER(C2)-A11'!H84</f>
        <v>3693.1340109999996</v>
      </c>
      <c r="I84" s="98">
        <f>SUM('LDPE-C2:EG-C6'!I84)+'OTHER(C2)-A11'!I84</f>
        <v>4134.1000000000004</v>
      </c>
      <c r="J84" s="98">
        <f>SUM('LDPE-C2:EG-C6'!J84)+'OTHER(C2)-A11'!J84</f>
        <v>4259.5199999999995</v>
      </c>
      <c r="K84" s="228">
        <f>SUM('LDPE-C2:EG-C6'!K84)+'OTHER(C2)-A11'!K84</f>
        <v>4567.8100000000013</v>
      </c>
      <c r="L84" s="99">
        <f>SUM('LDPE-C2:EG-C6'!L84)+'OTHER(C2)-A11'!L84</f>
        <v>4904.24</v>
      </c>
      <c r="M84" s="98">
        <f>SUM('LDPE-C2:EG-C6'!M84)+'OTHER(C2)-A11'!M84</f>
        <v>5215.71</v>
      </c>
      <c r="N84" s="98">
        <f>SUM('LDPE-C2:EG-C6'!N84)+'OTHER(C2)-A11'!N84</f>
        <v>5531.51</v>
      </c>
      <c r="O84" s="98">
        <f>SUM('LDPE-C2:EG-C6'!O84)+'OTHER(C2)-A11'!O84</f>
        <v>5867.4</v>
      </c>
      <c r="P84" s="98">
        <f>SUM('LDPE-C2:EG-C6'!P84)+'OTHER(C2)-A11'!P84</f>
        <v>6183.4600000000009</v>
      </c>
      <c r="Q84" s="229">
        <f>SUM('LDPE-C2:EG-C6'!Q84)+'OTHER(C2)-A11'!Q84</f>
        <v>6736.3599999999988</v>
      </c>
      <c r="R84" s="303">
        <f t="shared" si="7"/>
        <v>6.5</v>
      </c>
      <c r="S84" s="304">
        <f t="shared" si="8"/>
        <v>6.6</v>
      </c>
      <c r="T84" s="433"/>
      <c r="W84" s="28"/>
      <c r="X84" s="28"/>
      <c r="Y84" s="28"/>
    </row>
    <row r="85" spans="1:26" ht="15.75" customHeight="1">
      <c r="A85" s="16"/>
      <c r="B85" s="674" t="s">
        <v>315</v>
      </c>
      <c r="C85" s="675"/>
      <c r="D85" s="139">
        <f>SUM('LDPE-C2:EG-C6'!D85)+'OTHER(C2)-A11'!D85</f>
        <v>3264.67</v>
      </c>
      <c r="E85" s="98">
        <f>SUM('LDPE-C2:EG-C6'!E85)+'OTHER(C2)-A11'!E85</f>
        <v>3724.4800000000005</v>
      </c>
      <c r="F85" s="98">
        <f>SUM('LDPE-C2:EG-C6'!F85)+'OTHER(C2)-A11'!F85</f>
        <v>3443.3630000000003</v>
      </c>
      <c r="G85" s="98">
        <f>SUM('LDPE-C2:EG-C6'!G85)+'OTHER(C2)-A11'!G85</f>
        <v>3839.0735385200001</v>
      </c>
      <c r="H85" s="98">
        <f>SUM('LDPE-C2:EG-C6'!H85)+'OTHER(C2)-A11'!H85</f>
        <v>3573.25</v>
      </c>
      <c r="I85" s="98">
        <f>SUM('LDPE-C2:EG-C6'!I85)+'OTHER(C2)-A11'!I85</f>
        <v>3263.8200000000006</v>
      </c>
      <c r="J85" s="98">
        <f>SUM('LDPE-C2:EG-C6'!J85)+'OTHER(C2)-A11'!J85</f>
        <v>4193.9892400000008</v>
      </c>
      <c r="K85" s="228">
        <f>SUM('LDPE-C2:EG-C6'!K85)+'OTHER(C2)-A11'!K85</f>
        <v>3408.65</v>
      </c>
      <c r="L85" s="99">
        <f>SUM('LDPE-C2:EG-C6'!L85)+'OTHER(C2)-A11'!L85</f>
        <v>3460.7903200000001</v>
      </c>
      <c r="M85" s="98">
        <f>SUM('LDPE-C2:EG-C6'!M85)+'OTHER(C2)-A11'!M85</f>
        <v>3635.63160088</v>
      </c>
      <c r="N85" s="98">
        <f>SUM('LDPE-C2:EG-C6'!N85)+'OTHER(C2)-A11'!N85</f>
        <v>3767.1332748931995</v>
      </c>
      <c r="O85" s="98">
        <f>SUM('LDPE-C2:EG-C6'!O85)+'OTHER(C2)-A11'!O85</f>
        <v>3897.3277740165977</v>
      </c>
      <c r="P85" s="98">
        <f>SUM('LDPE-C2:EG-C6'!P85)+'OTHER(C2)-A11'!P85</f>
        <v>4079.8803906268463</v>
      </c>
      <c r="Q85" s="229">
        <f>SUM('LDPE-C2:EG-C6'!Q85)+'OTHER(C2)-A11'!Q85</f>
        <v>4254.8523774491669</v>
      </c>
      <c r="R85" s="303">
        <f t="shared" si="7"/>
        <v>0.6</v>
      </c>
      <c r="S85" s="304">
        <f t="shared" si="8"/>
        <v>4.2</v>
      </c>
      <c r="T85" s="433"/>
      <c r="W85" s="28"/>
      <c r="X85" s="28"/>
      <c r="Y85" s="28"/>
    </row>
    <row r="86" spans="1:26" ht="15" customHeight="1">
      <c r="A86" s="16"/>
      <c r="B86" s="672" t="s">
        <v>316</v>
      </c>
      <c r="C86" s="673"/>
      <c r="D86" s="140">
        <f>SUM('LDPE-C2:EG-C6'!D86)+'OTHER(C2)-A11'!D86</f>
        <v>19423.86</v>
      </c>
      <c r="E86" s="45">
        <f>SUM('LDPE-C2:EG-C6'!E86)+'OTHER(C2)-A11'!E86</f>
        <v>20887.32</v>
      </c>
      <c r="F86" s="45">
        <f>SUM('LDPE-C2:EG-C6'!F86)+'OTHER(C2)-A11'!F86</f>
        <v>21005.440000000002</v>
      </c>
      <c r="G86" s="45">
        <f>SUM('LDPE-C2:EG-C6'!G86)+'OTHER(C2)-A11'!G86</f>
        <v>21261.599999999999</v>
      </c>
      <c r="H86" s="45">
        <f>SUM('LDPE-C2:EG-C6'!H86)+'OTHER(C2)-A11'!H86</f>
        <v>21479.53</v>
      </c>
      <c r="I86" s="45">
        <f>SUM('LDPE-C2:EG-C6'!I86)+'OTHER(C2)-A11'!I86</f>
        <v>21943.199999999997</v>
      </c>
      <c r="J86" s="45">
        <f>SUM('LDPE-C2:EG-C6'!J86)+'OTHER(C2)-A11'!J86</f>
        <v>22267.72</v>
      </c>
      <c r="K86" s="50">
        <f>SUM('LDPE-C2:EG-C6'!K86)+'OTHER(C2)-A11'!K86</f>
        <v>22777.53</v>
      </c>
      <c r="L86" s="49">
        <f>SUM('LDPE-C2:EG-C6'!L86)+'OTHER(C2)-A11'!L86</f>
        <v>23426.76</v>
      </c>
      <c r="M86" s="45">
        <f>SUM('LDPE-C2:EG-C6'!M86)+'OTHER(C2)-A11'!M86</f>
        <v>24044.609999999997</v>
      </c>
      <c r="N86" s="45">
        <f>SUM('LDPE-C2:EG-C6'!N86)+'OTHER(C2)-A11'!N86</f>
        <v>24478.710000000003</v>
      </c>
      <c r="O86" s="45">
        <f>SUM('LDPE-C2:EG-C6'!O86)+'OTHER(C2)-A11'!O86</f>
        <v>24914.54</v>
      </c>
      <c r="P86" s="45">
        <f>SUM('LDPE-C2:EG-C6'!P86)+'OTHER(C2)-A11'!P86</f>
        <v>25293.179999999997</v>
      </c>
      <c r="Q86" s="51">
        <f>SUM('LDPE-C2:EG-C6'!Q86)+'OTHER(C2)-A11'!Q86</f>
        <v>25641.510000000002</v>
      </c>
      <c r="R86" s="299">
        <f t="shared" si="7"/>
        <v>2.2999999999999998</v>
      </c>
      <c r="S86" s="300">
        <f t="shared" si="8"/>
        <v>1.8</v>
      </c>
      <c r="T86" s="433"/>
      <c r="W86" s="28"/>
      <c r="X86" s="28"/>
      <c r="Y86" s="28"/>
    </row>
    <row r="87" spans="1:26" ht="15" customHeight="1">
      <c r="A87" s="16"/>
      <c r="B87" s="670" t="s">
        <v>317</v>
      </c>
      <c r="C87" s="671"/>
      <c r="D87" s="140">
        <f>SUM('LDPE-C2:EG-C6'!D87)+'OTHER(C2)-A11'!D87</f>
        <v>2558.9335744084683</v>
      </c>
      <c r="E87" s="45">
        <f>SUM('LDPE-C2:EG-C6'!E87)+'OTHER(C2)-A11'!E87</f>
        <v>2609.86</v>
      </c>
      <c r="F87" s="45">
        <f>SUM('LDPE-C2:EG-C6'!F87)+'OTHER(C2)-A11'!F87</f>
        <v>2661.29</v>
      </c>
      <c r="G87" s="45">
        <f>SUM('LDPE-C2:EG-C6'!G87)+'OTHER(C2)-A11'!G87</f>
        <v>2713.7000000000003</v>
      </c>
      <c r="H87" s="45">
        <f>SUM('LDPE-C2:EG-C6'!H87)+'OTHER(C2)-A11'!H87</f>
        <v>2777.27</v>
      </c>
      <c r="I87" s="45">
        <f>SUM('LDPE-C2:EG-C6'!I87)+'OTHER(C2)-A11'!I87</f>
        <v>2807.3999999999996</v>
      </c>
      <c r="J87" s="45">
        <f>SUM('LDPE-C2:EG-C6'!J87)+'OTHER(C2)-A11'!J87</f>
        <v>2840.3</v>
      </c>
      <c r="K87" s="50">
        <f>SUM('LDPE-C2:EG-C6'!K87)+'OTHER(C2)-A11'!K87</f>
        <v>2923.55</v>
      </c>
      <c r="L87" s="49">
        <f>SUM('LDPE-C2:EG-C6'!L87)+'OTHER(C2)-A11'!L87</f>
        <v>2983.29</v>
      </c>
      <c r="M87" s="45">
        <f>SUM('LDPE-C2:EG-C6'!M87)+'OTHER(C2)-A11'!M87</f>
        <v>3045.0499999999997</v>
      </c>
      <c r="N87" s="45">
        <f>SUM('LDPE-C2:EG-C6'!N87)+'OTHER(C2)-A11'!N87</f>
        <v>3101.06</v>
      </c>
      <c r="O87" s="45">
        <f>SUM('LDPE-C2:EG-C6'!O87)+'OTHER(C2)-A11'!O87</f>
        <v>3157.07</v>
      </c>
      <c r="P87" s="45">
        <f>SUM('LDPE-C2:EG-C6'!P87)+'OTHER(C2)-A11'!P87</f>
        <v>3208.6</v>
      </c>
      <c r="Q87" s="51">
        <f>SUM('LDPE-C2:EG-C6'!Q87)+'OTHER(C2)-A11'!Q87</f>
        <v>3260.13</v>
      </c>
      <c r="R87" s="299">
        <f t="shared" si="7"/>
        <v>1.9</v>
      </c>
      <c r="S87" s="300">
        <f t="shared" si="8"/>
        <v>1.8</v>
      </c>
      <c r="T87" s="433"/>
      <c r="W87" s="28"/>
      <c r="X87" s="28"/>
      <c r="Y87" s="28"/>
    </row>
    <row r="88" spans="1:26" ht="15.75" customHeight="1">
      <c r="A88" s="16"/>
      <c r="B88" s="674" t="s">
        <v>318</v>
      </c>
      <c r="C88" s="675"/>
      <c r="D88" s="139">
        <f>SUM('LDPE-C2:EG-C6'!D88)+'OTHER(C2)-A11'!D88</f>
        <v>21982.793574408468</v>
      </c>
      <c r="E88" s="98">
        <f>SUM('LDPE-C2:EG-C6'!E88)+'OTHER(C2)-A11'!E88</f>
        <v>23497.18</v>
      </c>
      <c r="F88" s="98">
        <f>SUM('LDPE-C2:EG-C6'!F88)+'OTHER(C2)-A11'!F88</f>
        <v>23666.73</v>
      </c>
      <c r="G88" s="98">
        <f>SUM('LDPE-C2:EG-C6'!G88)+'OTHER(C2)-A11'!G88</f>
        <v>23975.3</v>
      </c>
      <c r="H88" s="98">
        <f>SUM('LDPE-C2:EG-C6'!H88)+'OTHER(C2)-A11'!H88</f>
        <v>24256.799999999999</v>
      </c>
      <c r="I88" s="98">
        <f>SUM('LDPE-C2:EG-C6'!I88)+'OTHER(C2)-A11'!I88</f>
        <v>24750.6</v>
      </c>
      <c r="J88" s="98">
        <f>SUM('LDPE-C2:EG-C6'!J88)+'OTHER(C2)-A11'!J88</f>
        <v>25108.02</v>
      </c>
      <c r="K88" s="228">
        <f>SUM('LDPE-C2:EG-C6'!K88)+'OTHER(C2)-A11'!K88</f>
        <v>25701.079999999998</v>
      </c>
      <c r="L88" s="99">
        <f>SUM('LDPE-C2:EG-C6'!L88)+'OTHER(C2)-A11'!L88</f>
        <v>26410.05</v>
      </c>
      <c r="M88" s="98">
        <f>SUM('LDPE-C2:EG-C6'!M88)+'OTHER(C2)-A11'!M88</f>
        <v>27089.66</v>
      </c>
      <c r="N88" s="98">
        <f>SUM('LDPE-C2:EG-C6'!N88)+'OTHER(C2)-A11'!N88</f>
        <v>27579.77</v>
      </c>
      <c r="O88" s="98">
        <f>SUM('LDPE-C2:EG-C6'!O88)+'OTHER(C2)-A11'!O88</f>
        <v>28071.61</v>
      </c>
      <c r="P88" s="98">
        <f>SUM('LDPE-C2:EG-C6'!P88)+'OTHER(C2)-A11'!P88</f>
        <v>28501.78</v>
      </c>
      <c r="Q88" s="229">
        <f>SUM('LDPE-C2:EG-C6'!Q88)+'OTHER(C2)-A11'!Q88</f>
        <v>28901.64</v>
      </c>
      <c r="R88" s="303">
        <f t="shared" si="7"/>
        <v>2.2999999999999998</v>
      </c>
      <c r="S88" s="304">
        <f t="shared" si="8"/>
        <v>1.8</v>
      </c>
      <c r="T88" s="433"/>
      <c r="W88" s="28"/>
      <c r="X88" s="28"/>
      <c r="Y88" s="28"/>
    </row>
    <row r="89" spans="1:26" ht="15" customHeight="1">
      <c r="A89" s="16"/>
      <c r="B89" s="672" t="s">
        <v>319</v>
      </c>
      <c r="C89" s="673"/>
      <c r="D89" s="140">
        <f>SUM('LDPE-C2:EG-C6'!D89)+'OTHER(C2)-A11'!D89</f>
        <v>2419.5700000000002</v>
      </c>
      <c r="E89" s="45">
        <f>SUM('LDPE-C2:EG-C6'!E89)+'OTHER(C2)-A11'!E89</f>
        <v>2462.9499999999998</v>
      </c>
      <c r="F89" s="45">
        <f>SUM('LDPE-C2:EG-C6'!F89)+'OTHER(C2)-A11'!F89</f>
        <v>2506.33</v>
      </c>
      <c r="G89" s="45">
        <f>SUM('LDPE-C2:EG-C6'!G89)+'OTHER(C2)-A11'!G89</f>
        <v>2570.9000000000005</v>
      </c>
      <c r="H89" s="45">
        <f>SUM('LDPE-C2:EG-C6'!H89)+'OTHER(C2)-A11'!H89</f>
        <v>2627.4100000000003</v>
      </c>
      <c r="I89" s="45">
        <f>SUM('LDPE-C2:EG-C6'!I89)+'OTHER(C2)-A11'!I89</f>
        <v>2660.2000000000003</v>
      </c>
      <c r="J89" s="45">
        <f>SUM('LDPE-C2:EG-C6'!J89)+'OTHER(C2)-A11'!J89</f>
        <v>2729.21</v>
      </c>
      <c r="K89" s="50">
        <f>SUM('LDPE-C2:EG-C6'!K89)+'OTHER(C2)-A11'!K89</f>
        <v>2786.08</v>
      </c>
      <c r="L89" s="49">
        <f>SUM('LDPE-C2:EG-C6'!L89)+'OTHER(C2)-A11'!L89</f>
        <v>2847.4</v>
      </c>
      <c r="M89" s="45">
        <f>SUM('LDPE-C2:EG-C6'!M89)+'OTHER(C2)-A11'!M89</f>
        <v>2918.47</v>
      </c>
      <c r="N89" s="45">
        <f>SUM('LDPE-C2:EG-C6'!N89)+'OTHER(C2)-A11'!N89</f>
        <v>2997.52</v>
      </c>
      <c r="O89" s="45">
        <f>SUM('LDPE-C2:EG-C6'!O89)+'OTHER(C2)-A11'!O89</f>
        <v>3082.3500000000004</v>
      </c>
      <c r="P89" s="45">
        <f>SUM('LDPE-C2:EG-C6'!P89)+'OTHER(C2)-A11'!P89</f>
        <v>3173.1699999999996</v>
      </c>
      <c r="Q89" s="51">
        <f>SUM('LDPE-C2:EG-C6'!Q89)+'OTHER(C2)-A11'!Q89</f>
        <v>3267.3</v>
      </c>
      <c r="R89" s="299">
        <f t="shared" si="7"/>
        <v>2</v>
      </c>
      <c r="S89" s="300">
        <f t="shared" si="8"/>
        <v>2.8</v>
      </c>
      <c r="T89" s="433"/>
      <c r="W89" s="28"/>
      <c r="X89" s="28"/>
      <c r="Y89" s="28"/>
    </row>
    <row r="90" spans="1:26" ht="15" customHeight="1">
      <c r="A90" s="16"/>
      <c r="B90" s="668" t="s">
        <v>320</v>
      </c>
      <c r="C90" s="669"/>
      <c r="D90" s="140">
        <f>SUM('LDPE-C2:EG-C6'!D90)+'OTHER(C2)-A11'!D90</f>
        <v>3074.7583915789473</v>
      </c>
      <c r="E90" s="45">
        <f>SUM('LDPE-C2:EG-C6'!E90)+'OTHER(C2)-A11'!E90</f>
        <v>3123.1509594105264</v>
      </c>
      <c r="F90" s="45">
        <f>SUM('LDPE-C2:EG-C6'!F90)+'OTHER(C2)-A11'!F90</f>
        <v>3171.577778598737</v>
      </c>
      <c r="G90" s="45">
        <f>SUM('LDPE-C2:EG-C6'!G90)+'OTHER(C2)-A11'!G90</f>
        <v>3260.1899999999996</v>
      </c>
      <c r="H90" s="45">
        <f>SUM('LDPE-C2:EG-C6'!H90)+'OTHER(C2)-A11'!H90</f>
        <v>3308.89</v>
      </c>
      <c r="I90" s="45">
        <f>SUM('LDPE-C2:EG-C6'!I90)+'OTHER(C2)-A11'!I90</f>
        <v>3311.2000000000003</v>
      </c>
      <c r="J90" s="45">
        <f>SUM('LDPE-C2:EG-C6'!J90)+'OTHER(C2)-A11'!J90</f>
        <v>3218.8799999999997</v>
      </c>
      <c r="K90" s="50">
        <f>SUM('LDPE-C2:EG-C6'!K90)+'OTHER(C2)-A11'!K90</f>
        <v>3263.5299999999997</v>
      </c>
      <c r="L90" s="49">
        <f>SUM('LDPE-C2:EG-C6'!L90)+'OTHER(C2)-A11'!L90</f>
        <v>3310.32</v>
      </c>
      <c r="M90" s="45">
        <f>SUM('LDPE-C2:EG-C6'!M90)+'OTHER(C2)-A11'!M90</f>
        <v>3388.65</v>
      </c>
      <c r="N90" s="45">
        <f>SUM('LDPE-C2:EG-C6'!N90)+'OTHER(C2)-A11'!N90</f>
        <v>3465.65</v>
      </c>
      <c r="O90" s="45">
        <f>SUM('LDPE-C2:EG-C6'!O90)+'OTHER(C2)-A11'!O90</f>
        <v>3542.6499999999996</v>
      </c>
      <c r="P90" s="45">
        <f>SUM('LDPE-C2:EG-C6'!P90)+'OTHER(C2)-A11'!P90</f>
        <v>3620.9800000000005</v>
      </c>
      <c r="Q90" s="51">
        <f>SUM('LDPE-C2:EG-C6'!Q90)+'OTHER(C2)-A11'!Q90</f>
        <v>3700.7900000000004</v>
      </c>
      <c r="R90" s="299">
        <f t="shared" si="7"/>
        <v>0.9</v>
      </c>
      <c r="S90" s="300">
        <f t="shared" si="8"/>
        <v>2.2999999999999998</v>
      </c>
      <c r="T90" s="433"/>
      <c r="W90" s="28"/>
      <c r="X90" s="28"/>
      <c r="Y90" s="28"/>
    </row>
    <row r="91" spans="1:26" ht="15" customHeight="1">
      <c r="A91" s="16"/>
      <c r="B91" s="670" t="s">
        <v>321</v>
      </c>
      <c r="C91" s="671"/>
      <c r="D91" s="140">
        <f>SUM('LDPE-C2:EG-C6'!D91)+'OTHER(C2)-A11'!D91</f>
        <v>2877.13</v>
      </c>
      <c r="E91" s="45">
        <f>SUM('LDPE-C2:EG-C6'!E91)+'OTHER(C2)-A11'!E91</f>
        <v>2975.08</v>
      </c>
      <c r="F91" s="45">
        <f>SUM('LDPE-C2:EG-C6'!F91)+'OTHER(C2)-A11'!F91</f>
        <v>3159.4</v>
      </c>
      <c r="G91" s="45">
        <f>SUM('LDPE-C2:EG-C6'!G91)+'OTHER(C2)-A11'!G91</f>
        <v>3371.6800000000003</v>
      </c>
      <c r="H91" s="45">
        <f>SUM('LDPE-C2:EG-C6'!H91)+'OTHER(C2)-A11'!H91</f>
        <v>3530.4202564102561</v>
      </c>
      <c r="I91" s="45">
        <f>SUM('LDPE-C2:EG-C6'!I91)+'OTHER(C2)-A11'!I91</f>
        <v>3490.4159056541748</v>
      </c>
      <c r="J91" s="45">
        <f>SUM('LDPE-C2:EG-C6'!J91)+'OTHER(C2)-A11'!J91</f>
        <v>3525.0702009368842</v>
      </c>
      <c r="K91" s="50">
        <f>SUM('LDPE-C2:EG-C6'!K91)+'OTHER(C2)-A11'!K91</f>
        <v>3568.5399999999995</v>
      </c>
      <c r="L91" s="49">
        <f>SUM('LDPE-C2:EG-C6'!L91)+'OTHER(C2)-A11'!L91</f>
        <v>3613.2400000000002</v>
      </c>
      <c r="M91" s="45">
        <f>SUM('LDPE-C2:EG-C6'!M91)+'OTHER(C2)-A11'!M91</f>
        <v>3680.59</v>
      </c>
      <c r="N91" s="45">
        <f>SUM('LDPE-C2:EG-C6'!N91)+'OTHER(C2)-A11'!N91</f>
        <v>3779.4300000000003</v>
      </c>
      <c r="O91" s="45">
        <f>SUM('LDPE-C2:EG-C6'!O91)+'OTHER(C2)-A11'!O91</f>
        <v>3882.06</v>
      </c>
      <c r="P91" s="45">
        <f>SUM('LDPE-C2:EG-C6'!P91)+'OTHER(C2)-A11'!P91</f>
        <v>3990.39</v>
      </c>
      <c r="Q91" s="51">
        <f>SUM('LDPE-C2:EG-C6'!Q91)+'OTHER(C2)-A11'!Q91</f>
        <v>4104.49</v>
      </c>
      <c r="R91" s="299">
        <f t="shared" si="7"/>
        <v>3.1</v>
      </c>
      <c r="S91" s="300">
        <f t="shared" si="8"/>
        <v>2.6</v>
      </c>
      <c r="T91" s="433"/>
      <c r="W91" s="28"/>
      <c r="X91" s="28"/>
      <c r="Y91" s="28"/>
    </row>
    <row r="92" spans="1:26" ht="15.75" customHeight="1" thickBot="1">
      <c r="A92" s="16"/>
      <c r="B92" s="678" t="s">
        <v>322</v>
      </c>
      <c r="C92" s="679"/>
      <c r="D92" s="234">
        <f>SUM('LDPE-C2:EG-C6'!D92)+'OTHER(C2)-A11'!D92</f>
        <v>8371.4583915789481</v>
      </c>
      <c r="E92" s="235">
        <f>SUM('LDPE-C2:EG-C6'!E92)+'OTHER(C2)-A11'!E92</f>
        <v>8561.1809594105271</v>
      </c>
      <c r="F92" s="235">
        <f>SUM('LDPE-C2:EG-C6'!F92)+'OTHER(C2)-A11'!F92</f>
        <v>8837.3077785987371</v>
      </c>
      <c r="G92" s="235">
        <f>SUM('LDPE-C2:EG-C6'!G92)+'OTHER(C2)-A11'!G92</f>
        <v>9202.77</v>
      </c>
      <c r="H92" s="235">
        <f>SUM('LDPE-C2:EG-C6'!H92)+'OTHER(C2)-A11'!H92</f>
        <v>9466.7202564102572</v>
      </c>
      <c r="I92" s="235">
        <f>SUM('LDPE-C2:EG-C6'!I92)+'OTHER(C2)-A11'!I92</f>
        <v>9461.8159056541754</v>
      </c>
      <c r="J92" s="235">
        <f>SUM('LDPE-C2:EG-C6'!J92)+'OTHER(C2)-A11'!J92</f>
        <v>9473.1602009368817</v>
      </c>
      <c r="K92" s="236">
        <f>SUM('LDPE-C2:EG-C6'!K92)+'OTHER(C2)-A11'!K92</f>
        <v>9618.1500000000015</v>
      </c>
      <c r="L92" s="237">
        <f>SUM('LDPE-C2:EG-C6'!L92)+'OTHER(C2)-A11'!L92</f>
        <v>9770.9600000000009</v>
      </c>
      <c r="M92" s="235">
        <f>SUM('LDPE-C2:EG-C6'!M92)+'OTHER(C2)-A11'!M92</f>
        <v>9987.7099999999991</v>
      </c>
      <c r="N92" s="235">
        <f>SUM('LDPE-C2:EG-C6'!N92)+'OTHER(C2)-A11'!N92</f>
        <v>10242.6</v>
      </c>
      <c r="O92" s="235">
        <f>SUM('LDPE-C2:EG-C6'!O92)+'OTHER(C2)-A11'!O92</f>
        <v>10507.060000000001</v>
      </c>
      <c r="P92" s="235">
        <f>SUM('LDPE-C2:EG-C6'!P92)+'OTHER(C2)-A11'!P92</f>
        <v>10784.54</v>
      </c>
      <c r="Q92" s="238">
        <f>SUM('LDPE-C2:EG-C6'!Q92)+'OTHER(C2)-A11'!Q92</f>
        <v>11072.58</v>
      </c>
      <c r="R92" s="306">
        <f t="shared" si="7"/>
        <v>2</v>
      </c>
      <c r="S92" s="307">
        <f t="shared" si="8"/>
        <v>2.5</v>
      </c>
      <c r="T92" s="433"/>
      <c r="W92" s="28"/>
      <c r="X92" s="28"/>
      <c r="Y92" s="28"/>
    </row>
    <row r="93" spans="1:26" ht="18" customHeight="1" thickTop="1" thickBot="1">
      <c r="A93" s="21"/>
      <c r="B93" s="625"/>
      <c r="C93" s="626" t="s">
        <v>343</v>
      </c>
      <c r="D93" s="118">
        <f t="shared" ref="D93:Q93" si="11">D92+D88+D85+D84+D82+D80+D78+D77</f>
        <v>121806.59259018098</v>
      </c>
      <c r="E93" s="116">
        <f t="shared" si="11"/>
        <v>123250.96241648386</v>
      </c>
      <c r="F93" s="116">
        <f t="shared" si="11"/>
        <v>123448.35358756868</v>
      </c>
      <c r="G93" s="116">
        <f t="shared" si="11"/>
        <v>129350.82401747452</v>
      </c>
      <c r="H93" s="116">
        <f t="shared" si="11"/>
        <v>132168.78969775018</v>
      </c>
      <c r="I93" s="116">
        <f t="shared" si="11"/>
        <v>136974.7313202745</v>
      </c>
      <c r="J93" s="116">
        <f t="shared" si="11"/>
        <v>141971.31659710201</v>
      </c>
      <c r="K93" s="120">
        <f t="shared" si="11"/>
        <v>149694.13192455337</v>
      </c>
      <c r="L93" s="117">
        <f t="shared" si="11"/>
        <v>155778.11689706205</v>
      </c>
      <c r="M93" s="116">
        <f t="shared" si="11"/>
        <v>161204.71467841405</v>
      </c>
      <c r="N93" s="116">
        <f t="shared" si="11"/>
        <v>166439.94989639168</v>
      </c>
      <c r="O93" s="116">
        <f t="shared" si="11"/>
        <v>172022.77180538914</v>
      </c>
      <c r="P93" s="116">
        <f t="shared" si="11"/>
        <v>177325.52371479996</v>
      </c>
      <c r="Q93" s="119">
        <f t="shared" si="11"/>
        <v>182534.04144225328</v>
      </c>
      <c r="R93" s="308">
        <f t="shared" si="7"/>
        <v>3</v>
      </c>
      <c r="S93" s="309">
        <f t="shared" si="8"/>
        <v>3.2</v>
      </c>
      <c r="T93" s="433"/>
      <c r="W93" s="28"/>
      <c r="X93" s="28"/>
      <c r="Y93" s="28"/>
      <c r="Z93" s="82"/>
    </row>
    <row r="94" spans="1:26" ht="9" customHeight="1">
      <c r="R94" s="26"/>
      <c r="S94" s="26"/>
      <c r="T94" s="26"/>
    </row>
    <row r="95" spans="1:26" ht="13.5" customHeight="1">
      <c r="C95" t="s">
        <v>330</v>
      </c>
      <c r="R95" s="26"/>
      <c r="S95" s="26"/>
      <c r="T95" s="26"/>
    </row>
    <row r="96" spans="1:26" ht="13.5" customHeight="1">
      <c r="C96" s="617" t="s">
        <v>331</v>
      </c>
      <c r="R96" s="26"/>
      <c r="S96" s="26"/>
      <c r="T96" s="26"/>
    </row>
    <row r="97" spans="3:20" ht="13.5" customHeight="1">
      <c r="C97" t="s">
        <v>332</v>
      </c>
      <c r="K97" s="434"/>
      <c r="R97" s="26"/>
      <c r="S97" s="26"/>
      <c r="T97" s="26"/>
    </row>
    <row r="98" spans="3:20" ht="13.5" customHeight="1">
      <c r="C98" s="617" t="s">
        <v>333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26"/>
      <c r="S98" s="26"/>
      <c r="T98" s="26"/>
    </row>
    <row r="99" spans="3:20" ht="14.25">
      <c r="C99" s="401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26"/>
      <c r="S99" s="26"/>
      <c r="T99" s="26"/>
    </row>
    <row r="100" spans="3:20" ht="14.25">
      <c r="C100" s="401"/>
      <c r="F100" s="400"/>
      <c r="G100" s="400"/>
      <c r="H100" s="400"/>
      <c r="I100" s="400"/>
      <c r="J100" s="400"/>
      <c r="K100" s="400"/>
      <c r="L100" s="400"/>
      <c r="M100" s="400"/>
      <c r="N100" s="400"/>
      <c r="O100" s="400"/>
      <c r="P100" s="400"/>
      <c r="Q100" s="400"/>
      <c r="R100" s="26"/>
      <c r="S100" s="26"/>
      <c r="T100" s="26"/>
    </row>
    <row r="101" spans="3:20">
      <c r="R101" s="26"/>
      <c r="S101" s="26"/>
      <c r="T101" s="26"/>
    </row>
    <row r="102" spans="3:20">
      <c r="C102" s="401"/>
      <c r="F102" s="425"/>
      <c r="G102" s="425"/>
      <c r="H102" s="425"/>
      <c r="I102" s="425"/>
      <c r="J102" s="425"/>
      <c r="K102" s="425"/>
      <c r="L102" s="425"/>
      <c r="M102" s="425"/>
      <c r="N102" s="425"/>
      <c r="O102" s="425"/>
      <c r="P102" s="425"/>
      <c r="Q102" s="425"/>
      <c r="R102" s="26"/>
      <c r="S102" s="26"/>
      <c r="T102" s="26"/>
    </row>
    <row r="103" spans="3:20">
      <c r="C103" s="401"/>
      <c r="F103" s="425"/>
      <c r="G103" s="425"/>
      <c r="H103" s="425"/>
      <c r="I103" s="425"/>
      <c r="J103" s="425"/>
      <c r="K103" s="425"/>
      <c r="L103" s="425"/>
      <c r="M103" s="425"/>
      <c r="N103" s="425"/>
      <c r="O103" s="425"/>
      <c r="P103" s="425"/>
      <c r="Q103" s="425"/>
      <c r="R103" s="26"/>
      <c r="S103" s="26"/>
      <c r="T103" s="26"/>
    </row>
    <row r="104" spans="3:20">
      <c r="C104" s="401"/>
      <c r="F104" s="425"/>
      <c r="G104" s="425"/>
      <c r="H104" s="425"/>
      <c r="I104" s="425"/>
      <c r="J104" s="425"/>
      <c r="K104" s="425"/>
      <c r="L104" s="425"/>
      <c r="M104" s="425"/>
      <c r="N104" s="425"/>
      <c r="O104" s="425"/>
      <c r="P104" s="425"/>
      <c r="Q104" s="425"/>
      <c r="R104" s="26"/>
      <c r="S104" s="26"/>
      <c r="T104" s="26"/>
    </row>
    <row r="105" spans="3:20">
      <c r="R105" s="26"/>
      <c r="S105" s="26"/>
      <c r="T105" s="26"/>
    </row>
    <row r="106" spans="3:20">
      <c r="C106" s="401"/>
      <c r="F106" s="425"/>
      <c r="G106" s="425"/>
      <c r="H106" s="425"/>
      <c r="I106" s="425"/>
      <c r="J106" s="425"/>
      <c r="K106" s="425"/>
      <c r="L106" s="425"/>
      <c r="M106" s="425"/>
      <c r="N106" s="425"/>
      <c r="O106" s="425"/>
      <c r="P106" s="425"/>
      <c r="Q106" s="425"/>
      <c r="R106" s="26"/>
      <c r="S106" s="26"/>
      <c r="T106" s="26"/>
    </row>
    <row r="107" spans="3:20">
      <c r="R107" s="26"/>
      <c r="S107" s="26"/>
      <c r="T107" s="26"/>
    </row>
    <row r="108" spans="3:20">
      <c r="R108" s="26"/>
      <c r="S108" s="26"/>
      <c r="T108" s="26"/>
    </row>
    <row r="109" spans="3:20">
      <c r="D109" s="283"/>
      <c r="E109" s="283"/>
      <c r="F109" s="283"/>
      <c r="G109" s="283"/>
      <c r="H109" s="283"/>
      <c r="I109" s="283"/>
      <c r="J109" s="283"/>
      <c r="K109" s="283"/>
      <c r="L109" s="283"/>
      <c r="M109" s="283"/>
      <c r="N109" s="283"/>
      <c r="O109" s="283"/>
      <c r="P109" s="283"/>
      <c r="Q109" s="283"/>
      <c r="R109" s="26"/>
      <c r="S109" s="26"/>
      <c r="T109" s="26"/>
    </row>
    <row r="110" spans="3:20"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6"/>
      <c r="S110" s="26"/>
      <c r="T110" s="26"/>
    </row>
    <row r="111" spans="3:20">
      <c r="R111" s="26"/>
      <c r="S111" s="26"/>
      <c r="T111" s="26"/>
    </row>
    <row r="112" spans="3:20"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6"/>
      <c r="S112" s="26"/>
      <c r="T112" s="26"/>
    </row>
    <row r="113" spans="3:20">
      <c r="D113" s="283"/>
      <c r="E113" s="283"/>
      <c r="F113" s="283"/>
      <c r="G113" s="283"/>
      <c r="H113" s="283"/>
      <c r="I113" s="283"/>
      <c r="J113" s="283"/>
      <c r="K113" s="283"/>
      <c r="L113" s="283"/>
      <c r="M113" s="283"/>
      <c r="N113" s="283"/>
      <c r="O113" s="283"/>
      <c r="P113" s="283"/>
      <c r="Q113" s="283"/>
      <c r="R113" s="26"/>
      <c r="S113" s="26"/>
      <c r="T113" s="26"/>
    </row>
    <row r="114" spans="3:20">
      <c r="R114" s="26"/>
      <c r="S114" s="26"/>
      <c r="T114" s="26"/>
    </row>
    <row r="115" spans="3:20">
      <c r="K115" s="283"/>
      <c r="Q115" s="283"/>
      <c r="R115" s="26"/>
      <c r="S115" s="26"/>
      <c r="T115" s="26"/>
    </row>
    <row r="116" spans="3:20"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6"/>
      <c r="S116" s="26"/>
      <c r="T116" s="26"/>
    </row>
    <row r="117" spans="3:20">
      <c r="R117" s="26"/>
      <c r="S117" s="26"/>
      <c r="T117" s="26"/>
    </row>
    <row r="118" spans="3:20">
      <c r="R118" s="26"/>
      <c r="S118" s="26"/>
      <c r="T118" s="26"/>
    </row>
    <row r="119" spans="3:20">
      <c r="C119" s="697"/>
      <c r="D119" s="697"/>
      <c r="R119" s="26"/>
      <c r="S119" s="26"/>
      <c r="T119" s="26"/>
    </row>
    <row r="120" spans="3:20">
      <c r="C120" s="697"/>
      <c r="D120" s="697"/>
      <c r="R120" s="26"/>
      <c r="S120" s="26"/>
      <c r="T120" s="26"/>
    </row>
    <row r="121" spans="3:20">
      <c r="C121" s="697"/>
      <c r="D121" s="697"/>
      <c r="R121" s="26"/>
      <c r="S121" s="26"/>
      <c r="T121" s="26"/>
    </row>
    <row r="122" spans="3:20">
      <c r="C122" s="697"/>
      <c r="D122" s="697"/>
      <c r="R122" s="26"/>
      <c r="S122" s="26"/>
      <c r="T122" s="26"/>
    </row>
    <row r="123" spans="3:20">
      <c r="C123" s="697"/>
      <c r="D123" s="697"/>
      <c r="R123" s="26"/>
      <c r="S123" s="26"/>
      <c r="T123" s="26"/>
    </row>
    <row r="124" spans="3:20">
      <c r="C124" s="697"/>
      <c r="D124" s="697"/>
      <c r="R124" s="26"/>
      <c r="S124" s="26"/>
      <c r="T124" s="26"/>
    </row>
    <row r="125" spans="3:20">
      <c r="C125" s="697"/>
      <c r="D125" s="697"/>
      <c r="R125" s="26"/>
      <c r="S125" s="26"/>
      <c r="T125" s="26"/>
    </row>
    <row r="126" spans="3:20">
      <c r="R126" s="26"/>
      <c r="S126" s="26"/>
      <c r="T126" s="26"/>
    </row>
    <row r="127" spans="3:20">
      <c r="C127" s="697"/>
      <c r="D127" s="697"/>
      <c r="R127" s="26"/>
      <c r="S127" s="26"/>
      <c r="T127" s="26"/>
    </row>
    <row r="128" spans="3:20">
      <c r="C128" s="697"/>
      <c r="D128" s="697"/>
      <c r="R128" s="26"/>
      <c r="S128" s="26"/>
      <c r="T128" s="26"/>
    </row>
    <row r="129" spans="3:20">
      <c r="C129" s="697"/>
      <c r="D129" s="697"/>
      <c r="R129" s="26"/>
      <c r="S129" s="26"/>
      <c r="T129" s="26"/>
    </row>
    <row r="130" spans="3:20">
      <c r="C130" s="697"/>
      <c r="D130" s="697"/>
      <c r="R130" s="26"/>
      <c r="S130" s="26"/>
      <c r="T130" s="26"/>
    </row>
    <row r="131" spans="3:20">
      <c r="C131" s="698"/>
      <c r="D131" s="698"/>
      <c r="R131" s="26"/>
      <c r="S131" s="26"/>
      <c r="T131" s="26"/>
    </row>
    <row r="132" spans="3:20">
      <c r="C132" s="698"/>
      <c r="D132" s="698"/>
      <c r="R132" s="26"/>
      <c r="S132" s="26"/>
      <c r="T132" s="26"/>
    </row>
    <row r="133" spans="3:20">
      <c r="R133" s="26"/>
      <c r="S133" s="26"/>
      <c r="T133" s="26"/>
    </row>
    <row r="134" spans="3:20">
      <c r="C134" s="698"/>
      <c r="D134" s="698"/>
      <c r="R134" s="26"/>
      <c r="S134" s="26"/>
      <c r="T134" s="26"/>
    </row>
    <row r="135" spans="3:20">
      <c r="D135" s="421"/>
      <c r="R135" s="26"/>
      <c r="S135" s="26"/>
      <c r="T135" s="26"/>
    </row>
    <row r="136" spans="3:20">
      <c r="C136" s="698"/>
      <c r="D136" s="698"/>
      <c r="R136" s="26"/>
      <c r="S136" s="26"/>
      <c r="T136" s="26"/>
    </row>
    <row r="137" spans="3:20">
      <c r="D137" s="421"/>
      <c r="R137" s="26"/>
      <c r="S137" s="26"/>
      <c r="T137" s="26"/>
    </row>
    <row r="138" spans="3:20">
      <c r="C138" s="698"/>
      <c r="D138" s="698"/>
      <c r="R138" s="26"/>
      <c r="S138" s="26"/>
      <c r="T138" s="26"/>
    </row>
    <row r="139" spans="3:20">
      <c r="C139" s="698"/>
      <c r="D139" s="698"/>
      <c r="R139" s="26"/>
      <c r="S139" s="26"/>
      <c r="T139" s="26"/>
    </row>
    <row r="140" spans="3:20">
      <c r="C140" s="697"/>
      <c r="D140" s="697"/>
      <c r="R140" s="26"/>
      <c r="S140" s="26"/>
      <c r="T140" s="26"/>
    </row>
    <row r="141" spans="3:20">
      <c r="C141" s="697"/>
      <c r="D141" s="697"/>
      <c r="R141" s="26"/>
      <c r="S141" s="26"/>
      <c r="T141" s="26"/>
    </row>
    <row r="142" spans="3:20">
      <c r="C142" s="698"/>
      <c r="D142" s="698"/>
      <c r="R142" s="26"/>
      <c r="S142" s="26"/>
      <c r="T142" s="26"/>
    </row>
    <row r="143" spans="3:20">
      <c r="C143" s="697"/>
      <c r="D143" s="697"/>
      <c r="R143" s="26"/>
      <c r="S143" s="26"/>
      <c r="T143" s="26"/>
    </row>
    <row r="144" spans="3:20">
      <c r="C144" s="697"/>
      <c r="D144" s="697"/>
      <c r="R144" s="26"/>
      <c r="S144" s="26"/>
      <c r="T144" s="26"/>
    </row>
    <row r="145" spans="3:20">
      <c r="C145" s="697"/>
      <c r="D145" s="697"/>
      <c r="R145" s="26"/>
      <c r="S145" s="26"/>
      <c r="T145" s="26"/>
    </row>
    <row r="146" spans="3:20">
      <c r="C146" s="698"/>
      <c r="D146" s="698"/>
      <c r="R146" s="26"/>
      <c r="S146" s="26"/>
      <c r="T146" s="26"/>
    </row>
    <row r="147" spans="3:20">
      <c r="C147" s="443"/>
      <c r="D147" s="444"/>
      <c r="R147" s="26"/>
      <c r="S147" s="26"/>
      <c r="T147" s="26"/>
    </row>
    <row r="148" spans="3:20">
      <c r="R148" s="26"/>
      <c r="S148" s="26"/>
      <c r="T148" s="26"/>
    </row>
    <row r="149" spans="3:20">
      <c r="R149" s="26"/>
      <c r="S149" s="26"/>
      <c r="T149" s="26"/>
    </row>
    <row r="150" spans="3:20">
      <c r="R150" s="26"/>
      <c r="S150" s="26"/>
      <c r="T150" s="26"/>
    </row>
    <row r="151" spans="3:20">
      <c r="R151" s="26"/>
      <c r="S151" s="26"/>
      <c r="T151" s="26"/>
    </row>
    <row r="152" spans="3:20">
      <c r="R152" s="26"/>
      <c r="S152" s="26"/>
      <c r="T152" s="26"/>
    </row>
    <row r="153" spans="3:20">
      <c r="R153" s="26"/>
      <c r="S153" s="26"/>
      <c r="T153" s="26"/>
    </row>
    <row r="154" spans="3:20">
      <c r="R154" s="26"/>
      <c r="S154" s="26"/>
      <c r="T154" s="26"/>
    </row>
  </sheetData>
  <mergeCells count="69">
    <mergeCell ref="R3:S3"/>
    <mergeCell ref="B78:C78"/>
    <mergeCell ref="B91:C91"/>
    <mergeCell ref="B92:C92"/>
    <mergeCell ref="B89:C89"/>
    <mergeCell ref="B90:C90"/>
    <mergeCell ref="B85:C85"/>
    <mergeCell ref="B86:C86"/>
    <mergeCell ref="B87:C87"/>
    <mergeCell ref="B77:C77"/>
    <mergeCell ref="B88:C88"/>
    <mergeCell ref="B80:C80"/>
    <mergeCell ref="B82:C82"/>
    <mergeCell ref="B84:C84"/>
    <mergeCell ref="B61:C61"/>
    <mergeCell ref="B62:C62"/>
    <mergeCell ref="B63:C63"/>
    <mergeCell ref="B49:C49"/>
    <mergeCell ref="B51:C51"/>
    <mergeCell ref="B53:C53"/>
    <mergeCell ref="B55:C55"/>
    <mergeCell ref="B57:C57"/>
    <mergeCell ref="B58:C58"/>
    <mergeCell ref="B60:C60"/>
    <mergeCell ref="B56:C56"/>
    <mergeCell ref="B59:C59"/>
    <mergeCell ref="B33:C33"/>
    <mergeCell ref="B34:C34"/>
    <mergeCell ref="B48:C48"/>
    <mergeCell ref="B30:C30"/>
    <mergeCell ref="B27:C27"/>
    <mergeCell ref="C130:D130"/>
    <mergeCell ref="C131:D131"/>
    <mergeCell ref="R4:S4"/>
    <mergeCell ref="B19:C19"/>
    <mergeCell ref="B24:C24"/>
    <mergeCell ref="B22:C22"/>
    <mergeCell ref="B20:C20"/>
    <mergeCell ref="R5:R6"/>
    <mergeCell ref="S5:S6"/>
    <mergeCell ref="D4:K4"/>
    <mergeCell ref="L4:Q4"/>
    <mergeCell ref="B26:C26"/>
    <mergeCell ref="B28:C28"/>
    <mergeCell ref="B29:C29"/>
    <mergeCell ref="B31:C31"/>
    <mergeCell ref="B32:C32"/>
    <mergeCell ref="C124:D124"/>
    <mergeCell ref="C125:D125"/>
    <mergeCell ref="C127:D127"/>
    <mergeCell ref="C128:D128"/>
    <mergeCell ref="C129:D129"/>
    <mergeCell ref="C119:D119"/>
    <mergeCell ref="C120:D120"/>
    <mergeCell ref="C121:D121"/>
    <mergeCell ref="C122:D122"/>
    <mergeCell ref="C123:D123"/>
    <mergeCell ref="C132:D132"/>
    <mergeCell ref="C134:D134"/>
    <mergeCell ref="C146:D146"/>
    <mergeCell ref="C138:D138"/>
    <mergeCell ref="C139:D139"/>
    <mergeCell ref="C140:D140"/>
    <mergeCell ref="C141:D141"/>
    <mergeCell ref="C142:D142"/>
    <mergeCell ref="C136:D136"/>
    <mergeCell ref="C143:D143"/>
    <mergeCell ref="C144:D144"/>
    <mergeCell ref="C145:D145"/>
  </mergeCells>
  <phoneticPr fontId="6"/>
  <conditionalFormatting sqref="C97:C98">
    <cfRule type="expression" dxfId="107" priority="5">
      <formula>CELL("protect",C97)=0</formula>
    </cfRule>
    <cfRule type="expression" dxfId="106" priority="6">
      <formula>CELL("protect",C97)=0</formula>
    </cfRule>
  </conditionalFormatting>
  <conditionalFormatting sqref="C95">
    <cfRule type="expression" dxfId="105" priority="3">
      <formula>CELL("protect",C95)=0</formula>
    </cfRule>
    <cfRule type="expression" dxfId="104" priority="4">
      <formula>CELL("protect",C95)=0</formula>
    </cfRule>
  </conditionalFormatting>
  <conditionalFormatting sqref="C97">
    <cfRule type="expression" dxfId="103" priority="1">
      <formula>CELL("protect",C97)=0</formula>
    </cfRule>
    <cfRule type="expression" dxfId="10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&amp;C185</oddFooter>
  </headerFooter>
  <ignoredErrors>
    <ignoredError sqref="D19:Q19 D8:Q18 D20:Q26 D27:Q34 D77:Q77 D48:Q48 D41:Q43 D49:Q76 D78:Q93 D45:Q47 D44:L44 M44:Q44 D37:Q40 D35:J35 L35:Q35 D7 F7:Q7 E36:Q36" unlockedFormula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R1" s="26"/>
      <c r="S1" s="26"/>
    </row>
    <row r="2" spans="1:19" s="2" customFormat="1" ht="17.25">
      <c r="G2" s="398" t="s">
        <v>1</v>
      </c>
      <c r="H2" s="397" t="s">
        <v>20</v>
      </c>
      <c r="R2" s="3"/>
      <c r="S2" s="3"/>
    </row>
    <row r="3" spans="1:19" ht="27.6" customHeight="1" thickBot="1">
      <c r="H3" s="624" t="s">
        <v>344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225">
        <f>'LDPE-A2'!D7*0.98</f>
        <v>1915.8999999999999</v>
      </c>
      <c r="E7" s="226">
        <f>'LDPE-A2'!E7*0.98</f>
        <v>2046.24</v>
      </c>
      <c r="F7" s="226">
        <f>'LDPE-A2'!F7*0.98</f>
        <v>2046.24</v>
      </c>
      <c r="G7" s="226">
        <f>'LDPE-A2'!G7*0.98</f>
        <v>2139.34</v>
      </c>
      <c r="H7" s="36">
        <f>'LDPE-A2'!H7*0.98</f>
        <v>2590.14</v>
      </c>
      <c r="I7" s="36">
        <f>'LDPE-A2'!I7*0.98</f>
        <v>2820.44</v>
      </c>
      <c r="J7" s="36">
        <f>'LDPE-A2'!J7*0.98</f>
        <v>2820.44</v>
      </c>
      <c r="K7" s="50">
        <f>'LDPE-A2'!K7*0.98</f>
        <v>2820.44</v>
      </c>
      <c r="L7" s="49">
        <f>'LDPE-A2'!L7*0.98</f>
        <v>3016.44</v>
      </c>
      <c r="M7" s="45">
        <f>'LDPE-A2'!M7*0.98</f>
        <v>3016.44</v>
      </c>
      <c r="N7" s="45">
        <f>'LDPE-A2'!N7*0.98</f>
        <v>3016.44</v>
      </c>
      <c r="O7" s="45">
        <f>'LDPE-A2'!O7*0.98</f>
        <v>3898.44</v>
      </c>
      <c r="P7" s="45">
        <f>'LDPE-A2'!P7*0.98</f>
        <v>3898.44</v>
      </c>
      <c r="Q7" s="51">
        <f>'LDPE-A2'!Q7*0.98</f>
        <v>4388.4399999999996</v>
      </c>
      <c r="R7" s="276">
        <f>IF(D7=0,"     -",IF(K7=0,"     -",ROUND(((K7/D7)^(1/7)-1)*100,1)))</f>
        <v>5.7</v>
      </c>
      <c r="S7" s="298">
        <f>IF(L7=0,"     -",IF(Q7=0,"     -",ROUND(((Q7/L7)^(1/5)-1)*100,1)))</f>
        <v>7.8</v>
      </c>
    </row>
    <row r="8" spans="1:19" ht="15" customHeight="1">
      <c r="A8" s="614" t="s">
        <v>305</v>
      </c>
      <c r="B8" s="605" t="s">
        <v>434</v>
      </c>
      <c r="C8" s="606"/>
      <c r="D8" s="140">
        <f>'LDPE-A2'!D8*0.98</f>
        <v>768.31999999999994</v>
      </c>
      <c r="E8" s="45">
        <f>'LDPE-A2'!E8*0.98</f>
        <v>768.31999999999994</v>
      </c>
      <c r="F8" s="45">
        <f>'LDPE-A2'!F8*0.98</f>
        <v>768.31999999999994</v>
      </c>
      <c r="G8" s="45">
        <f>'LDPE-A2'!G8*0.98</f>
        <v>768.31999999999994</v>
      </c>
      <c r="H8" s="40">
        <f>'LDPE-A2'!H8*0.98</f>
        <v>787.92</v>
      </c>
      <c r="I8" s="40">
        <f>'LDPE-A2'!I8*0.98</f>
        <v>787.92</v>
      </c>
      <c r="J8" s="40">
        <f>'LDPE-A2'!J8*0.98</f>
        <v>861.42</v>
      </c>
      <c r="K8" s="50">
        <f>'LDPE-A2'!K8*0.98</f>
        <v>861.42</v>
      </c>
      <c r="L8" s="49">
        <f>'LDPE-A2'!L8*0.98</f>
        <v>861.42</v>
      </c>
      <c r="M8" s="45">
        <f>'LDPE-A2'!M8*0.98</f>
        <v>861.42</v>
      </c>
      <c r="N8" s="45">
        <f>'LDPE-A2'!N8*0.98</f>
        <v>861.42</v>
      </c>
      <c r="O8" s="45">
        <f>'LDPE-A2'!O8*0.98</f>
        <v>861.42</v>
      </c>
      <c r="P8" s="45">
        <f>'LDPE-A2'!P8*0.98</f>
        <v>861.42</v>
      </c>
      <c r="Q8" s="51">
        <f>'LDPE-A2'!Q8*0.98</f>
        <v>861.42</v>
      </c>
      <c r="R8" s="299">
        <f t="shared" ref="R8:R71" si="0">IF(D8=0,"     -",IF(K8=0,"     -",ROUND(((K8/D8)^(1/7)-1)*100,1)))</f>
        <v>1.6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40">
        <f>'LDPE-A2'!D9*0.98</f>
        <v>764.4</v>
      </c>
      <c r="E9" s="45">
        <f>'LDPE-A2'!E9*0.98</f>
        <v>764.4</v>
      </c>
      <c r="F9" s="45">
        <f>'LDPE-A2'!F9*0.98</f>
        <v>2038.3999999999999</v>
      </c>
      <c r="G9" s="45">
        <f>'LDPE-A2'!G9*0.98</f>
        <v>2038.3999999999999</v>
      </c>
      <c r="H9" s="45">
        <f>'LDPE-A2'!H9*0.98</f>
        <v>2038.3999999999999</v>
      </c>
      <c r="I9" s="31">
        <f>'LDPE-A2'!I9*0.98</f>
        <v>2332.4</v>
      </c>
      <c r="J9" s="31">
        <f>'LDPE-A2'!J9*0.98</f>
        <v>2332.4</v>
      </c>
      <c r="K9" s="50">
        <f>'LDPE-A2'!K9*0.98</f>
        <v>2332.4</v>
      </c>
      <c r="L9" s="49">
        <f>'LDPE-A2'!L9*0.98</f>
        <v>2332.4</v>
      </c>
      <c r="M9" s="45">
        <f>'LDPE-A2'!M9*0.98</f>
        <v>2332.4</v>
      </c>
      <c r="N9" s="45">
        <f>'LDPE-A2'!N9*0.98</f>
        <v>2332.4</v>
      </c>
      <c r="O9" s="45">
        <f>'LDPE-A2'!O9*0.98</f>
        <v>2332.4</v>
      </c>
      <c r="P9" s="45">
        <f>'LDPE-A2'!P9*0.98</f>
        <v>2332.4</v>
      </c>
      <c r="Q9" s="51">
        <f>'LDPE-A2'!Q9*0.98</f>
        <v>2332.4</v>
      </c>
      <c r="R9" s="301">
        <f t="shared" si="0"/>
        <v>17.3</v>
      </c>
      <c r="S9" s="300">
        <f t="shared" si="1"/>
        <v>0</v>
      </c>
    </row>
    <row r="10" spans="1:19" ht="15" customHeight="1">
      <c r="A10" s="16"/>
      <c r="B10" s="605" t="s">
        <v>436</v>
      </c>
      <c r="C10" s="606"/>
      <c r="D10" s="140">
        <f>'LDPE-A2'!D10*0.98</f>
        <v>5684</v>
      </c>
      <c r="E10" s="45">
        <f>'LDPE-A2'!E10*0.98</f>
        <v>6061.3</v>
      </c>
      <c r="F10" s="45">
        <f>'LDPE-A2'!F10*0.98</f>
        <v>6443.5</v>
      </c>
      <c r="G10" s="45">
        <f>'LDPE-A2'!G10*0.98</f>
        <v>7410.76</v>
      </c>
      <c r="H10" s="45">
        <f>'LDPE-A2'!H10*0.98</f>
        <v>7998.76</v>
      </c>
      <c r="I10" s="40">
        <f>'LDPE-A2'!I10*0.98</f>
        <v>8865.08</v>
      </c>
      <c r="J10" s="40">
        <f>'LDPE-A2'!J10*0.98</f>
        <v>9541.2800000000007</v>
      </c>
      <c r="K10" s="42">
        <f>'LDPE-A2'!K10*0.98</f>
        <v>10414.459999999999</v>
      </c>
      <c r="L10" s="41">
        <f>'LDPE-A2'!L10*0.98</f>
        <v>11239.619999999999</v>
      </c>
      <c r="M10" s="40">
        <f>'LDPE-A2'!M10*0.98</f>
        <v>11747.26</v>
      </c>
      <c r="N10" s="40">
        <f>'LDPE-A2'!N10*0.98</f>
        <v>12883.08</v>
      </c>
      <c r="O10" s="40">
        <f>'LDPE-A2'!O10*0.98</f>
        <v>14071.82</v>
      </c>
      <c r="P10" s="40">
        <f>'LDPE-A2'!P10*0.98</f>
        <v>14145.32</v>
      </c>
      <c r="Q10" s="44">
        <f>'LDPE-A2'!Q10*0.98</f>
        <v>14145.32</v>
      </c>
      <c r="R10" s="299">
        <f t="shared" si="0"/>
        <v>9</v>
      </c>
      <c r="S10" s="300">
        <f t="shared" si="1"/>
        <v>4.7</v>
      </c>
    </row>
    <row r="11" spans="1:19" ht="15" customHeight="1">
      <c r="A11" s="16"/>
      <c r="B11" s="605" t="s">
        <v>437</v>
      </c>
      <c r="C11" s="606"/>
      <c r="D11" s="140">
        <f>'LDPE-A2'!D11*0.98</f>
        <v>1693.44</v>
      </c>
      <c r="E11" s="45">
        <f>'LDPE-A2'!E11*0.98</f>
        <v>2075.64</v>
      </c>
      <c r="F11" s="45">
        <f>'LDPE-A2'!F11*0.98</f>
        <v>2075.64</v>
      </c>
      <c r="G11" s="45">
        <f>'LDPE-A2'!G11*0.98</f>
        <v>2075.64</v>
      </c>
      <c r="H11" s="45">
        <f>'LDPE-A2'!H11*0.98</f>
        <v>2075.64</v>
      </c>
      <c r="I11" s="45">
        <f>'LDPE-A2'!I11*0.98</f>
        <v>2075.64</v>
      </c>
      <c r="J11" s="45">
        <f>'LDPE-A2'!J11*0.98</f>
        <v>2126.6</v>
      </c>
      <c r="K11" s="50">
        <f>'LDPE-A2'!K11*0.98</f>
        <v>2126.6</v>
      </c>
      <c r="L11" s="49">
        <f>'LDPE-A2'!L11*0.98</f>
        <v>2518.6</v>
      </c>
      <c r="M11" s="45">
        <f>'LDPE-A2'!M11*0.98</f>
        <v>2518.6</v>
      </c>
      <c r="N11" s="45">
        <f>'LDPE-A2'!N11*0.98</f>
        <v>2518.6</v>
      </c>
      <c r="O11" s="45">
        <f>'LDPE-A2'!O11*0.98</f>
        <v>2518.6</v>
      </c>
      <c r="P11" s="45">
        <f>'LDPE-A2'!P11*0.98</f>
        <v>2518.6</v>
      </c>
      <c r="Q11" s="51">
        <f>'LDPE-A2'!Q11*0.98</f>
        <v>2518.6</v>
      </c>
      <c r="R11" s="302">
        <f t="shared" si="0"/>
        <v>3.3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40">
        <f>'LDPE-A2'!D12*0.98</f>
        <v>637</v>
      </c>
      <c r="E12" s="45">
        <f>'LDPE-A2'!E12*0.98</f>
        <v>637</v>
      </c>
      <c r="F12" s="45">
        <f>'LDPE-A2'!F12*0.98</f>
        <v>637</v>
      </c>
      <c r="G12" s="45">
        <f>'LDPE-A2'!G12*0.98</f>
        <v>637</v>
      </c>
      <c r="H12" s="45">
        <f>'LDPE-A2'!H12*0.98</f>
        <v>637</v>
      </c>
      <c r="I12" s="45">
        <f>'LDPE-A2'!I12*0.98</f>
        <v>637</v>
      </c>
      <c r="J12" s="45">
        <f>'LDPE-A2'!J12*0.98</f>
        <v>637</v>
      </c>
      <c r="K12" s="50">
        <f>'LDPE-A2'!K12*0.98</f>
        <v>637</v>
      </c>
      <c r="L12" s="49">
        <f>'LDPE-A2'!L12*0.98</f>
        <v>637</v>
      </c>
      <c r="M12" s="45">
        <f>'LDPE-A2'!M12*0.98</f>
        <v>637</v>
      </c>
      <c r="N12" s="45">
        <f>'LDPE-A2'!N12*0.98</f>
        <v>637</v>
      </c>
      <c r="O12" s="45">
        <f>'LDPE-A2'!O12*0.98</f>
        <v>637</v>
      </c>
      <c r="P12" s="45">
        <f>'LDPE-A2'!P12*0.98</f>
        <v>637</v>
      </c>
      <c r="Q12" s="51">
        <f>'LDPE-A2'!Q12*0.98</f>
        <v>1421</v>
      </c>
      <c r="R12" s="302">
        <f t="shared" si="0"/>
        <v>0</v>
      </c>
      <c r="S12" s="300">
        <f t="shared" si="1"/>
        <v>17.399999999999999</v>
      </c>
    </row>
    <row r="13" spans="1:19" ht="15" customHeight="1">
      <c r="A13" s="16"/>
      <c r="B13" s="605" t="s">
        <v>439</v>
      </c>
      <c r="C13" s="606"/>
      <c r="D13" s="140">
        <f>'LDPE-A2'!D13*0.98</f>
        <v>1087.8</v>
      </c>
      <c r="E13" s="45">
        <f>'LDPE-A2'!E13*0.98</f>
        <v>1087.8</v>
      </c>
      <c r="F13" s="45">
        <f>'LDPE-A2'!F13*0.98</f>
        <v>1479.8</v>
      </c>
      <c r="G13" s="45">
        <f>'LDPE-A2'!G13*0.98</f>
        <v>1479.8</v>
      </c>
      <c r="H13" s="45">
        <f>'LDPE-A2'!H13*0.98</f>
        <v>1646.3999999999999</v>
      </c>
      <c r="I13" s="45">
        <f>'LDPE-A2'!I13*0.98</f>
        <v>1646.3999999999999</v>
      </c>
      <c r="J13" s="40">
        <f>'LDPE-A2'!J13*0.98</f>
        <v>2058</v>
      </c>
      <c r="K13" s="42">
        <f>'LDPE-A2'!K13*0.98</f>
        <v>2082.5</v>
      </c>
      <c r="L13" s="41">
        <f>'LDPE-A2'!L13*0.98</f>
        <v>2082.5</v>
      </c>
      <c r="M13" s="40">
        <f>'LDPE-A2'!M13*0.98</f>
        <v>2082.5</v>
      </c>
      <c r="N13" s="40">
        <f>'LDPE-A2'!N13*0.98</f>
        <v>2082.5</v>
      </c>
      <c r="O13" s="40">
        <f>'LDPE-A2'!O13*0.98</f>
        <v>2082.5</v>
      </c>
      <c r="P13" s="40">
        <f>'LDPE-A2'!P13*0.98</f>
        <v>2082.5</v>
      </c>
      <c r="Q13" s="44">
        <f>'LDPE-A2'!Q13*0.98</f>
        <v>2082.5</v>
      </c>
      <c r="R13" s="302">
        <f t="shared" si="0"/>
        <v>9.6999999999999993</v>
      </c>
      <c r="S13" s="300">
        <f t="shared" si="1"/>
        <v>0</v>
      </c>
    </row>
    <row r="14" spans="1:19" ht="15.75" hidden="1" customHeight="1">
      <c r="A14" s="16"/>
      <c r="B14" s="16"/>
      <c r="C14" s="90" t="s">
        <v>306</v>
      </c>
      <c r="D14" s="140">
        <f>'LDPE-A2'!D14*0.98</f>
        <v>0</v>
      </c>
      <c r="E14" s="45">
        <f>'LDPE-A2'!E14*0.98</f>
        <v>0</v>
      </c>
      <c r="F14" s="45">
        <f>'LDPE-A2'!F14*0.98</f>
        <v>0</v>
      </c>
      <c r="G14" s="45">
        <f>'LDPE-A2'!G14*0.98</f>
        <v>0</v>
      </c>
      <c r="H14" s="45">
        <f>'LDPE-A2'!H14*0.98</f>
        <v>0</v>
      </c>
      <c r="I14" s="45">
        <f>'LDPE-A2'!I14*0.98</f>
        <v>0</v>
      </c>
      <c r="J14" s="45">
        <f>'LDPE-A2'!J14*0.98</f>
        <v>0</v>
      </c>
      <c r="K14" s="50">
        <f>'LDPE-A2'!K14*0.98</f>
        <v>0</v>
      </c>
      <c r="L14" s="49">
        <f>'LDPE-A2'!L14*0.98</f>
        <v>0</v>
      </c>
      <c r="M14" s="45">
        <f>'LDPE-A2'!M14*0.98</f>
        <v>0</v>
      </c>
      <c r="N14" s="45">
        <f>'LDPE-A2'!N14*0.98</f>
        <v>0</v>
      </c>
      <c r="O14" s="45">
        <f>'LDPE-A2'!O14*0.98</f>
        <v>0</v>
      </c>
      <c r="P14" s="45">
        <f>'LDPE-A2'!P14*0.98</f>
        <v>0</v>
      </c>
      <c r="Q14" s="51">
        <f>'LDPE-A2'!Q14*0.98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40">
        <f>'LDPE-A2'!D15*0.98</f>
        <v>215.6</v>
      </c>
      <c r="E15" s="45">
        <f>'LDPE-A2'!E15*0.98</f>
        <v>215.6</v>
      </c>
      <c r="F15" s="45">
        <f>'LDPE-A2'!F15*0.98</f>
        <v>215.6</v>
      </c>
      <c r="G15" s="45">
        <f>'LDPE-A2'!G15*0.98</f>
        <v>215.6</v>
      </c>
      <c r="H15" s="45">
        <f>'LDPE-A2'!H15*0.98</f>
        <v>215.6</v>
      </c>
      <c r="I15" s="45">
        <f>'LDPE-A2'!I15*0.98</f>
        <v>284.2</v>
      </c>
      <c r="J15" s="45">
        <f>'LDPE-A2'!J15*0.98</f>
        <v>284.2</v>
      </c>
      <c r="K15" s="50">
        <f>'LDPE-A2'!K15*0.98</f>
        <v>284.2</v>
      </c>
      <c r="L15" s="49">
        <f>'LDPE-A2'!L15*0.98</f>
        <v>284.2</v>
      </c>
      <c r="M15" s="45">
        <f>'LDPE-A2'!M15*0.98</f>
        <v>284.2</v>
      </c>
      <c r="N15" s="45">
        <f>'LDPE-A2'!N15*0.98</f>
        <v>284.2</v>
      </c>
      <c r="O15" s="45">
        <f>'LDPE-A2'!O15*0.98</f>
        <v>362.59999999999997</v>
      </c>
      <c r="P15" s="45">
        <f>'LDPE-A2'!P15*0.98</f>
        <v>362.59999999999997</v>
      </c>
      <c r="Q15" s="51">
        <f>'LDPE-A2'!Q15*0.98</f>
        <v>362.59999999999997</v>
      </c>
      <c r="R15" s="302">
        <f t="shared" si="0"/>
        <v>4</v>
      </c>
      <c r="S15" s="300">
        <f t="shared" si="1"/>
        <v>5</v>
      </c>
    </row>
    <row r="16" spans="1:19" ht="15" customHeight="1">
      <c r="A16" s="16"/>
      <c r="B16" s="605" t="s">
        <v>441</v>
      </c>
      <c r="C16" s="606"/>
      <c r="D16" s="140">
        <f>'LDPE-A2'!D16*0.98</f>
        <v>578.20000000000005</v>
      </c>
      <c r="E16" s="45">
        <f>'LDPE-A2'!E16*0.98</f>
        <v>578.20000000000005</v>
      </c>
      <c r="F16" s="45">
        <f>'LDPE-A2'!F16*0.98</f>
        <v>578.20000000000005</v>
      </c>
      <c r="G16" s="45">
        <f>'LDPE-A2'!G16*0.98</f>
        <v>578.20000000000005</v>
      </c>
      <c r="H16" s="45">
        <f>'LDPE-A2'!H16*0.98</f>
        <v>578.20000000000005</v>
      </c>
      <c r="I16" s="45">
        <f>'LDPE-A2'!I16*0.98</f>
        <v>578.20000000000005</v>
      </c>
      <c r="J16" s="45">
        <f>'LDPE-A2'!J16*0.98</f>
        <v>578.20000000000005</v>
      </c>
      <c r="K16" s="50">
        <f>'LDPE-A2'!K16*0.98</f>
        <v>578.20000000000005</v>
      </c>
      <c r="L16" s="49">
        <f>'LDPE-A2'!L16*0.98</f>
        <v>578.20000000000005</v>
      </c>
      <c r="M16" s="45">
        <f>'LDPE-A2'!M16*0.98</f>
        <v>578.20000000000005</v>
      </c>
      <c r="N16" s="45">
        <f>'LDPE-A2'!N16*0.98</f>
        <v>921.19999999999993</v>
      </c>
      <c r="O16" s="45">
        <f>'LDPE-A2'!O16*0.98</f>
        <v>921.19999999999993</v>
      </c>
      <c r="P16" s="45">
        <f>'LDPE-A2'!P16*0.98</f>
        <v>921.19999999999993</v>
      </c>
      <c r="Q16" s="51">
        <f>'LDPE-A2'!Q16*0.98</f>
        <v>921.19999999999993</v>
      </c>
      <c r="R16" s="302">
        <f t="shared" si="0"/>
        <v>0</v>
      </c>
      <c r="S16" s="300">
        <f t="shared" si="1"/>
        <v>9.8000000000000007</v>
      </c>
    </row>
    <row r="17" spans="1:19" ht="15" customHeight="1">
      <c r="A17" s="16"/>
      <c r="B17" s="605" t="s">
        <v>442</v>
      </c>
      <c r="C17" s="606"/>
      <c r="D17" s="140">
        <f>'LDPE-A2'!D17*0.98</f>
        <v>0</v>
      </c>
      <c r="E17" s="45">
        <f>'LDPE-A2'!E17*0.98</f>
        <v>0</v>
      </c>
      <c r="F17" s="45">
        <f>'LDPE-A2'!F17*0.98</f>
        <v>0</v>
      </c>
      <c r="G17" s="45">
        <f>'LDPE-A2'!G17*0.98</f>
        <v>0</v>
      </c>
      <c r="H17" s="45">
        <f>'LDPE-A2'!H17*0.98</f>
        <v>0</v>
      </c>
      <c r="I17" s="45">
        <f>'LDPE-A2'!I17*0.98</f>
        <v>0</v>
      </c>
      <c r="J17" s="45">
        <f>'LDPE-A2'!J17*0.98</f>
        <v>0</v>
      </c>
      <c r="K17" s="50">
        <f>'LDPE-A2'!K17*0.98</f>
        <v>0</v>
      </c>
      <c r="L17" s="49">
        <f>'LDPE-A2'!L17*0.98</f>
        <v>0</v>
      </c>
      <c r="M17" s="45">
        <f>'LDPE-A2'!M17*0.98</f>
        <v>0</v>
      </c>
      <c r="N17" s="45">
        <f>'LDPE-A2'!N17*0.98</f>
        <v>0</v>
      </c>
      <c r="O17" s="45">
        <f>'LDPE-A2'!O17*0.98</f>
        <v>0</v>
      </c>
      <c r="P17" s="45">
        <f>'LDPE-A2'!P17*0.98</f>
        <v>0</v>
      </c>
      <c r="Q17" s="51">
        <f>'LDPE-A2'!Q17*0.98</f>
        <v>490</v>
      </c>
      <c r="R17" s="302" t="str">
        <f t="shared" si="0"/>
        <v xml:space="preserve">     -</v>
      </c>
      <c r="S17" s="300" t="str">
        <f t="shared" si="1"/>
        <v xml:space="preserve">     -</v>
      </c>
    </row>
    <row r="18" spans="1:19" ht="15" customHeight="1">
      <c r="A18" s="16"/>
      <c r="B18" s="607" t="s">
        <v>443</v>
      </c>
      <c r="C18" s="608"/>
      <c r="D18" s="138">
        <f>'LDPE-A2'!D18*0.98</f>
        <v>2275.56</v>
      </c>
      <c r="E18" s="40">
        <f>'LDPE-A2'!E18*0.98</f>
        <v>2275.56</v>
      </c>
      <c r="F18" s="40">
        <f>'LDPE-A2'!F18*0.98</f>
        <v>2263.8000000000002</v>
      </c>
      <c r="G18" s="40">
        <f>'LDPE-A2'!G18*0.98</f>
        <v>2322.6</v>
      </c>
      <c r="H18" s="40">
        <f>'LDPE-A2'!H18*0.98</f>
        <v>2263.8000000000002</v>
      </c>
      <c r="I18" s="40">
        <f>'LDPE-A2'!I18*0.98</f>
        <v>2173.64</v>
      </c>
      <c r="J18" s="40">
        <f>'LDPE-A2'!J18*0.98</f>
        <v>2188.34</v>
      </c>
      <c r="K18" s="42">
        <f>'LDPE-A2'!K18*0.98</f>
        <v>2188.34</v>
      </c>
      <c r="L18" s="41">
        <f>'LDPE-A2'!L18*0.98</f>
        <v>2188.34</v>
      </c>
      <c r="M18" s="40">
        <f>'LDPE-A2'!M18*0.98</f>
        <v>2188.34</v>
      </c>
      <c r="N18" s="40">
        <f>'LDPE-A2'!N18*0.98</f>
        <v>2188.34</v>
      </c>
      <c r="O18" s="40">
        <f>'LDPE-A2'!O18*0.98</f>
        <v>2188.34</v>
      </c>
      <c r="P18" s="40">
        <f>'LDPE-A2'!P18*0.98</f>
        <v>2188.34</v>
      </c>
      <c r="Q18" s="44">
        <f>'LDPE-A2'!Q18*0.98</f>
        <v>2188.34</v>
      </c>
      <c r="R18" s="299">
        <f t="shared" si="0"/>
        <v>-0.6</v>
      </c>
      <c r="S18" s="300">
        <f t="shared" si="1"/>
        <v>0</v>
      </c>
    </row>
    <row r="19" spans="1:19" ht="15.75" customHeight="1">
      <c r="A19" s="16"/>
      <c r="B19" s="674" t="s">
        <v>307</v>
      </c>
      <c r="C19" s="675"/>
      <c r="D19" s="95">
        <f>'LDPE-A2'!D19*0.98</f>
        <v>15620.22</v>
      </c>
      <c r="E19" s="93">
        <f>'LDPE-A2'!E19*0.98</f>
        <v>16510.060000000001</v>
      </c>
      <c r="F19" s="93">
        <f>'LDPE-A2'!F19*0.98</f>
        <v>18546.5</v>
      </c>
      <c r="G19" s="93">
        <f>'LDPE-A2'!G19*0.98</f>
        <v>19665.66</v>
      </c>
      <c r="H19" s="93">
        <f>'LDPE-A2'!H19*0.98</f>
        <v>20831.86</v>
      </c>
      <c r="I19" s="93">
        <f>'LDPE-A2'!I19*0.98</f>
        <v>22200.92</v>
      </c>
      <c r="J19" s="93">
        <f>'LDPE-A2'!J19*0.98</f>
        <v>23427.88</v>
      </c>
      <c r="K19" s="96">
        <f>'LDPE-A2'!K19*0.98</f>
        <v>24325.56</v>
      </c>
      <c r="L19" s="94">
        <f>'LDPE-A2'!L19*0.98</f>
        <v>25738.720000000001</v>
      </c>
      <c r="M19" s="93">
        <f>'LDPE-A2'!M19*0.98</f>
        <v>26246.36</v>
      </c>
      <c r="N19" s="93">
        <f>'LDPE-A2'!N19*0.98</f>
        <v>27725.18</v>
      </c>
      <c r="O19" s="93">
        <f>'LDPE-A2'!O19*0.98</f>
        <v>29874.32</v>
      </c>
      <c r="P19" s="93">
        <f>'LDPE-A2'!P19*0.98</f>
        <v>29947.82</v>
      </c>
      <c r="Q19" s="227">
        <f>'LDPE-A2'!Q19*0.98</f>
        <v>31711.82</v>
      </c>
      <c r="R19" s="303">
        <f t="shared" si="0"/>
        <v>6.5</v>
      </c>
      <c r="S19" s="304">
        <f t="shared" si="1"/>
        <v>4.3</v>
      </c>
    </row>
    <row r="20" spans="1:19" ht="15.75" customHeight="1">
      <c r="A20" s="16"/>
      <c r="B20" s="672" t="s">
        <v>308</v>
      </c>
      <c r="C20" s="673"/>
      <c r="D20" s="139">
        <f>'LDPE-A2'!D20*0.98</f>
        <v>205.79999999999998</v>
      </c>
      <c r="E20" s="98">
        <f>'LDPE-A2'!E20*0.98</f>
        <v>205.79999999999998</v>
      </c>
      <c r="F20" s="98">
        <f>'LDPE-A2'!F20*0.98</f>
        <v>205.79999999999998</v>
      </c>
      <c r="G20" s="98">
        <f>'LDPE-A2'!G20*0.98</f>
        <v>196</v>
      </c>
      <c r="H20" s="98">
        <f>'LDPE-A2'!H20*0.98</f>
        <v>196</v>
      </c>
      <c r="I20" s="98">
        <f>'LDPE-A2'!I20*0.98</f>
        <v>196</v>
      </c>
      <c r="J20" s="98">
        <f>'LDPE-A2'!J20*0.98</f>
        <v>196</v>
      </c>
      <c r="K20" s="228">
        <f>'LDPE-A2'!K20*0.98</f>
        <v>196</v>
      </c>
      <c r="L20" s="99">
        <f>'LDPE-A2'!L20*0.98</f>
        <v>196</v>
      </c>
      <c r="M20" s="98">
        <f>'LDPE-A2'!M20*0.98</f>
        <v>196</v>
      </c>
      <c r="N20" s="98">
        <f>'LDPE-A2'!N20*0.98</f>
        <v>196</v>
      </c>
      <c r="O20" s="98">
        <f>'LDPE-A2'!O20*0.98</f>
        <v>196</v>
      </c>
      <c r="P20" s="98">
        <f>'LDPE-A2'!P20*0.98</f>
        <v>196</v>
      </c>
      <c r="Q20" s="229">
        <f>'LDPE-A2'!Q20*0.98</f>
        <v>196</v>
      </c>
      <c r="R20" s="303">
        <f t="shared" si="0"/>
        <v>-0.7</v>
      </c>
      <c r="S20" s="304">
        <f t="shared" si="1"/>
        <v>0</v>
      </c>
    </row>
    <row r="21" spans="1:19" ht="15" customHeight="1">
      <c r="A21" s="16"/>
      <c r="B21" s="105"/>
      <c r="C21" s="97" t="s">
        <v>309</v>
      </c>
      <c r="D21" s="139">
        <f>'LDPE-A2'!D21*0.98</f>
        <v>205.79999999999998</v>
      </c>
      <c r="E21" s="98">
        <f>'LDPE-A2'!E21*0.98</f>
        <v>205.79999999999998</v>
      </c>
      <c r="F21" s="98">
        <f>'LDPE-A2'!F21*0.98</f>
        <v>205.79999999999998</v>
      </c>
      <c r="G21" s="98">
        <f>'LDPE-A2'!G21*0.98</f>
        <v>196</v>
      </c>
      <c r="H21" s="98">
        <f>'LDPE-A2'!H21*0.98</f>
        <v>196</v>
      </c>
      <c r="I21" s="98">
        <f>'LDPE-A2'!I21*0.98</f>
        <v>196</v>
      </c>
      <c r="J21" s="98">
        <f>'LDPE-A2'!J21*0.98</f>
        <v>196</v>
      </c>
      <c r="K21" s="228">
        <f>'LDPE-A2'!K21*0.98</f>
        <v>196</v>
      </c>
      <c r="L21" s="99">
        <f>'LDPE-A2'!L21*0.98</f>
        <v>196</v>
      </c>
      <c r="M21" s="98">
        <f>'LDPE-A2'!M21*0.98</f>
        <v>196</v>
      </c>
      <c r="N21" s="98">
        <f>'LDPE-A2'!N21*0.98</f>
        <v>196</v>
      </c>
      <c r="O21" s="98">
        <f>'LDPE-A2'!O21*0.98</f>
        <v>196</v>
      </c>
      <c r="P21" s="98">
        <f>'LDPE-A2'!P21*0.98</f>
        <v>196</v>
      </c>
      <c r="Q21" s="229">
        <f>'LDPE-A2'!Q21*0.98</f>
        <v>196</v>
      </c>
      <c r="R21" s="303">
        <f t="shared" si="0"/>
        <v>-0.7</v>
      </c>
      <c r="S21" s="304">
        <f t="shared" si="1"/>
        <v>0</v>
      </c>
    </row>
    <row r="22" spans="1:19" ht="15.75" customHeight="1">
      <c r="A22" s="16"/>
      <c r="B22" s="672" t="s">
        <v>310</v>
      </c>
      <c r="C22" s="673"/>
      <c r="D22" s="140">
        <f>'LDPE-A2'!D22*0.98</f>
        <v>10607.52</v>
      </c>
      <c r="E22" s="45">
        <f>'LDPE-A2'!E22*0.98</f>
        <v>10220.42</v>
      </c>
      <c r="F22" s="45">
        <f>'LDPE-A2'!F22*0.98</f>
        <v>9695.14</v>
      </c>
      <c r="G22" s="45">
        <f>'LDPE-A2'!G22*0.98</f>
        <v>9322.74</v>
      </c>
      <c r="H22" s="40">
        <f>'LDPE-A2'!H22*0.98</f>
        <v>9322.74</v>
      </c>
      <c r="I22" s="40">
        <f>'LDPE-A2'!I22*0.98</f>
        <v>9322.74</v>
      </c>
      <c r="J22" s="40">
        <f>'LDPE-A2'!J22*0.98</f>
        <v>9371.74</v>
      </c>
      <c r="K22" s="42">
        <f>'LDPE-A2'!K22*0.98</f>
        <v>9450.14</v>
      </c>
      <c r="L22" s="41">
        <f>'LDPE-A2'!L22*0.98</f>
        <v>9450.14</v>
      </c>
      <c r="M22" s="40">
        <f>'LDPE-A2'!M22*0.98</f>
        <v>9450.14</v>
      </c>
      <c r="N22" s="40">
        <f>'LDPE-A2'!N22*0.98</f>
        <v>9450.14</v>
      </c>
      <c r="O22" s="40">
        <f>'LDPE-A2'!O22*0.98</f>
        <v>9450.14</v>
      </c>
      <c r="P22" s="40">
        <f>'LDPE-A2'!P22*0.98</f>
        <v>9450.14</v>
      </c>
      <c r="Q22" s="44">
        <f>'LDPE-A2'!Q22*0.98</f>
        <v>9450.14</v>
      </c>
      <c r="R22" s="299">
        <f t="shared" si="0"/>
        <v>-1.6</v>
      </c>
      <c r="S22" s="300">
        <f t="shared" si="1"/>
        <v>0</v>
      </c>
    </row>
    <row r="23" spans="1:19" ht="15" customHeight="1">
      <c r="A23" s="16"/>
      <c r="B23" s="105"/>
      <c r="C23" s="615" t="s">
        <v>311</v>
      </c>
      <c r="D23" s="139">
        <f>'LDPE-A2'!D23*0.98</f>
        <v>9846.06</v>
      </c>
      <c r="E23" s="98">
        <f>'LDPE-A2'!E23*0.98</f>
        <v>9458.9599999999991</v>
      </c>
      <c r="F23" s="98">
        <f>'LDPE-A2'!F23*0.98</f>
        <v>9234.5399999999991</v>
      </c>
      <c r="G23" s="98">
        <f>'LDPE-A2'!G23*0.98</f>
        <v>8862.14</v>
      </c>
      <c r="H23" s="93">
        <f>'LDPE-A2'!H23*0.98</f>
        <v>8862.14</v>
      </c>
      <c r="I23" s="93">
        <f>'LDPE-A2'!I23*0.98</f>
        <v>8862.14</v>
      </c>
      <c r="J23" s="93">
        <f>'LDPE-A2'!J23*0.98</f>
        <v>8862.14</v>
      </c>
      <c r="K23" s="96">
        <f>'LDPE-A2'!K23*0.98</f>
        <v>8940.5399999999991</v>
      </c>
      <c r="L23" s="94">
        <f>'LDPE-A2'!L23*0.98</f>
        <v>8940.5399999999991</v>
      </c>
      <c r="M23" s="93">
        <f>'LDPE-A2'!M23*0.98</f>
        <v>8940.5399999999991</v>
      </c>
      <c r="N23" s="93">
        <f>'LDPE-A2'!N23*0.98</f>
        <v>8940.5399999999991</v>
      </c>
      <c r="O23" s="93">
        <f>'LDPE-A2'!O23*0.98</f>
        <v>8940.5399999999991</v>
      </c>
      <c r="P23" s="93">
        <f>'LDPE-A2'!P23*0.98</f>
        <v>8940.5399999999991</v>
      </c>
      <c r="Q23" s="227">
        <f>'LDPE-A2'!Q23*0.98</f>
        <v>8940.5399999999991</v>
      </c>
      <c r="R23" s="303">
        <f t="shared" si="0"/>
        <v>-1.4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40">
        <f>'LDPE-A2'!D24*0.98</f>
        <v>7511.7</v>
      </c>
      <c r="E24" s="45">
        <f>'LDPE-A2'!E24*0.98</f>
        <v>7840</v>
      </c>
      <c r="F24" s="45">
        <f>'LDPE-A2'!F24*0.98</f>
        <v>8428</v>
      </c>
      <c r="G24" s="45">
        <f>'LDPE-A2'!G24*0.98</f>
        <v>8624</v>
      </c>
      <c r="H24" s="45">
        <f>'LDPE-A2'!H24*0.98</f>
        <v>9790.2000000000007</v>
      </c>
      <c r="I24" s="45">
        <f>'LDPE-A2'!I24*0.98</f>
        <v>9888.2000000000007</v>
      </c>
      <c r="J24" s="45">
        <f>'LDPE-A2'!J24*0.98</f>
        <v>10868.199999999999</v>
      </c>
      <c r="K24" s="50">
        <f>'LDPE-A2'!K24*0.98</f>
        <v>11123</v>
      </c>
      <c r="L24" s="49">
        <f>'LDPE-A2'!L24*0.98</f>
        <v>11123</v>
      </c>
      <c r="M24" s="45">
        <f>'LDPE-A2'!M24*0.98</f>
        <v>11123</v>
      </c>
      <c r="N24" s="45">
        <f>'LDPE-A2'!N24*0.98</f>
        <v>11647.3</v>
      </c>
      <c r="O24" s="45">
        <f>'LDPE-A2'!O24*0.98</f>
        <v>11647.3</v>
      </c>
      <c r="P24" s="45">
        <f>'LDPE-A2'!P24*0.98</f>
        <v>11647.3</v>
      </c>
      <c r="Q24" s="51">
        <f>'LDPE-A2'!Q24*0.98</f>
        <v>11647.3</v>
      </c>
      <c r="R24" s="302">
        <f t="shared" si="0"/>
        <v>5.8</v>
      </c>
      <c r="S24" s="300">
        <f t="shared" si="1"/>
        <v>0.9</v>
      </c>
    </row>
    <row r="25" spans="1:19" ht="15" customHeight="1">
      <c r="A25" s="16"/>
      <c r="B25" s="16"/>
      <c r="C25" s="615" t="s">
        <v>313</v>
      </c>
      <c r="D25" s="139">
        <f>'LDPE-A2'!D25*0.98</f>
        <v>4557</v>
      </c>
      <c r="E25" s="98">
        <f>'LDPE-A2'!E25*0.98</f>
        <v>4557</v>
      </c>
      <c r="F25" s="98">
        <f>'LDPE-A2'!F25*0.98</f>
        <v>4557</v>
      </c>
      <c r="G25" s="98">
        <f>'LDPE-A2'!G25*0.98</f>
        <v>4753</v>
      </c>
      <c r="H25" s="93">
        <f>'LDPE-A2'!H25*0.98</f>
        <v>4949</v>
      </c>
      <c r="I25" s="93">
        <f>'LDPE-A2'!I25*0.98</f>
        <v>4949</v>
      </c>
      <c r="J25" s="93">
        <f>'LDPE-A2'!J25*0.98</f>
        <v>5929</v>
      </c>
      <c r="K25" s="96">
        <f>'LDPE-A2'!K25*0.98</f>
        <v>6090.7</v>
      </c>
      <c r="L25" s="94">
        <f>'LDPE-A2'!L25*0.98</f>
        <v>6090.7</v>
      </c>
      <c r="M25" s="93">
        <f>'LDPE-A2'!M25*0.98</f>
        <v>6090.7</v>
      </c>
      <c r="N25" s="93">
        <f>'LDPE-A2'!N25*0.98</f>
        <v>6090.7</v>
      </c>
      <c r="O25" s="93">
        <f>'LDPE-A2'!O25*0.98</f>
        <v>6090.7</v>
      </c>
      <c r="P25" s="93">
        <f>'LDPE-A2'!P25*0.98</f>
        <v>6090.7</v>
      </c>
      <c r="Q25" s="227">
        <f>'LDPE-A2'!Q25*0.98</f>
        <v>6090.7</v>
      </c>
      <c r="R25" s="303">
        <f t="shared" si="0"/>
        <v>4.2</v>
      </c>
      <c r="S25" s="304">
        <f t="shared" si="1"/>
        <v>0</v>
      </c>
    </row>
    <row r="26" spans="1:19" ht="15.75" customHeight="1">
      <c r="A26" s="16"/>
      <c r="B26" s="674" t="s">
        <v>314</v>
      </c>
      <c r="C26" s="675"/>
      <c r="D26" s="139">
        <f>'LDPE-A2'!D26*0.98</f>
        <v>735</v>
      </c>
      <c r="E26" s="98">
        <f>'LDPE-A2'!E26*0.98</f>
        <v>735</v>
      </c>
      <c r="F26" s="98">
        <f>'LDPE-A2'!F26*0.98</f>
        <v>735</v>
      </c>
      <c r="G26" s="98">
        <f>'LDPE-A2'!G26*0.98</f>
        <v>735</v>
      </c>
      <c r="H26" s="98">
        <f>'LDPE-A2'!H26*0.98</f>
        <v>735</v>
      </c>
      <c r="I26" s="98">
        <f>'LDPE-A2'!I26*0.98</f>
        <v>735</v>
      </c>
      <c r="J26" s="98">
        <f>'LDPE-A2'!J26*0.98</f>
        <v>931</v>
      </c>
      <c r="K26" s="228">
        <f>'LDPE-A2'!K26*0.98</f>
        <v>931</v>
      </c>
      <c r="L26" s="99">
        <f>'LDPE-A2'!L26*0.98</f>
        <v>931</v>
      </c>
      <c r="M26" s="98">
        <f>'LDPE-A2'!M26*0.98</f>
        <v>931</v>
      </c>
      <c r="N26" s="98">
        <f>'LDPE-A2'!N26*0.98</f>
        <v>931</v>
      </c>
      <c r="O26" s="98">
        <f>'LDPE-A2'!O26*0.98</f>
        <v>931</v>
      </c>
      <c r="P26" s="98">
        <f>'LDPE-A2'!P26*0.98</f>
        <v>931</v>
      </c>
      <c r="Q26" s="229">
        <f>'LDPE-A2'!Q26*0.98</f>
        <v>931</v>
      </c>
      <c r="R26" s="305">
        <f t="shared" si="0"/>
        <v>3.4</v>
      </c>
      <c r="S26" s="304">
        <f t="shared" si="1"/>
        <v>0</v>
      </c>
    </row>
    <row r="27" spans="1:19" ht="15.75" customHeight="1">
      <c r="A27" s="16"/>
      <c r="B27" s="674" t="s">
        <v>315</v>
      </c>
      <c r="C27" s="675"/>
      <c r="D27" s="95">
        <f>'LDPE-A2'!D27*0.98</f>
        <v>963.34</v>
      </c>
      <c r="E27" s="93">
        <f>'LDPE-A2'!E27*0.98</f>
        <v>963.34</v>
      </c>
      <c r="F27" s="93">
        <f>'LDPE-A2'!F27*0.98</f>
        <v>963.34</v>
      </c>
      <c r="G27" s="93">
        <f>'LDPE-A2'!G27*0.98</f>
        <v>927.07999999999993</v>
      </c>
      <c r="H27" s="93">
        <f>'LDPE-A2'!H27*0.98</f>
        <v>927.07999999999993</v>
      </c>
      <c r="I27" s="93">
        <f>'LDPE-A2'!I27*0.98</f>
        <v>927.07999999999993</v>
      </c>
      <c r="J27" s="93">
        <f>'LDPE-A2'!J27*0.98</f>
        <v>1134.8399999999999</v>
      </c>
      <c r="K27" s="96">
        <f>'LDPE-A2'!K27*0.98</f>
        <v>1134.8399999999999</v>
      </c>
      <c r="L27" s="94">
        <f>'LDPE-A2'!L27*0.98</f>
        <v>1134.8399999999999</v>
      </c>
      <c r="M27" s="93">
        <f>'LDPE-A2'!M27*0.98</f>
        <v>1330.84</v>
      </c>
      <c r="N27" s="93">
        <f>'LDPE-A2'!N27*0.98</f>
        <v>1526.84</v>
      </c>
      <c r="O27" s="93">
        <f>'LDPE-A2'!O27*0.98</f>
        <v>1722.84</v>
      </c>
      <c r="P27" s="93">
        <f>'LDPE-A2'!P27*0.98</f>
        <v>1918.84</v>
      </c>
      <c r="Q27" s="227">
        <f>'LDPE-A2'!Q27*0.98</f>
        <v>1918.84</v>
      </c>
      <c r="R27" s="303">
        <f t="shared" si="0"/>
        <v>2.4</v>
      </c>
      <c r="S27" s="304">
        <f t="shared" si="1"/>
        <v>11.1</v>
      </c>
    </row>
    <row r="28" spans="1:19" ht="15" customHeight="1">
      <c r="A28" s="16"/>
      <c r="B28" s="672" t="s">
        <v>316</v>
      </c>
      <c r="C28" s="673"/>
      <c r="D28" s="140">
        <f>'LDPE-A2'!D28*0.98</f>
        <v>7726.32</v>
      </c>
      <c r="E28" s="45">
        <f>'LDPE-A2'!E28*0.98</f>
        <v>7726.32</v>
      </c>
      <c r="F28" s="45">
        <f>'LDPE-A2'!F28*0.98</f>
        <v>7830.2</v>
      </c>
      <c r="G28" s="45">
        <f>'LDPE-A2'!G28*0.98</f>
        <v>8107.54</v>
      </c>
      <c r="H28" s="45">
        <f>'LDPE-A2'!H28*0.98</f>
        <v>8107.54</v>
      </c>
      <c r="I28" s="40">
        <f>'LDPE-A2'!I28*0.98</f>
        <v>7832.16</v>
      </c>
      <c r="J28" s="40">
        <f>'LDPE-A2'!J28*0.98</f>
        <v>7948.78</v>
      </c>
      <c r="K28" s="42">
        <f>'LDPE-A2'!K28*0.98</f>
        <v>8415.26</v>
      </c>
      <c r="L28" s="41">
        <f>'LDPE-A2'!L28*0.98</f>
        <v>10471.299999999999</v>
      </c>
      <c r="M28" s="40">
        <f>'LDPE-A2'!M28*0.98</f>
        <v>11979.52</v>
      </c>
      <c r="N28" s="40">
        <f>'LDPE-A2'!N28*0.98</f>
        <v>12564.58</v>
      </c>
      <c r="O28" s="40">
        <f>'LDPE-A2'!O28*0.98</f>
        <v>13128.08</v>
      </c>
      <c r="P28" s="40">
        <f>'LDPE-A2'!P28*0.98</f>
        <v>13157.48</v>
      </c>
      <c r="Q28" s="44">
        <f>'LDPE-A2'!Q28*0.98</f>
        <v>12810.56</v>
      </c>
      <c r="R28" s="299">
        <f t="shared" si="0"/>
        <v>1.2</v>
      </c>
      <c r="S28" s="300">
        <f t="shared" si="1"/>
        <v>4.0999999999999996</v>
      </c>
    </row>
    <row r="29" spans="1:19" ht="15" customHeight="1">
      <c r="A29" s="16"/>
      <c r="B29" s="670" t="s">
        <v>317</v>
      </c>
      <c r="C29" s="671"/>
      <c r="D29" s="140">
        <f>'LDPE-A2'!D29*0.98</f>
        <v>2361.8000000000002</v>
      </c>
      <c r="E29" s="45">
        <f>'LDPE-A2'!E29*0.98</f>
        <v>2361.8000000000002</v>
      </c>
      <c r="F29" s="45">
        <f>'LDPE-A2'!F29*0.98</f>
        <v>2361.8000000000002</v>
      </c>
      <c r="G29" s="45">
        <f>'LDPE-A2'!G29*0.98</f>
        <v>2173.64</v>
      </c>
      <c r="H29" s="45">
        <f>'LDPE-A2'!H29*0.98</f>
        <v>2173.64</v>
      </c>
      <c r="I29" s="40">
        <f>'LDPE-A2'!I29*0.98</f>
        <v>2173.64</v>
      </c>
      <c r="J29" s="40">
        <f>'LDPE-A2'!J29*0.98</f>
        <v>2670.5</v>
      </c>
      <c r="K29" s="42">
        <f>'LDPE-A2'!K29*0.98</f>
        <v>2670.5</v>
      </c>
      <c r="L29" s="41">
        <f>'LDPE-A2'!L29*0.98</f>
        <v>2670.5</v>
      </c>
      <c r="M29" s="40">
        <f>'LDPE-A2'!M29*0.98</f>
        <v>2670.5</v>
      </c>
      <c r="N29" s="40">
        <f>'LDPE-A2'!N29*0.98</f>
        <v>2670.5</v>
      </c>
      <c r="O29" s="40">
        <f>'LDPE-A2'!O29*0.98</f>
        <v>2781.24</v>
      </c>
      <c r="P29" s="40">
        <f>'LDPE-A2'!P29*0.98</f>
        <v>3111.5</v>
      </c>
      <c r="Q29" s="44">
        <f>'LDPE-A2'!Q29*0.98</f>
        <v>3111.5</v>
      </c>
      <c r="R29" s="299">
        <f t="shared" si="0"/>
        <v>1.8</v>
      </c>
      <c r="S29" s="300">
        <f t="shared" si="1"/>
        <v>3.1</v>
      </c>
    </row>
    <row r="30" spans="1:19" ht="15.75" customHeight="1">
      <c r="A30" s="16"/>
      <c r="B30" s="674" t="s">
        <v>318</v>
      </c>
      <c r="C30" s="675"/>
      <c r="D30" s="95">
        <f>'LDPE-A2'!D30*0.98</f>
        <v>10088.119999999999</v>
      </c>
      <c r="E30" s="93">
        <f>'LDPE-A2'!E30*0.98</f>
        <v>10088.119999999999</v>
      </c>
      <c r="F30" s="93">
        <f>'LDPE-A2'!F30*0.98</f>
        <v>10192</v>
      </c>
      <c r="G30" s="93">
        <f>'LDPE-A2'!G30*0.98</f>
        <v>10281.18</v>
      </c>
      <c r="H30" s="93">
        <f>'LDPE-A2'!H30*0.98</f>
        <v>10281.18</v>
      </c>
      <c r="I30" s="93">
        <f>'LDPE-A2'!I30*0.98</f>
        <v>10005.799999999999</v>
      </c>
      <c r="J30" s="93">
        <f>'LDPE-A2'!J30*0.98</f>
        <v>10619.28</v>
      </c>
      <c r="K30" s="96">
        <f>'LDPE-A2'!K30*0.98</f>
        <v>11085.76</v>
      </c>
      <c r="L30" s="94">
        <f>'LDPE-A2'!L30*0.98</f>
        <v>13141.8</v>
      </c>
      <c r="M30" s="93">
        <f>'LDPE-A2'!M30*0.98</f>
        <v>14650.02</v>
      </c>
      <c r="N30" s="93">
        <f>'LDPE-A2'!N30*0.98</f>
        <v>15235.08</v>
      </c>
      <c r="O30" s="93">
        <f>'LDPE-A2'!O30*0.98</f>
        <v>15909.32</v>
      </c>
      <c r="P30" s="93">
        <f>'LDPE-A2'!P30*0.98</f>
        <v>16268.98</v>
      </c>
      <c r="Q30" s="227">
        <f>'LDPE-A2'!Q30*0.98</f>
        <v>15922.06</v>
      </c>
      <c r="R30" s="303">
        <f t="shared" si="0"/>
        <v>1.4</v>
      </c>
      <c r="S30" s="304">
        <f t="shared" si="1"/>
        <v>3.9</v>
      </c>
    </row>
    <row r="31" spans="1:19" ht="15" customHeight="1">
      <c r="A31" s="16"/>
      <c r="B31" s="672" t="s">
        <v>319</v>
      </c>
      <c r="C31" s="673"/>
      <c r="D31" s="140">
        <f>'LDPE-A2'!D31*0.98</f>
        <v>553.70000000000005</v>
      </c>
      <c r="E31" s="45">
        <f>'LDPE-A2'!E31*0.98</f>
        <v>553.70000000000005</v>
      </c>
      <c r="F31" s="45">
        <f>'LDPE-A2'!F31*0.98</f>
        <v>553.70000000000005</v>
      </c>
      <c r="G31" s="45">
        <f>'LDPE-A2'!G31*0.98</f>
        <v>553.70000000000005</v>
      </c>
      <c r="H31" s="45">
        <f>'LDPE-A2'!H31*0.98</f>
        <v>553.70000000000005</v>
      </c>
      <c r="I31" s="31">
        <f>'LDPE-A2'!I31*0.98</f>
        <v>553.70000000000005</v>
      </c>
      <c r="J31" s="40">
        <f>'LDPE-A2'!J31*0.98</f>
        <v>725.19999999999993</v>
      </c>
      <c r="K31" s="42">
        <f>'LDPE-A2'!K31*0.98</f>
        <v>847.69999999999993</v>
      </c>
      <c r="L31" s="41">
        <f>'LDPE-A2'!L31*0.98</f>
        <v>847.69999999999993</v>
      </c>
      <c r="M31" s="40">
        <f>'LDPE-A2'!M31*0.98</f>
        <v>847.69999999999993</v>
      </c>
      <c r="N31" s="40">
        <f>'LDPE-A2'!N31*0.98</f>
        <v>847.69999999999993</v>
      </c>
      <c r="O31" s="40">
        <f>'LDPE-A2'!O31*0.98</f>
        <v>847.69999999999993</v>
      </c>
      <c r="P31" s="40">
        <f>'LDPE-A2'!P31*0.98</f>
        <v>847.69999999999993</v>
      </c>
      <c r="Q31" s="44">
        <f>'LDPE-A2'!Q31*0.98</f>
        <v>847.69999999999993</v>
      </c>
      <c r="R31" s="299">
        <f t="shared" si="0"/>
        <v>6.3</v>
      </c>
      <c r="S31" s="300">
        <f t="shared" si="1"/>
        <v>0</v>
      </c>
    </row>
    <row r="32" spans="1:19" ht="15" customHeight="1">
      <c r="A32" s="16"/>
      <c r="B32" s="668" t="s">
        <v>320</v>
      </c>
      <c r="C32" s="669"/>
      <c r="D32" s="140">
        <f>'LDPE-A2'!D32*0.98</f>
        <v>1690.5</v>
      </c>
      <c r="E32" s="45">
        <f>'LDPE-A2'!E32*0.98</f>
        <v>1690.5</v>
      </c>
      <c r="F32" s="45">
        <f>'LDPE-A2'!F32*0.98</f>
        <v>1690.5</v>
      </c>
      <c r="G32" s="45">
        <f>'LDPE-A2'!G32*0.98</f>
        <v>1690.5</v>
      </c>
      <c r="H32" s="45">
        <f>'LDPE-A2'!H32*0.98</f>
        <v>1690.5</v>
      </c>
      <c r="I32" s="40">
        <f>'LDPE-A2'!I32*0.98</f>
        <v>1690.5</v>
      </c>
      <c r="J32" s="40">
        <f>'LDPE-A2'!J32*0.98</f>
        <v>1690.5</v>
      </c>
      <c r="K32" s="42">
        <f>'LDPE-A2'!K32*0.98</f>
        <v>1690.5</v>
      </c>
      <c r="L32" s="41">
        <f>'LDPE-A2'!L32*0.98</f>
        <v>1690.5</v>
      </c>
      <c r="M32" s="40">
        <f>'LDPE-A2'!M32*0.98</f>
        <v>1690.5</v>
      </c>
      <c r="N32" s="40">
        <f>'LDPE-A2'!N32*0.98</f>
        <v>1690.5</v>
      </c>
      <c r="O32" s="40">
        <f>'LDPE-A2'!O32*0.98</f>
        <v>1690.5</v>
      </c>
      <c r="P32" s="40">
        <f>'LDPE-A2'!P32*0.98</f>
        <v>1690.5</v>
      </c>
      <c r="Q32" s="44">
        <f>'LDPE-A2'!Q32*0.98</f>
        <v>1690.5</v>
      </c>
      <c r="R32" s="299">
        <f t="shared" si="0"/>
        <v>0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40">
        <f>'LDPE-A2'!D33*0.98</f>
        <v>757.54</v>
      </c>
      <c r="E33" s="45">
        <f>'LDPE-A2'!E33*0.98</f>
        <v>757.54</v>
      </c>
      <c r="F33" s="45">
        <f>'LDPE-A2'!F33*0.98</f>
        <v>757.54</v>
      </c>
      <c r="G33" s="45">
        <f>'LDPE-A2'!G33*0.98</f>
        <v>669.34</v>
      </c>
      <c r="H33" s="45">
        <f>'LDPE-A2'!H33*0.98</f>
        <v>693.84</v>
      </c>
      <c r="I33" s="40">
        <f>'LDPE-A2'!I33*0.98</f>
        <v>693.84</v>
      </c>
      <c r="J33" s="40">
        <f>'LDPE-A2'!J33*0.98</f>
        <v>693.84</v>
      </c>
      <c r="K33" s="42">
        <f>'LDPE-A2'!K33*0.98</f>
        <v>693.84</v>
      </c>
      <c r="L33" s="41">
        <f>'LDPE-A2'!L33*0.98</f>
        <v>693.84</v>
      </c>
      <c r="M33" s="40">
        <f>'LDPE-A2'!M33*0.98</f>
        <v>693.84</v>
      </c>
      <c r="N33" s="40">
        <f>'LDPE-A2'!N33*0.98</f>
        <v>693.84</v>
      </c>
      <c r="O33" s="40">
        <f>'LDPE-A2'!O33*0.98</f>
        <v>693.84</v>
      </c>
      <c r="P33" s="40">
        <f>'LDPE-A2'!P33*0.98</f>
        <v>693.84</v>
      </c>
      <c r="Q33" s="44">
        <f>'LDPE-A2'!Q33*0.98</f>
        <v>693.84</v>
      </c>
      <c r="R33" s="299">
        <f t="shared" si="0"/>
        <v>-1.2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02">
        <f>'LDPE-A2'!D34*0.98</f>
        <v>3001.74</v>
      </c>
      <c r="E34" s="100">
        <f>'LDPE-A2'!E34*0.98</f>
        <v>3001.74</v>
      </c>
      <c r="F34" s="100">
        <f>'LDPE-A2'!F34*0.98</f>
        <v>3001.74</v>
      </c>
      <c r="G34" s="100">
        <f>'LDPE-A2'!G34*0.98</f>
        <v>2913.54</v>
      </c>
      <c r="H34" s="100">
        <f>'LDPE-A2'!H34*0.98</f>
        <v>2938.04</v>
      </c>
      <c r="I34" s="100">
        <f>'LDPE-A2'!I34*0.98</f>
        <v>2938.04</v>
      </c>
      <c r="J34" s="100">
        <f>'LDPE-A2'!J34*0.98</f>
        <v>3109.54</v>
      </c>
      <c r="K34" s="104">
        <f>'LDPE-A2'!K34*0.98</f>
        <v>3232.04</v>
      </c>
      <c r="L34" s="101">
        <f>'LDPE-A2'!L34*0.98</f>
        <v>3232.04</v>
      </c>
      <c r="M34" s="100">
        <f>'LDPE-A2'!M34*0.98</f>
        <v>3232.04</v>
      </c>
      <c r="N34" s="100">
        <f>'LDPE-A2'!N34*0.98</f>
        <v>3232.04</v>
      </c>
      <c r="O34" s="100">
        <f>'LDPE-A2'!O34*0.98</f>
        <v>3232.04</v>
      </c>
      <c r="P34" s="100">
        <f>'LDPE-A2'!P34*0.98</f>
        <v>3232.04</v>
      </c>
      <c r="Q34" s="103">
        <f>'LDPE-A2'!Q34*0.98</f>
        <v>3232.04</v>
      </c>
      <c r="R34" s="306">
        <f t="shared" si="0"/>
        <v>1.1000000000000001</v>
      </c>
      <c r="S34" s="307">
        <f t="shared" si="1"/>
        <v>0</v>
      </c>
    </row>
    <row r="35" spans="1:19" ht="18" customHeight="1" thickTop="1" thickBot="1">
      <c r="A35" s="21"/>
      <c r="B35" s="625"/>
      <c r="C35" s="626" t="s">
        <v>323</v>
      </c>
      <c r="D35" s="118">
        <f>D34+D30+D27+D26+D24+D22+D20+D19</f>
        <v>48733.440000000002</v>
      </c>
      <c r="E35" s="116">
        <f t="shared" ref="E35:Q35" si="2">E34+E30+E27+E26+E24+E22+E20+E19</f>
        <v>49564.479999999996</v>
      </c>
      <c r="F35" s="116">
        <f t="shared" si="2"/>
        <v>51767.520000000004</v>
      </c>
      <c r="G35" s="116">
        <f t="shared" si="2"/>
        <v>52665.2</v>
      </c>
      <c r="H35" s="116">
        <f t="shared" si="2"/>
        <v>55022.1</v>
      </c>
      <c r="I35" s="116">
        <f t="shared" si="2"/>
        <v>56213.78</v>
      </c>
      <c r="J35" s="116">
        <f t="shared" si="2"/>
        <v>59658.479999999996</v>
      </c>
      <c r="K35" s="120">
        <f t="shared" si="2"/>
        <v>61478.34</v>
      </c>
      <c r="L35" s="117">
        <f t="shared" si="2"/>
        <v>64947.54</v>
      </c>
      <c r="M35" s="116">
        <f t="shared" si="2"/>
        <v>67159.399999999994</v>
      </c>
      <c r="N35" s="116">
        <f t="shared" si="2"/>
        <v>69943.579999999987</v>
      </c>
      <c r="O35" s="116">
        <f t="shared" si="2"/>
        <v>72962.959999999992</v>
      </c>
      <c r="P35" s="116">
        <f t="shared" si="2"/>
        <v>73592.12</v>
      </c>
      <c r="Q35" s="119">
        <f t="shared" si="2"/>
        <v>75009.2</v>
      </c>
      <c r="R35" s="308">
        <f t="shared" si="0"/>
        <v>3.4</v>
      </c>
      <c r="S35" s="309">
        <f t="shared" si="1"/>
        <v>2.9</v>
      </c>
    </row>
    <row r="36" spans="1:19" ht="15" customHeight="1">
      <c r="A36" s="613" t="s">
        <v>324</v>
      </c>
      <c r="B36" s="644" t="s">
        <v>433</v>
      </c>
      <c r="C36" s="645"/>
      <c r="D36" s="140">
        <f>'LDPE-A2'!D36*0.98</f>
        <v>2036.44</v>
      </c>
      <c r="E36" s="45">
        <f>'LDPE-A2'!E36*0.98</f>
        <v>2053.1</v>
      </c>
      <c r="F36" s="45">
        <f>'LDPE-A2'!F36*0.98</f>
        <v>2026.6399999999999</v>
      </c>
      <c r="G36" s="45">
        <f>'LDPE-A2'!G36*0.98</f>
        <v>2134.44</v>
      </c>
      <c r="H36" s="40">
        <f>'LDPE-A2'!H36*0.98</f>
        <v>2542.12</v>
      </c>
      <c r="I36" s="40">
        <f>'LDPE-A2'!I36*0.98</f>
        <v>2614.64</v>
      </c>
      <c r="J36" s="40">
        <f>'LDPE-A2'!J36*0.98</f>
        <v>2648.94</v>
      </c>
      <c r="K36" s="42">
        <f>'LDPE-A2'!K36*0.98</f>
        <v>2893.94</v>
      </c>
      <c r="L36" s="41">
        <f>'LDPE-A2'!L36*0.98</f>
        <v>2891</v>
      </c>
      <c r="M36" s="40">
        <f>'LDPE-A2'!M36*0.98</f>
        <v>2891</v>
      </c>
      <c r="N36" s="40">
        <f>'LDPE-A2'!N36*0.98</f>
        <v>2891</v>
      </c>
      <c r="O36" s="40">
        <f>'LDPE-A2'!O36*0.98</f>
        <v>3626</v>
      </c>
      <c r="P36" s="40">
        <f>'LDPE-A2'!P36*0.98</f>
        <v>3626</v>
      </c>
      <c r="Q36" s="44">
        <f>'LDPE-A2'!Q36*0.98</f>
        <v>3920</v>
      </c>
      <c r="R36" s="299">
        <f t="shared" si="0"/>
        <v>5.0999999999999996</v>
      </c>
      <c r="S36" s="300">
        <f t="shared" si="1"/>
        <v>6.3</v>
      </c>
    </row>
    <row r="37" spans="1:19" ht="15" customHeight="1">
      <c r="A37" s="614" t="s">
        <v>325</v>
      </c>
      <c r="B37" s="605" t="s">
        <v>434</v>
      </c>
      <c r="C37" s="606"/>
      <c r="D37" s="140">
        <f>'LDPE-A2'!D37*0.98</f>
        <v>676.19999999999993</v>
      </c>
      <c r="E37" s="45">
        <f>'LDPE-A2'!E37*0.98</f>
        <v>559.58000000000004</v>
      </c>
      <c r="F37" s="45">
        <f>'LDPE-A2'!F37*0.98</f>
        <v>489.02</v>
      </c>
      <c r="G37" s="45">
        <f>'LDPE-A2'!G37*0.98</f>
        <v>577.22</v>
      </c>
      <c r="H37" s="40">
        <f>'LDPE-A2'!H37*0.98</f>
        <v>564.48</v>
      </c>
      <c r="I37" s="40">
        <f>'LDPE-A2'!I37*0.98</f>
        <v>597.79999999999995</v>
      </c>
      <c r="J37" s="40">
        <f>'LDPE-A2'!J37*0.98</f>
        <v>659.54</v>
      </c>
      <c r="K37" s="42">
        <f>'LDPE-A2'!K37*0.98</f>
        <v>673.26</v>
      </c>
      <c r="L37" s="41">
        <f>'LDPE-A2'!L37*0.98</f>
        <v>676.19999999999993</v>
      </c>
      <c r="M37" s="40">
        <f>'LDPE-A2'!M37*0.98</f>
        <v>676.19999999999993</v>
      </c>
      <c r="N37" s="40">
        <f>'LDPE-A2'!N37*0.98</f>
        <v>676.19999999999993</v>
      </c>
      <c r="O37" s="40">
        <f>'LDPE-A2'!O37*0.98</f>
        <v>686</v>
      </c>
      <c r="P37" s="40">
        <f>'LDPE-A2'!P37*0.98</f>
        <v>686</v>
      </c>
      <c r="Q37" s="44">
        <f>'LDPE-A2'!Q37*0.98</f>
        <v>686</v>
      </c>
      <c r="R37" s="299">
        <f t="shared" si="0"/>
        <v>-0.1</v>
      </c>
      <c r="S37" s="300">
        <f t="shared" si="1"/>
        <v>0.3</v>
      </c>
    </row>
    <row r="38" spans="1:19" ht="15" customHeight="1">
      <c r="A38" s="16"/>
      <c r="B38" s="605" t="s">
        <v>435</v>
      </c>
      <c r="C38" s="606"/>
      <c r="D38" s="140">
        <f>'LDPE-A2'!D38*0.98</f>
        <v>735</v>
      </c>
      <c r="E38" s="45">
        <f>'LDPE-A2'!E38*0.98</f>
        <v>736.96</v>
      </c>
      <c r="F38" s="45">
        <f>'LDPE-A2'!F38*0.98</f>
        <v>981.96</v>
      </c>
      <c r="G38" s="45">
        <f>'LDPE-A2'!G38*0.98</f>
        <v>1633.905</v>
      </c>
      <c r="H38" s="45">
        <f>'LDPE-A2'!H38*0.98</f>
        <v>1997.6319999999998</v>
      </c>
      <c r="I38" s="31">
        <f>'LDPE-A2'!I38*0.98</f>
        <v>1916.2356164383561</v>
      </c>
      <c r="J38" s="31">
        <f>'LDPE-A2'!J38*0.98</f>
        <v>1976.6599999999999</v>
      </c>
      <c r="K38" s="34">
        <f>'LDPE-A2'!K38*0.98</f>
        <v>1854.1599999999999</v>
      </c>
      <c r="L38" s="32">
        <f>'LDPE-A2'!L38*0.98</f>
        <v>2102.1</v>
      </c>
      <c r="M38" s="31">
        <f>'LDPE-A2'!M38*0.98</f>
        <v>2189.3200000000002</v>
      </c>
      <c r="N38" s="31">
        <f>'LDPE-A2'!N38*0.98</f>
        <v>2215.7799999999997</v>
      </c>
      <c r="O38" s="31">
        <f>'LDPE-A2'!O38*0.98</f>
        <v>2215.7799999999997</v>
      </c>
      <c r="P38" s="31">
        <f>'LDPE-A2'!P38*0.98</f>
        <v>2100.14</v>
      </c>
      <c r="Q38" s="35">
        <f>'LDPE-A2'!Q38*0.98</f>
        <v>2146.1999999999998</v>
      </c>
      <c r="R38" s="301">
        <f t="shared" si="0"/>
        <v>14.1</v>
      </c>
      <c r="S38" s="300">
        <f t="shared" si="1"/>
        <v>0.4</v>
      </c>
    </row>
    <row r="39" spans="1:19" ht="15" customHeight="1">
      <c r="A39" s="16"/>
      <c r="B39" s="605" t="s">
        <v>436</v>
      </c>
      <c r="C39" s="606"/>
      <c r="D39" s="140">
        <f>'LDPE-A2'!D39*0.98</f>
        <v>5724.18</v>
      </c>
      <c r="E39" s="45">
        <f>'LDPE-A2'!E39*0.98</f>
        <v>5899.5999999999995</v>
      </c>
      <c r="F39" s="45">
        <f>'LDPE-A2'!F39*0.98</f>
        <v>5573.26</v>
      </c>
      <c r="G39" s="45">
        <f>'LDPE-A2'!G39*0.98</f>
        <v>6856.08</v>
      </c>
      <c r="H39" s="45">
        <f>'LDPE-A2'!H39*0.98</f>
        <v>7462.7</v>
      </c>
      <c r="I39" s="40">
        <f>'LDPE-A2'!I39*0.98</f>
        <v>8133.0199999999995</v>
      </c>
      <c r="J39" s="40">
        <f>'LDPE-A2'!J39*0.98</f>
        <v>9386.44</v>
      </c>
      <c r="K39" s="42">
        <f>'LDPE-A2'!K39*0.98</f>
        <v>9862.7199999999993</v>
      </c>
      <c r="L39" s="41">
        <f>'LDPE-A2'!L39*0.98</f>
        <v>10234.14</v>
      </c>
      <c r="M39" s="40">
        <f>'LDPE-A2'!M39*0.98</f>
        <v>10636.92</v>
      </c>
      <c r="N39" s="40">
        <f>'LDPE-A2'!N39*0.98</f>
        <v>11316.06</v>
      </c>
      <c r="O39" s="40">
        <f>'LDPE-A2'!O39*0.98</f>
        <v>11800.18</v>
      </c>
      <c r="P39" s="40">
        <f>'LDPE-A2'!P39*0.98</f>
        <v>12275.48</v>
      </c>
      <c r="Q39" s="44">
        <f>'LDPE-A2'!Q39*0.98</f>
        <v>12743.92</v>
      </c>
      <c r="R39" s="299">
        <f t="shared" si="0"/>
        <v>8.1</v>
      </c>
      <c r="S39" s="300">
        <f t="shared" si="1"/>
        <v>4.5</v>
      </c>
    </row>
    <row r="40" spans="1:19" ht="15" customHeight="1">
      <c r="A40" s="16"/>
      <c r="B40" s="605" t="s">
        <v>437</v>
      </c>
      <c r="C40" s="606"/>
      <c r="D40" s="140">
        <f>'LDPE-A2'!D40*0.98</f>
        <v>992.74</v>
      </c>
      <c r="E40" s="45">
        <f>'LDPE-A2'!E40*0.98</f>
        <v>1463.1399999999999</v>
      </c>
      <c r="F40" s="45">
        <f>'LDPE-A2'!F40*0.98</f>
        <v>1436.68</v>
      </c>
      <c r="G40" s="45">
        <f>'LDPE-A2'!G40*0.98</f>
        <v>1347.5</v>
      </c>
      <c r="H40" s="45">
        <f>'LDPE-A2'!H40*0.98</f>
        <v>1475.8799999999999</v>
      </c>
      <c r="I40" s="45">
        <f>'LDPE-A2'!I40*0.98</f>
        <v>1470</v>
      </c>
      <c r="J40" s="45">
        <f>'LDPE-A2'!J40*0.98</f>
        <v>1470</v>
      </c>
      <c r="K40" s="50">
        <f>'LDPE-A2'!K40*0.98</f>
        <v>1470</v>
      </c>
      <c r="L40" s="49">
        <f>'LDPE-A2'!L40*0.98</f>
        <v>1764</v>
      </c>
      <c r="M40" s="45">
        <f>'LDPE-A2'!M40*0.98</f>
        <v>1764</v>
      </c>
      <c r="N40" s="45">
        <f>'LDPE-A2'!N40*0.98</f>
        <v>1764</v>
      </c>
      <c r="O40" s="45">
        <f>'LDPE-A2'!O40*0.98</f>
        <v>1764</v>
      </c>
      <c r="P40" s="45">
        <f>'LDPE-A2'!P40*0.98</f>
        <v>1764</v>
      </c>
      <c r="Q40" s="51">
        <f>'LDPE-A2'!Q40*0.98</f>
        <v>1764</v>
      </c>
      <c r="R40" s="302">
        <f t="shared" si="0"/>
        <v>5.8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40">
        <f>'LDPE-A2'!D41*0.98</f>
        <v>460.59999999999997</v>
      </c>
      <c r="E41" s="45">
        <f>'LDPE-A2'!E41*0.98</f>
        <v>460.59999999999997</v>
      </c>
      <c r="F41" s="45">
        <f>'LDPE-A2'!F41*0.98</f>
        <v>460.59999999999997</v>
      </c>
      <c r="G41" s="45">
        <f>'LDPE-A2'!G41*0.98</f>
        <v>460.59999999999997</v>
      </c>
      <c r="H41" s="45">
        <f>'LDPE-A2'!H41*0.98</f>
        <v>460.59999999999997</v>
      </c>
      <c r="I41" s="45">
        <f>'LDPE-A2'!I41*0.98</f>
        <v>460.59999999999997</v>
      </c>
      <c r="J41" s="45">
        <f>'LDPE-A2'!J41*0.98</f>
        <v>460.59999999999997</v>
      </c>
      <c r="K41" s="50">
        <f>'LDPE-A2'!K41*0.98</f>
        <v>460.59999999999997</v>
      </c>
      <c r="L41" s="49">
        <f>'LDPE-A2'!L41*0.98</f>
        <v>490</v>
      </c>
      <c r="M41" s="45">
        <f>'LDPE-A2'!M41*0.98</f>
        <v>490</v>
      </c>
      <c r="N41" s="45">
        <f>'LDPE-A2'!N41*0.98</f>
        <v>490</v>
      </c>
      <c r="O41" s="45">
        <f>'LDPE-A2'!O41*0.98</f>
        <v>1176</v>
      </c>
      <c r="P41" s="45">
        <f>'LDPE-A2'!P41*0.98</f>
        <v>1176</v>
      </c>
      <c r="Q41" s="51">
        <f>'LDPE-A2'!Q41*0.98</f>
        <v>1176</v>
      </c>
      <c r="R41" s="302">
        <f t="shared" si="0"/>
        <v>0</v>
      </c>
      <c r="S41" s="300">
        <f t="shared" si="1"/>
        <v>19.100000000000001</v>
      </c>
    </row>
    <row r="42" spans="1:19" ht="15" customHeight="1">
      <c r="A42" s="16"/>
      <c r="B42" s="605" t="s">
        <v>439</v>
      </c>
      <c r="C42" s="606"/>
      <c r="D42" s="140">
        <f>'LDPE-A2'!D42*0.98</f>
        <v>1218.1399999999999</v>
      </c>
      <c r="E42" s="45">
        <f>'LDPE-A2'!E42*0.98</f>
        <v>1420.02</v>
      </c>
      <c r="F42" s="45">
        <f>'LDPE-A2'!F42*0.98</f>
        <v>887.88</v>
      </c>
      <c r="G42" s="45">
        <f>'LDPE-A2'!G42*0.98</f>
        <v>979.02</v>
      </c>
      <c r="H42" s="45">
        <f>'LDPE-A2'!H42*0.98</f>
        <v>1012.34</v>
      </c>
      <c r="I42" s="45">
        <f>'LDPE-A2'!I42*0.98</f>
        <v>1234.8</v>
      </c>
      <c r="J42" s="40">
        <f>'LDPE-A2'!J42*0.98</f>
        <v>1225</v>
      </c>
      <c r="K42" s="42">
        <f>'LDPE-A2'!K42*0.98</f>
        <v>1372</v>
      </c>
      <c r="L42" s="41">
        <f>'LDPE-A2'!L42*0.98</f>
        <v>1470</v>
      </c>
      <c r="M42" s="40">
        <f>'LDPE-A2'!M42*0.98</f>
        <v>1568</v>
      </c>
      <c r="N42" s="40">
        <f>'LDPE-A2'!N42*0.98</f>
        <v>1666</v>
      </c>
      <c r="O42" s="40">
        <f>'LDPE-A2'!O42*0.98</f>
        <v>1960</v>
      </c>
      <c r="P42" s="40">
        <f>'LDPE-A2'!P42*0.98</f>
        <v>1960</v>
      </c>
      <c r="Q42" s="44">
        <f>'LDPE-A2'!Q42*0.98</f>
        <v>1960</v>
      </c>
      <c r="R42" s="299">
        <f t="shared" si="0"/>
        <v>1.7</v>
      </c>
      <c r="S42" s="300">
        <f t="shared" si="1"/>
        <v>5.9</v>
      </c>
    </row>
    <row r="43" spans="1:19" ht="15" hidden="1" customHeight="1">
      <c r="A43" s="16"/>
      <c r="B43" s="16"/>
      <c r="C43" s="90" t="s">
        <v>306</v>
      </c>
      <c r="D43" s="140">
        <f>'LDPE-A2'!D43*0.98</f>
        <v>0</v>
      </c>
      <c r="E43" s="45">
        <f>'LDPE-A2'!E43*0.98</f>
        <v>0</v>
      </c>
      <c r="F43" s="45">
        <f>'LDPE-A2'!F43*0.98</f>
        <v>0</v>
      </c>
      <c r="G43" s="45">
        <f>'LDPE-A2'!G43*0.98</f>
        <v>0</v>
      </c>
      <c r="H43" s="45">
        <f>'LDPE-A2'!H43*0.98</f>
        <v>0</v>
      </c>
      <c r="I43" s="45">
        <f>'LDPE-A2'!I43*0.98</f>
        <v>0</v>
      </c>
      <c r="J43" s="45">
        <f>'LDPE-A2'!J43*0.98</f>
        <v>0</v>
      </c>
      <c r="K43" s="50">
        <f>'LDPE-A2'!K43*0.98</f>
        <v>0</v>
      </c>
      <c r="L43" s="49">
        <f>'LDPE-A2'!L43*0.98</f>
        <v>0</v>
      </c>
      <c r="M43" s="45">
        <f>'LDPE-A2'!M43*0.98</f>
        <v>0</v>
      </c>
      <c r="N43" s="45">
        <f>'LDPE-A2'!N43*0.98</f>
        <v>0</v>
      </c>
      <c r="O43" s="45">
        <f>'LDPE-A2'!O43*0.98</f>
        <v>0</v>
      </c>
      <c r="P43" s="45">
        <f>'LDPE-A2'!P43*0.98</f>
        <v>0</v>
      </c>
      <c r="Q43" s="51">
        <f>'LDPE-A2'!Q43*0.98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40">
        <f>'LDPE-A2'!D44*0.98</f>
        <v>88.2</v>
      </c>
      <c r="E44" s="45">
        <f>'LDPE-A2'!E44*0.98</f>
        <v>71.539999999999992</v>
      </c>
      <c r="F44" s="45">
        <f>'LDPE-A2'!F44*0.98</f>
        <v>65.66</v>
      </c>
      <c r="G44" s="45">
        <f>'LDPE-A2'!G44*0.98</f>
        <v>24.5</v>
      </c>
      <c r="H44" s="45">
        <f>'LDPE-A2'!H44*0.98</f>
        <v>18.62</v>
      </c>
      <c r="I44" s="45">
        <f>'LDPE-A2'!I44*0.98</f>
        <v>90.091400000000007</v>
      </c>
      <c r="J44" s="45">
        <f>'LDPE-A2'!J44*0.98</f>
        <v>117.6</v>
      </c>
      <c r="K44" s="50">
        <f>'LDPE-A2'!K44*0.98</f>
        <v>137.19999999999999</v>
      </c>
      <c r="L44" s="49">
        <f>'LDPE-A2'!L44*0.98</f>
        <v>156.80000000000001</v>
      </c>
      <c r="M44" s="45">
        <f>'LDPE-A2'!M44*0.98</f>
        <v>176.4</v>
      </c>
      <c r="N44" s="45">
        <f>'LDPE-A2'!N44*0.98</f>
        <v>196</v>
      </c>
      <c r="O44" s="45">
        <f>'LDPE-A2'!O44*0.98</f>
        <v>215.6</v>
      </c>
      <c r="P44" s="45">
        <f>'LDPE-A2'!P44*0.98</f>
        <v>235.2</v>
      </c>
      <c r="Q44" s="51">
        <f>'LDPE-A2'!Q44*0.98</f>
        <v>254.79999999999998</v>
      </c>
      <c r="R44" s="302">
        <f t="shared" si="0"/>
        <v>6.5</v>
      </c>
      <c r="S44" s="300">
        <f t="shared" si="1"/>
        <v>10.199999999999999</v>
      </c>
    </row>
    <row r="45" spans="1:19" ht="15" customHeight="1">
      <c r="A45" s="16"/>
      <c r="B45" s="605" t="s">
        <v>441</v>
      </c>
      <c r="C45" s="606"/>
      <c r="D45" s="140">
        <f>'LDPE-A2'!D45*0.98</f>
        <v>541.93999999999994</v>
      </c>
      <c r="E45" s="45">
        <f>'LDPE-A2'!E45*0.98</f>
        <v>541.93999999999994</v>
      </c>
      <c r="F45" s="45">
        <f>'LDPE-A2'!F45*0.98</f>
        <v>540.96</v>
      </c>
      <c r="G45" s="45">
        <f>'LDPE-A2'!G45*0.98</f>
        <v>504.7</v>
      </c>
      <c r="H45" s="45">
        <f>'LDPE-A2'!H45*0.98</f>
        <v>450.07088000000005</v>
      </c>
      <c r="I45" s="45">
        <f>'LDPE-A2'!I45*0.98</f>
        <v>501.89327999999995</v>
      </c>
      <c r="J45" s="45">
        <f>'LDPE-A2'!J45*0.98</f>
        <v>454.83858000000004</v>
      </c>
      <c r="K45" s="50">
        <f>'LDPE-A2'!K45*0.98</f>
        <v>481.13981999999999</v>
      </c>
      <c r="L45" s="49">
        <f>'LDPE-A2'!L45*0.98</f>
        <v>481.13981999999999</v>
      </c>
      <c r="M45" s="45">
        <f>'LDPE-A2'!M45*0.98</f>
        <v>481.13981999999999</v>
      </c>
      <c r="N45" s="45">
        <f>'LDPE-A2'!N45*0.98</f>
        <v>652.6398200000001</v>
      </c>
      <c r="O45" s="45">
        <f>'LDPE-A2'!O45*0.98</f>
        <v>824.1398200000001</v>
      </c>
      <c r="P45" s="45">
        <f>'LDPE-A2'!P45*0.98</f>
        <v>824.1398200000001</v>
      </c>
      <c r="Q45" s="51">
        <f>'LDPE-A2'!Q45*0.98</f>
        <v>824.1398200000001</v>
      </c>
      <c r="R45" s="302">
        <f t="shared" si="0"/>
        <v>-1.7</v>
      </c>
      <c r="S45" s="300">
        <f t="shared" si="1"/>
        <v>11.4</v>
      </c>
    </row>
    <row r="46" spans="1:19" ht="15" customHeight="1">
      <c r="A46" s="16"/>
      <c r="B46" s="605" t="s">
        <v>442</v>
      </c>
      <c r="C46" s="606"/>
      <c r="D46" s="140">
        <f>'LDPE-A2'!D46*0.98</f>
        <v>0</v>
      </c>
      <c r="E46" s="45">
        <f>'LDPE-A2'!E46*0.98</f>
        <v>0</v>
      </c>
      <c r="F46" s="45">
        <f>'LDPE-A2'!F46*0.98</f>
        <v>0</v>
      </c>
      <c r="G46" s="45">
        <f>'LDPE-A2'!G46*0.98</f>
        <v>0</v>
      </c>
      <c r="H46" s="45">
        <f>'LDPE-A2'!H46*0.98</f>
        <v>0</v>
      </c>
      <c r="I46" s="45">
        <f>'LDPE-A2'!I46*0.98</f>
        <v>0</v>
      </c>
      <c r="J46" s="45">
        <f>'LDPE-A2'!J46*0.98</f>
        <v>0</v>
      </c>
      <c r="K46" s="50">
        <f>'LDPE-A2'!K46*0.98</f>
        <v>0</v>
      </c>
      <c r="L46" s="49">
        <f>'LDPE-A2'!L46*0.98</f>
        <v>0</v>
      </c>
      <c r="M46" s="45">
        <f>'LDPE-A2'!M46*0.98</f>
        <v>0</v>
      </c>
      <c r="N46" s="45">
        <f>'LDPE-A2'!N46*0.98</f>
        <v>0</v>
      </c>
      <c r="O46" s="45">
        <f>'LDPE-A2'!O46*0.98</f>
        <v>0</v>
      </c>
      <c r="P46" s="45">
        <f>'LDPE-A2'!P46*0.98</f>
        <v>0</v>
      </c>
      <c r="Q46" s="51">
        <f>'LDPE-A2'!Q46*0.98</f>
        <v>490</v>
      </c>
      <c r="R46" s="302" t="str">
        <f t="shared" si="0"/>
        <v xml:space="preserve">     -</v>
      </c>
      <c r="S46" s="300" t="str">
        <f t="shared" si="1"/>
        <v xml:space="preserve">     -</v>
      </c>
    </row>
    <row r="47" spans="1:19" ht="15" customHeight="1">
      <c r="A47" s="16"/>
      <c r="B47" s="607" t="s">
        <v>443</v>
      </c>
      <c r="C47" s="608"/>
      <c r="D47" s="138">
        <f>'LDPE-A2'!D47*0.98</f>
        <v>1857.296</v>
      </c>
      <c r="E47" s="40">
        <f>'LDPE-A2'!E47*0.98</f>
        <v>1803.2</v>
      </c>
      <c r="F47" s="40">
        <f>'LDPE-A2'!F47*0.98</f>
        <v>1613.7660000000001</v>
      </c>
      <c r="G47" s="40">
        <f>'LDPE-A2'!G47*0.98</f>
        <v>1652.5739999999998</v>
      </c>
      <c r="H47" s="40">
        <f>'LDPE-A2'!H47*0.98</f>
        <v>1757.0420000000001</v>
      </c>
      <c r="I47" s="40">
        <f>'LDPE-A2'!I47*0.98</f>
        <v>1642.088</v>
      </c>
      <c r="J47" s="40">
        <f>'LDPE-A2'!J47*0.98</f>
        <v>1685.502</v>
      </c>
      <c r="K47" s="42">
        <f>'LDPE-A2'!K47*0.98</f>
        <v>1713.04</v>
      </c>
      <c r="L47" s="41">
        <f>'LDPE-A2'!L47*0.98</f>
        <v>1554.9660000000001</v>
      </c>
      <c r="M47" s="40">
        <f>'LDPE-A2'!M47*0.98</f>
        <v>1510.866</v>
      </c>
      <c r="N47" s="40">
        <f>'LDPE-A2'!N47*0.98</f>
        <v>1497.0479999999998</v>
      </c>
      <c r="O47" s="40">
        <f>'LDPE-A2'!O47*0.98</f>
        <v>1490.972</v>
      </c>
      <c r="P47" s="40">
        <f>'LDPE-A2'!P47*0.98</f>
        <v>1485.386</v>
      </c>
      <c r="Q47" s="44">
        <f>'LDPE-A2'!Q47*0.98</f>
        <v>1479.604</v>
      </c>
      <c r="R47" s="299">
        <f t="shared" si="0"/>
        <v>-1.1000000000000001</v>
      </c>
      <c r="S47" s="300">
        <f t="shared" si="1"/>
        <v>-1</v>
      </c>
    </row>
    <row r="48" spans="1:19" ht="15.75" customHeight="1">
      <c r="A48" s="16"/>
      <c r="B48" s="674" t="s">
        <v>307</v>
      </c>
      <c r="C48" s="675"/>
      <c r="D48" s="95">
        <f>'LDPE-A2'!D48*0.98</f>
        <v>14330.736000000001</v>
      </c>
      <c r="E48" s="93">
        <f>'LDPE-A2'!E48*0.98</f>
        <v>15009.68</v>
      </c>
      <c r="F48" s="93">
        <f>'LDPE-A2'!F48*0.98</f>
        <v>14076.426000000001</v>
      </c>
      <c r="G48" s="93">
        <f>'LDPE-A2'!G48*0.98</f>
        <v>16170.538999999999</v>
      </c>
      <c r="H48" s="93">
        <f>'LDPE-A2'!H48*0.98</f>
        <v>17741.48488</v>
      </c>
      <c r="I48" s="93">
        <f>'LDPE-A2'!I48*0.98</f>
        <v>18661.168296438354</v>
      </c>
      <c r="J48" s="93">
        <f>'LDPE-A2'!J48*0.98</f>
        <v>20085.120579999999</v>
      </c>
      <c r="K48" s="96">
        <f>'LDPE-A2'!K48*0.98</f>
        <v>20918.059819999999</v>
      </c>
      <c r="L48" s="94">
        <f>'LDPE-A2'!L48*0.98</f>
        <v>21820.345819999999</v>
      </c>
      <c r="M48" s="93">
        <f>'LDPE-A2'!M48*0.98</f>
        <v>22383.845819999999</v>
      </c>
      <c r="N48" s="93">
        <f>'LDPE-A2'!N48*0.98</f>
        <v>23364.727819999996</v>
      </c>
      <c r="O48" s="93">
        <f>'LDPE-A2'!O48*0.98</f>
        <v>25758.67182</v>
      </c>
      <c r="P48" s="93">
        <f>'LDPE-A2'!P48*0.98</f>
        <v>26132.345819999999</v>
      </c>
      <c r="Q48" s="227">
        <f>'LDPE-A2'!Q48*0.98</f>
        <v>27444.663819999998</v>
      </c>
      <c r="R48" s="303">
        <f t="shared" si="0"/>
        <v>5.6</v>
      </c>
      <c r="S48" s="304">
        <f t="shared" si="1"/>
        <v>4.7</v>
      </c>
    </row>
    <row r="49" spans="1:19" ht="15.75" customHeight="1">
      <c r="A49" s="16"/>
      <c r="B49" s="672" t="s">
        <v>308</v>
      </c>
      <c r="C49" s="673"/>
      <c r="D49" s="139">
        <f>'LDPE-A2'!D49*0.98</f>
        <v>163.66</v>
      </c>
      <c r="E49" s="98">
        <f>'LDPE-A2'!E49*0.98</f>
        <v>167.57999999999998</v>
      </c>
      <c r="F49" s="98">
        <f>'LDPE-A2'!F49*0.98</f>
        <v>166.6</v>
      </c>
      <c r="G49" s="98">
        <f>'LDPE-A2'!G49*0.98</f>
        <v>166.6</v>
      </c>
      <c r="H49" s="98">
        <f>'LDPE-A2'!H49*0.98</f>
        <v>166.6</v>
      </c>
      <c r="I49" s="98">
        <f>'LDPE-A2'!I49*0.98</f>
        <v>166.6</v>
      </c>
      <c r="J49" s="98">
        <f>'LDPE-A2'!J49*0.98</f>
        <v>166.6</v>
      </c>
      <c r="K49" s="228">
        <f>'LDPE-A2'!K49*0.98</f>
        <v>166.6</v>
      </c>
      <c r="L49" s="99">
        <f>'LDPE-A2'!L49*0.98</f>
        <v>166.6</v>
      </c>
      <c r="M49" s="98">
        <f>'LDPE-A2'!M49*0.98</f>
        <v>166.6</v>
      </c>
      <c r="N49" s="98">
        <f>'LDPE-A2'!N49*0.98</f>
        <v>166.6</v>
      </c>
      <c r="O49" s="98">
        <f>'LDPE-A2'!O49*0.98</f>
        <v>166.6</v>
      </c>
      <c r="P49" s="98">
        <f>'LDPE-A2'!P49*0.98</f>
        <v>166.6</v>
      </c>
      <c r="Q49" s="229">
        <f>'LDPE-A2'!Q49*0.98</f>
        <v>166.6</v>
      </c>
      <c r="R49" s="305">
        <f t="shared" si="0"/>
        <v>0.3</v>
      </c>
      <c r="S49" s="304">
        <f t="shared" si="1"/>
        <v>0</v>
      </c>
    </row>
    <row r="50" spans="1:19" ht="15" customHeight="1">
      <c r="A50" s="16"/>
      <c r="B50" s="105"/>
      <c r="C50" s="97" t="s">
        <v>309</v>
      </c>
      <c r="D50" s="139">
        <f>'LDPE-A2'!D50*0.98</f>
        <v>163.66</v>
      </c>
      <c r="E50" s="98">
        <f>'LDPE-A2'!E50*0.98</f>
        <v>167.57999999999998</v>
      </c>
      <c r="F50" s="98">
        <f>'LDPE-A2'!F50*0.98</f>
        <v>166.6</v>
      </c>
      <c r="G50" s="98">
        <f>'LDPE-A2'!G50*0.98</f>
        <v>166.6</v>
      </c>
      <c r="H50" s="98">
        <f>'LDPE-A2'!H50*0.98</f>
        <v>166.6</v>
      </c>
      <c r="I50" s="98">
        <f>'LDPE-A2'!I50*0.98</f>
        <v>166.6</v>
      </c>
      <c r="J50" s="98">
        <f>'LDPE-A2'!J50*0.98</f>
        <v>166.6</v>
      </c>
      <c r="K50" s="228">
        <f>'LDPE-A2'!K50*0.98</f>
        <v>166.6</v>
      </c>
      <c r="L50" s="99">
        <f>'LDPE-A2'!L50*0.98</f>
        <v>166.6</v>
      </c>
      <c r="M50" s="98">
        <f>'LDPE-A2'!M50*0.98</f>
        <v>166.6</v>
      </c>
      <c r="N50" s="98">
        <f>'LDPE-A2'!N50*0.98</f>
        <v>166.6</v>
      </c>
      <c r="O50" s="98">
        <f>'LDPE-A2'!O50*0.98</f>
        <v>166.6</v>
      </c>
      <c r="P50" s="98">
        <f>'LDPE-A2'!P50*0.98</f>
        <v>166.6</v>
      </c>
      <c r="Q50" s="229">
        <f>'LDPE-A2'!Q50*0.98</f>
        <v>166.6</v>
      </c>
      <c r="R50" s="305">
        <f t="shared" si="0"/>
        <v>0.3</v>
      </c>
      <c r="S50" s="304">
        <f t="shared" si="1"/>
        <v>0</v>
      </c>
    </row>
    <row r="51" spans="1:19" ht="15.75" customHeight="1">
      <c r="A51" s="16"/>
      <c r="B51" s="672" t="s">
        <v>310</v>
      </c>
      <c r="C51" s="673"/>
      <c r="D51" s="140">
        <f>'LDPE-A2'!D51*0.98</f>
        <v>7799.82</v>
      </c>
      <c r="E51" s="45">
        <f>'LDPE-A2'!E51*0.98</f>
        <v>7126.5599999999995</v>
      </c>
      <c r="F51" s="45">
        <f>'LDPE-A2'!F51*0.98</f>
        <v>6748.28</v>
      </c>
      <c r="G51" s="45">
        <f>'LDPE-A2'!G51*0.98</f>
        <v>6967.8</v>
      </c>
      <c r="H51" s="40">
        <f>'LDPE-A2'!H51*0.98</f>
        <v>7306.88</v>
      </c>
      <c r="I51" s="40">
        <f>'LDPE-A2'!I51*0.98</f>
        <v>7463.7780000000002</v>
      </c>
      <c r="J51" s="40">
        <f>'LDPE-A2'!J51*0.98</f>
        <v>7586.2467575999999</v>
      </c>
      <c r="K51" s="42">
        <f>'LDPE-A2'!K51*0.98</f>
        <v>7378.5196405199995</v>
      </c>
      <c r="L51" s="41">
        <f>'LDPE-A2'!L51*0.98</f>
        <v>7283.7844340800002</v>
      </c>
      <c r="M51" s="40">
        <f>'LDPE-A2'!M51*0.98</f>
        <v>7425.2673349400011</v>
      </c>
      <c r="N51" s="40">
        <f>'LDPE-A2'!N51*0.98</f>
        <v>7446.4660334399996</v>
      </c>
      <c r="O51" s="40">
        <f>'LDPE-A2'!O51*0.98</f>
        <v>7514.1701213599999</v>
      </c>
      <c r="P51" s="40">
        <f>'LDPE-A2'!P51*0.98</f>
        <v>7703.1504675999995</v>
      </c>
      <c r="Q51" s="44">
        <f>'LDPE-A2'!Q51*0.98</f>
        <v>7908.3056746399989</v>
      </c>
      <c r="R51" s="299">
        <f t="shared" si="0"/>
        <v>-0.8</v>
      </c>
      <c r="S51" s="300">
        <f t="shared" si="1"/>
        <v>1.7</v>
      </c>
    </row>
    <row r="52" spans="1:19" ht="15" customHeight="1">
      <c r="A52" s="16"/>
      <c r="B52" s="105"/>
      <c r="C52" s="615" t="s">
        <v>311</v>
      </c>
      <c r="D52" s="139">
        <f>'LDPE-A2'!D52*0.98</f>
        <v>7276.5</v>
      </c>
      <c r="E52" s="98">
        <f>'LDPE-A2'!E52*0.98</f>
        <v>6583.64</v>
      </c>
      <c r="F52" s="98">
        <f>'LDPE-A2'!F52*0.98</f>
        <v>6399.4</v>
      </c>
      <c r="G52" s="98">
        <f>'LDPE-A2'!G52*0.98</f>
        <v>6597.36</v>
      </c>
      <c r="H52" s="93">
        <f>'LDPE-A2'!H52*0.98</f>
        <v>6935.46</v>
      </c>
      <c r="I52" s="93">
        <f>'LDPE-A2'!I52*0.98</f>
        <v>7071.2781999999997</v>
      </c>
      <c r="J52" s="93">
        <f>'LDPE-A2'!J52*0.98</f>
        <v>7192.22</v>
      </c>
      <c r="K52" s="96">
        <f>'LDPE-A2'!K52*0.98</f>
        <v>6976.7616766399997</v>
      </c>
      <c r="L52" s="94">
        <f>'LDPE-A2'!L52*0.98</f>
        <v>6882.2634224399999</v>
      </c>
      <c r="M52" s="93">
        <f>'LDPE-A2'!M52*0.98</f>
        <v>7016.7896776600001</v>
      </c>
      <c r="N52" s="93">
        <f>'LDPE-A2'!N52*0.98</f>
        <v>7038.7476135200004</v>
      </c>
      <c r="O52" s="93">
        <f>'LDPE-A2'!O52*0.98</f>
        <v>7105.6924523199996</v>
      </c>
      <c r="P52" s="93">
        <f>'LDPE-A2'!P52*0.98</f>
        <v>7290.9785523399996</v>
      </c>
      <c r="Q52" s="227">
        <f>'LDPE-A2'!Q52*0.98</f>
        <v>7495.1412810400006</v>
      </c>
      <c r="R52" s="303">
        <f t="shared" si="0"/>
        <v>-0.6</v>
      </c>
      <c r="S52" s="304">
        <f t="shared" si="1"/>
        <v>1.7</v>
      </c>
    </row>
    <row r="53" spans="1:19" ht="15.75" customHeight="1">
      <c r="A53" s="16"/>
      <c r="B53" s="672" t="s">
        <v>312</v>
      </c>
      <c r="C53" s="673"/>
      <c r="D53" s="140">
        <f>'LDPE-A2'!D53*0.98</f>
        <v>5040.1400000000003</v>
      </c>
      <c r="E53" s="45">
        <f>'LDPE-A2'!E53*0.98</f>
        <v>6438.5999999999995</v>
      </c>
      <c r="F53" s="45">
        <f>'LDPE-A2'!F53*0.98</f>
        <v>6910</v>
      </c>
      <c r="G53" s="45">
        <f>'LDPE-A2'!G53*0.98</f>
        <v>7312</v>
      </c>
      <c r="H53" s="45">
        <f>'LDPE-A2'!H53*0.98</f>
        <v>7960.54</v>
      </c>
      <c r="I53" s="45">
        <f>'LDPE-A2'!I53*0.98</f>
        <v>7933.0999999999995</v>
      </c>
      <c r="J53" s="45">
        <f>'LDPE-A2'!J53*0.98</f>
        <v>8537.76</v>
      </c>
      <c r="K53" s="50">
        <f>'LDPE-A2'!K53*0.98</f>
        <v>9252.18</v>
      </c>
      <c r="L53" s="49">
        <f>'LDPE-A2'!L53*0.98</f>
        <v>9814.7000000000007</v>
      </c>
      <c r="M53" s="45">
        <f>'LDPE-A2'!M53*0.98</f>
        <v>10077.34</v>
      </c>
      <c r="N53" s="45">
        <f>'LDPE-A2'!N53*0.98</f>
        <v>10374.280000000001</v>
      </c>
      <c r="O53" s="45">
        <f>'LDPE-A2'!O53*0.98</f>
        <v>10533.039999999999</v>
      </c>
      <c r="P53" s="45">
        <f>'LDPE-A2'!P53*0.98</f>
        <v>10872.119999999999</v>
      </c>
      <c r="Q53" s="51">
        <f>'LDPE-A2'!Q53*0.98</f>
        <v>10927</v>
      </c>
      <c r="R53" s="302">
        <f t="shared" si="0"/>
        <v>9.1</v>
      </c>
      <c r="S53" s="300">
        <f t="shared" si="1"/>
        <v>2.2000000000000002</v>
      </c>
    </row>
    <row r="54" spans="1:19" ht="15" customHeight="1">
      <c r="A54" s="16"/>
      <c r="B54" s="16"/>
      <c r="C54" s="615" t="s">
        <v>313</v>
      </c>
      <c r="D54" s="139">
        <f>'LDPE-A2'!D54*0.98</f>
        <v>3430</v>
      </c>
      <c r="E54" s="98">
        <f>'LDPE-A2'!E54*0.98</f>
        <v>3430</v>
      </c>
      <c r="F54" s="98">
        <f>'LDPE-A2'!F54*0.98</f>
        <v>3585</v>
      </c>
      <c r="G54" s="98">
        <f>'LDPE-A2'!G54*0.98</f>
        <v>3905</v>
      </c>
      <c r="H54" s="93">
        <f>'LDPE-A2'!H54*0.98</f>
        <v>4292.3999999999996</v>
      </c>
      <c r="I54" s="93">
        <f>'LDPE-A2'!I54*0.98</f>
        <v>3806.3199999999997</v>
      </c>
      <c r="J54" s="93">
        <f>'LDPE-A2'!J54*0.98</f>
        <v>4052.2999999999997</v>
      </c>
      <c r="K54" s="96">
        <f>'LDPE-A2'!K54*0.98</f>
        <v>4430.58</v>
      </c>
      <c r="L54" s="94">
        <f>'LDPE-A2'!L54*0.98</f>
        <v>4821.6000000000004</v>
      </c>
      <c r="M54" s="93">
        <f>'LDPE-A2'!M54*0.98</f>
        <v>5037.2</v>
      </c>
      <c r="N54" s="93">
        <f>'LDPE-A2'!N54*0.98</f>
        <v>5154.8</v>
      </c>
      <c r="O54" s="93">
        <f>'LDPE-A2'!O54*0.98</f>
        <v>5217.5199999999995</v>
      </c>
      <c r="P54" s="93">
        <f>'LDPE-A2'!P54*0.98</f>
        <v>5262.5999999999995</v>
      </c>
      <c r="Q54" s="227">
        <f>'LDPE-A2'!Q54*0.98</f>
        <v>5292</v>
      </c>
      <c r="R54" s="303">
        <f t="shared" si="0"/>
        <v>3.7</v>
      </c>
      <c r="S54" s="304">
        <f t="shared" si="1"/>
        <v>1.9</v>
      </c>
    </row>
    <row r="55" spans="1:19" ht="15.75" customHeight="1">
      <c r="A55" s="16"/>
      <c r="B55" s="674" t="s">
        <v>314</v>
      </c>
      <c r="C55" s="675"/>
      <c r="D55" s="139">
        <f>'LDPE-A2'!D55*0.98</f>
        <v>676.19999999999993</v>
      </c>
      <c r="E55" s="98">
        <f>'LDPE-A2'!E55*0.98</f>
        <v>490</v>
      </c>
      <c r="F55" s="98">
        <f>'LDPE-A2'!F55*0.98</f>
        <v>538</v>
      </c>
      <c r="G55" s="98">
        <f>'LDPE-A2'!G55*0.98</f>
        <v>476.57028913260217</v>
      </c>
      <c r="H55" s="93">
        <f>'LDPE-A2'!H55*0.98</f>
        <v>489.53140578265203</v>
      </c>
      <c r="I55" s="93">
        <f>'LDPE-A2'!I55*0.98</f>
        <v>499.8</v>
      </c>
      <c r="J55" s="93">
        <f>'LDPE-A2'!J55*0.98</f>
        <v>516.46</v>
      </c>
      <c r="K55" s="96">
        <f>'LDPE-A2'!K55*0.98</f>
        <v>686</v>
      </c>
      <c r="L55" s="94">
        <f>'LDPE-A2'!L55*0.98</f>
        <v>715.4</v>
      </c>
      <c r="M55" s="93">
        <f>'LDPE-A2'!M55*0.98</f>
        <v>725.19999999999993</v>
      </c>
      <c r="N55" s="93">
        <f>'LDPE-A2'!N55*0.98</f>
        <v>735</v>
      </c>
      <c r="O55" s="93">
        <f>'LDPE-A2'!O55*0.98</f>
        <v>744.8</v>
      </c>
      <c r="P55" s="93">
        <f>'LDPE-A2'!P55*0.98</f>
        <v>784</v>
      </c>
      <c r="Q55" s="227">
        <f>'LDPE-A2'!Q55*0.98</f>
        <v>823.19999999999993</v>
      </c>
      <c r="R55" s="303">
        <f t="shared" si="0"/>
        <v>0.2</v>
      </c>
      <c r="S55" s="304">
        <f t="shared" si="1"/>
        <v>2.8</v>
      </c>
    </row>
    <row r="56" spans="1:19" ht="15.75" customHeight="1">
      <c r="A56" s="16"/>
      <c r="B56" s="674" t="s">
        <v>315</v>
      </c>
      <c r="C56" s="675"/>
      <c r="D56" s="95">
        <f>'LDPE-A2'!D56*0.98</f>
        <v>822.22</v>
      </c>
      <c r="E56" s="93">
        <f>'LDPE-A2'!E56*0.98</f>
        <v>815.36</v>
      </c>
      <c r="F56" s="93">
        <f>'LDPE-A2'!F56*0.98</f>
        <v>848.28800000000001</v>
      </c>
      <c r="G56" s="93">
        <f>'LDPE-A2'!G56*0.98</f>
        <v>931</v>
      </c>
      <c r="H56" s="93">
        <f>'LDPE-A2'!H56*0.98</f>
        <v>894.74</v>
      </c>
      <c r="I56" s="93">
        <f>'LDPE-A2'!I56*0.98</f>
        <v>874.16</v>
      </c>
      <c r="J56" s="93">
        <f>'LDPE-A2'!J56*0.98</f>
        <v>937.76199999999994</v>
      </c>
      <c r="K56" s="96">
        <f>'LDPE-A2'!K56*0.98</f>
        <v>944.02420000000006</v>
      </c>
      <c r="L56" s="94">
        <f>'LDPE-A2'!L56*0.98</f>
        <v>959.12858720000008</v>
      </c>
      <c r="M56" s="93">
        <f>'LDPE-A2'!M56*0.98</f>
        <v>1078</v>
      </c>
      <c r="N56" s="93">
        <f>'LDPE-A2'!N56*0.98</f>
        <v>1176</v>
      </c>
      <c r="O56" s="93">
        <f>'LDPE-A2'!O56*0.98</f>
        <v>1274</v>
      </c>
      <c r="P56" s="93">
        <f>'LDPE-A2'!P56*0.98</f>
        <v>1372</v>
      </c>
      <c r="Q56" s="227">
        <f>'LDPE-A2'!Q56*0.98</f>
        <v>1579.76</v>
      </c>
      <c r="R56" s="303">
        <f t="shared" si="0"/>
        <v>2</v>
      </c>
      <c r="S56" s="304">
        <f t="shared" si="1"/>
        <v>10.5</v>
      </c>
    </row>
    <row r="57" spans="1:19" ht="15" customHeight="1">
      <c r="A57" s="16"/>
      <c r="B57" s="672" t="s">
        <v>316</v>
      </c>
      <c r="C57" s="673"/>
      <c r="D57" s="140">
        <f>'LDPE-A2'!D57*0.98</f>
        <v>6954.08</v>
      </c>
      <c r="E57" s="45">
        <f>'LDPE-A2'!E57*0.98</f>
        <v>6954.08</v>
      </c>
      <c r="F57" s="45">
        <f>'LDPE-A2'!F57*0.98</f>
        <v>7046.2</v>
      </c>
      <c r="G57" s="45">
        <f>'LDPE-A2'!G57*0.98</f>
        <v>7354.9980000000005</v>
      </c>
      <c r="H57" s="45">
        <f>'LDPE-A2'!H57*0.98</f>
        <v>7297.08</v>
      </c>
      <c r="I57" s="40">
        <f>'LDPE-A2'!I57*0.98</f>
        <v>7506.8</v>
      </c>
      <c r="J57" s="40">
        <f>'LDPE-A2'!J57*0.98</f>
        <v>7153.902</v>
      </c>
      <c r="K57" s="42">
        <f>'LDPE-A2'!K57*0.98</f>
        <v>7573.7340000000004</v>
      </c>
      <c r="L57" s="41">
        <f>'LDPE-A2'!L57*0.98</f>
        <v>9424.17</v>
      </c>
      <c r="M57" s="40">
        <f>'LDPE-A2'!M57*0.98</f>
        <v>10781.567999999999</v>
      </c>
      <c r="N57" s="40">
        <f>'LDPE-A2'!N57*0.98</f>
        <v>11308.121999999999</v>
      </c>
      <c r="O57" s="40">
        <f>'LDPE-A2'!O57*0.98</f>
        <v>11815.271999999999</v>
      </c>
      <c r="P57" s="40">
        <f>'LDPE-A2'!P57*0.98</f>
        <v>11841.732</v>
      </c>
      <c r="Q57" s="44">
        <f>'LDPE-A2'!Q57*0.98</f>
        <v>11529.699999999999</v>
      </c>
      <c r="R57" s="299">
        <f t="shared" si="0"/>
        <v>1.2</v>
      </c>
      <c r="S57" s="300">
        <f t="shared" si="1"/>
        <v>4.0999999999999996</v>
      </c>
    </row>
    <row r="58" spans="1:19" ht="15" customHeight="1">
      <c r="A58" s="16"/>
      <c r="B58" s="670" t="s">
        <v>317</v>
      </c>
      <c r="C58" s="671"/>
      <c r="D58" s="140">
        <f>'LDPE-A2'!D58*0.98</f>
        <v>2046.24</v>
      </c>
      <c r="E58" s="45">
        <f>'LDPE-A2'!E58*0.98</f>
        <v>1902.18</v>
      </c>
      <c r="F58" s="45">
        <f>'LDPE-A2'!F58*0.98</f>
        <v>2126.6</v>
      </c>
      <c r="G58" s="45">
        <f>'LDPE-A2'!G58*0.98</f>
        <v>1978.62</v>
      </c>
      <c r="H58" s="45">
        <f>'LDPE-A2'!H58*0.98</f>
        <v>1956.08</v>
      </c>
      <c r="I58" s="40">
        <f>'LDPE-A2'!I58*0.98</f>
        <v>2105.04</v>
      </c>
      <c r="J58" s="40">
        <f>'LDPE-A2'!J58*0.98</f>
        <v>2269.6799999999998</v>
      </c>
      <c r="K58" s="42">
        <f>'LDPE-A2'!K58*0.98</f>
        <v>2269.6799999999998</v>
      </c>
      <c r="L58" s="41">
        <f>'LDPE-A2'!L58*0.98</f>
        <v>2269.6799999999998</v>
      </c>
      <c r="M58" s="40">
        <f>'LDPE-A2'!M58*0.98</f>
        <v>2269.6799999999998</v>
      </c>
      <c r="N58" s="40">
        <f>'LDPE-A2'!N58*0.98</f>
        <v>2269.6799999999998</v>
      </c>
      <c r="O58" s="40">
        <f>'LDPE-A2'!O58*0.98</f>
        <v>2363.7599999999998</v>
      </c>
      <c r="P58" s="40">
        <f>'LDPE-A2'!P58*0.98</f>
        <v>2645.02</v>
      </c>
      <c r="Q58" s="44">
        <f>'LDPE-A2'!Q58*0.98</f>
        <v>2645.02</v>
      </c>
      <c r="R58" s="299">
        <f t="shared" si="0"/>
        <v>1.5</v>
      </c>
      <c r="S58" s="300">
        <f t="shared" si="1"/>
        <v>3.1</v>
      </c>
    </row>
    <row r="59" spans="1:19" ht="15.75" customHeight="1">
      <c r="A59" s="16"/>
      <c r="B59" s="674" t="s">
        <v>318</v>
      </c>
      <c r="C59" s="675"/>
      <c r="D59" s="95">
        <f>'LDPE-A2'!D59*0.98</f>
        <v>9000.32</v>
      </c>
      <c r="E59" s="93">
        <f>'LDPE-A2'!E59*0.98</f>
        <v>8856.26</v>
      </c>
      <c r="F59" s="93">
        <f>'LDPE-A2'!F59*0.98</f>
        <v>9172.7999999999993</v>
      </c>
      <c r="G59" s="93">
        <f>'LDPE-A2'!G59*0.98</f>
        <v>9333.6180000000004</v>
      </c>
      <c r="H59" s="93">
        <f>'LDPE-A2'!H59*0.98</f>
        <v>9253.16</v>
      </c>
      <c r="I59" s="93">
        <f>'LDPE-A2'!I59*0.98</f>
        <v>9611.84</v>
      </c>
      <c r="J59" s="93">
        <f>'LDPE-A2'!J59*0.98</f>
        <v>9423.5820000000022</v>
      </c>
      <c r="K59" s="96">
        <f>'LDPE-A2'!K59*0.98</f>
        <v>9843.4139999999989</v>
      </c>
      <c r="L59" s="94">
        <f>'LDPE-A2'!L59*0.98</f>
        <v>11693.85</v>
      </c>
      <c r="M59" s="93">
        <f>'LDPE-A2'!M59*0.98</f>
        <v>13051.248</v>
      </c>
      <c r="N59" s="93">
        <f>'LDPE-A2'!N59*0.98</f>
        <v>13577.802</v>
      </c>
      <c r="O59" s="93">
        <f>'LDPE-A2'!O59*0.98</f>
        <v>14179.031999999999</v>
      </c>
      <c r="P59" s="93">
        <f>'LDPE-A2'!P59*0.98</f>
        <v>14486.751999999999</v>
      </c>
      <c r="Q59" s="227">
        <f>'LDPE-A2'!Q59*0.98</f>
        <v>14174.72</v>
      </c>
      <c r="R59" s="303">
        <f t="shared" si="0"/>
        <v>1.3</v>
      </c>
      <c r="S59" s="304">
        <f t="shared" si="1"/>
        <v>3.9</v>
      </c>
    </row>
    <row r="60" spans="1:19" ht="15" customHeight="1">
      <c r="A60" s="16"/>
      <c r="B60" s="672" t="s">
        <v>319</v>
      </c>
      <c r="C60" s="673"/>
      <c r="D60" s="140">
        <f>'LDPE-A2'!D60*0.98</f>
        <v>460.59999999999997</v>
      </c>
      <c r="E60" s="45">
        <f>'LDPE-A2'!E60*0.98</f>
        <v>477.26</v>
      </c>
      <c r="F60" s="45">
        <f>'LDPE-A2'!F60*0.98</f>
        <v>460.59999999999997</v>
      </c>
      <c r="G60" s="45">
        <f>'LDPE-A2'!G60*0.98</f>
        <v>427.28</v>
      </c>
      <c r="H60" s="45">
        <f>'LDPE-A2'!H60*0.98</f>
        <v>423.36</v>
      </c>
      <c r="I60" s="40">
        <f>'LDPE-A2'!I60*0.98</f>
        <v>432.18</v>
      </c>
      <c r="J60" s="40">
        <f>'LDPE-A2'!J60*0.98</f>
        <v>580.16</v>
      </c>
      <c r="K60" s="42">
        <f>'LDPE-A2'!K60*0.98</f>
        <v>678.16</v>
      </c>
      <c r="L60" s="41">
        <f>'LDPE-A2'!L60*0.98</f>
        <v>678.16</v>
      </c>
      <c r="M60" s="40">
        <f>'LDPE-A2'!M60*0.98</f>
        <v>678.16</v>
      </c>
      <c r="N60" s="40">
        <f>'LDPE-A2'!N60*0.98</f>
        <v>678.16</v>
      </c>
      <c r="O60" s="40">
        <f>'LDPE-A2'!O60*0.98</f>
        <v>678.16</v>
      </c>
      <c r="P60" s="40">
        <f>'LDPE-A2'!P60*0.98</f>
        <v>678.16</v>
      </c>
      <c r="Q60" s="44">
        <f>'LDPE-A2'!Q60*0.98</f>
        <v>678.16</v>
      </c>
      <c r="R60" s="299">
        <f t="shared" si="0"/>
        <v>5.7</v>
      </c>
      <c r="S60" s="300">
        <f t="shared" si="1"/>
        <v>0</v>
      </c>
    </row>
    <row r="61" spans="1:19" ht="15" customHeight="1">
      <c r="A61" s="16"/>
      <c r="B61" s="668" t="s">
        <v>320</v>
      </c>
      <c r="C61" s="669"/>
      <c r="D61" s="140">
        <f>'LDPE-A2'!D61*0.98</f>
        <v>1395.52</v>
      </c>
      <c r="E61" s="45">
        <f>'LDPE-A2'!E61*0.98</f>
        <v>1404.34</v>
      </c>
      <c r="F61" s="45">
        <f>'LDPE-A2'!F61*0.98</f>
        <v>1410.22</v>
      </c>
      <c r="G61" s="45">
        <f>'LDPE-A2'!G61*0.98</f>
        <v>1453.34</v>
      </c>
      <c r="H61" s="45">
        <f>'LDPE-A2'!H61*0.98</f>
        <v>1441.58</v>
      </c>
      <c r="I61" s="40">
        <f>'LDPE-A2'!I61*0.98</f>
        <v>1413.16</v>
      </c>
      <c r="J61" s="40">
        <f>'LDPE-A2'!J61*0.98</f>
        <v>1446.48</v>
      </c>
      <c r="K61" s="42">
        <f>'LDPE-A2'!K61*0.98</f>
        <v>1436.925</v>
      </c>
      <c r="L61" s="41">
        <f>'LDPE-A2'!L61*0.98</f>
        <v>1436.925</v>
      </c>
      <c r="M61" s="40">
        <f>'LDPE-A2'!M61*0.98</f>
        <v>1436.925</v>
      </c>
      <c r="N61" s="40">
        <f>'LDPE-A2'!N61*0.98</f>
        <v>1436.925</v>
      </c>
      <c r="O61" s="40">
        <f>'LDPE-A2'!O61*0.98</f>
        <v>1436.925</v>
      </c>
      <c r="P61" s="40">
        <f>'LDPE-A2'!P61*0.98</f>
        <v>1436.925</v>
      </c>
      <c r="Q61" s="44">
        <f>'LDPE-A2'!Q61*0.98</f>
        <v>1436.68</v>
      </c>
      <c r="R61" s="299">
        <f t="shared" si="0"/>
        <v>0.4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40">
        <f>'LDPE-A2'!D62*0.98</f>
        <v>622.29999999999995</v>
      </c>
      <c r="E62" s="45">
        <f>'LDPE-A2'!E62*0.98</f>
        <v>682.08</v>
      </c>
      <c r="F62" s="45">
        <f>'LDPE-A2'!F62*0.98</f>
        <v>682.08</v>
      </c>
      <c r="G62" s="45">
        <f>'LDPE-A2'!G62*0.98</f>
        <v>602.70000000000005</v>
      </c>
      <c r="H62" s="45">
        <f>'LDPE-A2'!H62*0.98</f>
        <v>602.70000000000005</v>
      </c>
      <c r="I62" s="40">
        <f>'LDPE-A2'!I62*0.98</f>
        <v>602.70000000000005</v>
      </c>
      <c r="J62" s="40">
        <f>'LDPE-A2'!J62*0.98</f>
        <v>602.70000000000005</v>
      </c>
      <c r="K62" s="42">
        <f>'LDPE-A2'!K62*0.98</f>
        <v>602.70000000000005</v>
      </c>
      <c r="L62" s="41">
        <f>'LDPE-A2'!L62*0.98</f>
        <v>602.70000000000005</v>
      </c>
      <c r="M62" s="40">
        <f>'LDPE-A2'!M62*0.98</f>
        <v>602.70000000000005</v>
      </c>
      <c r="N62" s="40">
        <f>'LDPE-A2'!N62*0.98</f>
        <v>602.70000000000005</v>
      </c>
      <c r="O62" s="40">
        <f>'LDPE-A2'!O62*0.98</f>
        <v>602.70000000000005</v>
      </c>
      <c r="P62" s="40">
        <f>'LDPE-A2'!P62*0.98</f>
        <v>602.70000000000005</v>
      </c>
      <c r="Q62" s="44">
        <f>'LDPE-A2'!Q62*0.98</f>
        <v>602.70000000000005</v>
      </c>
      <c r="R62" s="299">
        <f t="shared" si="0"/>
        <v>-0.5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02">
        <f>'LDPE-A2'!D63*0.98</f>
        <v>2478.42</v>
      </c>
      <c r="E63" s="100">
        <f>'LDPE-A2'!E63*0.98</f>
        <v>2563.6799999999998</v>
      </c>
      <c r="F63" s="100">
        <f>'LDPE-A2'!F63*0.98</f>
        <v>2552.9</v>
      </c>
      <c r="G63" s="100">
        <f>'LDPE-A2'!G63*0.98</f>
        <v>2483.3200000000002</v>
      </c>
      <c r="H63" s="100">
        <f>'LDPE-A2'!H63*0.98</f>
        <v>2467.64</v>
      </c>
      <c r="I63" s="100">
        <f>'LDPE-A2'!I63*0.98</f>
        <v>2448.04</v>
      </c>
      <c r="J63" s="100">
        <f>'LDPE-A2'!J63*0.98</f>
        <v>2629.34</v>
      </c>
      <c r="K63" s="104">
        <f>'LDPE-A2'!K63*0.98</f>
        <v>2717.7849999999999</v>
      </c>
      <c r="L63" s="101">
        <f>'LDPE-A2'!L63*0.98</f>
        <v>2717.7849999999999</v>
      </c>
      <c r="M63" s="100">
        <f>'LDPE-A2'!M63*0.98</f>
        <v>2717.7849999999999</v>
      </c>
      <c r="N63" s="100">
        <f>'LDPE-A2'!N63*0.98</f>
        <v>2717.7849999999999</v>
      </c>
      <c r="O63" s="100">
        <f>'LDPE-A2'!O63*0.98</f>
        <v>2717.7849999999999</v>
      </c>
      <c r="P63" s="100">
        <f>'LDPE-A2'!P63*0.98</f>
        <v>2717.7849999999999</v>
      </c>
      <c r="Q63" s="103">
        <f>'LDPE-A2'!Q63*0.98</f>
        <v>2717.54</v>
      </c>
      <c r="R63" s="306">
        <f t="shared" si="0"/>
        <v>1.3</v>
      </c>
      <c r="S63" s="307">
        <f t="shared" si="1"/>
        <v>0</v>
      </c>
    </row>
    <row r="64" spans="1:19" ht="18" customHeight="1" thickTop="1" thickBot="1">
      <c r="A64" s="16"/>
      <c r="B64" s="625"/>
      <c r="C64" s="626" t="s">
        <v>342</v>
      </c>
      <c r="D64" s="147">
        <f t="shared" ref="D64:Q64" si="3">D63+D59+D56+D55+D53+D51+D49+D48</f>
        <v>40311.516000000003</v>
      </c>
      <c r="E64" s="33">
        <f t="shared" si="3"/>
        <v>41467.72</v>
      </c>
      <c r="F64" s="33">
        <f t="shared" si="3"/>
        <v>41013.293999999994</v>
      </c>
      <c r="G64" s="33">
        <f t="shared" si="3"/>
        <v>43841.4472891326</v>
      </c>
      <c r="H64" s="33">
        <f t="shared" si="3"/>
        <v>46280.576285782648</v>
      </c>
      <c r="I64" s="33">
        <f t="shared" si="3"/>
        <v>47658.48629643835</v>
      </c>
      <c r="J64" s="33">
        <f t="shared" si="3"/>
        <v>49882.871337599994</v>
      </c>
      <c r="K64" s="47">
        <f t="shared" si="3"/>
        <v>51906.582660519998</v>
      </c>
      <c r="L64" s="46">
        <f t="shared" si="3"/>
        <v>55171.593841280002</v>
      </c>
      <c r="M64" s="33">
        <f t="shared" si="3"/>
        <v>57625.286154939997</v>
      </c>
      <c r="N64" s="33">
        <f t="shared" si="3"/>
        <v>59558.660853439986</v>
      </c>
      <c r="O64" s="33">
        <f t="shared" si="3"/>
        <v>62888.098941360004</v>
      </c>
      <c r="P64" s="33">
        <f t="shared" si="3"/>
        <v>64234.75328759999</v>
      </c>
      <c r="Q64" s="48">
        <f t="shared" si="3"/>
        <v>65741.78949463999</v>
      </c>
      <c r="R64" s="310">
        <f t="shared" si="0"/>
        <v>3.7</v>
      </c>
      <c r="S64" s="311">
        <f t="shared" si="1"/>
        <v>3.6</v>
      </c>
    </row>
    <row r="65" spans="1:19" ht="15" customHeight="1">
      <c r="A65" s="616" t="s">
        <v>327</v>
      </c>
      <c r="B65" s="644" t="s">
        <v>433</v>
      </c>
      <c r="C65" s="645"/>
      <c r="D65" s="225">
        <f>'LDPE-A2'!D65*0.98</f>
        <v>1070.1600000000001</v>
      </c>
      <c r="E65" s="226">
        <f>'LDPE-A2'!E65*0.98</f>
        <v>1116.22</v>
      </c>
      <c r="F65" s="226">
        <f>'LDPE-A2'!F65*0.98</f>
        <v>1094.6600000000001</v>
      </c>
      <c r="G65" s="226">
        <f>'LDPE-A2'!G65*0.98</f>
        <v>1225</v>
      </c>
      <c r="H65" s="36">
        <f>'LDPE-A2'!H65*0.98</f>
        <v>1180.9000000000001</v>
      </c>
      <c r="I65" s="36">
        <f>'LDPE-A2'!I65*0.98</f>
        <v>1192.6600000000001</v>
      </c>
      <c r="J65" s="36">
        <f>'LDPE-A2'!J65*0.98</f>
        <v>1263.22</v>
      </c>
      <c r="K65" s="38">
        <f>'LDPE-A2'!K65*0.98</f>
        <v>1391.6</v>
      </c>
      <c r="L65" s="37">
        <f>'LDPE-A2'!L65*0.98</f>
        <v>1440.6</v>
      </c>
      <c r="M65" s="36">
        <f>'LDPE-A2'!M65*0.98</f>
        <v>1489.6</v>
      </c>
      <c r="N65" s="36">
        <f>'LDPE-A2'!N65*0.98</f>
        <v>1538.6</v>
      </c>
      <c r="O65" s="36">
        <f>'LDPE-A2'!O65*0.98</f>
        <v>1577.8</v>
      </c>
      <c r="P65" s="36">
        <f>'LDPE-A2'!P65*0.98</f>
        <v>1626.8</v>
      </c>
      <c r="Q65" s="39">
        <f>'LDPE-A2'!Q65*0.98</f>
        <v>1666</v>
      </c>
      <c r="R65" s="276">
        <f t="shared" si="0"/>
        <v>3.8</v>
      </c>
      <c r="S65" s="298">
        <f t="shared" si="1"/>
        <v>2.9</v>
      </c>
    </row>
    <row r="66" spans="1:19" ht="15" customHeight="1">
      <c r="A66" s="614" t="s">
        <v>328</v>
      </c>
      <c r="B66" s="605" t="s">
        <v>434</v>
      </c>
      <c r="C66" s="606"/>
      <c r="D66" s="140">
        <f>'LDPE-A2'!D66*0.98</f>
        <v>368.48</v>
      </c>
      <c r="E66" s="45">
        <f>'LDPE-A2'!E66*0.98</f>
        <v>432.18</v>
      </c>
      <c r="F66" s="45">
        <f>'LDPE-A2'!F66*0.98</f>
        <v>419.44</v>
      </c>
      <c r="G66" s="45">
        <f>'LDPE-A2'!G66*0.98</f>
        <v>388.08</v>
      </c>
      <c r="H66" s="40">
        <f>'LDPE-A2'!H66*0.98</f>
        <v>441</v>
      </c>
      <c r="I66" s="40">
        <f>'LDPE-A2'!I66*0.98</f>
        <v>411.59999999999997</v>
      </c>
      <c r="J66" s="40">
        <f>'LDPE-A2'!J66*0.98</f>
        <v>449.82</v>
      </c>
      <c r="K66" s="42">
        <f>'LDPE-A2'!K66*0.98</f>
        <v>481.18</v>
      </c>
      <c r="L66" s="41">
        <f>'LDPE-A2'!L66*0.98</f>
        <v>490</v>
      </c>
      <c r="M66" s="40">
        <f>'LDPE-A2'!M66*0.98</f>
        <v>490</v>
      </c>
      <c r="N66" s="40">
        <f>'LDPE-A2'!N66*0.98</f>
        <v>490</v>
      </c>
      <c r="O66" s="40">
        <f>'LDPE-A2'!O66*0.98</f>
        <v>499.8</v>
      </c>
      <c r="P66" s="40">
        <f>'LDPE-A2'!P66*0.98</f>
        <v>499.8</v>
      </c>
      <c r="Q66" s="44">
        <f>'LDPE-A2'!Q66*0.98</f>
        <v>499.8</v>
      </c>
      <c r="R66" s="299">
        <f t="shared" si="0"/>
        <v>3.9</v>
      </c>
      <c r="S66" s="300">
        <f t="shared" si="1"/>
        <v>0.4</v>
      </c>
    </row>
    <row r="67" spans="1:19" ht="15" customHeight="1">
      <c r="A67" s="16"/>
      <c r="B67" s="605" t="s">
        <v>435</v>
      </c>
      <c r="C67" s="606"/>
      <c r="D67" s="140">
        <f>'LDPE-A2'!D67*0.98</f>
        <v>81.34</v>
      </c>
      <c r="E67" s="45">
        <f>'LDPE-A2'!E67*0.98</f>
        <v>61.468539999999955</v>
      </c>
      <c r="F67" s="45">
        <f>'LDPE-A2'!F67*0.98</f>
        <v>62.267631019999953</v>
      </c>
      <c r="G67" s="45">
        <f>'LDPE-A2'!G67*0.98</f>
        <v>64.633800998759938</v>
      </c>
      <c r="H67" s="45">
        <f>'LDPE-A2'!H67*0.98</f>
        <v>66.508181227723981</v>
      </c>
      <c r="I67" s="45">
        <f>'LDPE-A2'!I67*0.98</f>
        <v>67.838344852278482</v>
      </c>
      <c r="J67" s="45">
        <f>'LDPE-A2'!J67*0.98</f>
        <v>69.58</v>
      </c>
      <c r="K67" s="50">
        <f>'LDPE-A2'!K67*0.98</f>
        <v>71.539999999999992</v>
      </c>
      <c r="L67" s="49">
        <f>'LDPE-A2'!L67*0.98</f>
        <v>74.48</v>
      </c>
      <c r="M67" s="45">
        <f>'LDPE-A2'!M67*0.98</f>
        <v>75.459999999999994</v>
      </c>
      <c r="N67" s="45">
        <f>'LDPE-A2'!N67*0.98</f>
        <v>77.42</v>
      </c>
      <c r="O67" s="45">
        <f>'LDPE-A2'!O67*0.98</f>
        <v>79.38</v>
      </c>
      <c r="P67" s="45">
        <f>'LDPE-A2'!P67*0.98</f>
        <v>81.34</v>
      </c>
      <c r="Q67" s="51">
        <f>'LDPE-A2'!Q67*0.98</f>
        <v>83.3</v>
      </c>
      <c r="R67" s="301">
        <f t="shared" si="0"/>
        <v>-1.8</v>
      </c>
      <c r="S67" s="300">
        <f t="shared" si="1"/>
        <v>2.2999999999999998</v>
      </c>
    </row>
    <row r="68" spans="1:19" ht="15" customHeight="1">
      <c r="A68" s="16"/>
      <c r="B68" s="605" t="s">
        <v>436</v>
      </c>
      <c r="C68" s="606"/>
      <c r="D68" s="140">
        <f>'LDPE-A2'!D68*0.98</f>
        <v>9404.08</v>
      </c>
      <c r="E68" s="45">
        <f>'LDPE-A2'!E68*0.98</f>
        <v>9595.18</v>
      </c>
      <c r="F68" s="45">
        <f>'LDPE-A2'!F68*0.98</f>
        <v>9282.56</v>
      </c>
      <c r="G68" s="45">
        <f>'LDPE-A2'!G68*0.98</f>
        <v>10763.34</v>
      </c>
      <c r="H68" s="45">
        <f>'LDPE-A2'!H68*0.98</f>
        <v>11794.3</v>
      </c>
      <c r="I68" s="40">
        <f>'LDPE-A2'!I68*0.98</f>
        <v>12663.56</v>
      </c>
      <c r="J68" s="40">
        <f>'LDPE-A2'!J68*0.98</f>
        <v>13827.8</v>
      </c>
      <c r="K68" s="42">
        <f>'LDPE-A2'!K68*0.98</f>
        <v>15290.94</v>
      </c>
      <c r="L68" s="41">
        <f>'LDPE-A2'!L68*0.98</f>
        <v>15971.06</v>
      </c>
      <c r="M68" s="40">
        <f>'LDPE-A2'!M68*0.98</f>
        <v>16865.8</v>
      </c>
      <c r="N68" s="40">
        <f>'LDPE-A2'!N68*0.98</f>
        <v>17770.34</v>
      </c>
      <c r="O68" s="40">
        <f>'LDPE-A2'!O68*0.98</f>
        <v>18656.259999999998</v>
      </c>
      <c r="P68" s="40">
        <f>'LDPE-A2'!P68*0.98</f>
        <v>19545.12</v>
      </c>
      <c r="Q68" s="44">
        <f>'LDPE-A2'!Q68*0.98</f>
        <v>20451.62</v>
      </c>
      <c r="R68" s="299">
        <f t="shared" si="0"/>
        <v>7.2</v>
      </c>
      <c r="S68" s="300">
        <f t="shared" si="1"/>
        <v>5.0999999999999996</v>
      </c>
    </row>
    <row r="69" spans="1:19" ht="15" customHeight="1">
      <c r="A69" s="16"/>
      <c r="B69" s="605" t="s">
        <v>437</v>
      </c>
      <c r="C69" s="606"/>
      <c r="D69" s="140">
        <f>'LDPE-A2'!D69*0.98</f>
        <v>615.43999999999994</v>
      </c>
      <c r="E69" s="45">
        <f>'LDPE-A2'!E69*0.98</f>
        <v>657.58</v>
      </c>
      <c r="F69" s="45">
        <f>'LDPE-A2'!F69*0.98</f>
        <v>634.05999999999995</v>
      </c>
      <c r="G69" s="45">
        <f>'LDPE-A2'!G69*0.98</f>
        <v>626.59043999999994</v>
      </c>
      <c r="H69" s="45">
        <f>'LDPE-A2'!H69*0.98</f>
        <v>639.19911999999988</v>
      </c>
      <c r="I69" s="40">
        <f>'LDPE-A2'!I69*0.98</f>
        <v>645.98072000000002</v>
      </c>
      <c r="J69" s="40">
        <f>'LDPE-A2'!J69*0.98</f>
        <v>898.61590000000012</v>
      </c>
      <c r="K69" s="42">
        <f>'LDPE-A2'!K69*0.98</f>
        <v>1092.69804</v>
      </c>
      <c r="L69" s="41">
        <f>'LDPE-A2'!L69*0.98</f>
        <v>1142.9621498399999</v>
      </c>
      <c r="M69" s="40">
        <f>'LDPE-A2'!M69*0.98</f>
        <v>1187.080488823824</v>
      </c>
      <c r="N69" s="40">
        <f>'LDPE-A2'!N69*0.98</f>
        <v>1230.8837588614231</v>
      </c>
      <c r="O69" s="40">
        <f>'LDPE-A2'!O69*0.98</f>
        <v>1274.5801323010037</v>
      </c>
      <c r="P69" s="40">
        <f>'LDPE-A2'!P69*0.98</f>
        <v>1319.1904369315387</v>
      </c>
      <c r="Q69" s="44">
        <f>'LDPE-A2'!Q69*0.98</f>
        <v>1366.1536164863016</v>
      </c>
      <c r="R69" s="299">
        <f t="shared" si="0"/>
        <v>8.5</v>
      </c>
      <c r="S69" s="300">
        <f t="shared" si="1"/>
        <v>3.6</v>
      </c>
    </row>
    <row r="70" spans="1:19" ht="15" customHeight="1">
      <c r="A70" s="16"/>
      <c r="B70" s="605" t="s">
        <v>438</v>
      </c>
      <c r="C70" s="606"/>
      <c r="D70" s="140">
        <f>'LDPE-A2'!D70*0.98</f>
        <v>521.8979254494235</v>
      </c>
      <c r="E70" s="45">
        <f>'LDPE-A2'!E70*0.98</f>
        <v>516.09939267818663</v>
      </c>
      <c r="F70" s="45">
        <f>'LDPE-A2'!F70*0.98</f>
        <v>710.5</v>
      </c>
      <c r="G70" s="45">
        <f>'LDPE-A2'!G70*0.98</f>
        <v>736.96</v>
      </c>
      <c r="H70" s="45">
        <f>'LDPE-A2'!H70*0.98</f>
        <v>745.78</v>
      </c>
      <c r="I70" s="45">
        <f>'LDPE-A2'!I70*0.98</f>
        <v>764.4</v>
      </c>
      <c r="J70" s="45">
        <f>'LDPE-A2'!J70*0.98</f>
        <v>784</v>
      </c>
      <c r="K70" s="50">
        <f>'LDPE-A2'!K70*0.98</f>
        <v>921.19999999999993</v>
      </c>
      <c r="L70" s="49">
        <f>'LDPE-A2'!L70*0.98</f>
        <v>862.4</v>
      </c>
      <c r="M70" s="45">
        <f>'LDPE-A2'!M70*0.98</f>
        <v>906.5</v>
      </c>
      <c r="N70" s="45">
        <f>'LDPE-A2'!N70*0.98</f>
        <v>950.6</v>
      </c>
      <c r="O70" s="45">
        <f>'LDPE-A2'!O70*0.98</f>
        <v>999.6</v>
      </c>
      <c r="P70" s="45">
        <f>'LDPE-A2'!P70*0.98</f>
        <v>1048.5999999999999</v>
      </c>
      <c r="Q70" s="51">
        <f>'LDPE-A2'!Q70*0.98</f>
        <v>1097.5999999999999</v>
      </c>
      <c r="R70" s="299">
        <f t="shared" si="0"/>
        <v>8.5</v>
      </c>
      <c r="S70" s="300">
        <f t="shared" si="1"/>
        <v>4.9000000000000004</v>
      </c>
    </row>
    <row r="71" spans="1:19" ht="15" customHeight="1">
      <c r="A71" s="16"/>
      <c r="B71" s="605" t="s">
        <v>439</v>
      </c>
      <c r="C71" s="606"/>
      <c r="D71" s="140">
        <f>'LDPE-A2'!D71*0.98</f>
        <v>1829.6599999999999</v>
      </c>
      <c r="E71" s="45">
        <f>'LDPE-A2'!E71*0.98</f>
        <v>1404.34</v>
      </c>
      <c r="F71" s="45">
        <f>'LDPE-A2'!F71*0.98</f>
        <v>1629.74</v>
      </c>
      <c r="G71" s="45">
        <f>'LDPE-A2'!G71*0.98</f>
        <v>1722.84</v>
      </c>
      <c r="H71" s="45">
        <f>'LDPE-A2'!H71*0.98</f>
        <v>1198.54</v>
      </c>
      <c r="I71" s="40">
        <f>'LDPE-A2'!I71*0.98</f>
        <v>1435.7</v>
      </c>
      <c r="J71" s="40">
        <f>'LDPE-A2'!J71*0.98</f>
        <v>1568</v>
      </c>
      <c r="K71" s="42">
        <f>'LDPE-A2'!K71*0.98</f>
        <v>2450</v>
      </c>
      <c r="L71" s="41">
        <f>'LDPE-A2'!L71*0.98</f>
        <v>2548</v>
      </c>
      <c r="M71" s="40">
        <f>'LDPE-A2'!M71*0.98</f>
        <v>2548</v>
      </c>
      <c r="N71" s="40">
        <f>'LDPE-A2'!N71*0.98</f>
        <v>2548</v>
      </c>
      <c r="O71" s="40">
        <f>'LDPE-A2'!O71*0.98</f>
        <v>2646</v>
      </c>
      <c r="P71" s="40">
        <f>'LDPE-A2'!P71*0.98</f>
        <v>2646</v>
      </c>
      <c r="Q71" s="44">
        <f>'LDPE-A2'!Q71*0.98</f>
        <v>2646</v>
      </c>
      <c r="R71" s="299">
        <f t="shared" si="0"/>
        <v>4.3</v>
      </c>
      <c r="S71" s="300">
        <f t="shared" si="1"/>
        <v>0.8</v>
      </c>
    </row>
    <row r="72" spans="1:19" ht="15.75" hidden="1" customHeight="1">
      <c r="A72" s="16"/>
      <c r="B72" s="16"/>
      <c r="C72" s="90" t="s">
        <v>306</v>
      </c>
      <c r="D72" s="140">
        <f>'LDPE-A2'!D72*0.98</f>
        <v>0</v>
      </c>
      <c r="E72" s="45">
        <f>'LDPE-A2'!E72*0.98</f>
        <v>0</v>
      </c>
      <c r="F72" s="45">
        <f>'LDPE-A2'!F72*0.98</f>
        <v>0</v>
      </c>
      <c r="G72" s="45">
        <f>'LDPE-A2'!G72*0.98</f>
        <v>0</v>
      </c>
      <c r="H72" s="45">
        <f>'LDPE-A2'!H72*0.98</f>
        <v>0</v>
      </c>
      <c r="I72" s="45">
        <f>'LDPE-A2'!I72*0.98</f>
        <v>0</v>
      </c>
      <c r="J72" s="45">
        <f>'LDPE-A2'!J72*0.98</f>
        <v>0</v>
      </c>
      <c r="K72" s="42">
        <f>'LDPE-A2'!K72*0.98</f>
        <v>0</v>
      </c>
      <c r="L72" s="41">
        <f>'LDPE-A2'!L72*0.98</f>
        <v>0</v>
      </c>
      <c r="M72" s="40">
        <f>'LDPE-A2'!M72*0.98</f>
        <v>0</v>
      </c>
      <c r="N72" s="40">
        <f>'LDPE-A2'!N72*0.98</f>
        <v>0</v>
      </c>
      <c r="O72" s="40">
        <f>'LDPE-A2'!O72*0.98</f>
        <v>0</v>
      </c>
      <c r="P72" s="40">
        <f>'LDPE-A2'!P72*0.98</f>
        <v>0</v>
      </c>
      <c r="Q72" s="44">
        <f>'LDPE-A2'!Q72*0.98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40">
        <f>'LDPE-A2'!D73*0.98</f>
        <v>210.7</v>
      </c>
      <c r="E73" s="45">
        <f>'LDPE-A2'!E73*0.98</f>
        <v>219.51999999999998</v>
      </c>
      <c r="F73" s="45">
        <f>'LDPE-A2'!F73*0.98</f>
        <v>272.44</v>
      </c>
      <c r="G73" s="45">
        <f>'LDPE-A2'!G73*0.98</f>
        <v>191.1</v>
      </c>
      <c r="H73" s="45">
        <f>'LDPE-A2'!H73*0.98</f>
        <v>235.2</v>
      </c>
      <c r="I73" s="45">
        <f>'LDPE-A2'!I73*0.98</f>
        <v>248.92</v>
      </c>
      <c r="J73" s="45">
        <f>'LDPE-A2'!J73*0.98</f>
        <v>264.60000000000002</v>
      </c>
      <c r="K73" s="50">
        <f>'LDPE-A2'!K73*0.98</f>
        <v>284.2</v>
      </c>
      <c r="L73" s="49">
        <f>'LDPE-A2'!L73*0.98</f>
        <v>303.8</v>
      </c>
      <c r="M73" s="45">
        <f>'LDPE-A2'!M73*0.98</f>
        <v>323.39999999999998</v>
      </c>
      <c r="N73" s="45">
        <f>'LDPE-A2'!N73*0.98</f>
        <v>343</v>
      </c>
      <c r="O73" s="45">
        <f>'LDPE-A2'!O73*0.98</f>
        <v>362.59999999999997</v>
      </c>
      <c r="P73" s="45">
        <f>'LDPE-A2'!P73*0.98</f>
        <v>382.2</v>
      </c>
      <c r="Q73" s="51">
        <f>'LDPE-A2'!Q73*0.98</f>
        <v>401.8</v>
      </c>
      <c r="R73" s="302">
        <f t="shared" si="4"/>
        <v>4.4000000000000004</v>
      </c>
      <c r="S73" s="300">
        <f t="shared" si="5"/>
        <v>5.8</v>
      </c>
    </row>
    <row r="74" spans="1:19" ht="15" customHeight="1">
      <c r="A74" s="16"/>
      <c r="B74" s="605" t="s">
        <v>441</v>
      </c>
      <c r="C74" s="606"/>
      <c r="D74" s="140">
        <f>'LDPE-A2'!D74*0.98</f>
        <v>454.27454545454549</v>
      </c>
      <c r="E74" s="45">
        <f>'LDPE-A2'!E74*0.98</f>
        <v>470.1741545454546</v>
      </c>
      <c r="F74" s="45">
        <f>'LDPE-A2'!F74*0.98</f>
        <v>437.08</v>
      </c>
      <c r="G74" s="45">
        <f>'LDPE-A2'!G74*0.98</f>
        <v>453.81545999999997</v>
      </c>
      <c r="H74" s="45">
        <f>'LDPE-A2'!H74*0.98</f>
        <v>629.62157999999999</v>
      </c>
      <c r="I74" s="40">
        <f>'LDPE-A2'!I74*0.98</f>
        <v>637</v>
      </c>
      <c r="J74" s="40">
        <f>'LDPE-A2'!J74*0.98</f>
        <v>637</v>
      </c>
      <c r="K74" s="42">
        <f>'LDPE-A2'!K74*0.98</f>
        <v>648.76</v>
      </c>
      <c r="L74" s="41">
        <f>'LDPE-A2'!L74*0.98</f>
        <v>679.25171999999986</v>
      </c>
      <c r="M74" s="40">
        <f>'LDPE-A2'!M74*0.98</f>
        <v>710.49729911999987</v>
      </c>
      <c r="N74" s="40">
        <f>'LDPE-A2'!N74*0.98</f>
        <v>744.60116947775998</v>
      </c>
      <c r="O74" s="40">
        <f>'LDPE-A2'!O74*0.98</f>
        <v>780.63986608048356</v>
      </c>
      <c r="P74" s="40">
        <f>'LDPE-A2'!P74*0.98</f>
        <v>818.42283559877887</v>
      </c>
      <c r="Q74" s="44">
        <f>'LDPE-A2'!Q74*0.98</f>
        <v>858.03450084175984</v>
      </c>
      <c r="R74" s="299">
        <f t="shared" si="4"/>
        <v>5.2</v>
      </c>
      <c r="S74" s="300">
        <f t="shared" si="5"/>
        <v>4.8</v>
      </c>
    </row>
    <row r="75" spans="1:19" ht="15" customHeight="1">
      <c r="A75" s="16"/>
      <c r="B75" s="605" t="s">
        <v>442</v>
      </c>
      <c r="C75" s="606"/>
      <c r="D75" s="140">
        <f>'LDPE-A2'!D75*0.98</f>
        <v>209.72</v>
      </c>
      <c r="E75" s="45">
        <f>'LDPE-A2'!E75*0.98</f>
        <v>224.42</v>
      </c>
      <c r="F75" s="45">
        <f>'LDPE-A2'!F75*0.98</f>
        <v>239.12</v>
      </c>
      <c r="G75" s="45">
        <f>'LDPE-A2'!G75*0.98</f>
        <v>255.78</v>
      </c>
      <c r="H75" s="45">
        <f>'LDPE-A2'!H75*0.98</f>
        <v>272.44</v>
      </c>
      <c r="I75" s="45">
        <f>'LDPE-A2'!I75*0.98</f>
        <v>291.06</v>
      </c>
      <c r="J75" s="45">
        <f>'LDPE-A2'!J75*0.98</f>
        <v>308.7</v>
      </c>
      <c r="K75" s="50">
        <f>'LDPE-A2'!K75*0.98</f>
        <v>578.68999999999994</v>
      </c>
      <c r="L75" s="49">
        <f>'LDPE-A2'!L75*0.98</f>
        <v>675.5139999999999</v>
      </c>
      <c r="M75" s="45">
        <f>'LDPE-A2'!M75*0.98</f>
        <v>715.4</v>
      </c>
      <c r="N75" s="45">
        <f>'LDPE-A2'!N75*0.98</f>
        <v>758.52</v>
      </c>
      <c r="O75" s="45">
        <f>'LDPE-A2'!O75*0.98</f>
        <v>803.6</v>
      </c>
      <c r="P75" s="45">
        <f>'LDPE-A2'!P75*0.98</f>
        <v>851.62</v>
      </c>
      <c r="Q75" s="51">
        <f>'LDPE-A2'!Q75*0.98</f>
        <v>902.57999999999993</v>
      </c>
      <c r="R75" s="302">
        <f t="shared" si="4"/>
        <v>15.6</v>
      </c>
      <c r="S75" s="300">
        <f t="shared" si="5"/>
        <v>6</v>
      </c>
    </row>
    <row r="76" spans="1:19" ht="15" customHeight="1">
      <c r="A76" s="16"/>
      <c r="B76" s="607" t="s">
        <v>443</v>
      </c>
      <c r="C76" s="608"/>
      <c r="D76" s="140">
        <f>'LDPE-A2'!D76*0.98</f>
        <v>1783.992</v>
      </c>
      <c r="E76" s="45">
        <f>'LDPE-A2'!E76*0.98</f>
        <v>1903.454</v>
      </c>
      <c r="F76" s="45">
        <f>'LDPE-A2'!F76*0.98</f>
        <v>1708.1399999999999</v>
      </c>
      <c r="G76" s="45">
        <f>'LDPE-A2'!G76*0.98</f>
        <v>1728.4259999999999</v>
      </c>
      <c r="H76" s="45">
        <f>'LDPE-A2'!H76*0.98</f>
        <v>1893.654</v>
      </c>
      <c r="I76" s="40">
        <f>'LDPE-A2'!I76*0.98</f>
        <v>1665.1179999999999</v>
      </c>
      <c r="J76" s="40">
        <f>'LDPE-A2'!J76*0.98</f>
        <v>1702.26</v>
      </c>
      <c r="K76" s="445">
        <f>'LDPE-A2'!K76*0.98</f>
        <v>1787.03</v>
      </c>
      <c r="L76" s="43">
        <f>'LDPE-A2'!L76*0.98</f>
        <v>1688.1479999999999</v>
      </c>
      <c r="M76" s="40">
        <f>'LDPE-A2'!M76*0.98</f>
        <v>1660.61</v>
      </c>
      <c r="N76" s="40">
        <f>'LDPE-A2'!N76*0.98</f>
        <v>1657.18</v>
      </c>
      <c r="O76" s="40">
        <f>'LDPE-A2'!O76*0.98</f>
        <v>1656.396</v>
      </c>
      <c r="P76" s="40">
        <f>'LDPE-A2'!P76*0.98</f>
        <v>1656.1020000000001</v>
      </c>
      <c r="Q76" s="43">
        <f>'LDPE-A2'!Q76*0.98</f>
        <v>1655.71</v>
      </c>
      <c r="R76" s="299">
        <f t="shared" si="4"/>
        <v>0</v>
      </c>
      <c r="S76" s="300">
        <f t="shared" si="5"/>
        <v>-0.4</v>
      </c>
    </row>
    <row r="77" spans="1:19" ht="15.75" customHeight="1">
      <c r="A77" s="16"/>
      <c r="B77" s="674" t="s">
        <v>307</v>
      </c>
      <c r="C77" s="675"/>
      <c r="D77" s="95">
        <f>'LDPE-A2'!D77*0.98</f>
        <v>16549.74447090397</v>
      </c>
      <c r="E77" s="93">
        <f>'LDPE-A2'!E77*0.98</f>
        <v>16600.63608722364</v>
      </c>
      <c r="F77" s="93">
        <f>'LDPE-A2'!F77*0.98</f>
        <v>16490.007631020002</v>
      </c>
      <c r="G77" s="93">
        <f>'LDPE-A2'!G77*0.98</f>
        <v>18156.565700998763</v>
      </c>
      <c r="H77" s="93">
        <f>'LDPE-A2'!H77*0.98</f>
        <v>19097.142881227726</v>
      </c>
      <c r="I77" s="93">
        <f>'LDPE-A2'!I77*0.98</f>
        <v>20023.83706485228</v>
      </c>
      <c r="J77" s="93">
        <f>'LDPE-A2'!J77*0.98</f>
        <v>21773.5959</v>
      </c>
      <c r="K77" s="96">
        <f>'LDPE-A2'!K77*0.98</f>
        <v>24997.838039999999</v>
      </c>
      <c r="L77" s="94">
        <f>'LDPE-A2'!L77*0.98</f>
        <v>25876.215869839998</v>
      </c>
      <c r="M77" s="93">
        <f>'LDPE-A2'!M77*0.98</f>
        <v>26972.347787943821</v>
      </c>
      <c r="N77" s="93">
        <f>'LDPE-A2'!N77*0.98</f>
        <v>28109.144928339181</v>
      </c>
      <c r="O77" s="93">
        <f>'LDPE-A2'!O77*0.98</f>
        <v>29336.655998381484</v>
      </c>
      <c r="P77" s="93">
        <f>'LDPE-A2'!P77*0.98</f>
        <v>30475.195272530316</v>
      </c>
      <c r="Q77" s="227">
        <f>'LDPE-A2'!Q77*0.98</f>
        <v>31628.59811732806</v>
      </c>
      <c r="R77" s="303">
        <f t="shared" si="4"/>
        <v>6.1</v>
      </c>
      <c r="S77" s="304">
        <f t="shared" si="5"/>
        <v>4.0999999999999996</v>
      </c>
    </row>
    <row r="78" spans="1:19" ht="15" customHeight="1">
      <c r="A78" s="16"/>
      <c r="B78" s="672" t="s">
        <v>308</v>
      </c>
      <c r="C78" s="673"/>
      <c r="D78" s="139">
        <f>'LDPE-A2'!D78*0.98</f>
        <v>403.76</v>
      </c>
      <c r="E78" s="98">
        <f>'LDPE-A2'!E78*0.98</f>
        <v>326.33999999999997</v>
      </c>
      <c r="F78" s="98">
        <f>'LDPE-A2'!F78*0.98</f>
        <v>210.7</v>
      </c>
      <c r="G78" s="98">
        <f>'LDPE-A2'!G78*0.98</f>
        <v>215.6</v>
      </c>
      <c r="H78" s="98">
        <f>'LDPE-A2'!H78*0.98</f>
        <v>225.4</v>
      </c>
      <c r="I78" s="98">
        <f>'LDPE-A2'!I78*0.98</f>
        <v>225.4</v>
      </c>
      <c r="J78" s="98">
        <f>'LDPE-A2'!J78*0.98</f>
        <v>241.07999999999998</v>
      </c>
      <c r="K78" s="228">
        <f>'LDPE-A2'!K78*0.98</f>
        <v>221.48</v>
      </c>
      <c r="L78" s="99">
        <f>'LDPE-A2'!L78*0.98</f>
        <v>235.2</v>
      </c>
      <c r="M78" s="98">
        <f>'LDPE-A2'!M78*0.98</f>
        <v>235.2</v>
      </c>
      <c r="N78" s="98">
        <f>'LDPE-A2'!N78*0.98</f>
        <v>240.1</v>
      </c>
      <c r="O78" s="98">
        <f>'LDPE-A2'!O78*0.98</f>
        <v>240.1</v>
      </c>
      <c r="P78" s="98">
        <f>'LDPE-A2'!P78*0.98</f>
        <v>245</v>
      </c>
      <c r="Q78" s="229">
        <f>'LDPE-A2'!Q78*0.98</f>
        <v>245</v>
      </c>
      <c r="R78" s="305">
        <f t="shared" si="4"/>
        <v>-8.1999999999999993</v>
      </c>
      <c r="S78" s="304">
        <f t="shared" si="5"/>
        <v>0.8</v>
      </c>
    </row>
    <row r="79" spans="1:19" ht="15" customHeight="1">
      <c r="A79" s="16"/>
      <c r="B79" s="105"/>
      <c r="C79" s="97" t="s">
        <v>309</v>
      </c>
      <c r="D79" s="139">
        <f>'LDPE-A2'!D79*0.98</f>
        <v>311.64</v>
      </c>
      <c r="E79" s="98">
        <f>'LDPE-A2'!E79*0.98</f>
        <v>326.33999999999997</v>
      </c>
      <c r="F79" s="98">
        <f>'LDPE-A2'!F79*0.98</f>
        <v>210.7</v>
      </c>
      <c r="G79" s="98">
        <f>'LDPE-A2'!G79*0.98</f>
        <v>215.6</v>
      </c>
      <c r="H79" s="98">
        <f>'LDPE-A2'!H79*0.98</f>
        <v>225.4</v>
      </c>
      <c r="I79" s="98">
        <f>'LDPE-A2'!I79*0.98</f>
        <v>225.4</v>
      </c>
      <c r="J79" s="98">
        <f>'LDPE-A2'!J79*0.98</f>
        <v>241.07999999999998</v>
      </c>
      <c r="K79" s="228">
        <f>'LDPE-A2'!K79*0.98</f>
        <v>221.48</v>
      </c>
      <c r="L79" s="99">
        <f>'LDPE-A2'!L79*0.98</f>
        <v>235.2</v>
      </c>
      <c r="M79" s="98">
        <f>'LDPE-A2'!M79*0.98</f>
        <v>235.2</v>
      </c>
      <c r="N79" s="98">
        <f>'LDPE-A2'!N79*0.98</f>
        <v>240.1</v>
      </c>
      <c r="O79" s="98">
        <f>'LDPE-A2'!O79*0.98</f>
        <v>240.1</v>
      </c>
      <c r="P79" s="98">
        <f>'LDPE-A2'!P79*0.98</f>
        <v>245</v>
      </c>
      <c r="Q79" s="229">
        <f>'LDPE-A2'!Q79*0.98</f>
        <v>245</v>
      </c>
      <c r="R79" s="305">
        <f t="shared" si="4"/>
        <v>-4.8</v>
      </c>
      <c r="S79" s="304">
        <f t="shared" si="5"/>
        <v>0.8</v>
      </c>
    </row>
    <row r="80" spans="1:19" ht="15.75" customHeight="1">
      <c r="A80" s="16"/>
      <c r="B80" s="672" t="s">
        <v>310</v>
      </c>
      <c r="C80" s="673"/>
      <c r="D80" s="140">
        <f>'LDPE-A2'!D80*0.98</f>
        <v>9127.7199999999993</v>
      </c>
      <c r="E80" s="45">
        <f>'LDPE-A2'!E80*0.98</f>
        <v>7487.2</v>
      </c>
      <c r="F80" s="45">
        <f>'LDPE-A2'!F80*0.98</f>
        <v>7438.2</v>
      </c>
      <c r="G80" s="45">
        <f>'LDPE-A2'!G80*0.98</f>
        <v>7385.28</v>
      </c>
      <c r="H80" s="40">
        <f>'LDPE-A2'!H80*0.98</f>
        <v>7302.96</v>
      </c>
      <c r="I80" s="40">
        <f>'LDPE-A2'!I80*0.98</f>
        <v>7521.9802</v>
      </c>
      <c r="J80" s="40">
        <f>'LDPE-A2'!J80*0.98</f>
        <v>7816.7166846999999</v>
      </c>
      <c r="K80" s="42">
        <f>'LDPE-A2'!K80*0.98</f>
        <v>7907.1289523799996</v>
      </c>
      <c r="L80" s="41">
        <f>'LDPE-A2'!L80*0.98</f>
        <v>8008.9015937000004</v>
      </c>
      <c r="M80" s="40">
        <f>'LDPE-A2'!M80*0.98</f>
        <v>8116.8436349000003</v>
      </c>
      <c r="N80" s="40">
        <f>'LDPE-A2'!N80*0.98</f>
        <v>8237.06092188</v>
      </c>
      <c r="O80" s="40">
        <f>'LDPE-A2'!O80*0.98</f>
        <v>8358.9001607999999</v>
      </c>
      <c r="P80" s="40">
        <f>'LDPE-A2'!P80*0.98</f>
        <v>8474.4208771600006</v>
      </c>
      <c r="Q80" s="44">
        <f>'LDPE-A2'!Q80*0.98</f>
        <v>8589.9965587799998</v>
      </c>
      <c r="R80" s="299">
        <f t="shared" si="4"/>
        <v>-2</v>
      </c>
      <c r="S80" s="300">
        <f t="shared" si="5"/>
        <v>1.4</v>
      </c>
    </row>
    <row r="81" spans="1:19" ht="15" customHeight="1">
      <c r="A81" s="16"/>
      <c r="B81" s="105"/>
      <c r="C81" s="615" t="s">
        <v>311</v>
      </c>
      <c r="D81" s="139">
        <f>'LDPE-A2'!D81*0.98</f>
        <v>7349.0199999999995</v>
      </c>
      <c r="E81" s="98">
        <f>'LDPE-A2'!E81*0.98</f>
        <v>6611.08</v>
      </c>
      <c r="F81" s="98">
        <f>'LDPE-A2'!F81*0.98</f>
        <v>6422.92</v>
      </c>
      <c r="G81" s="98">
        <f>'LDPE-A2'!G81*0.98</f>
        <v>6356.28</v>
      </c>
      <c r="H81" s="93">
        <f>'LDPE-A2'!H81*0.98</f>
        <v>6353.34</v>
      </c>
      <c r="I81" s="93">
        <f>'LDPE-A2'!I81*0.98</f>
        <v>6444.0781999999999</v>
      </c>
      <c r="J81" s="93">
        <f>'LDPE-A2'!J81*0.98</f>
        <v>6711.0400362599994</v>
      </c>
      <c r="K81" s="96">
        <f>'LDPE-A2'!K81*0.98</f>
        <v>6775.8087889799999</v>
      </c>
      <c r="L81" s="94">
        <f>'LDPE-A2'!L81*0.98</f>
        <v>6851.0494894799995</v>
      </c>
      <c r="M81" s="93">
        <f>'LDPE-A2'!M81*0.98</f>
        <v>6932.2292075400001</v>
      </c>
      <c r="N81" s="93">
        <f>'LDPE-A2'!N81*0.98</f>
        <v>7028.7188237</v>
      </c>
      <c r="O81" s="93">
        <f>'LDPE-A2'!O81*0.98</f>
        <v>7128.1876506399994</v>
      </c>
      <c r="P81" s="93">
        <f>'LDPE-A2'!P81*0.98</f>
        <v>7220.9581383799996</v>
      </c>
      <c r="Q81" s="227">
        <f>'LDPE-A2'!Q81*0.98</f>
        <v>7313.2085636399997</v>
      </c>
      <c r="R81" s="303">
        <f t="shared" si="4"/>
        <v>-1.2</v>
      </c>
      <c r="S81" s="304">
        <f t="shared" si="5"/>
        <v>1.3</v>
      </c>
    </row>
    <row r="82" spans="1:19" ht="15.75" customHeight="1">
      <c r="A82" s="16"/>
      <c r="B82" s="672" t="s">
        <v>312</v>
      </c>
      <c r="C82" s="673"/>
      <c r="D82" s="140">
        <f>'LDPE-A2'!D82*0.98</f>
        <v>1901.2</v>
      </c>
      <c r="E82" s="45">
        <f>'LDPE-A2'!E82*0.98</f>
        <v>2706.7599999999998</v>
      </c>
      <c r="F82" s="45">
        <f>'LDPE-A2'!F82*0.98</f>
        <v>2762.62</v>
      </c>
      <c r="G82" s="45">
        <f>'LDPE-A2'!G82*0.98</f>
        <v>2840.04</v>
      </c>
      <c r="H82" s="40">
        <f>'LDPE-A2'!H82*0.98</f>
        <v>2877.2799999999997</v>
      </c>
      <c r="I82" s="40">
        <f>'LDPE-A2'!I82*0.98</f>
        <v>2974.2999999999997</v>
      </c>
      <c r="J82" s="40">
        <f>'LDPE-A2'!J82*0.98</f>
        <v>3054.66</v>
      </c>
      <c r="K82" s="42">
        <f>'LDPE-A2'!K82*0.98</f>
        <v>3181.08</v>
      </c>
      <c r="L82" s="41">
        <f>'LDPE-A2'!L82*0.98</f>
        <v>3319.2599999999998</v>
      </c>
      <c r="M82" s="40">
        <f>'LDPE-A2'!M82*0.98</f>
        <v>3466.2599999999998</v>
      </c>
      <c r="N82" s="40">
        <f>'LDPE-A2'!N82*0.98</f>
        <v>3624.04</v>
      </c>
      <c r="O82" s="40">
        <f>'LDPE-A2'!O82*0.98</f>
        <v>3786.72</v>
      </c>
      <c r="P82" s="40">
        <f>'LDPE-A2'!P82*0.98</f>
        <v>3826.9</v>
      </c>
      <c r="Q82" s="44">
        <f>'LDPE-A2'!Q82*0.98</f>
        <v>3863.16</v>
      </c>
      <c r="R82" s="299">
        <f t="shared" si="4"/>
        <v>7.6</v>
      </c>
      <c r="S82" s="300">
        <f t="shared" si="5"/>
        <v>3.1</v>
      </c>
    </row>
    <row r="83" spans="1:19" ht="15" customHeight="1">
      <c r="A83" s="16"/>
      <c r="B83" s="16"/>
      <c r="C83" s="615" t="s">
        <v>313</v>
      </c>
      <c r="D83" s="139">
        <f>'LDPE-A2'!D83*0.98</f>
        <v>472.36</v>
      </c>
      <c r="E83" s="98">
        <f>'LDPE-A2'!E83*0.98</f>
        <v>472.36</v>
      </c>
      <c r="F83" s="98">
        <f>'LDPE-A2'!F83*0.98</f>
        <v>498.82</v>
      </c>
      <c r="G83" s="98">
        <f>'LDPE-A2'!G83*0.98</f>
        <v>517.43999999999994</v>
      </c>
      <c r="H83" s="93">
        <f>'LDPE-A2'!H83*0.98</f>
        <v>539</v>
      </c>
      <c r="I83" s="93">
        <f>'LDPE-A2'!I83*0.98</f>
        <v>563.5</v>
      </c>
      <c r="J83" s="93">
        <f>'LDPE-A2'!J83*0.98</f>
        <v>572.31999999999994</v>
      </c>
      <c r="K83" s="96">
        <f>'LDPE-A2'!K83*0.98</f>
        <v>579.17999999999995</v>
      </c>
      <c r="L83" s="94">
        <f>'LDPE-A2'!L83*0.98</f>
        <v>595.84</v>
      </c>
      <c r="M83" s="93">
        <f>'LDPE-A2'!M83*0.98</f>
        <v>614.46</v>
      </c>
      <c r="N83" s="93">
        <f>'LDPE-A2'!N83*0.98</f>
        <v>634.05999999999995</v>
      </c>
      <c r="O83" s="93">
        <f>'LDPE-A2'!O83*0.98</f>
        <v>652.67999999999995</v>
      </c>
      <c r="P83" s="93">
        <f>'LDPE-A2'!P83*0.98</f>
        <v>672.28</v>
      </c>
      <c r="Q83" s="227">
        <f>'LDPE-A2'!Q83*0.98</f>
        <v>697.76</v>
      </c>
      <c r="R83" s="303">
        <f t="shared" si="4"/>
        <v>3</v>
      </c>
      <c r="S83" s="304">
        <f t="shared" si="5"/>
        <v>3.2</v>
      </c>
    </row>
    <row r="84" spans="1:19" ht="15.75" customHeight="1">
      <c r="A84" s="16"/>
      <c r="B84" s="674" t="s">
        <v>314</v>
      </c>
      <c r="C84" s="675"/>
      <c r="D84" s="139">
        <f>'LDPE-A2'!D84*0.98</f>
        <v>1210.3</v>
      </c>
      <c r="E84" s="98">
        <f>'LDPE-A2'!E84*0.98</f>
        <v>1234.8</v>
      </c>
      <c r="F84" s="98">
        <f>'LDPE-A2'!F84*0.98</f>
        <v>1303.3999999999999</v>
      </c>
      <c r="G84" s="98">
        <f>'LDPE-A2'!G84*0.98</f>
        <v>1411.2</v>
      </c>
      <c r="H84" s="93">
        <f>'LDPE-A2'!H84*0.98</f>
        <v>1519</v>
      </c>
      <c r="I84" s="93">
        <f>'LDPE-A2'!I84*0.98</f>
        <v>1580.74</v>
      </c>
      <c r="J84" s="93">
        <f>'LDPE-A2'!J84*0.98</f>
        <v>1646.3999999999999</v>
      </c>
      <c r="K84" s="96">
        <f>'LDPE-A2'!K84*0.98</f>
        <v>1741.46</v>
      </c>
      <c r="L84" s="94">
        <f>'LDPE-A2'!L84*0.98</f>
        <v>1850.24</v>
      </c>
      <c r="M84" s="93">
        <f>'LDPE-A2'!M84*0.98</f>
        <v>1958.04</v>
      </c>
      <c r="N84" s="93">
        <f>'LDPE-A2'!N84*0.98</f>
        <v>2073.6799999999998</v>
      </c>
      <c r="O84" s="93">
        <f>'LDPE-A2'!O84*0.98</f>
        <v>2198.14</v>
      </c>
      <c r="P84" s="93">
        <f>'LDPE-A2'!P84*0.98</f>
        <v>2303</v>
      </c>
      <c r="Q84" s="227">
        <f>'LDPE-A2'!Q84*0.98</f>
        <v>2632.2799999999997</v>
      </c>
      <c r="R84" s="303">
        <f t="shared" si="4"/>
        <v>5.3</v>
      </c>
      <c r="S84" s="304">
        <f t="shared" si="5"/>
        <v>7.3</v>
      </c>
    </row>
    <row r="85" spans="1:19" ht="15.75" customHeight="1">
      <c r="A85" s="16"/>
      <c r="B85" s="674" t="s">
        <v>315</v>
      </c>
      <c r="C85" s="675"/>
      <c r="D85" s="95">
        <f>'LDPE-A2'!D85*0.98</f>
        <v>781.06</v>
      </c>
      <c r="E85" s="93">
        <f>'LDPE-A2'!E85*0.98</f>
        <v>766.36</v>
      </c>
      <c r="F85" s="93">
        <f>'LDPE-A2'!F85*0.98</f>
        <v>855.93200000000002</v>
      </c>
      <c r="G85" s="93">
        <f>'LDPE-A2'!G85*0.98</f>
        <v>1122.0999999999999</v>
      </c>
      <c r="H85" s="93">
        <f>'LDPE-A2'!H85*0.98</f>
        <v>901.6</v>
      </c>
      <c r="I85" s="93">
        <f>'LDPE-A2'!I85*0.98</f>
        <v>797.72</v>
      </c>
      <c r="J85" s="93">
        <f>'LDPE-A2'!J85*0.98</f>
        <v>1221.962</v>
      </c>
      <c r="K85" s="96">
        <f>'LDPE-A2'!K85*0.98</f>
        <v>842.8</v>
      </c>
      <c r="L85" s="94">
        <f>'LDPE-A2'!L85*0.98</f>
        <v>856.28480000000002</v>
      </c>
      <c r="M85" s="93">
        <f>'LDPE-A2'!M85*0.98</f>
        <v>867.4165023999999</v>
      </c>
      <c r="N85" s="93">
        <f>'LDPE-A2'!N85*0.98</f>
        <v>880.42774993599983</v>
      </c>
      <c r="O85" s="93">
        <f>'LDPE-A2'!O85*0.98</f>
        <v>893.6341661850397</v>
      </c>
      <c r="P85" s="93">
        <f>'LDPE-A2'!P85*0.98</f>
        <v>907.03867867781526</v>
      </c>
      <c r="Q85" s="227">
        <f>'LDPE-A2'!Q85*0.98</f>
        <v>920.64425885798232</v>
      </c>
      <c r="R85" s="303">
        <f t="shared" si="4"/>
        <v>1.1000000000000001</v>
      </c>
      <c r="S85" s="304">
        <f t="shared" si="5"/>
        <v>1.5</v>
      </c>
    </row>
    <row r="86" spans="1:19" ht="15" customHeight="1">
      <c r="A86" s="16"/>
      <c r="B86" s="672" t="s">
        <v>316</v>
      </c>
      <c r="C86" s="673"/>
      <c r="D86" s="140">
        <f>'LDPE-A2'!D86*0.98</f>
        <v>5909.4</v>
      </c>
      <c r="E86" s="45">
        <f>'LDPE-A2'!E86*0.98</f>
        <v>5969.18</v>
      </c>
      <c r="F86" s="45">
        <f>'LDPE-A2'!F86*0.98</f>
        <v>6029.94</v>
      </c>
      <c r="G86" s="45">
        <f>'LDPE-A2'!G86*0.98</f>
        <v>6090.7</v>
      </c>
      <c r="H86" s="45">
        <f>'LDPE-A2'!H86*0.98</f>
        <v>6152.44</v>
      </c>
      <c r="I86" s="40">
        <f>'LDPE-A2'!I86*0.98</f>
        <v>6301.4</v>
      </c>
      <c r="J86" s="40">
        <f>'LDPE-A2'!J86*0.98</f>
        <v>6400.38</v>
      </c>
      <c r="K86" s="42">
        <f>'LDPE-A2'!K86*0.98</f>
        <v>6547.38</v>
      </c>
      <c r="L86" s="41">
        <f>'LDPE-A2'!L86*0.98</f>
        <v>6736.5199999999995</v>
      </c>
      <c r="M86" s="40">
        <f>'LDPE-A2'!M86*0.98</f>
        <v>6908.0199999999995</v>
      </c>
      <c r="N86" s="40">
        <f>'LDPE-A2'!N86*0.98</f>
        <v>7033.46</v>
      </c>
      <c r="O86" s="40">
        <f>'LDPE-A2'!O86*0.98</f>
        <v>7154.98</v>
      </c>
      <c r="P86" s="40">
        <f>'LDPE-A2'!P86*0.98</f>
        <v>7260.82</v>
      </c>
      <c r="Q86" s="44">
        <f>'LDPE-A2'!Q86*0.98</f>
        <v>7360.78</v>
      </c>
      <c r="R86" s="299">
        <f t="shared" si="4"/>
        <v>1.5</v>
      </c>
      <c r="S86" s="300">
        <f t="shared" si="5"/>
        <v>1.8</v>
      </c>
    </row>
    <row r="87" spans="1:19" ht="15" customHeight="1">
      <c r="A87" s="16"/>
      <c r="B87" s="670" t="s">
        <v>317</v>
      </c>
      <c r="C87" s="671"/>
      <c r="D87" s="140">
        <f>'LDPE-A2'!D87*0.98</f>
        <v>1801.24</v>
      </c>
      <c r="E87" s="45">
        <f>'LDPE-A2'!E87*0.98</f>
        <v>1838.48</v>
      </c>
      <c r="F87" s="45">
        <f>'LDPE-A2'!F87*0.98</f>
        <v>1875.72</v>
      </c>
      <c r="G87" s="45">
        <f>'LDPE-A2'!G87*0.98</f>
        <v>1913.94</v>
      </c>
      <c r="H87" s="45">
        <f>'LDPE-A2'!H87*0.98</f>
        <v>1958.04</v>
      </c>
      <c r="I87" s="40">
        <f>'LDPE-A2'!I87*0.98</f>
        <v>1979.6</v>
      </c>
      <c r="J87" s="40">
        <f>'LDPE-A2'!J87*0.98</f>
        <v>2002.1399999999999</v>
      </c>
      <c r="K87" s="42">
        <f>'LDPE-A2'!K87*0.98</f>
        <v>2061.92</v>
      </c>
      <c r="L87" s="41">
        <f>'LDPE-A2'!L87*0.98</f>
        <v>2104.06</v>
      </c>
      <c r="M87" s="40">
        <f>'LDPE-A2'!M87*0.98</f>
        <v>2147.1799999999998</v>
      </c>
      <c r="N87" s="40">
        <f>'LDPE-A2'!N87*0.98</f>
        <v>2186.38</v>
      </c>
      <c r="O87" s="40">
        <f>'LDPE-A2'!O87*0.98</f>
        <v>2225.58</v>
      </c>
      <c r="P87" s="40">
        <f>'LDPE-A2'!P87*0.98</f>
        <v>2261.84</v>
      </c>
      <c r="Q87" s="44">
        <f>'LDPE-A2'!Q87*0.98</f>
        <v>2298.1</v>
      </c>
      <c r="R87" s="299">
        <f t="shared" si="4"/>
        <v>1.9</v>
      </c>
      <c r="S87" s="300">
        <f t="shared" si="5"/>
        <v>1.8</v>
      </c>
    </row>
    <row r="88" spans="1:19" ht="15.75" customHeight="1">
      <c r="A88" s="16"/>
      <c r="B88" s="674" t="s">
        <v>318</v>
      </c>
      <c r="C88" s="675"/>
      <c r="D88" s="95">
        <f>'LDPE-A2'!D88*0.98</f>
        <v>7710.6399999999994</v>
      </c>
      <c r="E88" s="93">
        <f>'LDPE-A2'!E88*0.98</f>
        <v>7807.66</v>
      </c>
      <c r="F88" s="93">
        <f>'LDPE-A2'!F88*0.98</f>
        <v>7905.66</v>
      </c>
      <c r="G88" s="93">
        <f>'LDPE-A2'!G88*0.98</f>
        <v>8004.6399999999994</v>
      </c>
      <c r="H88" s="93">
        <f>'LDPE-A2'!H88*0.98</f>
        <v>8110.48</v>
      </c>
      <c r="I88" s="93">
        <f>'LDPE-A2'!I88*0.98</f>
        <v>8281</v>
      </c>
      <c r="J88" s="93">
        <f>'LDPE-A2'!J88*0.98</f>
        <v>8402.52</v>
      </c>
      <c r="K88" s="96">
        <f>'LDPE-A2'!K88*0.98</f>
        <v>8609.2999999999993</v>
      </c>
      <c r="L88" s="94">
        <f>'LDPE-A2'!L88*0.98</f>
        <v>8840.58</v>
      </c>
      <c r="M88" s="93">
        <f>'LDPE-A2'!M88*0.98</f>
        <v>9055.2000000000007</v>
      </c>
      <c r="N88" s="93">
        <f>'LDPE-A2'!N88*0.98</f>
        <v>9219.84</v>
      </c>
      <c r="O88" s="93">
        <f>'LDPE-A2'!O88*0.98</f>
        <v>9380.56</v>
      </c>
      <c r="P88" s="93">
        <f>'LDPE-A2'!P88*0.98</f>
        <v>9522.66</v>
      </c>
      <c r="Q88" s="227">
        <f>'LDPE-A2'!Q88*0.98</f>
        <v>9658.8799999999992</v>
      </c>
      <c r="R88" s="303">
        <f t="shared" si="4"/>
        <v>1.6</v>
      </c>
      <c r="S88" s="304">
        <f t="shared" si="5"/>
        <v>1.8</v>
      </c>
    </row>
    <row r="89" spans="1:19" ht="15" customHeight="1">
      <c r="A89" s="16"/>
      <c r="B89" s="672" t="s">
        <v>319</v>
      </c>
      <c r="C89" s="673"/>
      <c r="D89" s="140">
        <f>'LDPE-A2'!D89*0.98</f>
        <v>700.69999999999993</v>
      </c>
      <c r="E89" s="45">
        <f>'LDPE-A2'!E89*0.98</f>
        <v>715.4</v>
      </c>
      <c r="F89" s="45">
        <f>'LDPE-A2'!F89*0.98</f>
        <v>730.1</v>
      </c>
      <c r="G89" s="45">
        <f>'LDPE-A2'!G89*0.98</f>
        <v>746.76</v>
      </c>
      <c r="H89" s="45">
        <f>'LDPE-A2'!H89*0.98</f>
        <v>764.4</v>
      </c>
      <c r="I89" s="40">
        <f>'LDPE-A2'!I89*0.98</f>
        <v>784</v>
      </c>
      <c r="J89" s="40">
        <f>'LDPE-A2'!J89*0.98</f>
        <v>816.34</v>
      </c>
      <c r="K89" s="42">
        <f>'LDPE-A2'!K89*0.98</f>
        <v>834.96</v>
      </c>
      <c r="L89" s="41">
        <f>'LDPE-A2'!L89*0.98</f>
        <v>853.58</v>
      </c>
      <c r="M89" s="40">
        <f>'LDPE-A2'!M89*0.98</f>
        <v>875.14</v>
      </c>
      <c r="N89" s="40">
        <f>'LDPE-A2'!N89*0.98</f>
        <v>898.66</v>
      </c>
      <c r="O89" s="40">
        <f>'LDPE-A2'!O89*0.98</f>
        <v>924.14</v>
      </c>
      <c r="P89" s="40">
        <f>'LDPE-A2'!P89*0.98</f>
        <v>951.57999999999993</v>
      </c>
      <c r="Q89" s="44">
        <f>'LDPE-A2'!Q89*0.98</f>
        <v>980</v>
      </c>
      <c r="R89" s="299">
        <f t="shared" si="4"/>
        <v>2.5</v>
      </c>
      <c r="S89" s="300">
        <f t="shared" si="5"/>
        <v>2.8</v>
      </c>
    </row>
    <row r="90" spans="1:19" ht="15" customHeight="1">
      <c r="A90" s="16"/>
      <c r="B90" s="668" t="s">
        <v>320</v>
      </c>
      <c r="C90" s="669"/>
      <c r="D90" s="140">
        <f>'LDPE-A2'!D90*0.98</f>
        <v>1102.5</v>
      </c>
      <c r="E90" s="45">
        <f>'LDPE-A2'!E90*0.98</f>
        <v>1125.04</v>
      </c>
      <c r="F90" s="45">
        <f>'LDPE-A2'!F90*0.98</f>
        <v>1147.58</v>
      </c>
      <c r="G90" s="45">
        <f>'LDPE-A2'!G90*0.98</f>
        <v>1171.0999999999999</v>
      </c>
      <c r="H90" s="45">
        <f>'LDPE-A2'!H90*0.98</f>
        <v>1194.6199999999999</v>
      </c>
      <c r="I90" s="40">
        <f>'LDPE-A2'!I90*0.98</f>
        <v>1195.5999999999999</v>
      </c>
      <c r="J90" s="40">
        <f>'LDPE-A2'!J90*0.98</f>
        <v>1169.1399999999999</v>
      </c>
      <c r="K90" s="42">
        <f>'LDPE-A2'!K90*0.98</f>
        <v>1191.68</v>
      </c>
      <c r="L90" s="41">
        <f>'LDPE-A2'!L90*0.98</f>
        <v>1208.3399999999999</v>
      </c>
      <c r="M90" s="40">
        <f>'LDPE-A2'!M90*0.98</f>
        <v>1236.76</v>
      </c>
      <c r="N90" s="40">
        <f>'LDPE-A2'!N90*0.98</f>
        <v>1265.18</v>
      </c>
      <c r="O90" s="40">
        <f>'LDPE-A2'!O90*0.98</f>
        <v>1293.5999999999999</v>
      </c>
      <c r="P90" s="40">
        <f>'LDPE-A2'!P90*0.98</f>
        <v>1322.02</v>
      </c>
      <c r="Q90" s="44">
        <f>'LDPE-A2'!Q90*0.98</f>
        <v>1351.42</v>
      </c>
      <c r="R90" s="299">
        <f t="shared" si="4"/>
        <v>1.1000000000000001</v>
      </c>
      <c r="S90" s="300">
        <f t="shared" si="5"/>
        <v>2.2999999999999998</v>
      </c>
    </row>
    <row r="91" spans="1:19" ht="15" customHeight="1">
      <c r="A91" s="16"/>
      <c r="B91" s="670" t="s">
        <v>321</v>
      </c>
      <c r="C91" s="671"/>
      <c r="D91" s="140">
        <f>'LDPE-A2'!D91*0.98</f>
        <v>1209.32</v>
      </c>
      <c r="E91" s="45">
        <f>'LDPE-A2'!E91*0.98</f>
        <v>1259.3</v>
      </c>
      <c r="F91" s="45">
        <f>'LDPE-A2'!F91*0.98</f>
        <v>1360.24</v>
      </c>
      <c r="G91" s="45">
        <f>'LDPE-A2'!G91*0.98</f>
        <v>1470</v>
      </c>
      <c r="H91" s="45">
        <f>'LDPE-A2'!H91*0.98</f>
        <v>1588.58</v>
      </c>
      <c r="I91" s="40">
        <f>'LDPE-A2'!I91*0.98</f>
        <v>1548.3999999999999</v>
      </c>
      <c r="J91" s="40">
        <f>'LDPE-A2'!J91*0.98</f>
        <v>1560.16</v>
      </c>
      <c r="K91" s="42">
        <f>'LDPE-A2'!K91*0.98</f>
        <v>1578.78</v>
      </c>
      <c r="L91" s="41">
        <f>'LDPE-A2'!L91*0.98</f>
        <v>1597.3999999999999</v>
      </c>
      <c r="M91" s="40">
        <f>'LDPE-A2'!M91*0.98</f>
        <v>1632.68</v>
      </c>
      <c r="N91" s="40">
        <f>'LDPE-A2'!N91*0.98</f>
        <v>1676.78</v>
      </c>
      <c r="O91" s="40">
        <f>'LDPE-A2'!O91*0.98</f>
        <v>1722.84</v>
      </c>
      <c r="P91" s="40">
        <f>'LDPE-A2'!P91*0.98</f>
        <v>1770.86</v>
      </c>
      <c r="Q91" s="44">
        <f>'LDPE-A2'!Q91*0.98</f>
        <v>1821.82</v>
      </c>
      <c r="R91" s="299">
        <f t="shared" si="4"/>
        <v>3.9</v>
      </c>
      <c r="S91" s="300">
        <f t="shared" si="5"/>
        <v>2.7</v>
      </c>
    </row>
    <row r="92" spans="1:19" ht="15.75" customHeight="1" thickBot="1">
      <c r="A92" s="16"/>
      <c r="B92" s="678" t="s">
        <v>322</v>
      </c>
      <c r="C92" s="679"/>
      <c r="D92" s="102">
        <f>'LDPE-A2'!D92*0.98</f>
        <v>3012.52</v>
      </c>
      <c r="E92" s="100">
        <f>'LDPE-A2'!E92*0.98</f>
        <v>3099.74</v>
      </c>
      <c r="F92" s="100">
        <f>'LDPE-A2'!F92*0.98</f>
        <v>3237.92</v>
      </c>
      <c r="G92" s="100">
        <f>'LDPE-A2'!G92*0.98</f>
        <v>3387.86</v>
      </c>
      <c r="H92" s="100">
        <f>'LDPE-A2'!H92*0.98</f>
        <v>3547.6</v>
      </c>
      <c r="I92" s="100">
        <f>'LDPE-A2'!I92*0.98</f>
        <v>3528</v>
      </c>
      <c r="J92" s="100">
        <f>'LDPE-A2'!J92*0.98</f>
        <v>3545.64</v>
      </c>
      <c r="K92" s="104">
        <f>'LDPE-A2'!K92*0.98</f>
        <v>3605.42</v>
      </c>
      <c r="L92" s="101">
        <f>'LDPE-A2'!L92*0.98</f>
        <v>3659.3199999999997</v>
      </c>
      <c r="M92" s="100">
        <f>'LDPE-A2'!M92*0.98</f>
        <v>3744.58</v>
      </c>
      <c r="N92" s="100">
        <f>'LDPE-A2'!N92*0.98</f>
        <v>3840.62</v>
      </c>
      <c r="O92" s="100">
        <f>'LDPE-A2'!O92*0.98</f>
        <v>3940.58</v>
      </c>
      <c r="P92" s="100">
        <f>'LDPE-A2'!P92*0.98</f>
        <v>4044.46</v>
      </c>
      <c r="Q92" s="103">
        <f>'LDPE-A2'!Q92*0.98</f>
        <v>4153.24</v>
      </c>
      <c r="R92" s="306">
        <f t="shared" si="4"/>
        <v>2.6</v>
      </c>
      <c r="S92" s="307">
        <f t="shared" si="5"/>
        <v>2.6</v>
      </c>
    </row>
    <row r="93" spans="1:19" ht="18" customHeight="1" thickTop="1" thickBot="1">
      <c r="A93" s="21"/>
      <c r="B93" s="625"/>
      <c r="C93" s="626" t="s">
        <v>343</v>
      </c>
      <c r="D93" s="118">
        <f t="shared" ref="D93:Q93" si="6">D92+D88+D85+D84+D82+D80+D78+D77</f>
        <v>40696.944470903967</v>
      </c>
      <c r="E93" s="116">
        <f t="shared" si="6"/>
        <v>40029.496087223641</v>
      </c>
      <c r="F93" s="116">
        <f t="shared" si="6"/>
        <v>40204.439631020003</v>
      </c>
      <c r="G93" s="116">
        <f t="shared" si="6"/>
        <v>42523.285700998764</v>
      </c>
      <c r="H93" s="116">
        <f t="shared" si="6"/>
        <v>43581.462881227722</v>
      </c>
      <c r="I93" s="116">
        <f t="shared" si="6"/>
        <v>44932.977264852278</v>
      </c>
      <c r="J93" s="116">
        <f t="shared" si="6"/>
        <v>47702.574584700007</v>
      </c>
      <c r="K93" s="120">
        <f t="shared" si="6"/>
        <v>51106.506992379997</v>
      </c>
      <c r="L93" s="117">
        <f t="shared" si="6"/>
        <v>52646.002263539995</v>
      </c>
      <c r="M93" s="116">
        <f t="shared" si="6"/>
        <v>54415.88792524382</v>
      </c>
      <c r="N93" s="116">
        <f t="shared" si="6"/>
        <v>56224.913600155181</v>
      </c>
      <c r="O93" s="116">
        <f t="shared" si="6"/>
        <v>58135.290325366528</v>
      </c>
      <c r="P93" s="116">
        <f t="shared" si="6"/>
        <v>59798.674828368137</v>
      </c>
      <c r="Q93" s="119">
        <f t="shared" si="6"/>
        <v>61691.798934966042</v>
      </c>
      <c r="R93" s="308">
        <f t="shared" si="4"/>
        <v>3.3</v>
      </c>
      <c r="S93" s="309">
        <f t="shared" si="5"/>
        <v>3.2</v>
      </c>
    </row>
    <row r="94" spans="1:19" ht="9" customHeight="1">
      <c r="R94" s="26"/>
      <c r="S94" s="26"/>
    </row>
    <row r="95" spans="1:19" ht="13.5" customHeight="1">
      <c r="C95" t="s">
        <v>330</v>
      </c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101" priority="5">
      <formula>CELL("protect",C97)=0</formula>
    </cfRule>
    <cfRule type="expression" dxfId="100" priority="6">
      <formula>CELL("protect",C97)=0</formula>
    </cfRule>
  </conditionalFormatting>
  <conditionalFormatting sqref="C95">
    <cfRule type="expression" dxfId="99" priority="3">
      <formula>CELL("protect",C95)=0</formula>
    </cfRule>
    <cfRule type="expression" dxfId="98" priority="4">
      <formula>CELL("protect",C95)=0</formula>
    </cfRule>
  </conditionalFormatting>
  <conditionalFormatting sqref="C97">
    <cfRule type="expression" dxfId="97" priority="1">
      <formula>CELL("protect",C97)=0</formula>
    </cfRule>
    <cfRule type="expression" dxfId="9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&amp;C186</oddFooter>
  </headerFooter>
  <ignoredErrors>
    <ignoredError sqref="D7:Q20 D91:Q92 D84:Q90 D55:Q63 E26:Q34 D26:D34 D36:D49 D23:Q24 D52:Q53 D81:Q82 D65:Q78 E36:Q49 D21:Q22 D50:Q51 D79:Q80 D83:Q83 D54:Q54 D25:Q25 D35:Q35 D64:Q64" unlockedFormula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A1" t="s">
        <v>61</v>
      </c>
      <c r="R1" s="26"/>
      <c r="S1" s="26"/>
    </row>
    <row r="2" spans="1:19" s="2" customFormat="1" ht="17.25">
      <c r="G2" s="398" t="s">
        <v>21</v>
      </c>
      <c r="H2" s="397" t="s">
        <v>20</v>
      </c>
      <c r="R2" s="3"/>
      <c r="S2" s="3"/>
    </row>
    <row r="3" spans="1:19" ht="27.6" customHeight="1" thickBot="1">
      <c r="H3" s="624" t="s">
        <v>344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'HDPE-A3'!D7*1.04</f>
        <v>2438.8000000000002</v>
      </c>
      <c r="E7" s="176">
        <f>'HDPE-A3'!E7*1.04</f>
        <v>2438.8000000000002</v>
      </c>
      <c r="F7" s="176">
        <f>'HDPE-A3'!F7*1.04</f>
        <v>2480.4</v>
      </c>
      <c r="G7" s="176">
        <f>'HDPE-A3'!G7*1.04</f>
        <v>2480.4</v>
      </c>
      <c r="H7" s="177">
        <f>'HDPE-A3'!H7*1.04</f>
        <v>2480.4</v>
      </c>
      <c r="I7" s="177">
        <f>'HDPE-A3'!I7*1.04</f>
        <v>2480.4</v>
      </c>
      <c r="J7" s="177">
        <f>'HDPE-A3'!J7*1.04</f>
        <v>2480.4</v>
      </c>
      <c r="K7" s="183">
        <f>'HDPE-A3'!K7*1.04</f>
        <v>2480.4</v>
      </c>
      <c r="L7" s="184">
        <f>'HDPE-A3'!L7*1.04</f>
        <v>2480.4</v>
      </c>
      <c r="M7" s="182">
        <f>'HDPE-A3'!M7*1.04</f>
        <v>2896.4</v>
      </c>
      <c r="N7" s="182">
        <f>'HDPE-A3'!N7*1.04</f>
        <v>3572.4</v>
      </c>
      <c r="O7" s="182">
        <f>'HDPE-A3'!O7*1.04</f>
        <v>3572.4</v>
      </c>
      <c r="P7" s="182">
        <f>'HDPE-A3'!P7*1.04</f>
        <v>4092.4</v>
      </c>
      <c r="Q7" s="185">
        <f>'HDPE-A3'!Q7*1.04</f>
        <v>4612.4000000000005</v>
      </c>
      <c r="R7" s="276">
        <f>IF(D7=0,"     -",IF(K7=0,"     -",ROUND(((K7/D7)^(1/7)-1)*100,1)))</f>
        <v>0.2</v>
      </c>
      <c r="S7" s="298">
        <f>IF(L7=0,"     -",IF(Q7=0,"     -",ROUND(((Q7/L7)^(1/5)-1)*100,1)))</f>
        <v>13.2</v>
      </c>
    </row>
    <row r="8" spans="1:19" ht="15" customHeight="1">
      <c r="A8" s="614" t="s">
        <v>305</v>
      </c>
      <c r="B8" s="605" t="s">
        <v>434</v>
      </c>
      <c r="C8" s="606"/>
      <c r="D8" s="181">
        <f>'HDPE-A3'!D8*1.04</f>
        <v>692.64</v>
      </c>
      <c r="E8" s="67">
        <f>'HDPE-A3'!E8*1.04</f>
        <v>692.64</v>
      </c>
      <c r="F8" s="67">
        <f>'HDPE-A3'!F8*1.04</f>
        <v>692.64</v>
      </c>
      <c r="G8" s="67">
        <f>'HDPE-A3'!G8*1.04</f>
        <v>692.64</v>
      </c>
      <c r="H8" s="182">
        <f>'HDPE-A3'!H8*1.04</f>
        <v>692.64</v>
      </c>
      <c r="I8" s="182">
        <f>'HDPE-A3'!I8*1.04</f>
        <v>692.64</v>
      </c>
      <c r="J8" s="182">
        <f>'HDPE-A3'!J8*1.04</f>
        <v>692.64</v>
      </c>
      <c r="K8" s="183">
        <f>'HDPE-A3'!K8*1.04</f>
        <v>692.64</v>
      </c>
      <c r="L8" s="184">
        <f>'HDPE-A3'!L8*1.04</f>
        <v>692.64</v>
      </c>
      <c r="M8" s="182">
        <f>'HDPE-A3'!M8*1.04</f>
        <v>692.64</v>
      </c>
      <c r="N8" s="182">
        <f>'HDPE-A3'!N8*1.04</f>
        <v>692.64</v>
      </c>
      <c r="O8" s="182">
        <f>'HDPE-A3'!O8*1.04</f>
        <v>692.64</v>
      </c>
      <c r="P8" s="182">
        <f>'HDPE-A3'!P8*1.04</f>
        <v>692.64</v>
      </c>
      <c r="Q8" s="185">
        <f>'HDPE-A3'!Q8*1.04</f>
        <v>692.64</v>
      </c>
      <c r="R8" s="299">
        <f t="shared" ref="R8:R71" si="0">IF(D8=0,"     -",IF(K8=0,"     -",ROUND(((K8/D8)^(1/7)-1)*100,1)))</f>
        <v>0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'HDPE-A3'!D9*1.04</f>
        <v>405.6</v>
      </c>
      <c r="E9" s="67">
        <f>'HDPE-A3'!E9*1.04</f>
        <v>405.6</v>
      </c>
      <c r="F9" s="67">
        <f>'HDPE-A3'!F9*1.04</f>
        <v>405.6</v>
      </c>
      <c r="G9" s="67">
        <f>'HDPE-A3'!G9*1.04</f>
        <v>405.6</v>
      </c>
      <c r="H9" s="67">
        <f>'HDPE-A3'!H9*1.04</f>
        <v>405.6</v>
      </c>
      <c r="I9" s="62">
        <f>'HDPE-A3'!I9*1.04</f>
        <v>405.6</v>
      </c>
      <c r="J9" s="62">
        <f>'HDPE-A3'!J9*1.04</f>
        <v>405.6</v>
      </c>
      <c r="K9" s="63">
        <f>'HDPE-A3'!K9*1.04</f>
        <v>405.6</v>
      </c>
      <c r="L9" s="64">
        <f>'HDPE-A3'!L9*1.04</f>
        <v>405.6</v>
      </c>
      <c r="M9" s="62">
        <f>'HDPE-A3'!M9*1.04</f>
        <v>405.6</v>
      </c>
      <c r="N9" s="62">
        <f>'HDPE-A3'!N9*1.04</f>
        <v>405.6</v>
      </c>
      <c r="O9" s="62">
        <f>'HDPE-A3'!O9*1.04</f>
        <v>405.6</v>
      </c>
      <c r="P9" s="62">
        <f>'HDPE-A3'!P9*1.04</f>
        <v>405.6</v>
      </c>
      <c r="Q9" s="65">
        <f>'HDPE-A3'!Q9*1.04</f>
        <v>405.6</v>
      </c>
      <c r="R9" s="301">
        <f t="shared" si="0"/>
        <v>0</v>
      </c>
      <c r="S9" s="300">
        <f t="shared" si="1"/>
        <v>0</v>
      </c>
    </row>
    <row r="10" spans="1:19" ht="15" customHeight="1">
      <c r="A10" s="16"/>
      <c r="B10" s="605" t="s">
        <v>436</v>
      </c>
      <c r="C10" s="606"/>
      <c r="D10" s="181">
        <f>'HDPE-A3'!D10*1.04</f>
        <v>5023.2</v>
      </c>
      <c r="E10" s="67">
        <f>'HDPE-A3'!E10*1.04</f>
        <v>5314.4000000000005</v>
      </c>
      <c r="F10" s="67">
        <f>'HDPE-A3'!F10*1.04</f>
        <v>5382</v>
      </c>
      <c r="G10" s="67">
        <f>'HDPE-A3'!G10*1.04</f>
        <v>6097.52</v>
      </c>
      <c r="H10" s="67">
        <f>'HDPE-A3'!H10*1.04</f>
        <v>6749.6</v>
      </c>
      <c r="I10" s="182">
        <f>'HDPE-A3'!I10*1.04</f>
        <v>7155.2</v>
      </c>
      <c r="J10" s="182">
        <f>'HDPE-A3'!J10*1.04</f>
        <v>7233.2</v>
      </c>
      <c r="K10" s="183">
        <f>'HDPE-A3'!K10*1.04</f>
        <v>7233.2</v>
      </c>
      <c r="L10" s="184">
        <f>'HDPE-A3'!L10*1.04</f>
        <v>7609.68</v>
      </c>
      <c r="M10" s="182">
        <f>'HDPE-A3'!M10*1.04</f>
        <v>8815.0400000000009</v>
      </c>
      <c r="N10" s="182">
        <f>'HDPE-A3'!N10*1.04</f>
        <v>10630.880000000001</v>
      </c>
      <c r="O10" s="182">
        <f>'HDPE-A3'!O10*1.04</f>
        <v>12048.4</v>
      </c>
      <c r="P10" s="182">
        <f>'HDPE-A3'!P10*1.04</f>
        <v>12204.4</v>
      </c>
      <c r="Q10" s="185">
        <f>'HDPE-A3'!Q10*1.04</f>
        <v>12412.4</v>
      </c>
      <c r="R10" s="299">
        <f t="shared" si="0"/>
        <v>5.3</v>
      </c>
      <c r="S10" s="300">
        <f t="shared" si="1"/>
        <v>10.3</v>
      </c>
    </row>
    <row r="11" spans="1:19" ht="15" customHeight="1">
      <c r="A11" s="16"/>
      <c r="B11" s="605" t="s">
        <v>437</v>
      </c>
      <c r="C11" s="606"/>
      <c r="D11" s="181">
        <f>'HDPE-A3'!D11*1.04</f>
        <v>1988.48</v>
      </c>
      <c r="E11" s="67">
        <f>'HDPE-A3'!E11*1.04</f>
        <v>1988.48</v>
      </c>
      <c r="F11" s="67">
        <f>'HDPE-A3'!F11*1.04</f>
        <v>1988.48</v>
      </c>
      <c r="G11" s="67">
        <f>'HDPE-A3'!G11*1.04</f>
        <v>1988.48</v>
      </c>
      <c r="H11" s="67">
        <f>'HDPE-A3'!H11*1.04</f>
        <v>1988.48</v>
      </c>
      <c r="I11" s="67">
        <f>'HDPE-A3'!I11*1.04</f>
        <v>1988.48</v>
      </c>
      <c r="J11" s="67">
        <f>'HDPE-A3'!J11*1.04</f>
        <v>1988.48</v>
      </c>
      <c r="K11" s="186">
        <f>'HDPE-A3'!K11*1.04</f>
        <v>1988.48</v>
      </c>
      <c r="L11" s="187">
        <f>'HDPE-A3'!L11*1.04</f>
        <v>1988.48</v>
      </c>
      <c r="M11" s="67">
        <f>'HDPE-A3'!M11*1.04</f>
        <v>1988.48</v>
      </c>
      <c r="N11" s="67">
        <f>'HDPE-A3'!N11*1.04</f>
        <v>1988.48</v>
      </c>
      <c r="O11" s="67">
        <f>'HDPE-A3'!O11*1.04</f>
        <v>1988.48</v>
      </c>
      <c r="P11" s="67">
        <f>'HDPE-A3'!P11*1.04</f>
        <v>1988.48</v>
      </c>
      <c r="Q11" s="68">
        <f>'HDPE-A3'!Q11*1.04</f>
        <v>1988.48</v>
      </c>
      <c r="R11" s="302">
        <f t="shared" si="0"/>
        <v>0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'HDPE-A3'!D12*1.04</f>
        <v>141.44</v>
      </c>
      <c r="E12" s="67">
        <f>'HDPE-A3'!E12*1.04</f>
        <v>141.44</v>
      </c>
      <c r="F12" s="67">
        <f>'HDPE-A3'!F12*1.04</f>
        <v>141.44</v>
      </c>
      <c r="G12" s="67">
        <f>'HDPE-A3'!G12*1.04</f>
        <v>141.44</v>
      </c>
      <c r="H12" s="67">
        <f>'HDPE-A3'!H12*1.04</f>
        <v>141.44</v>
      </c>
      <c r="I12" s="67">
        <f>'HDPE-A3'!I12*1.04</f>
        <v>141.44</v>
      </c>
      <c r="J12" s="67">
        <f>'HDPE-A3'!J12*1.04</f>
        <v>141.44</v>
      </c>
      <c r="K12" s="186">
        <f>'HDPE-A3'!K12*1.04</f>
        <v>141.44</v>
      </c>
      <c r="L12" s="187">
        <f>'HDPE-A3'!L12*1.04</f>
        <v>141.44</v>
      </c>
      <c r="M12" s="67">
        <f>'HDPE-A3'!M12*1.04</f>
        <v>141.44</v>
      </c>
      <c r="N12" s="67">
        <f>'HDPE-A3'!N12*1.04</f>
        <v>141.44</v>
      </c>
      <c r="O12" s="67">
        <f>'HDPE-A3'!O12*1.04</f>
        <v>141.44</v>
      </c>
      <c r="P12" s="67">
        <f>'HDPE-A3'!P12*1.04</f>
        <v>141.44</v>
      </c>
      <c r="Q12" s="68">
        <f>'HDPE-A3'!Q12*1.04</f>
        <v>141.44</v>
      </c>
      <c r="R12" s="302">
        <f t="shared" si="0"/>
        <v>0</v>
      </c>
      <c r="S12" s="300">
        <f t="shared" si="1"/>
        <v>0</v>
      </c>
    </row>
    <row r="13" spans="1:19" ht="15" customHeight="1">
      <c r="A13" s="16"/>
      <c r="B13" s="605" t="s">
        <v>439</v>
      </c>
      <c r="C13" s="606"/>
      <c r="D13" s="181">
        <f>'HDPE-A3'!D13*1.04</f>
        <v>1565.2</v>
      </c>
      <c r="E13" s="67">
        <f>'HDPE-A3'!E13*1.04</f>
        <v>1747.2</v>
      </c>
      <c r="F13" s="67">
        <f>'HDPE-A3'!F13*1.04</f>
        <v>1747.2</v>
      </c>
      <c r="G13" s="67">
        <f>'HDPE-A3'!G13*1.04</f>
        <v>1747.2</v>
      </c>
      <c r="H13" s="67">
        <f>'HDPE-A3'!H13*1.04</f>
        <v>1804.4</v>
      </c>
      <c r="I13" s="67">
        <f>'HDPE-A3'!I13*1.04</f>
        <v>1804.4</v>
      </c>
      <c r="J13" s="182">
        <f>'HDPE-A3'!J13*1.04</f>
        <v>2363.92</v>
      </c>
      <c r="K13" s="183">
        <f>'HDPE-A3'!K13*1.04</f>
        <v>2987.92</v>
      </c>
      <c r="L13" s="184">
        <f>'HDPE-A3'!L13*1.04</f>
        <v>2987.92</v>
      </c>
      <c r="M13" s="182">
        <f>'HDPE-A3'!M13*1.04</f>
        <v>2987.92</v>
      </c>
      <c r="N13" s="182">
        <f>'HDPE-A3'!N13*1.04</f>
        <v>2987.92</v>
      </c>
      <c r="O13" s="182">
        <f>'HDPE-A3'!O13*1.04</f>
        <v>2987.92</v>
      </c>
      <c r="P13" s="182">
        <f>'HDPE-A3'!P13*1.04</f>
        <v>2987.92</v>
      </c>
      <c r="Q13" s="185">
        <f>'HDPE-A3'!Q13*1.04</f>
        <v>2987.92</v>
      </c>
      <c r="R13" s="302">
        <f t="shared" si="0"/>
        <v>9.6999999999999993</v>
      </c>
      <c r="S13" s="300">
        <f t="shared" si="1"/>
        <v>0</v>
      </c>
    </row>
    <row r="14" spans="1:19" ht="15.75" hidden="1" customHeight="1">
      <c r="A14" s="16"/>
      <c r="B14" s="16"/>
      <c r="C14" s="90" t="s">
        <v>306</v>
      </c>
      <c r="D14" s="181">
        <f>'HDPE-A3'!D14*1.04</f>
        <v>0</v>
      </c>
      <c r="E14" s="67">
        <f>'HDPE-A3'!E14*1.04</f>
        <v>0</v>
      </c>
      <c r="F14" s="67">
        <f>'HDPE-A3'!F14*1.04</f>
        <v>0</v>
      </c>
      <c r="G14" s="67">
        <f>'HDPE-A3'!G14*1.04</f>
        <v>0</v>
      </c>
      <c r="H14" s="67">
        <f>'HDPE-A3'!H14*1.04</f>
        <v>0</v>
      </c>
      <c r="I14" s="67">
        <f>'HDPE-A3'!I14*1.04</f>
        <v>0</v>
      </c>
      <c r="J14" s="67">
        <f>'HDPE-A3'!J14*1.04</f>
        <v>0</v>
      </c>
      <c r="K14" s="186">
        <f>'HDPE-A3'!K14*1.04</f>
        <v>0</v>
      </c>
      <c r="L14" s="187">
        <f>'HDPE-A3'!L14*1.04</f>
        <v>0</v>
      </c>
      <c r="M14" s="67">
        <f>'HDPE-A3'!M14*1.04</f>
        <v>0</v>
      </c>
      <c r="N14" s="67">
        <f>'HDPE-A3'!N14*1.04</f>
        <v>0</v>
      </c>
      <c r="O14" s="67">
        <f>'HDPE-A3'!O14*1.04</f>
        <v>0</v>
      </c>
      <c r="P14" s="67">
        <f>'HDPE-A3'!P14*1.04</f>
        <v>0</v>
      </c>
      <c r="Q14" s="68">
        <f>'HDPE-A3'!Q14*1.04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'HDPE-A3'!D15*1.04</f>
        <v>228.8</v>
      </c>
      <c r="E15" s="67">
        <f>'HDPE-A3'!E15*1.04</f>
        <v>228.8</v>
      </c>
      <c r="F15" s="67">
        <f>'HDPE-A3'!F15*1.04</f>
        <v>228.8</v>
      </c>
      <c r="G15" s="67">
        <f>'HDPE-A3'!G15*1.04</f>
        <v>228.8</v>
      </c>
      <c r="H15" s="67">
        <f>'HDPE-A3'!H15*1.04</f>
        <v>228.8</v>
      </c>
      <c r="I15" s="67">
        <f>'HDPE-A3'!I15*1.04</f>
        <v>301.60000000000002</v>
      </c>
      <c r="J15" s="67">
        <f>'HDPE-A3'!J15*1.04</f>
        <v>301.60000000000002</v>
      </c>
      <c r="K15" s="186">
        <f>'HDPE-A3'!K15*1.04</f>
        <v>301.60000000000002</v>
      </c>
      <c r="L15" s="187">
        <f>'HDPE-A3'!L15*1.04</f>
        <v>301.60000000000002</v>
      </c>
      <c r="M15" s="67">
        <f>'HDPE-A3'!M15*1.04</f>
        <v>301.60000000000002</v>
      </c>
      <c r="N15" s="67">
        <f>'HDPE-A3'!N15*1.04</f>
        <v>301.60000000000002</v>
      </c>
      <c r="O15" s="67">
        <f>'HDPE-A3'!O15*1.04</f>
        <v>384.8</v>
      </c>
      <c r="P15" s="67">
        <f>'HDPE-A3'!P15*1.04</f>
        <v>384.8</v>
      </c>
      <c r="Q15" s="68">
        <f>'HDPE-A3'!Q15*1.04</f>
        <v>384.8</v>
      </c>
      <c r="R15" s="302">
        <f t="shared" si="0"/>
        <v>4</v>
      </c>
      <c r="S15" s="300">
        <f t="shared" si="1"/>
        <v>5</v>
      </c>
    </row>
    <row r="16" spans="1:19" ht="15" customHeight="1">
      <c r="A16" s="16"/>
      <c r="B16" s="605" t="s">
        <v>441</v>
      </c>
      <c r="C16" s="606"/>
      <c r="D16" s="181">
        <f>'HDPE-A3'!D16*1.04</f>
        <v>551.20000000000005</v>
      </c>
      <c r="E16" s="67">
        <f>'HDPE-A3'!E16*1.04</f>
        <v>551.20000000000005</v>
      </c>
      <c r="F16" s="67">
        <f>'HDPE-A3'!F16*1.04</f>
        <v>551.20000000000005</v>
      </c>
      <c r="G16" s="67">
        <f>'HDPE-A3'!G16*1.04</f>
        <v>551.20000000000005</v>
      </c>
      <c r="H16" s="67">
        <f>'HDPE-A3'!H16*1.04</f>
        <v>551.20000000000005</v>
      </c>
      <c r="I16" s="67">
        <f>'HDPE-A3'!I16*1.04</f>
        <v>551.20000000000005</v>
      </c>
      <c r="J16" s="67">
        <f>'HDPE-A3'!J16*1.04</f>
        <v>551.20000000000005</v>
      </c>
      <c r="K16" s="186">
        <f>'HDPE-A3'!K16*1.04</f>
        <v>551.20000000000005</v>
      </c>
      <c r="L16" s="187">
        <f>'HDPE-A3'!L16*1.04</f>
        <v>551.20000000000005</v>
      </c>
      <c r="M16" s="67">
        <f>'HDPE-A3'!M16*1.04</f>
        <v>551.20000000000005</v>
      </c>
      <c r="N16" s="67">
        <f>'HDPE-A3'!N16*1.04</f>
        <v>915.2</v>
      </c>
      <c r="O16" s="67">
        <f>'HDPE-A3'!O16*1.04</f>
        <v>915.2</v>
      </c>
      <c r="P16" s="67">
        <f>'HDPE-A3'!P16*1.04</f>
        <v>915.2</v>
      </c>
      <c r="Q16" s="68">
        <f>'HDPE-A3'!Q16*1.04</f>
        <v>915.2</v>
      </c>
      <c r="R16" s="302">
        <f t="shared" si="0"/>
        <v>0</v>
      </c>
      <c r="S16" s="300">
        <f t="shared" si="1"/>
        <v>10.7</v>
      </c>
    </row>
    <row r="17" spans="1:19" ht="15" customHeight="1">
      <c r="A17" s="16"/>
      <c r="B17" s="605" t="s">
        <v>442</v>
      </c>
      <c r="C17" s="606"/>
      <c r="D17" s="181">
        <f>'HDPE-A3'!D17*1.04</f>
        <v>0</v>
      </c>
      <c r="E17" s="67">
        <f>'HDPE-A3'!E17*1.04</f>
        <v>0</v>
      </c>
      <c r="F17" s="67">
        <f>'HDPE-A3'!F17*1.04</f>
        <v>0</v>
      </c>
      <c r="G17" s="67">
        <f>'HDPE-A3'!G17*1.04</f>
        <v>0</v>
      </c>
      <c r="H17" s="67">
        <f>'HDPE-A3'!H17*1.04</f>
        <v>0</v>
      </c>
      <c r="I17" s="67">
        <f>'HDPE-A3'!I17*1.04</f>
        <v>0</v>
      </c>
      <c r="J17" s="67">
        <f>'HDPE-A3'!J17*1.04</f>
        <v>0</v>
      </c>
      <c r="K17" s="186">
        <f>'HDPE-A3'!K17*1.04</f>
        <v>0</v>
      </c>
      <c r="L17" s="187">
        <f>'HDPE-A3'!L17*1.04</f>
        <v>0</v>
      </c>
      <c r="M17" s="67">
        <f>'HDPE-A3'!M17*1.04</f>
        <v>0</v>
      </c>
      <c r="N17" s="67">
        <f>'HDPE-A3'!N17*1.04</f>
        <v>0</v>
      </c>
      <c r="O17" s="67">
        <f>'HDPE-A3'!O17*1.04</f>
        <v>0</v>
      </c>
      <c r="P17" s="67">
        <f>'HDPE-A3'!P17*1.04</f>
        <v>0</v>
      </c>
      <c r="Q17" s="68">
        <f>'HDPE-A3'!Q17*1.04</f>
        <v>468</v>
      </c>
      <c r="R17" s="302" t="str">
        <f t="shared" si="0"/>
        <v xml:space="preserve">     -</v>
      </c>
      <c r="S17" s="300" t="str">
        <f t="shared" si="1"/>
        <v xml:space="preserve">     -</v>
      </c>
    </row>
    <row r="18" spans="1:19" ht="15" customHeight="1">
      <c r="A18" s="16"/>
      <c r="B18" s="607" t="s">
        <v>443</v>
      </c>
      <c r="C18" s="608"/>
      <c r="D18" s="188">
        <f>'HDPE-A3'!D18*1.04</f>
        <v>1388.4</v>
      </c>
      <c r="E18" s="182">
        <f>'HDPE-A3'!E18*1.04</f>
        <v>1374.88</v>
      </c>
      <c r="F18" s="182">
        <f>'HDPE-A3'!F18*1.04</f>
        <v>1374.88</v>
      </c>
      <c r="G18" s="182">
        <f>'HDPE-A3'!G18*1.04</f>
        <v>1240.72</v>
      </c>
      <c r="H18" s="182">
        <f>'HDPE-A3'!H18*1.04</f>
        <v>1188.72</v>
      </c>
      <c r="I18" s="182">
        <f>'HDPE-A3'!I18*1.04</f>
        <v>1187.68</v>
      </c>
      <c r="J18" s="182">
        <f>'HDPE-A3'!J18*1.04</f>
        <v>1187.68</v>
      </c>
      <c r="K18" s="183">
        <f>'HDPE-A3'!K18*1.04</f>
        <v>1187.68</v>
      </c>
      <c r="L18" s="184">
        <f>'HDPE-A3'!L18*1.04</f>
        <v>1187.68</v>
      </c>
      <c r="M18" s="182">
        <f>'HDPE-A3'!M18*1.04</f>
        <v>1187.68</v>
      </c>
      <c r="N18" s="182">
        <f>'HDPE-A3'!N18*1.04</f>
        <v>1187.68</v>
      </c>
      <c r="O18" s="182">
        <f>'HDPE-A3'!O18*1.04</f>
        <v>1187.68</v>
      </c>
      <c r="P18" s="182">
        <f>'HDPE-A3'!P18*1.04</f>
        <v>1187.68</v>
      </c>
      <c r="Q18" s="185">
        <f>'HDPE-A3'!Q18*1.04</f>
        <v>1187.68</v>
      </c>
      <c r="R18" s="299">
        <f t="shared" si="0"/>
        <v>-2.2000000000000002</v>
      </c>
      <c r="S18" s="300">
        <f t="shared" si="1"/>
        <v>0</v>
      </c>
    </row>
    <row r="19" spans="1:19" ht="15.75" customHeight="1">
      <c r="A19" s="16"/>
      <c r="B19" s="674" t="s">
        <v>307</v>
      </c>
      <c r="C19" s="675"/>
      <c r="D19" s="189">
        <f>'HDPE-A3'!D19*1.04</f>
        <v>14423.76</v>
      </c>
      <c r="E19" s="190">
        <f>'HDPE-A3'!E19*1.04</f>
        <v>14883.44</v>
      </c>
      <c r="F19" s="190">
        <f>'HDPE-A3'!F19*1.04</f>
        <v>14992.640000000001</v>
      </c>
      <c r="G19" s="190">
        <f>'HDPE-A3'!G19*1.04</f>
        <v>15574</v>
      </c>
      <c r="H19" s="190">
        <f>'HDPE-A3'!H19*1.04</f>
        <v>16231.28</v>
      </c>
      <c r="I19" s="190">
        <f>'HDPE-A3'!I19*1.04</f>
        <v>16708.64</v>
      </c>
      <c r="J19" s="190">
        <f>'HDPE-A3'!J19*1.04</f>
        <v>17346.16</v>
      </c>
      <c r="K19" s="191">
        <f>'HDPE-A3'!K19*1.04</f>
        <v>17970.16</v>
      </c>
      <c r="L19" s="192">
        <f>'HDPE-A3'!L19*1.04</f>
        <v>18346.64</v>
      </c>
      <c r="M19" s="190">
        <f>'HDPE-A3'!M19*1.04</f>
        <v>19968</v>
      </c>
      <c r="N19" s="190">
        <f>'HDPE-A3'!N19*1.04</f>
        <v>22823.84</v>
      </c>
      <c r="O19" s="190">
        <f>'HDPE-A3'!O19*1.04</f>
        <v>24324.560000000001</v>
      </c>
      <c r="P19" s="190">
        <f>'HDPE-A3'!P19*1.04</f>
        <v>25000.560000000001</v>
      </c>
      <c r="Q19" s="193">
        <f>'HDPE-A3'!Q19*1.04</f>
        <v>26196.560000000001</v>
      </c>
      <c r="R19" s="303">
        <f t="shared" si="0"/>
        <v>3.2</v>
      </c>
      <c r="S19" s="304">
        <f t="shared" si="1"/>
        <v>7.4</v>
      </c>
    </row>
    <row r="20" spans="1:19" ht="15.75" customHeight="1">
      <c r="A20" s="16"/>
      <c r="B20" s="672" t="s">
        <v>308</v>
      </c>
      <c r="C20" s="673"/>
      <c r="D20" s="194">
        <f>'HDPE-A3'!D20*1.04</f>
        <v>208</v>
      </c>
      <c r="E20" s="195">
        <f>'HDPE-A3'!E20*1.04</f>
        <v>208</v>
      </c>
      <c r="F20" s="195">
        <f>'HDPE-A3'!F20*1.04</f>
        <v>208</v>
      </c>
      <c r="G20" s="195">
        <f>'HDPE-A3'!G20*1.04</f>
        <v>213.20000000000002</v>
      </c>
      <c r="H20" s="195">
        <f>'HDPE-A3'!H20*1.04</f>
        <v>213.20000000000002</v>
      </c>
      <c r="I20" s="195">
        <f>'HDPE-A3'!I20*1.04</f>
        <v>213.20000000000002</v>
      </c>
      <c r="J20" s="195">
        <f>'HDPE-A3'!J20*1.04</f>
        <v>213.20000000000002</v>
      </c>
      <c r="K20" s="196">
        <f>'HDPE-A3'!K20*1.04</f>
        <v>213.20000000000002</v>
      </c>
      <c r="L20" s="197">
        <f>'HDPE-A3'!L20*1.04</f>
        <v>213.20000000000002</v>
      </c>
      <c r="M20" s="195">
        <f>'HDPE-A3'!M20*1.04</f>
        <v>213.20000000000002</v>
      </c>
      <c r="N20" s="195">
        <f>'HDPE-A3'!N20*1.04</f>
        <v>213.20000000000002</v>
      </c>
      <c r="O20" s="195">
        <f>'HDPE-A3'!O20*1.04</f>
        <v>213.20000000000002</v>
      </c>
      <c r="P20" s="195">
        <f>'HDPE-A3'!P20*1.04</f>
        <v>213.20000000000002</v>
      </c>
      <c r="Q20" s="198">
        <f>'HDPE-A3'!Q20*1.04</f>
        <v>213.20000000000002</v>
      </c>
      <c r="R20" s="303">
        <f t="shared" si="0"/>
        <v>0.4</v>
      </c>
      <c r="S20" s="304">
        <f t="shared" si="1"/>
        <v>0</v>
      </c>
    </row>
    <row r="21" spans="1:19" ht="15" customHeight="1">
      <c r="A21" s="16"/>
      <c r="B21" s="105"/>
      <c r="C21" s="97" t="s">
        <v>309</v>
      </c>
      <c r="D21" s="194">
        <f>'HDPE-A3'!D21*1.04</f>
        <v>208</v>
      </c>
      <c r="E21" s="195">
        <f>'HDPE-A3'!E21*1.04</f>
        <v>208</v>
      </c>
      <c r="F21" s="195">
        <f>'HDPE-A3'!F21*1.04</f>
        <v>208</v>
      </c>
      <c r="G21" s="195">
        <f>'HDPE-A3'!G21*1.04</f>
        <v>213.20000000000002</v>
      </c>
      <c r="H21" s="195">
        <f>'HDPE-A3'!H21*1.04</f>
        <v>213.20000000000002</v>
      </c>
      <c r="I21" s="195">
        <f>'HDPE-A3'!I21*1.04</f>
        <v>213.20000000000002</v>
      </c>
      <c r="J21" s="195">
        <f>'HDPE-A3'!J21*1.04</f>
        <v>213.20000000000002</v>
      </c>
      <c r="K21" s="196">
        <f>'HDPE-A3'!K21*1.04</f>
        <v>213.20000000000002</v>
      </c>
      <c r="L21" s="197">
        <f>'HDPE-A3'!L21*1.04</f>
        <v>213.20000000000002</v>
      </c>
      <c r="M21" s="195">
        <f>'HDPE-A3'!M21*1.04</f>
        <v>213.20000000000002</v>
      </c>
      <c r="N21" s="195">
        <f>'HDPE-A3'!N21*1.04</f>
        <v>213.20000000000002</v>
      </c>
      <c r="O21" s="195">
        <f>'HDPE-A3'!O21*1.04</f>
        <v>213.20000000000002</v>
      </c>
      <c r="P21" s="195">
        <f>'HDPE-A3'!P21*1.04</f>
        <v>213.20000000000002</v>
      </c>
      <c r="Q21" s="198">
        <f>'HDPE-A3'!Q21*1.04</f>
        <v>213.20000000000002</v>
      </c>
      <c r="R21" s="303">
        <f t="shared" si="0"/>
        <v>0.4</v>
      </c>
      <c r="S21" s="304">
        <f t="shared" si="1"/>
        <v>0</v>
      </c>
    </row>
    <row r="22" spans="1:19" ht="15.75" customHeight="1">
      <c r="A22" s="16"/>
      <c r="B22" s="672" t="s">
        <v>310</v>
      </c>
      <c r="C22" s="673"/>
      <c r="D22" s="181">
        <f>'HDPE-A3'!D22*1.04</f>
        <v>6765.2</v>
      </c>
      <c r="E22" s="67">
        <f>'HDPE-A3'!E22*1.04</f>
        <v>6619.6</v>
      </c>
      <c r="F22" s="67">
        <f>'HDPE-A3'!F22*1.04</f>
        <v>6950.3200000000006</v>
      </c>
      <c r="G22" s="67">
        <f>'HDPE-A3'!G22*1.04</f>
        <v>6669.52</v>
      </c>
      <c r="H22" s="182">
        <f>'HDPE-A3'!H22*1.04</f>
        <v>6487.52</v>
      </c>
      <c r="I22" s="182">
        <f>'HDPE-A3'!I22*1.04</f>
        <v>6310.72</v>
      </c>
      <c r="J22" s="182">
        <f>'HDPE-A3'!J22*1.04</f>
        <v>6310.72</v>
      </c>
      <c r="K22" s="183">
        <f>'HDPE-A3'!K22*1.04</f>
        <v>6310.72</v>
      </c>
      <c r="L22" s="184">
        <f>'HDPE-A3'!L22*1.04</f>
        <v>6310.72</v>
      </c>
      <c r="M22" s="182">
        <f>'HDPE-A3'!M22*1.04</f>
        <v>6591.52</v>
      </c>
      <c r="N22" s="182">
        <f>'HDPE-A3'!N22*1.04</f>
        <v>6591.52</v>
      </c>
      <c r="O22" s="182">
        <f>'HDPE-A3'!O22*1.04</f>
        <v>6591.52</v>
      </c>
      <c r="P22" s="182">
        <f>'HDPE-A3'!P22*1.04</f>
        <v>6591.52</v>
      </c>
      <c r="Q22" s="185">
        <f>'HDPE-A3'!Q22*1.04</f>
        <v>6591.52</v>
      </c>
      <c r="R22" s="299">
        <f t="shared" si="0"/>
        <v>-1</v>
      </c>
      <c r="S22" s="300">
        <f t="shared" si="1"/>
        <v>0.9</v>
      </c>
    </row>
    <row r="23" spans="1:19" ht="15" customHeight="1">
      <c r="A23" s="16"/>
      <c r="B23" s="105"/>
      <c r="C23" s="615" t="s">
        <v>311</v>
      </c>
      <c r="D23" s="194">
        <f>'HDPE-A3'!D23*1.04</f>
        <v>5683.6</v>
      </c>
      <c r="E23" s="195">
        <f>'HDPE-A3'!E23*1.04</f>
        <v>5486</v>
      </c>
      <c r="F23" s="195">
        <f>'HDPE-A3'!F23*1.04</f>
        <v>5671.12</v>
      </c>
      <c r="G23" s="195">
        <f>'HDPE-A3'!G23*1.04</f>
        <v>5379.92</v>
      </c>
      <c r="H23" s="190">
        <f>'HDPE-A3'!H23*1.04</f>
        <v>5197.92</v>
      </c>
      <c r="I23" s="190">
        <f>'HDPE-A3'!I23*1.04</f>
        <v>5021.12</v>
      </c>
      <c r="J23" s="190">
        <f>'HDPE-A3'!J23*1.04</f>
        <v>5021.12</v>
      </c>
      <c r="K23" s="191">
        <f>'HDPE-A3'!K23*1.04</f>
        <v>5021.12</v>
      </c>
      <c r="L23" s="192">
        <f>'HDPE-A3'!L23*1.04</f>
        <v>5021.12</v>
      </c>
      <c r="M23" s="190">
        <f>'HDPE-A3'!M23*1.04</f>
        <v>5021.12</v>
      </c>
      <c r="N23" s="190">
        <f>'HDPE-A3'!N23*1.04</f>
        <v>5021.12</v>
      </c>
      <c r="O23" s="190">
        <f>'HDPE-A3'!O23*1.04</f>
        <v>5021.12</v>
      </c>
      <c r="P23" s="190">
        <f>'HDPE-A3'!P23*1.04</f>
        <v>5021.12</v>
      </c>
      <c r="Q23" s="193">
        <f>'HDPE-A3'!Q23*1.04</f>
        <v>5021.12</v>
      </c>
      <c r="R23" s="303">
        <f t="shared" si="0"/>
        <v>-1.8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'HDPE-A3'!D24*1.04</f>
        <v>6834.88</v>
      </c>
      <c r="E24" s="67">
        <f>'HDPE-A3'!E24*1.04</f>
        <v>7718.88</v>
      </c>
      <c r="F24" s="67">
        <f>'HDPE-A3'!F24*1.04</f>
        <v>8860.8000000000011</v>
      </c>
      <c r="G24" s="67">
        <f>'HDPE-A3'!G24*1.04</f>
        <v>8860.8000000000011</v>
      </c>
      <c r="H24" s="67">
        <f>'HDPE-A3'!H24*1.04</f>
        <v>9422.4</v>
      </c>
      <c r="I24" s="67">
        <f>'HDPE-A3'!I24*1.04</f>
        <v>9422.4</v>
      </c>
      <c r="J24" s="67">
        <f>'HDPE-A3'!J24*1.04</f>
        <v>9786.4</v>
      </c>
      <c r="K24" s="186">
        <f>'HDPE-A3'!K24*1.04</f>
        <v>9880</v>
      </c>
      <c r="L24" s="187">
        <f>'HDPE-A3'!L24*1.04</f>
        <v>9880</v>
      </c>
      <c r="M24" s="67">
        <f>'HDPE-A3'!M24*1.04</f>
        <v>10192</v>
      </c>
      <c r="N24" s="67">
        <f>'HDPE-A3'!N24*1.04</f>
        <v>10743.2</v>
      </c>
      <c r="O24" s="67">
        <f>'HDPE-A3'!O24*1.04</f>
        <v>10743.2</v>
      </c>
      <c r="P24" s="67">
        <f>'HDPE-A3'!P24*1.04</f>
        <v>10743.2</v>
      </c>
      <c r="Q24" s="68">
        <f>'HDPE-A3'!Q24*1.04</f>
        <v>10743.2</v>
      </c>
      <c r="R24" s="302">
        <f t="shared" si="0"/>
        <v>5.4</v>
      </c>
      <c r="S24" s="300">
        <f t="shared" si="1"/>
        <v>1.7</v>
      </c>
    </row>
    <row r="25" spans="1:19" ht="15" customHeight="1">
      <c r="A25" s="16"/>
      <c r="B25" s="16"/>
      <c r="C25" s="615" t="s">
        <v>313</v>
      </c>
      <c r="D25" s="194">
        <f>'HDPE-A3'!D25*1.04</f>
        <v>4201.6000000000004</v>
      </c>
      <c r="E25" s="195">
        <f>'HDPE-A3'!E25*1.04</f>
        <v>4201.6000000000004</v>
      </c>
      <c r="F25" s="195">
        <f>'HDPE-A3'!F25*1.04</f>
        <v>5345.6</v>
      </c>
      <c r="G25" s="195">
        <f>'HDPE-A3'!G25*1.04</f>
        <v>5345.6</v>
      </c>
      <c r="H25" s="190">
        <f>'HDPE-A3'!H25*1.04</f>
        <v>5345.6</v>
      </c>
      <c r="I25" s="190">
        <f>'HDPE-A3'!I25*1.04</f>
        <v>5345.6</v>
      </c>
      <c r="J25" s="190">
        <f>'HDPE-A3'!J25*1.04</f>
        <v>5709.6</v>
      </c>
      <c r="K25" s="191">
        <f>'HDPE-A3'!K25*1.04</f>
        <v>5709.6</v>
      </c>
      <c r="L25" s="192">
        <f>'HDPE-A3'!L25*1.04</f>
        <v>5709.6</v>
      </c>
      <c r="M25" s="190">
        <f>'HDPE-A3'!M25*1.04</f>
        <v>5709.6</v>
      </c>
      <c r="N25" s="190">
        <f>'HDPE-A3'!N25*1.04</f>
        <v>5709.6</v>
      </c>
      <c r="O25" s="190">
        <f>'HDPE-A3'!O25*1.04</f>
        <v>5709.6</v>
      </c>
      <c r="P25" s="190">
        <f>'HDPE-A3'!P25*1.04</f>
        <v>5709.6</v>
      </c>
      <c r="Q25" s="193">
        <f>'HDPE-A3'!Q25*1.04</f>
        <v>5709.6</v>
      </c>
      <c r="R25" s="303">
        <f t="shared" si="0"/>
        <v>4.5</v>
      </c>
      <c r="S25" s="304">
        <f t="shared" si="1"/>
        <v>0</v>
      </c>
    </row>
    <row r="26" spans="1:19" ht="15.75" customHeight="1">
      <c r="A26" s="16"/>
      <c r="B26" s="674" t="s">
        <v>314</v>
      </c>
      <c r="C26" s="675"/>
      <c r="D26" s="194">
        <f>'HDPE-A3'!D26*1.04</f>
        <v>639.6</v>
      </c>
      <c r="E26" s="195">
        <f>'HDPE-A3'!E26*1.04</f>
        <v>639.6</v>
      </c>
      <c r="F26" s="195">
        <f>'HDPE-A3'!F26*1.04</f>
        <v>639.6</v>
      </c>
      <c r="G26" s="195">
        <f>'HDPE-A3'!G26*1.04</f>
        <v>639.6</v>
      </c>
      <c r="H26" s="195">
        <f>'HDPE-A3'!H26*1.04</f>
        <v>639.6</v>
      </c>
      <c r="I26" s="195">
        <f>'HDPE-A3'!I26*1.04</f>
        <v>639.6</v>
      </c>
      <c r="J26" s="195">
        <f>'HDPE-A3'!J26*1.04</f>
        <v>847.6</v>
      </c>
      <c r="K26" s="196">
        <f>'HDPE-A3'!K26*1.04</f>
        <v>847.6</v>
      </c>
      <c r="L26" s="197">
        <f>'HDPE-A3'!L26*1.04</f>
        <v>847.6</v>
      </c>
      <c r="M26" s="195">
        <f>'HDPE-A3'!M26*1.04</f>
        <v>847.6</v>
      </c>
      <c r="N26" s="195">
        <f>'HDPE-A3'!N26*1.04</f>
        <v>847.6</v>
      </c>
      <c r="O26" s="195">
        <f>'HDPE-A3'!O26*1.04</f>
        <v>847.6</v>
      </c>
      <c r="P26" s="195">
        <f>'HDPE-A3'!P26*1.04</f>
        <v>847.6</v>
      </c>
      <c r="Q26" s="198">
        <f>'HDPE-A3'!Q26*1.04</f>
        <v>847.6</v>
      </c>
      <c r="R26" s="305">
        <f t="shared" si="0"/>
        <v>4.0999999999999996</v>
      </c>
      <c r="S26" s="304">
        <f t="shared" si="1"/>
        <v>0</v>
      </c>
    </row>
    <row r="27" spans="1:19" ht="15.75" customHeight="1">
      <c r="A27" s="16"/>
      <c r="B27" s="674" t="s">
        <v>315</v>
      </c>
      <c r="C27" s="675"/>
      <c r="D27" s="189">
        <f>'HDPE-A3'!D27*1.04</f>
        <v>1440.4</v>
      </c>
      <c r="E27" s="190">
        <f>'HDPE-A3'!E27*1.04</f>
        <v>1440.4</v>
      </c>
      <c r="F27" s="190">
        <f>'HDPE-A3'!F27*1.04</f>
        <v>1440.4</v>
      </c>
      <c r="G27" s="190">
        <f>'HDPE-A3'!G27*1.04</f>
        <v>1440.4</v>
      </c>
      <c r="H27" s="190">
        <f>'HDPE-A3'!H27*1.04</f>
        <v>1440.4</v>
      </c>
      <c r="I27" s="190">
        <f>'HDPE-A3'!I27*1.04</f>
        <v>1841.8400000000001</v>
      </c>
      <c r="J27" s="190">
        <f>'HDPE-A3'!J27*1.04</f>
        <v>1731.6000000000001</v>
      </c>
      <c r="K27" s="191">
        <f>'HDPE-A3'!K27*1.04</f>
        <v>1835.6000000000001</v>
      </c>
      <c r="L27" s="192">
        <f>'HDPE-A3'!L27*1.04</f>
        <v>2366</v>
      </c>
      <c r="M27" s="190">
        <f>'HDPE-A3'!M27*1.04</f>
        <v>3114.8</v>
      </c>
      <c r="N27" s="190">
        <f>'HDPE-A3'!N27*1.04</f>
        <v>3114.8</v>
      </c>
      <c r="O27" s="190">
        <f>'HDPE-A3'!O27*1.04</f>
        <v>3686.8</v>
      </c>
      <c r="P27" s="190">
        <f>'HDPE-A3'!P27*1.04</f>
        <v>5194.8</v>
      </c>
      <c r="Q27" s="193">
        <f>'HDPE-A3'!Q27*1.04</f>
        <v>5194.8</v>
      </c>
      <c r="R27" s="303">
        <f t="shared" si="0"/>
        <v>3.5</v>
      </c>
      <c r="S27" s="304">
        <f t="shared" si="1"/>
        <v>17</v>
      </c>
    </row>
    <row r="28" spans="1:19" ht="15" customHeight="1">
      <c r="A28" s="16"/>
      <c r="B28" s="672" t="s">
        <v>316</v>
      </c>
      <c r="C28" s="673"/>
      <c r="D28" s="181">
        <f>'HDPE-A3'!D28*1.04</f>
        <v>7592</v>
      </c>
      <c r="E28" s="67">
        <f>'HDPE-A3'!E28*1.04</f>
        <v>7382.96</v>
      </c>
      <c r="F28" s="67">
        <f>'HDPE-A3'!F28*1.04</f>
        <v>7341.3600000000006</v>
      </c>
      <c r="G28" s="67">
        <f>'HDPE-A3'!G28*1.04</f>
        <v>7494.2400000000007</v>
      </c>
      <c r="H28" s="67">
        <f>'HDPE-A3'!H28*1.04</f>
        <v>7708.4800000000005</v>
      </c>
      <c r="I28" s="182">
        <f>'HDPE-A3'!I28*1.04</f>
        <v>7841.6</v>
      </c>
      <c r="J28" s="182">
        <f>'HDPE-A3'!J28*1.04</f>
        <v>8168.16</v>
      </c>
      <c r="K28" s="183">
        <f>'HDPE-A3'!K28*1.04</f>
        <v>8445.84</v>
      </c>
      <c r="L28" s="184">
        <f>'HDPE-A3'!L28*1.04</f>
        <v>9235.2000000000007</v>
      </c>
      <c r="M28" s="182">
        <f>'HDPE-A3'!M28*1.04</f>
        <v>9636.6400000000012</v>
      </c>
      <c r="N28" s="182">
        <f>'HDPE-A3'!N28*1.04</f>
        <v>10268.960000000001</v>
      </c>
      <c r="O28" s="182">
        <f>'HDPE-A3'!O28*1.04</f>
        <v>10788.960000000001</v>
      </c>
      <c r="P28" s="182">
        <f>'HDPE-A3'!P28*1.04</f>
        <v>11643.84</v>
      </c>
      <c r="Q28" s="185">
        <f>'HDPE-A3'!Q28*1.04</f>
        <v>11958.960000000001</v>
      </c>
      <c r="R28" s="299">
        <f t="shared" si="0"/>
        <v>1.5</v>
      </c>
      <c r="S28" s="300">
        <f t="shared" si="1"/>
        <v>5.3</v>
      </c>
    </row>
    <row r="29" spans="1:19" ht="15" customHeight="1">
      <c r="A29" s="16"/>
      <c r="B29" s="670" t="s">
        <v>317</v>
      </c>
      <c r="C29" s="671"/>
      <c r="D29" s="181">
        <f>'HDPE-A3'!D29*1.04</f>
        <v>1466.4</v>
      </c>
      <c r="E29" s="67">
        <f>'HDPE-A3'!E29*1.04</f>
        <v>1466.4</v>
      </c>
      <c r="F29" s="67">
        <f>'HDPE-A3'!F29*1.04</f>
        <v>1466.4</v>
      </c>
      <c r="G29" s="67">
        <f>'HDPE-A3'!G29*1.04</f>
        <v>1653.6000000000001</v>
      </c>
      <c r="H29" s="67">
        <f>'HDPE-A3'!H29*1.04</f>
        <v>1653.6000000000001</v>
      </c>
      <c r="I29" s="182">
        <f>'HDPE-A3'!I29*1.04</f>
        <v>1679.6000000000001</v>
      </c>
      <c r="J29" s="182">
        <f>'HDPE-A3'!J29*1.04</f>
        <v>1695.2</v>
      </c>
      <c r="K29" s="183">
        <f>'HDPE-A3'!K29*1.04</f>
        <v>1695.2</v>
      </c>
      <c r="L29" s="184">
        <f>'HDPE-A3'!L29*1.04</f>
        <v>1695.2</v>
      </c>
      <c r="M29" s="182">
        <f>'HDPE-A3'!M29*1.04</f>
        <v>1695.2</v>
      </c>
      <c r="N29" s="182">
        <f>'HDPE-A3'!N29*1.04</f>
        <v>1695.2</v>
      </c>
      <c r="O29" s="182">
        <f>'HDPE-A3'!O29*1.04</f>
        <v>1695.2</v>
      </c>
      <c r="P29" s="182">
        <f>'HDPE-A3'!P29*1.04</f>
        <v>1695.2</v>
      </c>
      <c r="Q29" s="185">
        <f>'HDPE-A3'!Q29*1.04</f>
        <v>1695.2</v>
      </c>
      <c r="R29" s="299">
        <f t="shared" si="0"/>
        <v>2.1</v>
      </c>
      <c r="S29" s="300">
        <f t="shared" si="1"/>
        <v>0</v>
      </c>
    </row>
    <row r="30" spans="1:19" ht="15.75" customHeight="1">
      <c r="A30" s="16"/>
      <c r="B30" s="674" t="s">
        <v>318</v>
      </c>
      <c r="C30" s="675"/>
      <c r="D30" s="189">
        <f>'HDPE-A3'!D30*1.04</f>
        <v>9058.4</v>
      </c>
      <c r="E30" s="190">
        <f>'HDPE-A3'!E30*1.04</f>
        <v>8849.36</v>
      </c>
      <c r="F30" s="190">
        <f>'HDPE-A3'!F30*1.04</f>
        <v>8807.76</v>
      </c>
      <c r="G30" s="190">
        <f>'HDPE-A3'!G30*1.04</f>
        <v>9147.84</v>
      </c>
      <c r="H30" s="190">
        <f>'HDPE-A3'!H30*1.04</f>
        <v>9362.08</v>
      </c>
      <c r="I30" s="190">
        <f>'HDPE-A3'!I30*1.04</f>
        <v>9521.2000000000007</v>
      </c>
      <c r="J30" s="190">
        <f>'HDPE-A3'!J30*1.04</f>
        <v>9863.36</v>
      </c>
      <c r="K30" s="191">
        <f>'HDPE-A3'!K30*1.04</f>
        <v>10141.040000000001</v>
      </c>
      <c r="L30" s="192">
        <f>'HDPE-A3'!L30*1.04</f>
        <v>10930.4</v>
      </c>
      <c r="M30" s="190">
        <f>'HDPE-A3'!M30*1.04</f>
        <v>11331.84</v>
      </c>
      <c r="N30" s="190">
        <f>'HDPE-A3'!N30*1.04</f>
        <v>11964.16</v>
      </c>
      <c r="O30" s="190">
        <f>'HDPE-A3'!O30*1.04</f>
        <v>12484.16</v>
      </c>
      <c r="P30" s="190">
        <f>'HDPE-A3'!P30*1.04</f>
        <v>13339.04</v>
      </c>
      <c r="Q30" s="193">
        <f>'HDPE-A3'!Q30*1.04</f>
        <v>13654.16</v>
      </c>
      <c r="R30" s="303">
        <f t="shared" si="0"/>
        <v>1.6</v>
      </c>
      <c r="S30" s="304">
        <f t="shared" si="1"/>
        <v>4.5999999999999996</v>
      </c>
    </row>
    <row r="31" spans="1:19" ht="15" customHeight="1">
      <c r="A31" s="16"/>
      <c r="B31" s="672" t="s">
        <v>319</v>
      </c>
      <c r="C31" s="673"/>
      <c r="D31" s="181">
        <f>'HDPE-A3'!D31*1.04</f>
        <v>239.20000000000002</v>
      </c>
      <c r="E31" s="67">
        <f>'HDPE-A3'!E31*1.04</f>
        <v>239.20000000000002</v>
      </c>
      <c r="F31" s="67">
        <f>'HDPE-A3'!F31*1.04</f>
        <v>239.20000000000002</v>
      </c>
      <c r="G31" s="67">
        <f>'HDPE-A3'!G31*1.04</f>
        <v>239.20000000000002</v>
      </c>
      <c r="H31" s="67">
        <f>'HDPE-A3'!H31*1.04</f>
        <v>239.20000000000002</v>
      </c>
      <c r="I31" s="62">
        <f>'HDPE-A3'!I31*1.04</f>
        <v>239.20000000000002</v>
      </c>
      <c r="J31" s="182">
        <f>'HDPE-A3'!J31*1.04</f>
        <v>824.72</v>
      </c>
      <c r="K31" s="183">
        <f>'HDPE-A3'!K31*1.04</f>
        <v>1019.2</v>
      </c>
      <c r="L31" s="184">
        <f>'HDPE-A3'!L31*1.04</f>
        <v>1019.2</v>
      </c>
      <c r="M31" s="182">
        <f>'HDPE-A3'!M31*1.04</f>
        <v>1019.2</v>
      </c>
      <c r="N31" s="182">
        <f>'HDPE-A3'!N31*1.04</f>
        <v>1019.2</v>
      </c>
      <c r="O31" s="182">
        <f>'HDPE-A3'!O31*1.04</f>
        <v>1019.2</v>
      </c>
      <c r="P31" s="182">
        <f>'HDPE-A3'!P31*1.04</f>
        <v>1019.2</v>
      </c>
      <c r="Q31" s="185">
        <f>'HDPE-A3'!Q31*1.04</f>
        <v>1019.2</v>
      </c>
      <c r="R31" s="299">
        <f t="shared" si="0"/>
        <v>23</v>
      </c>
      <c r="S31" s="300">
        <f t="shared" si="1"/>
        <v>0</v>
      </c>
    </row>
    <row r="32" spans="1:19" ht="15" customHeight="1">
      <c r="A32" s="16"/>
      <c r="B32" s="668" t="s">
        <v>320</v>
      </c>
      <c r="C32" s="669"/>
      <c r="D32" s="181">
        <f>'HDPE-A3'!D32*1.04</f>
        <v>1341.6000000000001</v>
      </c>
      <c r="E32" s="67">
        <f>'HDPE-A3'!E32*1.04</f>
        <v>1341.6000000000001</v>
      </c>
      <c r="F32" s="67">
        <f>'HDPE-A3'!F32*1.04</f>
        <v>1378</v>
      </c>
      <c r="G32" s="67">
        <f>'HDPE-A3'!G32*1.04</f>
        <v>1378</v>
      </c>
      <c r="H32" s="67">
        <f>'HDPE-A3'!H32*1.04</f>
        <v>1378</v>
      </c>
      <c r="I32" s="182">
        <f>'HDPE-A3'!I32*1.04</f>
        <v>1383.2</v>
      </c>
      <c r="J32" s="182">
        <f>'HDPE-A3'!J32*1.04</f>
        <v>1383.2</v>
      </c>
      <c r="K32" s="183">
        <f>'HDPE-A3'!K32*1.04</f>
        <v>1383.2</v>
      </c>
      <c r="L32" s="184">
        <f>'HDPE-A3'!L32*1.04</f>
        <v>1383.2</v>
      </c>
      <c r="M32" s="182">
        <f>'HDPE-A3'!M32*1.04</f>
        <v>1383.2</v>
      </c>
      <c r="N32" s="182">
        <f>'HDPE-A3'!N32*1.04</f>
        <v>1383.2</v>
      </c>
      <c r="O32" s="182">
        <f>'HDPE-A3'!O32*1.04</f>
        <v>1383.2</v>
      </c>
      <c r="P32" s="182">
        <f>'HDPE-A3'!P32*1.04</f>
        <v>1383.2</v>
      </c>
      <c r="Q32" s="185">
        <f>'HDPE-A3'!Q32*1.04</f>
        <v>1383.2</v>
      </c>
      <c r="R32" s="299">
        <f t="shared" si="0"/>
        <v>0.4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81">
        <f>'HDPE-A3'!D33*1.04</f>
        <v>457.6</v>
      </c>
      <c r="E33" s="67">
        <f>'HDPE-A3'!E33*1.04</f>
        <v>457.6</v>
      </c>
      <c r="F33" s="67">
        <f>'HDPE-A3'!F33*1.04</f>
        <v>457.6</v>
      </c>
      <c r="G33" s="67">
        <f>'HDPE-A3'!G33*1.04</f>
        <v>457.6</v>
      </c>
      <c r="H33" s="67">
        <f>'HDPE-A3'!H33*1.04</f>
        <v>457.6</v>
      </c>
      <c r="I33" s="182">
        <f>'HDPE-A3'!I33*1.04</f>
        <v>457.6</v>
      </c>
      <c r="J33" s="182">
        <f>'HDPE-A3'!J33*1.04</f>
        <v>457.6</v>
      </c>
      <c r="K33" s="183">
        <f>'HDPE-A3'!K33*1.04</f>
        <v>457.6</v>
      </c>
      <c r="L33" s="184">
        <f>'HDPE-A3'!L33*1.04</f>
        <v>457.6</v>
      </c>
      <c r="M33" s="182">
        <f>'HDPE-A3'!M33*1.04</f>
        <v>457.6</v>
      </c>
      <c r="N33" s="182">
        <f>'HDPE-A3'!N33*1.04</f>
        <v>457.6</v>
      </c>
      <c r="O33" s="182">
        <f>'HDPE-A3'!O33*1.04</f>
        <v>457.6</v>
      </c>
      <c r="P33" s="182">
        <f>'HDPE-A3'!P33*1.04</f>
        <v>457.6</v>
      </c>
      <c r="Q33" s="185">
        <f>'HDPE-A3'!Q33*1.04</f>
        <v>457.6</v>
      </c>
      <c r="R33" s="299">
        <f t="shared" si="0"/>
        <v>0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99">
        <f>'HDPE-A3'!D34*1.04</f>
        <v>2038.4</v>
      </c>
      <c r="E34" s="200">
        <f>'HDPE-A3'!E34*1.04</f>
        <v>2038.4</v>
      </c>
      <c r="F34" s="200">
        <f>'HDPE-A3'!F34*1.04</f>
        <v>2074.8000000000002</v>
      </c>
      <c r="G34" s="200">
        <f>'HDPE-A3'!G34*1.04</f>
        <v>2074.8000000000002</v>
      </c>
      <c r="H34" s="200">
        <f>'HDPE-A3'!H34*1.04</f>
        <v>2074.8000000000002</v>
      </c>
      <c r="I34" s="200">
        <f>'HDPE-A3'!I34*1.04</f>
        <v>2080</v>
      </c>
      <c r="J34" s="200">
        <f>'HDPE-A3'!J34*1.04</f>
        <v>2665.52</v>
      </c>
      <c r="K34" s="201">
        <f>'HDPE-A3'!K34*1.04</f>
        <v>2860</v>
      </c>
      <c r="L34" s="202">
        <f>'HDPE-A3'!L34*1.04</f>
        <v>2860</v>
      </c>
      <c r="M34" s="200">
        <f>'HDPE-A3'!M34*1.04</f>
        <v>2860</v>
      </c>
      <c r="N34" s="200">
        <f>'HDPE-A3'!N34*1.04</f>
        <v>2860</v>
      </c>
      <c r="O34" s="200">
        <f>'HDPE-A3'!O34*1.04</f>
        <v>2860</v>
      </c>
      <c r="P34" s="200">
        <f>'HDPE-A3'!P34*1.04</f>
        <v>2860</v>
      </c>
      <c r="Q34" s="203">
        <f>'HDPE-A3'!Q34*1.04</f>
        <v>2860</v>
      </c>
      <c r="R34" s="306">
        <f t="shared" si="0"/>
        <v>5</v>
      </c>
      <c r="S34" s="307">
        <f t="shared" si="1"/>
        <v>0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41408.639999999999</v>
      </c>
      <c r="E35" s="205">
        <f t="shared" ref="E35:Q35" si="2">E34+E30+E27+E26+E24+E22+E20+E19</f>
        <v>42397.68</v>
      </c>
      <c r="F35" s="205">
        <f t="shared" si="2"/>
        <v>43974.32</v>
      </c>
      <c r="G35" s="205">
        <f t="shared" si="2"/>
        <v>44620.160000000003</v>
      </c>
      <c r="H35" s="205">
        <f t="shared" si="2"/>
        <v>45871.28</v>
      </c>
      <c r="I35" s="205">
        <f t="shared" si="2"/>
        <v>46737.600000000006</v>
      </c>
      <c r="J35" s="205">
        <f t="shared" si="2"/>
        <v>48764.560000000005</v>
      </c>
      <c r="K35" s="206">
        <f t="shared" si="2"/>
        <v>50058.320000000007</v>
      </c>
      <c r="L35" s="207">
        <f t="shared" si="2"/>
        <v>51754.559999999998</v>
      </c>
      <c r="M35" s="205">
        <f t="shared" si="2"/>
        <v>55118.959999999992</v>
      </c>
      <c r="N35" s="205">
        <f t="shared" si="2"/>
        <v>59158.319999999992</v>
      </c>
      <c r="O35" s="205">
        <f t="shared" si="2"/>
        <v>61751.039999999994</v>
      </c>
      <c r="P35" s="205">
        <f t="shared" si="2"/>
        <v>64789.919999999998</v>
      </c>
      <c r="Q35" s="208">
        <f t="shared" si="2"/>
        <v>66301.039999999994</v>
      </c>
      <c r="R35" s="308">
        <f t="shared" si="0"/>
        <v>2.7</v>
      </c>
      <c r="S35" s="309">
        <f t="shared" si="1"/>
        <v>5.0999999999999996</v>
      </c>
    </row>
    <row r="36" spans="1:19" ht="15" customHeight="1">
      <c r="A36" s="613" t="s">
        <v>324</v>
      </c>
      <c r="B36" s="644" t="s">
        <v>433</v>
      </c>
      <c r="C36" s="645"/>
      <c r="D36" s="181">
        <f>'HDPE-A3'!D36*1.04</f>
        <v>2075.84</v>
      </c>
      <c r="E36" s="67">
        <f>'HDPE-A3'!E36*1.04</f>
        <v>2060.2400000000002</v>
      </c>
      <c r="F36" s="67">
        <f>'HDPE-A3'!F36*1.04</f>
        <v>2207.92</v>
      </c>
      <c r="G36" s="67">
        <f>'HDPE-A3'!G36*1.04</f>
        <v>2325.44</v>
      </c>
      <c r="H36" s="182">
        <f>'HDPE-A3'!H36*1.04</f>
        <v>2228.7200000000003</v>
      </c>
      <c r="I36" s="182">
        <f>'HDPE-A3'!I36*1.04</f>
        <v>2269.2800000000002</v>
      </c>
      <c r="J36" s="182">
        <f>'HDPE-A3'!J36*1.04</f>
        <v>2214.16</v>
      </c>
      <c r="K36" s="183">
        <f>'HDPE-A3'!K36*1.04</f>
        <v>2166.3200000000002</v>
      </c>
      <c r="L36" s="184">
        <f>'HDPE-A3'!L36*1.04</f>
        <v>2184</v>
      </c>
      <c r="M36" s="182">
        <f>'HDPE-A3'!M36*1.04</f>
        <v>2496</v>
      </c>
      <c r="N36" s="182">
        <f>'HDPE-A3'!N36*1.04</f>
        <v>3016</v>
      </c>
      <c r="O36" s="182">
        <f>'HDPE-A3'!O36*1.04</f>
        <v>3016</v>
      </c>
      <c r="P36" s="182">
        <f>'HDPE-A3'!P36*1.04</f>
        <v>3536</v>
      </c>
      <c r="Q36" s="185">
        <f>'HDPE-A3'!Q36*1.04</f>
        <v>3744</v>
      </c>
      <c r="R36" s="299">
        <f t="shared" si="0"/>
        <v>0.6</v>
      </c>
      <c r="S36" s="300">
        <f t="shared" si="1"/>
        <v>11.4</v>
      </c>
    </row>
    <row r="37" spans="1:19" ht="15" customHeight="1">
      <c r="A37" s="614" t="s">
        <v>325</v>
      </c>
      <c r="B37" s="605" t="s">
        <v>434</v>
      </c>
      <c r="C37" s="606"/>
      <c r="D37" s="181">
        <f>'HDPE-A3'!D37*1.04</f>
        <v>565.76</v>
      </c>
      <c r="E37" s="67">
        <f>'HDPE-A3'!E37*1.04</f>
        <v>540.80000000000007</v>
      </c>
      <c r="F37" s="67">
        <f>'HDPE-A3'!F37*1.04</f>
        <v>488.8</v>
      </c>
      <c r="G37" s="67">
        <f>'HDPE-A3'!G37*1.04</f>
        <v>582.4</v>
      </c>
      <c r="H37" s="182">
        <f>'HDPE-A3'!H37*1.04</f>
        <v>543.92000000000007</v>
      </c>
      <c r="I37" s="182">
        <f>'HDPE-A3'!I37*1.04</f>
        <v>609.44000000000005</v>
      </c>
      <c r="J37" s="182">
        <f>'HDPE-A3'!J37*1.04</f>
        <v>619.84</v>
      </c>
      <c r="K37" s="183">
        <f>'HDPE-A3'!K37*1.04</f>
        <v>605.28</v>
      </c>
      <c r="L37" s="184">
        <f>'HDPE-A3'!L37*1.04</f>
        <v>603.20000000000005</v>
      </c>
      <c r="M37" s="182">
        <f>'HDPE-A3'!M37*1.04</f>
        <v>624</v>
      </c>
      <c r="N37" s="182">
        <f>'HDPE-A3'!N37*1.04</f>
        <v>624</v>
      </c>
      <c r="O37" s="182">
        <f>'HDPE-A3'!O37*1.04</f>
        <v>624</v>
      </c>
      <c r="P37" s="182">
        <f>'HDPE-A3'!P37*1.04</f>
        <v>624</v>
      </c>
      <c r="Q37" s="185">
        <f>'HDPE-A3'!Q37*1.04</f>
        <v>624</v>
      </c>
      <c r="R37" s="299">
        <f t="shared" si="0"/>
        <v>1</v>
      </c>
      <c r="S37" s="300">
        <f t="shared" si="1"/>
        <v>0.7</v>
      </c>
    </row>
    <row r="38" spans="1:19" ht="15" customHeight="1">
      <c r="A38" s="16"/>
      <c r="B38" s="605" t="s">
        <v>435</v>
      </c>
      <c r="C38" s="606"/>
      <c r="D38" s="181">
        <f>'HDPE-A3'!D38*1.04</f>
        <v>385.84000000000003</v>
      </c>
      <c r="E38" s="67">
        <f>'HDPE-A3'!E38*1.04</f>
        <v>367.98666666666668</v>
      </c>
      <c r="F38" s="67">
        <f>'HDPE-A3'!F38*1.04</f>
        <v>331.76</v>
      </c>
      <c r="G38" s="67">
        <f>'HDPE-A3'!G38*1.04</f>
        <v>391.04</v>
      </c>
      <c r="H38" s="67">
        <f>'HDPE-A3'!H38*1.04</f>
        <v>366.61631503437002</v>
      </c>
      <c r="I38" s="62">
        <f>'HDPE-A3'!I38*1.04</f>
        <v>405.6</v>
      </c>
      <c r="J38" s="62">
        <f>'HDPE-A3'!J38*1.04</f>
        <v>385.84000000000003</v>
      </c>
      <c r="K38" s="63">
        <f>'HDPE-A3'!K38*1.04</f>
        <v>356.72</v>
      </c>
      <c r="L38" s="64">
        <f>'HDPE-A3'!L38*1.04</f>
        <v>367.12</v>
      </c>
      <c r="M38" s="62">
        <f>'HDPE-A3'!M38*1.04</f>
        <v>385.84000000000003</v>
      </c>
      <c r="N38" s="62">
        <f>'HDPE-A3'!N38*1.04</f>
        <v>385.84000000000003</v>
      </c>
      <c r="O38" s="62">
        <f>'HDPE-A3'!O38*1.04</f>
        <v>367.12</v>
      </c>
      <c r="P38" s="62">
        <f>'HDPE-A3'!P38*1.04</f>
        <v>385.84000000000003</v>
      </c>
      <c r="Q38" s="65">
        <f>'HDPE-A3'!Q38*1.04</f>
        <v>367.12</v>
      </c>
      <c r="R38" s="301">
        <f t="shared" si="0"/>
        <v>-1.1000000000000001</v>
      </c>
      <c r="S38" s="300">
        <f t="shared" si="1"/>
        <v>0</v>
      </c>
    </row>
    <row r="39" spans="1:19" ht="15" customHeight="1">
      <c r="A39" s="16"/>
      <c r="B39" s="605" t="s">
        <v>436</v>
      </c>
      <c r="C39" s="606"/>
      <c r="D39" s="181">
        <f>'HDPE-A3'!D39*1.04</f>
        <v>5033.6000000000004</v>
      </c>
      <c r="E39" s="67">
        <f>'HDPE-A3'!E39*1.04</f>
        <v>5495.3600000000006</v>
      </c>
      <c r="F39" s="67">
        <f>'HDPE-A3'!F39*1.04</f>
        <v>5370.56</v>
      </c>
      <c r="G39" s="67">
        <f>'HDPE-A3'!G39*1.04</f>
        <v>5542.16</v>
      </c>
      <c r="H39" s="67">
        <f>'HDPE-A3'!H39*1.04</f>
        <v>6071.52</v>
      </c>
      <c r="I39" s="182">
        <f>'HDPE-A3'!I39*1.04</f>
        <v>6169.2800000000007</v>
      </c>
      <c r="J39" s="182">
        <f>'HDPE-A3'!J39*1.04</f>
        <v>6595.68</v>
      </c>
      <c r="K39" s="183">
        <f>'HDPE-A3'!K39*1.04</f>
        <v>6669.52</v>
      </c>
      <c r="L39" s="184">
        <f>'HDPE-A3'!L39*1.04</f>
        <v>7434.96</v>
      </c>
      <c r="M39" s="182">
        <f>'HDPE-A3'!M39*1.04</f>
        <v>7956</v>
      </c>
      <c r="N39" s="182">
        <f>'HDPE-A3'!N39*1.04</f>
        <v>8840</v>
      </c>
      <c r="O39" s="182">
        <f>'HDPE-A3'!O39*1.04</f>
        <v>9812.4</v>
      </c>
      <c r="P39" s="182">
        <f>'HDPE-A3'!P39*1.04</f>
        <v>10108.800000000001</v>
      </c>
      <c r="Q39" s="185">
        <f>'HDPE-A3'!Q39*1.04</f>
        <v>10623.6</v>
      </c>
      <c r="R39" s="299">
        <f t="shared" si="0"/>
        <v>4.0999999999999996</v>
      </c>
      <c r="S39" s="300">
        <f t="shared" si="1"/>
        <v>7.4</v>
      </c>
    </row>
    <row r="40" spans="1:19" ht="15" customHeight="1">
      <c r="A40" s="16"/>
      <c r="B40" s="605" t="s">
        <v>437</v>
      </c>
      <c r="C40" s="606"/>
      <c r="D40" s="181">
        <f>'HDPE-A3'!D40*1.04</f>
        <v>1300</v>
      </c>
      <c r="E40" s="67">
        <f>'HDPE-A3'!E40*1.04</f>
        <v>1692.0800000000002</v>
      </c>
      <c r="F40" s="67">
        <f>'HDPE-A3'!F40*1.04</f>
        <v>1713.92</v>
      </c>
      <c r="G40" s="67">
        <f>'HDPE-A3'!G40*1.04</f>
        <v>1827.7584000000002</v>
      </c>
      <c r="H40" s="67">
        <f>'HDPE-A3'!H40*1.04</f>
        <v>1748.24</v>
      </c>
      <c r="I40" s="67">
        <f>'HDPE-A3'!I40*1.04</f>
        <v>1937.52</v>
      </c>
      <c r="J40" s="67">
        <f>'HDPE-A3'!J40*1.04</f>
        <v>1880.3200000000002</v>
      </c>
      <c r="K40" s="186">
        <f>'HDPE-A3'!K40*1.04</f>
        <v>1889.68</v>
      </c>
      <c r="L40" s="187">
        <f>'HDPE-A3'!L40*1.04</f>
        <v>1889.68</v>
      </c>
      <c r="M40" s="67">
        <f>'HDPE-A3'!M40*1.04</f>
        <v>1889.68</v>
      </c>
      <c r="N40" s="67">
        <f>'HDPE-A3'!N40*1.04</f>
        <v>1889.68</v>
      </c>
      <c r="O40" s="67">
        <f>'HDPE-A3'!O40*1.04</f>
        <v>1889.68</v>
      </c>
      <c r="P40" s="67">
        <f>'HDPE-A3'!P40*1.04</f>
        <v>1889.68</v>
      </c>
      <c r="Q40" s="68">
        <f>'HDPE-A3'!Q40*1.04</f>
        <v>1889.68</v>
      </c>
      <c r="R40" s="302">
        <f t="shared" si="0"/>
        <v>5.5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'HDPE-A3'!D41*1.04</f>
        <v>104</v>
      </c>
      <c r="E41" s="67">
        <f>'HDPE-A3'!E41*1.04</f>
        <v>104</v>
      </c>
      <c r="F41" s="67">
        <f>'HDPE-A3'!F41*1.04</f>
        <v>104</v>
      </c>
      <c r="G41" s="67">
        <f>'HDPE-A3'!G41*1.04</f>
        <v>104</v>
      </c>
      <c r="H41" s="67">
        <f>'HDPE-A3'!H41*1.04</f>
        <v>104</v>
      </c>
      <c r="I41" s="67">
        <f>'HDPE-A3'!I41*1.04</f>
        <v>104</v>
      </c>
      <c r="J41" s="67">
        <f>'HDPE-A3'!J41*1.04</f>
        <v>104</v>
      </c>
      <c r="K41" s="186">
        <f>'HDPE-A3'!K41*1.04</f>
        <v>104</v>
      </c>
      <c r="L41" s="187">
        <f>'HDPE-A3'!L41*1.04</f>
        <v>104</v>
      </c>
      <c r="M41" s="67">
        <f>'HDPE-A3'!M41*1.04</f>
        <v>104</v>
      </c>
      <c r="N41" s="67">
        <f>'HDPE-A3'!N41*1.04</f>
        <v>104</v>
      </c>
      <c r="O41" s="67">
        <f>'HDPE-A3'!O41*1.04</f>
        <v>104</v>
      </c>
      <c r="P41" s="67">
        <f>'HDPE-A3'!P41*1.04</f>
        <v>104</v>
      </c>
      <c r="Q41" s="68">
        <f>'HDPE-A3'!Q41*1.04</f>
        <v>104</v>
      </c>
      <c r="R41" s="302">
        <f t="shared" si="0"/>
        <v>0</v>
      </c>
      <c r="S41" s="300">
        <f t="shared" si="1"/>
        <v>0</v>
      </c>
    </row>
    <row r="42" spans="1:19" ht="15" customHeight="1">
      <c r="A42" s="16"/>
      <c r="B42" s="605" t="s">
        <v>439</v>
      </c>
      <c r="C42" s="606"/>
      <c r="D42" s="181">
        <f>'HDPE-A3'!D42*1.04</f>
        <v>1508</v>
      </c>
      <c r="E42" s="67">
        <f>'HDPE-A3'!E42*1.04</f>
        <v>1520.48</v>
      </c>
      <c r="F42" s="67">
        <f>'HDPE-A3'!F42*1.04</f>
        <v>1470.56</v>
      </c>
      <c r="G42" s="67">
        <f>'HDPE-A3'!G42*1.04</f>
        <v>1545.44</v>
      </c>
      <c r="H42" s="67">
        <f>'HDPE-A3'!H42*1.04</f>
        <v>1685.8400000000001</v>
      </c>
      <c r="I42" s="67">
        <f>'HDPE-A3'!I42*1.04</f>
        <v>1685.8400000000001</v>
      </c>
      <c r="J42" s="182">
        <f>'HDPE-A3'!J42*1.04</f>
        <v>1580.8</v>
      </c>
      <c r="K42" s="183">
        <f>'HDPE-A3'!K42*1.04</f>
        <v>1820</v>
      </c>
      <c r="L42" s="184">
        <f>'HDPE-A3'!L42*1.04</f>
        <v>1976</v>
      </c>
      <c r="M42" s="182">
        <f>'HDPE-A3'!M42*1.04</f>
        <v>2080</v>
      </c>
      <c r="N42" s="182">
        <f>'HDPE-A3'!N42*1.04</f>
        <v>2288</v>
      </c>
      <c r="O42" s="182">
        <f>'HDPE-A3'!O42*1.04</f>
        <v>2288</v>
      </c>
      <c r="P42" s="182">
        <f>'HDPE-A3'!P42*1.04</f>
        <v>2496</v>
      </c>
      <c r="Q42" s="185">
        <f>'HDPE-A3'!Q42*1.04</f>
        <v>2496</v>
      </c>
      <c r="R42" s="299">
        <f t="shared" si="0"/>
        <v>2.7</v>
      </c>
      <c r="S42" s="300">
        <f t="shared" si="1"/>
        <v>4.8</v>
      </c>
    </row>
    <row r="43" spans="1:19" ht="15" hidden="1" customHeight="1">
      <c r="A43" s="16"/>
      <c r="B43" s="16"/>
      <c r="C43" s="90" t="s">
        <v>306</v>
      </c>
      <c r="D43" s="181">
        <f>'HDPE-A3'!D43*1.04</f>
        <v>0</v>
      </c>
      <c r="E43" s="67">
        <f>'HDPE-A3'!E43*1.04</f>
        <v>0</v>
      </c>
      <c r="F43" s="67">
        <f>'HDPE-A3'!F43*1.04</f>
        <v>0</v>
      </c>
      <c r="G43" s="67">
        <f>'HDPE-A3'!G43*1.04</f>
        <v>0</v>
      </c>
      <c r="H43" s="67">
        <f>'HDPE-A3'!H43*1.04</f>
        <v>0</v>
      </c>
      <c r="I43" s="67">
        <f>'HDPE-A3'!I43*1.04</f>
        <v>0</v>
      </c>
      <c r="J43" s="67">
        <f>'HDPE-A3'!J43*1.04</f>
        <v>0</v>
      </c>
      <c r="K43" s="186">
        <f>'HDPE-A3'!K43*1.04</f>
        <v>0</v>
      </c>
      <c r="L43" s="187">
        <f>'HDPE-A3'!L43*1.04</f>
        <v>0</v>
      </c>
      <c r="M43" s="67">
        <f>'HDPE-A3'!M43*1.04</f>
        <v>0</v>
      </c>
      <c r="N43" s="67">
        <f>'HDPE-A3'!N43*1.04</f>
        <v>0</v>
      </c>
      <c r="O43" s="67">
        <f>'HDPE-A3'!O43*1.04</f>
        <v>0</v>
      </c>
      <c r="P43" s="67">
        <f>'HDPE-A3'!P43*1.04</f>
        <v>0</v>
      </c>
      <c r="Q43" s="68">
        <f>'HDPE-A3'!Q43*1.04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'HDPE-A3'!D44*1.04</f>
        <v>46.800000000000004</v>
      </c>
      <c r="E44" s="67">
        <f>'HDPE-A3'!E44*1.04</f>
        <v>37.44</v>
      </c>
      <c r="F44" s="67">
        <f>'HDPE-A3'!F44*1.04</f>
        <v>34.32</v>
      </c>
      <c r="G44" s="67">
        <f>'HDPE-A3'!G44*1.04</f>
        <v>12.48</v>
      </c>
      <c r="H44" s="67">
        <f>'HDPE-A3'!H44*1.04</f>
        <v>9.36</v>
      </c>
      <c r="I44" s="67">
        <f>'HDPE-A3'!I44*1.04</f>
        <v>47.84</v>
      </c>
      <c r="J44" s="67">
        <f>'HDPE-A3'!J44*1.04</f>
        <v>83.2</v>
      </c>
      <c r="K44" s="186">
        <f>'HDPE-A3'!K44*1.04</f>
        <v>124.80000000000001</v>
      </c>
      <c r="L44" s="187">
        <f>'HDPE-A3'!L44*1.04</f>
        <v>145.6</v>
      </c>
      <c r="M44" s="67">
        <f>'HDPE-A3'!M44*1.04</f>
        <v>166.4</v>
      </c>
      <c r="N44" s="67">
        <f>'HDPE-A3'!N44*1.04</f>
        <v>187.20000000000002</v>
      </c>
      <c r="O44" s="67">
        <f>'HDPE-A3'!O44*1.04</f>
        <v>208</v>
      </c>
      <c r="P44" s="67">
        <f>'HDPE-A3'!P44*1.04</f>
        <v>228.8</v>
      </c>
      <c r="Q44" s="68">
        <f>'HDPE-A3'!Q44*1.04</f>
        <v>249.60000000000002</v>
      </c>
      <c r="R44" s="302">
        <f t="shared" si="0"/>
        <v>15</v>
      </c>
      <c r="S44" s="300">
        <f t="shared" si="1"/>
        <v>11.4</v>
      </c>
    </row>
    <row r="45" spans="1:19" ht="15" customHeight="1">
      <c r="A45" s="16"/>
      <c r="B45" s="605" t="s">
        <v>441</v>
      </c>
      <c r="C45" s="606"/>
      <c r="D45" s="181">
        <f>'HDPE-A3'!D45*1.04</f>
        <v>509.6</v>
      </c>
      <c r="E45" s="67">
        <f>'HDPE-A3'!E45*1.04</f>
        <v>499.20000000000005</v>
      </c>
      <c r="F45" s="67">
        <f>'HDPE-A3'!F45*1.04</f>
        <v>509.6</v>
      </c>
      <c r="G45" s="67">
        <f>'HDPE-A3'!G45*1.04</f>
        <v>506.48</v>
      </c>
      <c r="H45" s="67">
        <f>'HDPE-A3'!H45*1.04</f>
        <v>447.2</v>
      </c>
      <c r="I45" s="67">
        <f>'HDPE-A3'!I45*1.04</f>
        <v>499.20000000000005</v>
      </c>
      <c r="J45" s="67">
        <f>'HDPE-A3'!J45*1.04</f>
        <v>496.08000000000004</v>
      </c>
      <c r="K45" s="186">
        <f>'HDPE-A3'!K45*1.04</f>
        <v>480.48</v>
      </c>
      <c r="L45" s="187">
        <f>'HDPE-A3'!L45*1.04</f>
        <v>480.48</v>
      </c>
      <c r="M45" s="67">
        <f>'HDPE-A3'!M45*1.04</f>
        <v>480.48</v>
      </c>
      <c r="N45" s="67">
        <f>'HDPE-A3'!N45*1.04</f>
        <v>792.48</v>
      </c>
      <c r="O45" s="67">
        <f>'HDPE-A3'!O45*1.04</f>
        <v>792.48</v>
      </c>
      <c r="P45" s="67">
        <f>'HDPE-A3'!P45*1.04</f>
        <v>792.48</v>
      </c>
      <c r="Q45" s="68">
        <f>'HDPE-A3'!Q45*1.04</f>
        <v>792.48</v>
      </c>
      <c r="R45" s="302">
        <f t="shared" si="0"/>
        <v>-0.8</v>
      </c>
      <c r="S45" s="300">
        <f t="shared" si="1"/>
        <v>10.5</v>
      </c>
    </row>
    <row r="46" spans="1:19" ht="15" customHeight="1">
      <c r="A46" s="16"/>
      <c r="B46" s="605" t="s">
        <v>442</v>
      </c>
      <c r="C46" s="606"/>
      <c r="D46" s="181">
        <f>'HDPE-A3'!D46*1.04</f>
        <v>0</v>
      </c>
      <c r="E46" s="67">
        <f>'HDPE-A3'!E46*1.04</f>
        <v>0</v>
      </c>
      <c r="F46" s="67">
        <f>'HDPE-A3'!F46*1.04</f>
        <v>0</v>
      </c>
      <c r="G46" s="67">
        <f>'HDPE-A3'!G46*1.04</f>
        <v>0</v>
      </c>
      <c r="H46" s="67">
        <f>'HDPE-A3'!H46*1.04</f>
        <v>0</v>
      </c>
      <c r="I46" s="67">
        <f>'HDPE-A3'!I46*1.04</f>
        <v>0</v>
      </c>
      <c r="J46" s="67">
        <f>'HDPE-A3'!J46*1.04</f>
        <v>0</v>
      </c>
      <c r="K46" s="186">
        <f>'HDPE-A3'!K46*1.04</f>
        <v>0</v>
      </c>
      <c r="L46" s="187">
        <f>'HDPE-A3'!L46*1.04</f>
        <v>0</v>
      </c>
      <c r="M46" s="67">
        <f>'HDPE-A3'!M46*1.04</f>
        <v>0</v>
      </c>
      <c r="N46" s="67">
        <f>'HDPE-A3'!N46*1.04</f>
        <v>0</v>
      </c>
      <c r="O46" s="67">
        <f>'HDPE-A3'!O46*1.04</f>
        <v>0</v>
      </c>
      <c r="P46" s="67">
        <f>'HDPE-A3'!P46*1.04</f>
        <v>0</v>
      </c>
      <c r="Q46" s="68">
        <f>'HDPE-A3'!Q46*1.04</f>
        <v>468</v>
      </c>
      <c r="R46" s="302" t="str">
        <f t="shared" si="0"/>
        <v xml:space="preserve">     -</v>
      </c>
      <c r="S46" s="300" t="str">
        <f t="shared" si="1"/>
        <v xml:space="preserve">     -</v>
      </c>
    </row>
    <row r="47" spans="1:19" ht="15" customHeight="1">
      <c r="A47" s="16"/>
      <c r="B47" s="607" t="s">
        <v>443</v>
      </c>
      <c r="C47" s="608"/>
      <c r="D47" s="188">
        <f>'HDPE-A3'!D47*1.04</f>
        <v>1045.3040000000001</v>
      </c>
      <c r="E47" s="182">
        <f>'HDPE-A3'!E47*1.04</f>
        <v>981.24</v>
      </c>
      <c r="F47" s="182">
        <f>'HDPE-A3'!F47*1.04</f>
        <v>969.90400000000011</v>
      </c>
      <c r="G47" s="182">
        <f>'HDPE-A3'!G47*1.04</f>
        <v>949.93600000000004</v>
      </c>
      <c r="H47" s="182">
        <f>'HDPE-A3'!H47*1.04</f>
        <v>850.72</v>
      </c>
      <c r="I47" s="182">
        <f>'HDPE-A3'!I47*1.04</f>
        <v>937.76800000000003</v>
      </c>
      <c r="J47" s="182">
        <f>'HDPE-A3'!J47*1.04</f>
        <v>860.28800000000012</v>
      </c>
      <c r="K47" s="183">
        <f>'HDPE-A3'!K47*1.04</f>
        <v>926.01599999999996</v>
      </c>
      <c r="L47" s="184">
        <f>'HDPE-A3'!L47*1.04</f>
        <v>895.64800000000002</v>
      </c>
      <c r="M47" s="182">
        <f>'HDPE-A3'!M47*1.04</f>
        <v>868.60800000000006</v>
      </c>
      <c r="N47" s="182">
        <f>'HDPE-A3'!N47*1.04</f>
        <v>861.63999999999987</v>
      </c>
      <c r="O47" s="182">
        <f>'HDPE-A3'!O47*1.04</f>
        <v>861.22400000000005</v>
      </c>
      <c r="P47" s="182">
        <f>'HDPE-A3'!P47*1.04</f>
        <v>861.01599999999985</v>
      </c>
      <c r="Q47" s="185">
        <f>'HDPE-A3'!Q47*1.04</f>
        <v>860.91200000000003</v>
      </c>
      <c r="R47" s="299">
        <f t="shared" si="0"/>
        <v>-1.7</v>
      </c>
      <c r="S47" s="300">
        <f t="shared" si="1"/>
        <v>-0.8</v>
      </c>
    </row>
    <row r="48" spans="1:19" ht="15.75" customHeight="1">
      <c r="A48" s="16"/>
      <c r="B48" s="674" t="s">
        <v>307</v>
      </c>
      <c r="C48" s="675"/>
      <c r="D48" s="189">
        <f>'HDPE-A3'!D48*1.04</f>
        <v>12574.744000000001</v>
      </c>
      <c r="E48" s="190">
        <f>'HDPE-A3'!E48*1.04</f>
        <v>13298.826666666668</v>
      </c>
      <c r="F48" s="190">
        <f>'HDPE-A3'!F48*1.04</f>
        <v>13201.344000000001</v>
      </c>
      <c r="G48" s="190">
        <f>'HDPE-A3'!G48*1.04</f>
        <v>13787.134399999999</v>
      </c>
      <c r="H48" s="190">
        <f>'HDPE-A3'!H48*1.04</f>
        <v>14056.136315034371</v>
      </c>
      <c r="I48" s="190">
        <f>'HDPE-A3'!I48*1.04</f>
        <v>14665.768000000002</v>
      </c>
      <c r="J48" s="190">
        <f>'HDPE-A3'!J48*1.04</f>
        <v>14820.208000000001</v>
      </c>
      <c r="K48" s="191">
        <f>'HDPE-A3'!K48*1.04</f>
        <v>15142.816000000001</v>
      </c>
      <c r="L48" s="192">
        <f>'HDPE-A3'!L48*1.04</f>
        <v>16080.688000000002</v>
      </c>
      <c r="M48" s="190">
        <f>'HDPE-A3'!M48*1.04</f>
        <v>17051.008000000002</v>
      </c>
      <c r="N48" s="190">
        <f>'HDPE-A3'!N48*1.04</f>
        <v>18988.84</v>
      </c>
      <c r="O48" s="190">
        <f>'HDPE-A3'!O48*1.04</f>
        <v>19962.903999999999</v>
      </c>
      <c r="P48" s="190">
        <f>'HDPE-A3'!P48*1.04</f>
        <v>21026.616000000002</v>
      </c>
      <c r="Q48" s="193">
        <f>'HDPE-A3'!Q48*1.04</f>
        <v>22219.392</v>
      </c>
      <c r="R48" s="303">
        <f t="shared" si="0"/>
        <v>2.7</v>
      </c>
      <c r="S48" s="304">
        <f t="shared" si="1"/>
        <v>6.7</v>
      </c>
    </row>
    <row r="49" spans="1:19" ht="15.75" customHeight="1">
      <c r="A49" s="16"/>
      <c r="B49" s="672" t="s">
        <v>308</v>
      </c>
      <c r="C49" s="673"/>
      <c r="D49" s="194">
        <f>'HDPE-A3'!D49*1.04</f>
        <v>208</v>
      </c>
      <c r="E49" s="195">
        <f>'HDPE-A3'!E49*1.04</f>
        <v>160.16</v>
      </c>
      <c r="F49" s="195">
        <f>'HDPE-A3'!F49*1.04</f>
        <v>187.20000000000002</v>
      </c>
      <c r="G49" s="195">
        <f>'HDPE-A3'!G49*1.04</f>
        <v>213.20000000000002</v>
      </c>
      <c r="H49" s="195">
        <f>'HDPE-A3'!H49*1.04</f>
        <v>213.20000000000002</v>
      </c>
      <c r="I49" s="195">
        <f>'HDPE-A3'!I49*1.04</f>
        <v>213.20000000000002</v>
      </c>
      <c r="J49" s="195">
        <f>'HDPE-A3'!J49*1.04</f>
        <v>213.20000000000002</v>
      </c>
      <c r="K49" s="196">
        <f>'HDPE-A3'!K49*1.04</f>
        <v>192.4</v>
      </c>
      <c r="L49" s="197">
        <f>'HDPE-A3'!L49*1.04</f>
        <v>202.8</v>
      </c>
      <c r="M49" s="195">
        <f>'HDPE-A3'!M49*1.04</f>
        <v>202.8</v>
      </c>
      <c r="N49" s="195">
        <f>'HDPE-A3'!N49*1.04</f>
        <v>202.8</v>
      </c>
      <c r="O49" s="195">
        <f>'HDPE-A3'!O49*1.04</f>
        <v>202.8</v>
      </c>
      <c r="P49" s="195">
        <f>'HDPE-A3'!P49*1.04</f>
        <v>202.8</v>
      </c>
      <c r="Q49" s="198">
        <f>'HDPE-A3'!Q49*1.04</f>
        <v>202.8</v>
      </c>
      <c r="R49" s="305">
        <f t="shared" si="0"/>
        <v>-1.1000000000000001</v>
      </c>
      <c r="S49" s="304">
        <f t="shared" si="1"/>
        <v>0</v>
      </c>
    </row>
    <row r="50" spans="1:19" ht="15" customHeight="1">
      <c r="A50" s="16"/>
      <c r="B50" s="105"/>
      <c r="C50" s="97" t="s">
        <v>309</v>
      </c>
      <c r="D50" s="194">
        <f>'HDPE-A3'!D50*1.04</f>
        <v>208</v>
      </c>
      <c r="E50" s="195">
        <f>'HDPE-A3'!E50*1.04</f>
        <v>160.16</v>
      </c>
      <c r="F50" s="195">
        <f>'HDPE-A3'!F50*1.04</f>
        <v>187.20000000000002</v>
      </c>
      <c r="G50" s="195">
        <f>'HDPE-A3'!G50*1.04</f>
        <v>213.20000000000002</v>
      </c>
      <c r="H50" s="195">
        <f>'HDPE-A3'!H50*1.04</f>
        <v>213.20000000000002</v>
      </c>
      <c r="I50" s="195">
        <f>'HDPE-A3'!I50*1.04</f>
        <v>213.20000000000002</v>
      </c>
      <c r="J50" s="195">
        <f>'HDPE-A3'!J50*1.04</f>
        <v>213.20000000000002</v>
      </c>
      <c r="K50" s="196">
        <f>'HDPE-A3'!K50*1.04</f>
        <v>192.4</v>
      </c>
      <c r="L50" s="197">
        <f>'HDPE-A3'!L50*1.04</f>
        <v>202.8</v>
      </c>
      <c r="M50" s="195">
        <f>'HDPE-A3'!M50*1.04</f>
        <v>202.8</v>
      </c>
      <c r="N50" s="195">
        <f>'HDPE-A3'!N50*1.04</f>
        <v>202.8</v>
      </c>
      <c r="O50" s="195">
        <f>'HDPE-A3'!O50*1.04</f>
        <v>202.8</v>
      </c>
      <c r="P50" s="195">
        <f>'HDPE-A3'!P50*1.04</f>
        <v>202.8</v>
      </c>
      <c r="Q50" s="198">
        <f>'HDPE-A3'!Q50*1.04</f>
        <v>202.8</v>
      </c>
      <c r="R50" s="305">
        <f t="shared" si="0"/>
        <v>-1.1000000000000001</v>
      </c>
      <c r="S50" s="304">
        <f t="shared" si="1"/>
        <v>0</v>
      </c>
    </row>
    <row r="51" spans="1:19" ht="15.75" customHeight="1">
      <c r="A51" s="16"/>
      <c r="B51" s="672" t="s">
        <v>310</v>
      </c>
      <c r="C51" s="673"/>
      <c r="D51" s="181">
        <f>'HDPE-A3'!D51*1.04</f>
        <v>5906.16</v>
      </c>
      <c r="E51" s="67">
        <f>'HDPE-A3'!E51*1.04</f>
        <v>5568.16</v>
      </c>
      <c r="F51" s="67">
        <f>'HDPE-A3'!F51*1.04</f>
        <v>5417.3600000000006</v>
      </c>
      <c r="G51" s="67">
        <f>'HDPE-A3'!G51*1.04</f>
        <v>5435.04</v>
      </c>
      <c r="H51" s="182">
        <f>'HDPE-A3'!H51*1.04</f>
        <v>5755.3600000000006</v>
      </c>
      <c r="I51" s="182">
        <f>'HDPE-A3'!I51*1.04</f>
        <v>5684.2656000000006</v>
      </c>
      <c r="J51" s="182">
        <f>'HDPE-A3'!J51*1.04</f>
        <v>5526.2134220799999</v>
      </c>
      <c r="K51" s="183">
        <f>'HDPE-A3'!K51*1.04</f>
        <v>5586.3199007200001</v>
      </c>
      <c r="L51" s="184">
        <f>'HDPE-A3'!L51*1.04</f>
        <v>5478.2133598399996</v>
      </c>
      <c r="M51" s="182">
        <f>'HDPE-A3'!M51*1.04</f>
        <v>5594.7407453599999</v>
      </c>
      <c r="N51" s="182">
        <f>'HDPE-A3'!N51*1.04</f>
        <v>5702.2444679200007</v>
      </c>
      <c r="O51" s="182">
        <f>'HDPE-A3'!O51*1.04</f>
        <v>5686.3575412800001</v>
      </c>
      <c r="P51" s="182">
        <f>'HDPE-A3'!P51*1.04</f>
        <v>5644.7509507999994</v>
      </c>
      <c r="Q51" s="185">
        <f>'HDPE-A3'!Q51*1.04</f>
        <v>5805.9749654399993</v>
      </c>
      <c r="R51" s="299">
        <f t="shared" si="0"/>
        <v>-0.8</v>
      </c>
      <c r="S51" s="300">
        <f t="shared" si="1"/>
        <v>1.2</v>
      </c>
    </row>
    <row r="52" spans="1:19" ht="15" customHeight="1">
      <c r="A52" s="16"/>
      <c r="B52" s="105"/>
      <c r="C52" s="615" t="s">
        <v>311</v>
      </c>
      <c r="D52" s="194">
        <f>'HDPE-A3'!D52*1.04</f>
        <v>4821.4400000000005</v>
      </c>
      <c r="E52" s="195">
        <f>'HDPE-A3'!E52*1.04</f>
        <v>5486</v>
      </c>
      <c r="F52" s="195">
        <f>'HDPE-A3'!F52*1.04</f>
        <v>4510.4800000000005</v>
      </c>
      <c r="G52" s="195">
        <f>'HDPE-A3'!G52*1.04</f>
        <v>4423.12</v>
      </c>
      <c r="H52" s="190">
        <f>'HDPE-A3'!H52*1.04</f>
        <v>4773.6000000000004</v>
      </c>
      <c r="I52" s="190">
        <f>'HDPE-A3'!I52*1.04</f>
        <v>4702.88</v>
      </c>
      <c r="J52" s="190">
        <f>'HDPE-A3'!J52*1.04</f>
        <v>4696.9638871999996</v>
      </c>
      <c r="K52" s="191">
        <f>'HDPE-A3'!K52*1.04</f>
        <v>4591.60394576</v>
      </c>
      <c r="L52" s="192">
        <f>'HDPE-A3'!L52*1.04</f>
        <v>4486.2168416000004</v>
      </c>
      <c r="M52" s="190">
        <f>'HDPE-A3'!M52*1.04</f>
        <v>4549.9200344000001</v>
      </c>
      <c r="N52" s="190">
        <f>'HDPE-A3'!N52*1.04</f>
        <v>4596.59071976</v>
      </c>
      <c r="O52" s="190">
        <f>'HDPE-A3'!O52*1.04</f>
        <v>4581.3002154400001</v>
      </c>
      <c r="P52" s="190">
        <f>'HDPE-A3'!P52*1.04</f>
        <v>4551.0711521599997</v>
      </c>
      <c r="Q52" s="193">
        <f>'HDPE-A3'!Q52*1.04</f>
        <v>4733.39111856</v>
      </c>
      <c r="R52" s="303">
        <f t="shared" si="0"/>
        <v>-0.7</v>
      </c>
      <c r="S52" s="304">
        <f t="shared" si="1"/>
        <v>1.1000000000000001</v>
      </c>
    </row>
    <row r="53" spans="1:19" ht="15.75" customHeight="1">
      <c r="A53" s="16"/>
      <c r="B53" s="672" t="s">
        <v>312</v>
      </c>
      <c r="C53" s="673"/>
      <c r="D53" s="181">
        <f>'HDPE-A3'!D53*1.04</f>
        <v>6050.72</v>
      </c>
      <c r="E53" s="67">
        <f>'HDPE-A3'!E53*1.04</f>
        <v>6631.04</v>
      </c>
      <c r="F53" s="67">
        <f>'HDPE-A3'!F53*1.04</f>
        <v>7305</v>
      </c>
      <c r="G53" s="67">
        <f>'HDPE-A3'!G53*1.04</f>
        <v>7868</v>
      </c>
      <c r="H53" s="67">
        <f>'HDPE-A3'!H53*1.04</f>
        <v>8572.7200000000012</v>
      </c>
      <c r="I53" s="67">
        <f>'HDPE-A3'!I53*1.04</f>
        <v>8702.7200000000012</v>
      </c>
      <c r="J53" s="67">
        <f>'HDPE-A3'!J53*1.04</f>
        <v>9131.2000000000007</v>
      </c>
      <c r="K53" s="186">
        <f>'HDPE-A3'!K53*1.04</f>
        <v>9322.56</v>
      </c>
      <c r="L53" s="187">
        <f>'HDPE-A3'!L53*1.04</f>
        <v>9430.7200000000012</v>
      </c>
      <c r="M53" s="67">
        <f>'HDPE-A3'!M53*1.04</f>
        <v>9538.880000000001</v>
      </c>
      <c r="N53" s="67">
        <f>'HDPE-A3'!N53*1.04</f>
        <v>9699.0400000000009</v>
      </c>
      <c r="O53" s="67">
        <f>'HDPE-A3'!O53*1.04</f>
        <v>9854</v>
      </c>
      <c r="P53" s="67">
        <f>'HDPE-A3'!P53*1.04</f>
        <v>10010</v>
      </c>
      <c r="Q53" s="68">
        <f>'HDPE-A3'!Q53*1.04</f>
        <v>10098.4</v>
      </c>
      <c r="R53" s="302">
        <f t="shared" si="0"/>
        <v>6.4</v>
      </c>
      <c r="S53" s="300">
        <f t="shared" si="1"/>
        <v>1.4</v>
      </c>
    </row>
    <row r="54" spans="1:19" ht="15" customHeight="1">
      <c r="A54" s="16"/>
      <c r="B54" s="16"/>
      <c r="C54" s="615" t="s">
        <v>313</v>
      </c>
      <c r="D54" s="194">
        <f>'HDPE-A3'!D54*1.04</f>
        <v>0</v>
      </c>
      <c r="E54" s="195">
        <f>'HDPE-A3'!E54*1.04</f>
        <v>3350</v>
      </c>
      <c r="F54" s="195">
        <f>'HDPE-A3'!F54*1.04</f>
        <v>3806</v>
      </c>
      <c r="G54" s="195">
        <f>'HDPE-A3'!G54*1.04</f>
        <v>4151</v>
      </c>
      <c r="H54" s="190">
        <f>'HDPE-A3'!H54*1.04</f>
        <v>4666.4800000000005</v>
      </c>
      <c r="I54" s="190">
        <f>'HDPE-A3'!I54*1.04</f>
        <v>4758</v>
      </c>
      <c r="J54" s="190">
        <f>'HDPE-A3'!J54*1.04</f>
        <v>4814.16</v>
      </c>
      <c r="K54" s="191">
        <f>'HDPE-A3'!K54*1.04</f>
        <v>4828.72</v>
      </c>
      <c r="L54" s="192">
        <f>'HDPE-A3'!L54*1.04</f>
        <v>4857.84</v>
      </c>
      <c r="M54" s="190">
        <f>'HDPE-A3'!M54*1.04</f>
        <v>4919.2</v>
      </c>
      <c r="N54" s="190">
        <f>'HDPE-A3'!N54*1.04</f>
        <v>4971.2</v>
      </c>
      <c r="O54" s="190">
        <f>'HDPE-A3'!O54*1.04</f>
        <v>5000.3200000000006</v>
      </c>
      <c r="P54" s="190">
        <f>'HDPE-A3'!P54*1.04</f>
        <v>5047.12</v>
      </c>
      <c r="Q54" s="193">
        <f>'HDPE-A3'!Q54*1.04</f>
        <v>5179.2</v>
      </c>
      <c r="R54" s="303" t="str">
        <f t="shared" si="0"/>
        <v xml:space="preserve">     -</v>
      </c>
      <c r="S54" s="304">
        <f t="shared" si="1"/>
        <v>1.3</v>
      </c>
    </row>
    <row r="55" spans="1:19" ht="15.75" customHeight="1">
      <c r="A55" s="16"/>
      <c r="B55" s="674" t="s">
        <v>314</v>
      </c>
      <c r="C55" s="675"/>
      <c r="D55" s="194">
        <f>'HDPE-A3'!D55*1.04</f>
        <v>556.4</v>
      </c>
      <c r="E55" s="195">
        <f>'HDPE-A3'!E55*1.04</f>
        <v>459.68</v>
      </c>
      <c r="F55" s="195">
        <f>'HDPE-A3'!F55*1.04</f>
        <v>412</v>
      </c>
      <c r="G55" s="195">
        <f>'HDPE-A3'!G55*1.04</f>
        <v>379.6</v>
      </c>
      <c r="H55" s="190">
        <f>'HDPE-A3'!H55*1.04</f>
        <v>402.48</v>
      </c>
      <c r="I55" s="190">
        <f>'HDPE-A3'!I55*1.04</f>
        <v>562.64</v>
      </c>
      <c r="J55" s="190">
        <f>'HDPE-A3'!J55*1.04</f>
        <v>617.76</v>
      </c>
      <c r="K55" s="191">
        <f>'HDPE-A3'!K55*1.04</f>
        <v>634.4</v>
      </c>
      <c r="L55" s="192">
        <f>'HDPE-A3'!L55*1.04</f>
        <v>747.76</v>
      </c>
      <c r="M55" s="190">
        <f>'HDPE-A3'!M55*1.04</f>
        <v>730.08</v>
      </c>
      <c r="N55" s="190">
        <f>'HDPE-A3'!N55*1.04</f>
        <v>738.4</v>
      </c>
      <c r="O55" s="190">
        <f>'HDPE-A3'!O55*1.04</f>
        <v>761.28</v>
      </c>
      <c r="P55" s="190">
        <f>'HDPE-A3'!P55*1.04</f>
        <v>764.4</v>
      </c>
      <c r="Q55" s="193">
        <f>'HDPE-A3'!Q55*1.04</f>
        <v>767.52</v>
      </c>
      <c r="R55" s="303">
        <f t="shared" si="0"/>
        <v>1.9</v>
      </c>
      <c r="S55" s="304">
        <f t="shared" si="1"/>
        <v>0.5</v>
      </c>
    </row>
    <row r="56" spans="1:19" ht="15.75" customHeight="1">
      <c r="A56" s="16"/>
      <c r="B56" s="674" t="s">
        <v>315</v>
      </c>
      <c r="C56" s="675"/>
      <c r="D56" s="189">
        <f>'HDPE-A3'!D56*1.04</f>
        <v>972.4</v>
      </c>
      <c r="E56" s="190">
        <f>'HDPE-A3'!E56*1.04</f>
        <v>1176.24</v>
      </c>
      <c r="F56" s="190">
        <f>'HDPE-A3'!F56*1.04</f>
        <v>822.64</v>
      </c>
      <c r="G56" s="190">
        <f>'HDPE-A3'!G56*1.04</f>
        <v>1154.4000000000001</v>
      </c>
      <c r="H56" s="190">
        <f>'HDPE-A3'!H56*1.04</f>
        <v>932.88</v>
      </c>
      <c r="I56" s="190">
        <f>'HDPE-A3'!I56*1.04</f>
        <v>951.6</v>
      </c>
      <c r="J56" s="190">
        <f>'HDPE-A3'!J56*1.04</f>
        <v>1575.184</v>
      </c>
      <c r="K56" s="191">
        <f>'HDPE-A3'!K56*1.04</f>
        <v>1513.2</v>
      </c>
      <c r="L56" s="192">
        <f>'HDPE-A3'!L56*1.04</f>
        <v>1872</v>
      </c>
      <c r="M56" s="190">
        <f>'HDPE-A3'!M56*1.04</f>
        <v>2600</v>
      </c>
      <c r="N56" s="190">
        <f>'HDPE-A3'!N56*1.04</f>
        <v>2600</v>
      </c>
      <c r="O56" s="190">
        <f>'HDPE-A3'!O56*1.04</f>
        <v>3120</v>
      </c>
      <c r="P56" s="190">
        <f>'HDPE-A3'!P56*1.04</f>
        <v>3640</v>
      </c>
      <c r="Q56" s="193">
        <f>'HDPE-A3'!Q56*1.04</f>
        <v>3952</v>
      </c>
      <c r="R56" s="303">
        <f t="shared" si="0"/>
        <v>6.5</v>
      </c>
      <c r="S56" s="304">
        <f t="shared" si="1"/>
        <v>16.100000000000001</v>
      </c>
    </row>
    <row r="57" spans="1:19" ht="15" customHeight="1">
      <c r="A57" s="16"/>
      <c r="B57" s="672" t="s">
        <v>316</v>
      </c>
      <c r="C57" s="673"/>
      <c r="D57" s="181">
        <f>'HDPE-A3'!D57*1.04</f>
        <v>6801.6</v>
      </c>
      <c r="E57" s="67">
        <f>'HDPE-A3'!E57*1.04</f>
        <v>6981.249600000001</v>
      </c>
      <c r="F57" s="67">
        <f>'HDPE-A3'!F57*1.04</f>
        <v>6604</v>
      </c>
      <c r="G57" s="67">
        <f>'HDPE-A3'!G57*1.04</f>
        <v>6879.6</v>
      </c>
      <c r="H57" s="67">
        <f>'HDPE-A3'!H57*1.04</f>
        <v>6937.84</v>
      </c>
      <c r="I57" s="182">
        <f>'HDPE-A3'!I57*1.04</f>
        <v>7454.72</v>
      </c>
      <c r="J57" s="182">
        <f>'HDPE-A3'!J57*1.04</f>
        <v>7659.6</v>
      </c>
      <c r="K57" s="183">
        <f>'HDPE-A3'!K57*1.04</f>
        <v>7711.7040000000006</v>
      </c>
      <c r="L57" s="184">
        <f>'HDPE-A3'!L57*1.04</f>
        <v>8311.68</v>
      </c>
      <c r="M57" s="182">
        <f>'HDPE-A3'!M57*1.04</f>
        <v>8672.9760000000006</v>
      </c>
      <c r="N57" s="182">
        <f>'HDPE-A3'!N57*1.04</f>
        <v>9242.0640000000003</v>
      </c>
      <c r="O57" s="182">
        <f>'HDPE-A3'!O57*1.04</f>
        <v>9710.0640000000003</v>
      </c>
      <c r="P57" s="182">
        <f>'HDPE-A3'!P57*1.04</f>
        <v>10479.456</v>
      </c>
      <c r="Q57" s="185">
        <f>'HDPE-A3'!Q57*1.04</f>
        <v>10763.064</v>
      </c>
      <c r="R57" s="299">
        <f t="shared" si="0"/>
        <v>1.8</v>
      </c>
      <c r="S57" s="300">
        <f t="shared" si="1"/>
        <v>5.3</v>
      </c>
    </row>
    <row r="58" spans="1:19" ht="15" customHeight="1">
      <c r="A58" s="16"/>
      <c r="B58" s="670" t="s">
        <v>317</v>
      </c>
      <c r="C58" s="671"/>
      <c r="D58" s="181">
        <f>'HDPE-A3'!D58*1.04</f>
        <v>1202.24</v>
      </c>
      <c r="E58" s="67">
        <f>'HDPE-A3'!E58*1.04</f>
        <v>1202.24</v>
      </c>
      <c r="F58" s="67">
        <f>'HDPE-A3'!F58*1.04</f>
        <v>1255.28</v>
      </c>
      <c r="G58" s="67">
        <f>'HDPE-A3'!G58*1.04</f>
        <v>1435.2</v>
      </c>
      <c r="H58" s="67">
        <f>'HDPE-A3'!H58*1.04</f>
        <v>1410.24</v>
      </c>
      <c r="I58" s="182">
        <f>'HDPE-A3'!I58*1.04</f>
        <v>1447.68</v>
      </c>
      <c r="J58" s="182">
        <f>'HDPE-A3'!J58*1.04</f>
        <v>1447.68</v>
      </c>
      <c r="K58" s="183">
        <f>'HDPE-A3'!K58*1.04</f>
        <v>1356.16</v>
      </c>
      <c r="L58" s="184">
        <f>'HDPE-A3'!L58*1.04</f>
        <v>1356.16</v>
      </c>
      <c r="M58" s="182">
        <f>'HDPE-A3'!M58*1.04</f>
        <v>1356.16</v>
      </c>
      <c r="N58" s="182">
        <f>'HDPE-A3'!N58*1.04</f>
        <v>1356.16</v>
      </c>
      <c r="O58" s="182">
        <f>'HDPE-A3'!O58*1.04</f>
        <v>1356.16</v>
      </c>
      <c r="P58" s="182">
        <f>'HDPE-A3'!P58*1.04</f>
        <v>1356.16</v>
      </c>
      <c r="Q58" s="185">
        <f>'HDPE-A3'!Q58*1.04</f>
        <v>1356.16</v>
      </c>
      <c r="R58" s="299">
        <f t="shared" si="0"/>
        <v>1.7</v>
      </c>
      <c r="S58" s="300">
        <f t="shared" si="1"/>
        <v>0</v>
      </c>
    </row>
    <row r="59" spans="1:19" ht="15.75" customHeight="1">
      <c r="A59" s="16"/>
      <c r="B59" s="674" t="s">
        <v>318</v>
      </c>
      <c r="C59" s="675"/>
      <c r="D59" s="189">
        <f>'HDPE-A3'!D59*1.04</f>
        <v>8003.84</v>
      </c>
      <c r="E59" s="190">
        <f>'HDPE-A3'!E59*1.04</f>
        <v>8183.4896000000008</v>
      </c>
      <c r="F59" s="190">
        <f>'HDPE-A3'!F59*1.04</f>
        <v>7859.2800000000007</v>
      </c>
      <c r="G59" s="190">
        <f>'HDPE-A3'!G59*1.04</f>
        <v>8314.8000000000011</v>
      </c>
      <c r="H59" s="190">
        <f>'HDPE-A3'!H59*1.04</f>
        <v>8348.08</v>
      </c>
      <c r="I59" s="190">
        <f>'HDPE-A3'!I59*1.04</f>
        <v>8902.4</v>
      </c>
      <c r="J59" s="190">
        <f>'HDPE-A3'!J59*1.04</f>
        <v>9107.2800000000007</v>
      </c>
      <c r="K59" s="191">
        <f>'HDPE-A3'!K59*1.04</f>
        <v>9067.8640000000014</v>
      </c>
      <c r="L59" s="192">
        <f>'HDPE-A3'!L59*1.04</f>
        <v>9667.84</v>
      </c>
      <c r="M59" s="190">
        <f>'HDPE-A3'!M59*1.04</f>
        <v>10029.136</v>
      </c>
      <c r="N59" s="190">
        <f>'HDPE-A3'!N59*1.04</f>
        <v>10598.224</v>
      </c>
      <c r="O59" s="190">
        <f>'HDPE-A3'!O59*1.04</f>
        <v>11066.224</v>
      </c>
      <c r="P59" s="190">
        <f>'HDPE-A3'!P59*1.04</f>
        <v>11835.616</v>
      </c>
      <c r="Q59" s="193">
        <f>'HDPE-A3'!Q59*1.04</f>
        <v>12119.224</v>
      </c>
      <c r="R59" s="303">
        <f t="shared" si="0"/>
        <v>1.8</v>
      </c>
      <c r="S59" s="304">
        <f t="shared" si="1"/>
        <v>4.5999999999999996</v>
      </c>
    </row>
    <row r="60" spans="1:19" ht="15" customHeight="1">
      <c r="A60" s="16"/>
      <c r="B60" s="672" t="s">
        <v>319</v>
      </c>
      <c r="C60" s="673"/>
      <c r="D60" s="181">
        <f>'HDPE-A3'!D60*1.04</f>
        <v>201.76000000000002</v>
      </c>
      <c r="E60" s="67">
        <f>'HDPE-A3'!E60*1.04</f>
        <v>201.76000000000002</v>
      </c>
      <c r="F60" s="67">
        <f>'HDPE-A3'!F60*1.04</f>
        <v>201.76000000000002</v>
      </c>
      <c r="G60" s="67">
        <f>'HDPE-A3'!G60*1.04</f>
        <v>201.76000000000002</v>
      </c>
      <c r="H60" s="67">
        <f>'HDPE-A3'!H60*1.04</f>
        <v>201.76000000000002</v>
      </c>
      <c r="I60" s="182">
        <f>'HDPE-A3'!I60*1.04</f>
        <v>140.4</v>
      </c>
      <c r="J60" s="182">
        <f>'HDPE-A3'!J60*1.04</f>
        <v>420.16</v>
      </c>
      <c r="K60" s="183">
        <f>'HDPE-A3'!K60*1.04</f>
        <v>815.36</v>
      </c>
      <c r="L60" s="184">
        <f>'HDPE-A3'!L60*1.04</f>
        <v>815.36</v>
      </c>
      <c r="M60" s="182">
        <f>'HDPE-A3'!M60*1.04</f>
        <v>815.36</v>
      </c>
      <c r="N60" s="182">
        <f>'HDPE-A3'!N60*1.04</f>
        <v>815.36</v>
      </c>
      <c r="O60" s="182">
        <f>'HDPE-A3'!O60*1.04</f>
        <v>815.36</v>
      </c>
      <c r="P60" s="182">
        <f>'HDPE-A3'!P60*1.04</f>
        <v>815.36</v>
      </c>
      <c r="Q60" s="185">
        <f>'HDPE-A3'!Q60*1.04</f>
        <v>815.36</v>
      </c>
      <c r="R60" s="299">
        <f t="shared" si="0"/>
        <v>22.1</v>
      </c>
      <c r="S60" s="300">
        <f t="shared" si="1"/>
        <v>0</v>
      </c>
    </row>
    <row r="61" spans="1:19" ht="15" customHeight="1">
      <c r="A61" s="16"/>
      <c r="B61" s="668" t="s">
        <v>320</v>
      </c>
      <c r="C61" s="669"/>
      <c r="D61" s="181">
        <f>'HDPE-A3'!D61*1.04</f>
        <v>959.92000000000007</v>
      </c>
      <c r="E61" s="67">
        <f>'HDPE-A3'!E61*1.04</f>
        <v>1066</v>
      </c>
      <c r="F61" s="67">
        <f>'HDPE-A3'!F61*1.04</f>
        <v>1073.28</v>
      </c>
      <c r="G61" s="67">
        <f>'HDPE-A3'!G61*1.04</f>
        <v>1056.6400000000001</v>
      </c>
      <c r="H61" s="67">
        <f>'HDPE-A3'!H61*1.04</f>
        <v>1042.08</v>
      </c>
      <c r="I61" s="182">
        <f>'HDPE-A3'!I61*1.04</f>
        <v>1162.72</v>
      </c>
      <c r="J61" s="182">
        <f>'HDPE-A3'!J61*1.04</f>
        <v>1152.32</v>
      </c>
      <c r="K61" s="183">
        <f>'HDPE-A3'!K61*1.04</f>
        <v>1175.72</v>
      </c>
      <c r="L61" s="184">
        <f>'HDPE-A3'!L61*1.04</f>
        <v>1175.72</v>
      </c>
      <c r="M61" s="182">
        <f>'HDPE-A3'!M61*1.04</f>
        <v>1175.72</v>
      </c>
      <c r="N61" s="182">
        <f>'HDPE-A3'!N61*1.04</f>
        <v>1175.72</v>
      </c>
      <c r="O61" s="182">
        <f>'HDPE-A3'!O61*1.04</f>
        <v>1175.72</v>
      </c>
      <c r="P61" s="182">
        <f>'HDPE-A3'!P61*1.04</f>
        <v>1175.72</v>
      </c>
      <c r="Q61" s="185">
        <f>'HDPE-A3'!Q61*1.04</f>
        <v>1176.24</v>
      </c>
      <c r="R61" s="299">
        <f t="shared" si="0"/>
        <v>2.9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'HDPE-A3'!D62*1.04</f>
        <v>388.96000000000004</v>
      </c>
      <c r="E62" s="67">
        <f>'HDPE-A3'!E62*1.04</f>
        <v>388.96000000000004</v>
      </c>
      <c r="F62" s="67">
        <f>'HDPE-A3'!F62*1.04</f>
        <v>388.96000000000004</v>
      </c>
      <c r="G62" s="67">
        <f>'HDPE-A3'!G62*1.04</f>
        <v>388.96000000000004</v>
      </c>
      <c r="H62" s="67">
        <f>'HDPE-A3'!H62*1.04</f>
        <v>388.96000000000004</v>
      </c>
      <c r="I62" s="182">
        <f>'HDPE-A3'!I62*1.04</f>
        <v>388.96000000000004</v>
      </c>
      <c r="J62" s="182">
        <f>'HDPE-A3'!J62*1.04</f>
        <v>388.96000000000004</v>
      </c>
      <c r="K62" s="183">
        <f>'HDPE-A3'!K62*1.04</f>
        <v>388.96000000000004</v>
      </c>
      <c r="L62" s="184">
        <f>'HDPE-A3'!L62*1.04</f>
        <v>388.96000000000004</v>
      </c>
      <c r="M62" s="182">
        <f>'HDPE-A3'!M62*1.04</f>
        <v>388.96000000000004</v>
      </c>
      <c r="N62" s="182">
        <f>'HDPE-A3'!N62*1.04</f>
        <v>388.96000000000004</v>
      </c>
      <c r="O62" s="182">
        <f>'HDPE-A3'!O62*1.04</f>
        <v>388.96000000000004</v>
      </c>
      <c r="P62" s="182">
        <f>'HDPE-A3'!P62*1.04</f>
        <v>388.96000000000004</v>
      </c>
      <c r="Q62" s="185">
        <f>'HDPE-A3'!Q62*1.04</f>
        <v>388.96000000000004</v>
      </c>
      <c r="R62" s="299">
        <f t="shared" si="0"/>
        <v>0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99">
        <f>'HDPE-A3'!D63*1.04</f>
        <v>1550.64</v>
      </c>
      <c r="E63" s="200">
        <f>'HDPE-A3'!E63*1.04</f>
        <v>1656.72</v>
      </c>
      <c r="F63" s="200">
        <f>'HDPE-A3'!F63*1.04</f>
        <v>1664</v>
      </c>
      <c r="G63" s="200">
        <f>'HDPE-A3'!G63*1.04</f>
        <v>1647.3600000000001</v>
      </c>
      <c r="H63" s="200">
        <f>'HDPE-A3'!H63*1.04</f>
        <v>1632.8</v>
      </c>
      <c r="I63" s="200">
        <f>'HDPE-A3'!I63*1.04</f>
        <v>1692.0800000000002</v>
      </c>
      <c r="J63" s="200">
        <f>'HDPE-A3'!J63*1.04</f>
        <v>1961.44</v>
      </c>
      <c r="K63" s="201">
        <f>'HDPE-A3'!K63*1.04</f>
        <v>2380.04</v>
      </c>
      <c r="L63" s="202">
        <f>'HDPE-A3'!L63*1.04</f>
        <v>2380.04</v>
      </c>
      <c r="M63" s="200">
        <f>'HDPE-A3'!M63*1.04</f>
        <v>2380.04</v>
      </c>
      <c r="N63" s="200">
        <f>'HDPE-A3'!N63*1.04</f>
        <v>2380.04</v>
      </c>
      <c r="O63" s="200">
        <f>'HDPE-A3'!O63*1.04</f>
        <v>2380.04</v>
      </c>
      <c r="P63" s="200">
        <f>'HDPE-A3'!P63*1.04</f>
        <v>2380.04</v>
      </c>
      <c r="Q63" s="203">
        <f>'HDPE-A3'!Q63*1.04</f>
        <v>2380.56</v>
      </c>
      <c r="R63" s="306">
        <f t="shared" si="0"/>
        <v>6.3</v>
      </c>
      <c r="S63" s="307">
        <f t="shared" si="1"/>
        <v>0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3">D63+D59+D56+D55+D53+D51+D49+D48</f>
        <v>35822.904000000002</v>
      </c>
      <c r="E64" s="210">
        <f t="shared" si="3"/>
        <v>37134.316266666669</v>
      </c>
      <c r="F64" s="210">
        <f t="shared" si="3"/>
        <v>36868.824000000001</v>
      </c>
      <c r="G64" s="210">
        <f t="shared" si="3"/>
        <v>38799.534400000004</v>
      </c>
      <c r="H64" s="210">
        <f t="shared" si="3"/>
        <v>39913.656315034372</v>
      </c>
      <c r="I64" s="210">
        <f t="shared" si="3"/>
        <v>41374.673600000002</v>
      </c>
      <c r="J64" s="210">
        <f t="shared" si="3"/>
        <v>42952.485422080004</v>
      </c>
      <c r="K64" s="211">
        <f t="shared" si="3"/>
        <v>43839.599900720001</v>
      </c>
      <c r="L64" s="212">
        <f t="shared" si="3"/>
        <v>45860.061359840001</v>
      </c>
      <c r="M64" s="210">
        <f t="shared" si="3"/>
        <v>48126.684745359998</v>
      </c>
      <c r="N64" s="210">
        <f t="shared" si="3"/>
        <v>50909.588467919995</v>
      </c>
      <c r="O64" s="210">
        <f t="shared" si="3"/>
        <v>53033.605541280005</v>
      </c>
      <c r="P64" s="210">
        <f t="shared" si="3"/>
        <v>55504.222950800002</v>
      </c>
      <c r="Q64" s="213">
        <f t="shared" si="3"/>
        <v>57545.870965440001</v>
      </c>
      <c r="R64" s="310">
        <f t="shared" si="0"/>
        <v>2.9</v>
      </c>
      <c r="S64" s="311">
        <f t="shared" si="1"/>
        <v>4.5999999999999996</v>
      </c>
    </row>
    <row r="65" spans="1:19" ht="15" customHeight="1">
      <c r="A65" s="616" t="s">
        <v>327</v>
      </c>
      <c r="B65" s="644" t="s">
        <v>433</v>
      </c>
      <c r="C65" s="645"/>
      <c r="D65" s="175">
        <f>'HDPE-A3'!D65*1.04</f>
        <v>927.68000000000006</v>
      </c>
      <c r="E65" s="176">
        <f>'HDPE-A3'!E65*1.04</f>
        <v>977.6</v>
      </c>
      <c r="F65" s="176">
        <f>'HDPE-A3'!F65*1.04</f>
        <v>954.72</v>
      </c>
      <c r="G65" s="176">
        <f>'HDPE-A3'!G65*1.04</f>
        <v>918.32</v>
      </c>
      <c r="H65" s="177">
        <f>'HDPE-A3'!H65*1.04</f>
        <v>1029.6000000000001</v>
      </c>
      <c r="I65" s="177">
        <f>'HDPE-A3'!I65*1.04</f>
        <v>1056.6400000000001</v>
      </c>
      <c r="J65" s="177">
        <f>'HDPE-A3'!J65*1.04</f>
        <v>1114.8800000000001</v>
      </c>
      <c r="K65" s="178">
        <f>'HDPE-A3'!K65*1.04</f>
        <v>1071.2</v>
      </c>
      <c r="L65" s="179">
        <f>'HDPE-A3'!L65*1.04</f>
        <v>1092</v>
      </c>
      <c r="M65" s="177">
        <f>'HDPE-A3'!M65*1.04</f>
        <v>1112.8</v>
      </c>
      <c r="N65" s="177">
        <f>'HDPE-A3'!N65*1.04</f>
        <v>1144</v>
      </c>
      <c r="O65" s="177">
        <f>'HDPE-A3'!O65*1.04</f>
        <v>1164.8</v>
      </c>
      <c r="P65" s="177">
        <f>'HDPE-A3'!P65*1.04</f>
        <v>1185.6000000000001</v>
      </c>
      <c r="Q65" s="180">
        <f>'HDPE-A3'!Q65*1.04</f>
        <v>1206.4000000000001</v>
      </c>
      <c r="R65" s="276">
        <f t="shared" si="0"/>
        <v>2.1</v>
      </c>
      <c r="S65" s="298">
        <f t="shared" si="1"/>
        <v>2</v>
      </c>
    </row>
    <row r="66" spans="1:19" ht="15" customHeight="1">
      <c r="A66" s="614" t="s">
        <v>328</v>
      </c>
      <c r="B66" s="605" t="s">
        <v>434</v>
      </c>
      <c r="C66" s="606"/>
      <c r="D66" s="181">
        <f>'HDPE-A3'!D66*1.04</f>
        <v>350.48</v>
      </c>
      <c r="E66" s="67">
        <f>'HDPE-A3'!E66*1.04</f>
        <v>328.64</v>
      </c>
      <c r="F66" s="67">
        <f>'HDPE-A3'!F66*1.04</f>
        <v>301.60000000000002</v>
      </c>
      <c r="G66" s="67">
        <f>'HDPE-A3'!G66*1.04</f>
        <v>320.32</v>
      </c>
      <c r="H66" s="182">
        <f>'HDPE-A3'!H66*1.04</f>
        <v>312</v>
      </c>
      <c r="I66" s="182">
        <f>'HDPE-A3'!I66*1.04</f>
        <v>345.28000000000003</v>
      </c>
      <c r="J66" s="182">
        <f>'HDPE-A3'!J66*1.04</f>
        <v>344.24</v>
      </c>
      <c r="K66" s="183">
        <f>'HDPE-A3'!K66*1.04</f>
        <v>327.60000000000002</v>
      </c>
      <c r="L66" s="184">
        <f>'HDPE-A3'!L66*1.04</f>
        <v>332.8</v>
      </c>
      <c r="M66" s="182">
        <f>'HDPE-A3'!M66*1.04</f>
        <v>332.8</v>
      </c>
      <c r="N66" s="182">
        <f>'HDPE-A3'!N66*1.04</f>
        <v>353.6</v>
      </c>
      <c r="O66" s="182">
        <f>'HDPE-A3'!O66*1.04</f>
        <v>353.6</v>
      </c>
      <c r="P66" s="182">
        <f>'HDPE-A3'!P66*1.04</f>
        <v>353.6</v>
      </c>
      <c r="Q66" s="185">
        <f>'HDPE-A3'!Q66*1.04</f>
        <v>353.6</v>
      </c>
      <c r="R66" s="299">
        <f t="shared" si="0"/>
        <v>-1</v>
      </c>
      <c r="S66" s="300">
        <f t="shared" si="1"/>
        <v>1.2</v>
      </c>
    </row>
    <row r="67" spans="1:19" ht="15" customHeight="1">
      <c r="A67" s="16"/>
      <c r="B67" s="605" t="s">
        <v>435</v>
      </c>
      <c r="C67" s="606"/>
      <c r="D67" s="181">
        <f>'HDPE-A3'!D67*1.04</f>
        <v>31.200000000000003</v>
      </c>
      <c r="E67" s="67">
        <f>'HDPE-A3'!E67*1.04</f>
        <v>33.572586666666687</v>
      </c>
      <c r="F67" s="67">
        <f>'HDPE-A3'!F67*1.04</f>
        <v>30.889030293333352</v>
      </c>
      <c r="G67" s="67">
        <f>'HDPE-A3'!G67*1.04</f>
        <v>32.062813444480021</v>
      </c>
      <c r="H67" s="67">
        <f>'HDPE-A3'!H67*1.04</f>
        <v>32.99263503436994</v>
      </c>
      <c r="I67" s="62">
        <f>'HDPE-A3'!I67*1.04</f>
        <v>33.652487735057342</v>
      </c>
      <c r="J67" s="62">
        <f>'HDPE-A3'!J67*1.04</f>
        <v>34.32</v>
      </c>
      <c r="K67" s="63">
        <f>'HDPE-A3'!K67*1.04</f>
        <v>35.36</v>
      </c>
      <c r="L67" s="64">
        <f>'HDPE-A3'!L67*1.04</f>
        <v>36.4</v>
      </c>
      <c r="M67" s="62">
        <f>'HDPE-A3'!M67*1.04</f>
        <v>37.44</v>
      </c>
      <c r="N67" s="62">
        <f>'HDPE-A3'!N67*1.04</f>
        <v>38.480000000000004</v>
      </c>
      <c r="O67" s="62">
        <f>'HDPE-A3'!O67*1.04</f>
        <v>39.520000000000003</v>
      </c>
      <c r="P67" s="62">
        <f>'HDPE-A3'!P67*1.04</f>
        <v>40.56</v>
      </c>
      <c r="Q67" s="65">
        <f>'HDPE-A3'!Q67*1.04</f>
        <v>41.6</v>
      </c>
      <c r="R67" s="301">
        <f t="shared" si="0"/>
        <v>1.8</v>
      </c>
      <c r="S67" s="300">
        <f t="shared" si="1"/>
        <v>2.7</v>
      </c>
    </row>
    <row r="68" spans="1:19" ht="15" customHeight="1">
      <c r="A68" s="16"/>
      <c r="B68" s="605" t="s">
        <v>436</v>
      </c>
      <c r="C68" s="606"/>
      <c r="D68" s="181">
        <f>'HDPE-A3'!D68*1.04</f>
        <v>8606</v>
      </c>
      <c r="E68" s="67">
        <f>'HDPE-A3'!E68*1.04</f>
        <v>8979.36</v>
      </c>
      <c r="F68" s="67">
        <f>'HDPE-A3'!F68*1.04</f>
        <v>9400.56</v>
      </c>
      <c r="G68" s="67">
        <f>'HDPE-A3'!G68*1.04</f>
        <v>10353.200000000001</v>
      </c>
      <c r="H68" s="67">
        <f>'HDPE-A3'!H68*1.04</f>
        <v>10688.08</v>
      </c>
      <c r="I68" s="182">
        <f>'HDPE-A3'!I68*1.04</f>
        <v>11342.24</v>
      </c>
      <c r="J68" s="182">
        <f>'HDPE-A3'!J68*1.04</f>
        <v>11913.2</v>
      </c>
      <c r="K68" s="183">
        <f>'HDPE-A3'!K68*1.04</f>
        <v>13159.12</v>
      </c>
      <c r="L68" s="184">
        <f>'HDPE-A3'!L68*1.04</f>
        <v>14031.68</v>
      </c>
      <c r="M68" s="182">
        <f>'HDPE-A3'!M68*1.04</f>
        <v>14733.68</v>
      </c>
      <c r="N68" s="182">
        <f>'HDPE-A3'!N68*1.04</f>
        <v>15425.28</v>
      </c>
      <c r="O68" s="182">
        <f>'HDPE-A3'!O68*1.04</f>
        <v>16104.400000000001</v>
      </c>
      <c r="P68" s="182">
        <f>'HDPE-A3'!P68*1.04</f>
        <v>16780.400000000001</v>
      </c>
      <c r="Q68" s="185">
        <f>'HDPE-A3'!Q68*1.04</f>
        <v>17468.88</v>
      </c>
      <c r="R68" s="299">
        <f t="shared" si="0"/>
        <v>6.3</v>
      </c>
      <c r="S68" s="300">
        <f t="shared" si="1"/>
        <v>4.5</v>
      </c>
    </row>
    <row r="69" spans="1:19" ht="15" customHeight="1">
      <c r="A69" s="16"/>
      <c r="B69" s="605" t="s">
        <v>437</v>
      </c>
      <c r="C69" s="606"/>
      <c r="D69" s="181">
        <f>'HDPE-A3'!D69*1.04</f>
        <v>637.52</v>
      </c>
      <c r="E69" s="67">
        <f>'HDPE-A3'!E69*1.04</f>
        <v>751.92000000000007</v>
      </c>
      <c r="F69" s="67">
        <f>'HDPE-A3'!F69*1.04</f>
        <v>748.80000000000007</v>
      </c>
      <c r="G69" s="67">
        <f>'HDPE-A3'!G69*1.04</f>
        <v>790.59968000000003</v>
      </c>
      <c r="H69" s="67">
        <f>'HDPE-A3'!H69*1.04</f>
        <v>860.33375999999998</v>
      </c>
      <c r="I69" s="182">
        <f>'HDPE-A3'!I69*1.04</f>
        <v>823.97432000000015</v>
      </c>
      <c r="J69" s="182">
        <f>'HDPE-A3'!J69*1.04</f>
        <v>861.12</v>
      </c>
      <c r="K69" s="183">
        <f>'HDPE-A3'!K69*1.04</f>
        <v>838.45735999999988</v>
      </c>
      <c r="L69" s="184">
        <f>'HDPE-A3'!L69*1.04</f>
        <v>877.02639855999996</v>
      </c>
      <c r="M69" s="182">
        <f>'HDPE-A3'!M69*1.04</f>
        <v>910.87961754441596</v>
      </c>
      <c r="N69" s="182">
        <f>'HDPE-A3'!N69*1.04</f>
        <v>944.4910754318048</v>
      </c>
      <c r="O69" s="182">
        <f>'HDPE-A3'!O69*1.04</f>
        <v>978.02050860963391</v>
      </c>
      <c r="P69" s="182">
        <f>'HDPE-A3'!P69*1.04</f>
        <v>1012.2512264109711</v>
      </c>
      <c r="Q69" s="185">
        <f>'HDPE-A3'!Q69*1.04</f>
        <v>1048.2873700712016</v>
      </c>
      <c r="R69" s="299">
        <f t="shared" si="0"/>
        <v>4</v>
      </c>
      <c r="S69" s="300">
        <f t="shared" si="1"/>
        <v>3.6</v>
      </c>
    </row>
    <row r="70" spans="1:19" ht="15" customHeight="1">
      <c r="A70" s="16"/>
      <c r="B70" s="605" t="s">
        <v>438</v>
      </c>
      <c r="C70" s="606"/>
      <c r="D70" s="181">
        <f>'HDPE-A3'!D70*1.04</f>
        <v>219.4508522212156</v>
      </c>
      <c r="E70" s="67">
        <f>'HDPE-A3'!E70*1.04</f>
        <v>263.34102266545869</v>
      </c>
      <c r="F70" s="67">
        <f>'HDPE-A3'!F70*1.04</f>
        <v>279.66816607071718</v>
      </c>
      <c r="G70" s="67">
        <f>'HDPE-A3'!G70*1.04</f>
        <v>342.16</v>
      </c>
      <c r="H70" s="67">
        <f>'HDPE-A3'!H70*1.04</f>
        <v>351.52000000000004</v>
      </c>
      <c r="I70" s="67">
        <f>'HDPE-A3'!I70*1.04</f>
        <v>362.96000000000004</v>
      </c>
      <c r="J70" s="67">
        <f>'HDPE-A3'!J70*1.04</f>
        <v>373.36</v>
      </c>
      <c r="K70" s="186">
        <f>'HDPE-A3'!K70*1.04</f>
        <v>447.2</v>
      </c>
      <c r="L70" s="187">
        <f>'HDPE-A3'!L70*1.04</f>
        <v>405.6</v>
      </c>
      <c r="M70" s="67">
        <f>'HDPE-A3'!M70*1.04</f>
        <v>426.40000000000003</v>
      </c>
      <c r="N70" s="67">
        <f>'HDPE-A3'!N70*1.04</f>
        <v>447.2</v>
      </c>
      <c r="O70" s="67">
        <f>'HDPE-A3'!O70*1.04</f>
        <v>468</v>
      </c>
      <c r="P70" s="67">
        <f>'HDPE-A3'!P70*1.04</f>
        <v>488.8</v>
      </c>
      <c r="Q70" s="68">
        <f>'HDPE-A3'!Q70*1.04</f>
        <v>509.6</v>
      </c>
      <c r="R70" s="299">
        <f t="shared" si="0"/>
        <v>10.7</v>
      </c>
      <c r="S70" s="300">
        <f t="shared" si="1"/>
        <v>4.7</v>
      </c>
    </row>
    <row r="71" spans="1:19" ht="15" customHeight="1">
      <c r="A71" s="16"/>
      <c r="B71" s="605" t="s">
        <v>439</v>
      </c>
      <c r="C71" s="606"/>
      <c r="D71" s="181">
        <f>'HDPE-A3'!D71*1.04</f>
        <v>1527.76</v>
      </c>
      <c r="E71" s="67">
        <f>'HDPE-A3'!E71*1.04</f>
        <v>1614.0800000000002</v>
      </c>
      <c r="F71" s="67">
        <f>'HDPE-A3'!F71*1.04</f>
        <v>1759.68</v>
      </c>
      <c r="G71" s="67">
        <f>'HDPE-A3'!G71*1.04</f>
        <v>1852.24</v>
      </c>
      <c r="H71" s="67">
        <f>'HDPE-A3'!H71*1.04</f>
        <v>1924</v>
      </c>
      <c r="I71" s="182">
        <f>'HDPE-A3'!I71*1.04</f>
        <v>1947.92</v>
      </c>
      <c r="J71" s="182">
        <f>'HDPE-A3'!J71*1.04</f>
        <v>2298.4</v>
      </c>
      <c r="K71" s="183">
        <f>'HDPE-A3'!K71*1.04</f>
        <v>2288</v>
      </c>
      <c r="L71" s="184">
        <f>'HDPE-A3'!L71*1.04</f>
        <v>2392</v>
      </c>
      <c r="M71" s="182">
        <f>'HDPE-A3'!M71*1.04</f>
        <v>2496</v>
      </c>
      <c r="N71" s="182">
        <f>'HDPE-A3'!N71*1.04</f>
        <v>2600</v>
      </c>
      <c r="O71" s="182">
        <f>'HDPE-A3'!O71*1.04</f>
        <v>2704</v>
      </c>
      <c r="P71" s="182">
        <f>'HDPE-A3'!P71*1.04</f>
        <v>2808</v>
      </c>
      <c r="Q71" s="185">
        <f>'HDPE-A3'!Q71*1.04</f>
        <v>2808</v>
      </c>
      <c r="R71" s="299">
        <f t="shared" si="0"/>
        <v>5.9</v>
      </c>
      <c r="S71" s="300">
        <f t="shared" si="1"/>
        <v>3.3</v>
      </c>
    </row>
    <row r="72" spans="1:19" ht="15.75" hidden="1" customHeight="1">
      <c r="A72" s="16"/>
      <c r="B72" s="16"/>
      <c r="C72" s="90" t="s">
        <v>306</v>
      </c>
      <c r="D72" s="181">
        <f>'HDPE-A3'!D72*1.04</f>
        <v>0</v>
      </c>
      <c r="E72" s="67">
        <f>'HDPE-A3'!E72*1.04</f>
        <v>0</v>
      </c>
      <c r="F72" s="67">
        <f>'HDPE-A3'!F72*1.04</f>
        <v>0</v>
      </c>
      <c r="G72" s="67">
        <f>'HDPE-A3'!G72*1.04</f>
        <v>0</v>
      </c>
      <c r="H72" s="67">
        <f>'HDPE-A3'!H72*1.04</f>
        <v>0</v>
      </c>
      <c r="I72" s="67">
        <f>'HDPE-A3'!I72*1.04</f>
        <v>0</v>
      </c>
      <c r="J72" s="67">
        <f>'HDPE-A3'!J72*1.04</f>
        <v>0</v>
      </c>
      <c r="K72" s="183">
        <f>'HDPE-A3'!K72*1.04</f>
        <v>0</v>
      </c>
      <c r="L72" s="184">
        <f>'HDPE-A3'!L72*1.04</f>
        <v>0</v>
      </c>
      <c r="M72" s="182">
        <f>'HDPE-A3'!M72*1.04</f>
        <v>0</v>
      </c>
      <c r="N72" s="182">
        <f>'HDPE-A3'!N72*1.04</f>
        <v>0</v>
      </c>
      <c r="O72" s="182">
        <f>'HDPE-A3'!O72*1.04</f>
        <v>0</v>
      </c>
      <c r="P72" s="182">
        <f>'HDPE-A3'!P72*1.04</f>
        <v>0</v>
      </c>
      <c r="Q72" s="185">
        <f>'HDPE-A3'!Q72*1.04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'HDPE-A3'!D73*1.04</f>
        <v>111.28</v>
      </c>
      <c r="E73" s="67">
        <f>'HDPE-A3'!E73*1.04</f>
        <v>115.44</v>
      </c>
      <c r="F73" s="67">
        <f>'HDPE-A3'!F73*1.04</f>
        <v>118.56</v>
      </c>
      <c r="G73" s="67">
        <f>'HDPE-A3'!G73*1.04</f>
        <v>100.88000000000001</v>
      </c>
      <c r="H73" s="67">
        <f>'HDPE-A3'!H73*1.04</f>
        <v>122.72</v>
      </c>
      <c r="I73" s="67">
        <f>'HDPE-A3'!I73*1.04</f>
        <v>130.08320000000001</v>
      </c>
      <c r="J73" s="67">
        <f>'HDPE-A3'!J73*1.04</f>
        <v>137.80000000000001</v>
      </c>
      <c r="K73" s="186">
        <f>'HDPE-A3'!K73*1.04</f>
        <v>146.64000000000001</v>
      </c>
      <c r="L73" s="187">
        <f>'HDPE-A3'!L73*1.04</f>
        <v>154.96</v>
      </c>
      <c r="M73" s="67">
        <f>'HDPE-A3'!M73*1.04</f>
        <v>164.32</v>
      </c>
      <c r="N73" s="67">
        <f>'HDPE-A3'!N73*1.04</f>
        <v>173.68</v>
      </c>
      <c r="O73" s="67">
        <f>'HDPE-A3'!O73*1.04</f>
        <v>184.08</v>
      </c>
      <c r="P73" s="67">
        <f>'HDPE-A3'!P73*1.04</f>
        <v>195.52</v>
      </c>
      <c r="Q73" s="68">
        <f>'HDPE-A3'!Q73*1.04</f>
        <v>208</v>
      </c>
      <c r="R73" s="302">
        <f t="shared" si="4"/>
        <v>4</v>
      </c>
      <c r="S73" s="300">
        <f t="shared" si="5"/>
        <v>6.1</v>
      </c>
    </row>
    <row r="74" spans="1:19" ht="15" customHeight="1">
      <c r="A74" s="16"/>
      <c r="B74" s="605" t="s">
        <v>441</v>
      </c>
      <c r="C74" s="606"/>
      <c r="D74" s="181">
        <f>'HDPE-A3'!D74*1.04</f>
        <v>457.6</v>
      </c>
      <c r="E74" s="67">
        <f>'HDPE-A3'!E74*1.04</f>
        <v>550.16</v>
      </c>
      <c r="F74" s="67">
        <f>'HDPE-A3'!F74*1.04</f>
        <v>512.72</v>
      </c>
      <c r="G74" s="67">
        <f>'HDPE-A3'!G74*1.04</f>
        <v>548.58647999999994</v>
      </c>
      <c r="H74" s="67">
        <f>'HDPE-A3'!H74*1.04</f>
        <v>637.7435999999999</v>
      </c>
      <c r="I74" s="182">
        <f>'HDPE-A3'!I74*1.04</f>
        <v>619.59456</v>
      </c>
      <c r="J74" s="182">
        <f>'HDPE-A3'!J74*1.04</f>
        <v>640.45487999999989</v>
      </c>
      <c r="K74" s="183">
        <f>'HDPE-A3'!K74*1.04</f>
        <v>649.26367999999991</v>
      </c>
      <c r="L74" s="184">
        <f>'HDPE-A3'!L74*1.04</f>
        <v>679.77907295999989</v>
      </c>
      <c r="M74" s="182">
        <f>'HDPE-A3'!M74*1.04</f>
        <v>711.04891031616</v>
      </c>
      <c r="N74" s="182">
        <f>'HDPE-A3'!N74*1.04</f>
        <v>745.17925801133572</v>
      </c>
      <c r="O74" s="182">
        <f>'HDPE-A3'!O74*1.04</f>
        <v>781.24593409908437</v>
      </c>
      <c r="P74" s="182">
        <f>'HDPE-A3'!P74*1.04</f>
        <v>819.05823730947998</v>
      </c>
      <c r="Q74" s="185">
        <f>'HDPE-A3'!Q74*1.04</f>
        <v>858.70065599525878</v>
      </c>
      <c r="R74" s="299">
        <f t="shared" si="4"/>
        <v>5.0999999999999996</v>
      </c>
      <c r="S74" s="300">
        <f t="shared" si="5"/>
        <v>4.8</v>
      </c>
    </row>
    <row r="75" spans="1:19" ht="15" customHeight="1">
      <c r="A75" s="16"/>
      <c r="B75" s="605" t="s">
        <v>442</v>
      </c>
      <c r="C75" s="606"/>
      <c r="D75" s="181">
        <f>'HDPE-A3'!D75*1.04</f>
        <v>222.56</v>
      </c>
      <c r="E75" s="67">
        <f>'HDPE-A3'!E75*1.04</f>
        <v>238.16</v>
      </c>
      <c r="F75" s="67">
        <f>'HDPE-A3'!F75*1.04</f>
        <v>253.76000000000002</v>
      </c>
      <c r="G75" s="67">
        <f>'HDPE-A3'!G75*1.04</f>
        <v>271.44</v>
      </c>
      <c r="H75" s="67">
        <f>'HDPE-A3'!H75*1.04</f>
        <v>289.12</v>
      </c>
      <c r="I75" s="67">
        <f>'HDPE-A3'!I75*1.04</f>
        <v>308.88</v>
      </c>
      <c r="J75" s="67">
        <f>'HDPE-A3'!J75*1.04</f>
        <v>327.60000000000002</v>
      </c>
      <c r="K75" s="186">
        <f>'HDPE-A3'!K75*1.04</f>
        <v>1140.8800000000001</v>
      </c>
      <c r="L75" s="187">
        <f>'HDPE-A3'!L75*1.04</f>
        <v>1331.2</v>
      </c>
      <c r="M75" s="67">
        <f>'HDPE-A3'!M75*1.04</f>
        <v>1410.24</v>
      </c>
      <c r="N75" s="67">
        <f>'HDPE-A3'!N75*1.04</f>
        <v>1494.48</v>
      </c>
      <c r="O75" s="67">
        <f>'HDPE-A3'!O75*1.04</f>
        <v>1583.92</v>
      </c>
      <c r="P75" s="67">
        <f>'HDPE-A3'!P75*1.04</f>
        <v>1678.56</v>
      </c>
      <c r="Q75" s="68">
        <f>'HDPE-A3'!Q75*1.04</f>
        <v>1778.4</v>
      </c>
      <c r="R75" s="302">
        <f t="shared" si="4"/>
        <v>26.3</v>
      </c>
      <c r="S75" s="300">
        <f t="shared" si="5"/>
        <v>6</v>
      </c>
    </row>
    <row r="76" spans="1:19" ht="15" customHeight="1">
      <c r="A76" s="16"/>
      <c r="B76" s="607" t="s">
        <v>443</v>
      </c>
      <c r="C76" s="608"/>
      <c r="D76" s="181">
        <f>'HDPE-A3'!D76*1.04</f>
        <v>847.91200000000003</v>
      </c>
      <c r="E76" s="67">
        <f>'HDPE-A3'!E76*1.04</f>
        <v>896.06400000000008</v>
      </c>
      <c r="F76" s="67">
        <f>'HDPE-A3'!F76*1.04</f>
        <v>898.6640000000001</v>
      </c>
      <c r="G76" s="67">
        <f>'HDPE-A3'!G76*1.04</f>
        <v>913.952</v>
      </c>
      <c r="H76" s="67">
        <f>'HDPE-A3'!H76*1.04</f>
        <v>882.12800000000004</v>
      </c>
      <c r="I76" s="182">
        <f>'HDPE-A3'!I76*1.04</f>
        <v>933.19200000000001</v>
      </c>
      <c r="J76" s="182">
        <f>'HDPE-A3'!J76*1.04</f>
        <v>879.32</v>
      </c>
      <c r="K76" s="183">
        <f>'HDPE-A3'!K76*1.04</f>
        <v>988.83199999999999</v>
      </c>
      <c r="L76" s="184">
        <f>'HDPE-A3'!L76*1.04</f>
        <v>970.21600000000001</v>
      </c>
      <c r="M76" s="182">
        <f>'HDPE-A3'!M76*1.04</f>
        <v>951.18400000000008</v>
      </c>
      <c r="N76" s="182">
        <f>'HDPE-A3'!N76*1.04</f>
        <v>952.01599999999996</v>
      </c>
      <c r="O76" s="182">
        <f>'HDPE-A3'!O76*1.04</f>
        <v>952.64</v>
      </c>
      <c r="P76" s="182">
        <f>'HDPE-A3'!P76*1.04</f>
        <v>953.57600000000002</v>
      </c>
      <c r="Q76" s="185">
        <f>'HDPE-A3'!Q76*1.04</f>
        <v>954.51199999999994</v>
      </c>
      <c r="R76" s="299">
        <f t="shared" si="4"/>
        <v>2.2000000000000002</v>
      </c>
      <c r="S76" s="300">
        <f t="shared" si="5"/>
        <v>-0.3</v>
      </c>
    </row>
    <row r="77" spans="1:19" ht="15.75" customHeight="1">
      <c r="A77" s="16"/>
      <c r="B77" s="674" t="s">
        <v>307</v>
      </c>
      <c r="C77" s="675"/>
      <c r="D77" s="189">
        <f>'HDPE-A3'!D77*1.04</f>
        <v>13939.442852221215</v>
      </c>
      <c r="E77" s="190">
        <f>'HDPE-A3'!E77*1.04</f>
        <v>14748.337609332126</v>
      </c>
      <c r="F77" s="190">
        <f>'HDPE-A3'!F77*1.04</f>
        <v>15259.621196364051</v>
      </c>
      <c r="G77" s="190">
        <f>'HDPE-A3'!G77*1.04</f>
        <v>16443.760973444478</v>
      </c>
      <c r="H77" s="190">
        <f>'HDPE-A3'!H77*1.04</f>
        <v>17130.237995034371</v>
      </c>
      <c r="I77" s="190">
        <f>'HDPE-A3'!I77*1.04</f>
        <v>17904.416567735057</v>
      </c>
      <c r="J77" s="190">
        <f>'HDPE-A3'!J77*1.04</f>
        <v>18924.694879999999</v>
      </c>
      <c r="K77" s="191">
        <f>'HDPE-A3'!K77*1.04</f>
        <v>21092.553039999999</v>
      </c>
      <c r="L77" s="192">
        <f>'HDPE-A3'!L77*1.04</f>
        <v>22303.661471520001</v>
      </c>
      <c r="M77" s="190">
        <f>'HDPE-A3'!M77*1.04</f>
        <v>23286.792527860573</v>
      </c>
      <c r="N77" s="190">
        <f>'HDPE-A3'!N77*1.04</f>
        <v>24318.406333443141</v>
      </c>
      <c r="O77" s="190">
        <f>'HDPE-A3'!O77*1.04</f>
        <v>25314.226442708721</v>
      </c>
      <c r="P77" s="190">
        <f>'HDPE-A3'!P77*1.04</f>
        <v>26315.925463720454</v>
      </c>
      <c r="Q77" s="193">
        <f>'HDPE-A3'!Q77*1.04</f>
        <v>27235.98002606646</v>
      </c>
      <c r="R77" s="303">
        <f t="shared" si="4"/>
        <v>6.1</v>
      </c>
      <c r="S77" s="304">
        <f t="shared" si="5"/>
        <v>4.0999999999999996</v>
      </c>
    </row>
    <row r="78" spans="1:19" ht="15" customHeight="1">
      <c r="A78" s="16"/>
      <c r="B78" s="672" t="s">
        <v>308</v>
      </c>
      <c r="C78" s="673"/>
      <c r="D78" s="194">
        <f>'HDPE-A3'!D78*1.04</f>
        <v>341.12</v>
      </c>
      <c r="E78" s="195">
        <f>'HDPE-A3'!E78*1.04</f>
        <v>299.52</v>
      </c>
      <c r="F78" s="195">
        <f>'HDPE-A3'!F78*1.04</f>
        <v>353.6</v>
      </c>
      <c r="G78" s="195">
        <f>'HDPE-A3'!G78*1.04</f>
        <v>410.8</v>
      </c>
      <c r="H78" s="195">
        <f>'HDPE-A3'!H78*1.04</f>
        <v>384.8</v>
      </c>
      <c r="I78" s="195">
        <f>'HDPE-A3'!I78*1.04</f>
        <v>361.92</v>
      </c>
      <c r="J78" s="195">
        <f>'HDPE-A3'!J78*1.04</f>
        <v>357.76</v>
      </c>
      <c r="K78" s="196">
        <f>'HDPE-A3'!K78*1.04</f>
        <v>379.6</v>
      </c>
      <c r="L78" s="197">
        <f>'HDPE-A3'!L78*1.04</f>
        <v>384.8</v>
      </c>
      <c r="M78" s="195">
        <f>'HDPE-A3'!M78*1.04</f>
        <v>384.8</v>
      </c>
      <c r="N78" s="195">
        <f>'HDPE-A3'!N78*1.04</f>
        <v>386.88</v>
      </c>
      <c r="O78" s="195">
        <f>'HDPE-A3'!O78*1.04</f>
        <v>386.88</v>
      </c>
      <c r="P78" s="195">
        <f>'HDPE-A3'!P78*1.04</f>
        <v>388.96000000000004</v>
      </c>
      <c r="Q78" s="198">
        <f>'HDPE-A3'!Q78*1.04</f>
        <v>388.96000000000004</v>
      </c>
      <c r="R78" s="305">
        <f t="shared" si="4"/>
        <v>1.5</v>
      </c>
      <c r="S78" s="304">
        <f t="shared" si="5"/>
        <v>0.2</v>
      </c>
    </row>
    <row r="79" spans="1:19" ht="15" customHeight="1">
      <c r="A79" s="16"/>
      <c r="B79" s="105"/>
      <c r="C79" s="97" t="s">
        <v>309</v>
      </c>
      <c r="D79" s="194">
        <f>'HDPE-A3'!D79*1.04</f>
        <v>277.68</v>
      </c>
      <c r="E79" s="195">
        <f>'HDPE-A3'!E79*1.04</f>
        <v>299.52</v>
      </c>
      <c r="F79" s="195">
        <f>'HDPE-A3'!F79*1.04</f>
        <v>353.6</v>
      </c>
      <c r="G79" s="195">
        <f>'HDPE-A3'!G79*1.04</f>
        <v>410.8</v>
      </c>
      <c r="H79" s="195">
        <f>'HDPE-A3'!H79*1.04</f>
        <v>384.8</v>
      </c>
      <c r="I79" s="195">
        <f>'HDPE-A3'!I79*1.04</f>
        <v>361.92</v>
      </c>
      <c r="J79" s="195">
        <f>'HDPE-A3'!J79*1.04</f>
        <v>357.76</v>
      </c>
      <c r="K79" s="196">
        <f>'HDPE-A3'!K79*1.04</f>
        <v>379.6</v>
      </c>
      <c r="L79" s="197">
        <f>'HDPE-A3'!L79*1.04</f>
        <v>384.8</v>
      </c>
      <c r="M79" s="195">
        <f>'HDPE-A3'!M79*1.04</f>
        <v>384.8</v>
      </c>
      <c r="N79" s="195">
        <f>'HDPE-A3'!N79*1.04</f>
        <v>386.88</v>
      </c>
      <c r="O79" s="195">
        <f>'HDPE-A3'!O79*1.04</f>
        <v>386.88</v>
      </c>
      <c r="P79" s="195">
        <f>'HDPE-A3'!P79*1.04</f>
        <v>388.96000000000004</v>
      </c>
      <c r="Q79" s="198">
        <f>'HDPE-A3'!Q79*1.04</f>
        <v>388.96000000000004</v>
      </c>
      <c r="R79" s="305">
        <f t="shared" si="4"/>
        <v>4.5999999999999996</v>
      </c>
      <c r="S79" s="304">
        <f t="shared" si="5"/>
        <v>0.2</v>
      </c>
    </row>
    <row r="80" spans="1:19" ht="15.75" customHeight="1">
      <c r="A80" s="16"/>
      <c r="B80" s="672" t="s">
        <v>310</v>
      </c>
      <c r="C80" s="673"/>
      <c r="D80" s="181">
        <f>'HDPE-A3'!D80*1.04</f>
        <v>7452.64</v>
      </c>
      <c r="E80" s="67">
        <f>'HDPE-A3'!E80*1.04</f>
        <v>5917.6</v>
      </c>
      <c r="F80" s="67">
        <f>'HDPE-A3'!F80*1.04</f>
        <v>5576.4800000000005</v>
      </c>
      <c r="G80" s="67">
        <f>'HDPE-A3'!G80*1.04</f>
        <v>5671.12</v>
      </c>
      <c r="H80" s="182">
        <f>'HDPE-A3'!H80*1.04</f>
        <v>5809.4400000000005</v>
      </c>
      <c r="I80" s="182">
        <f>'HDPE-A3'!I80*1.04</f>
        <v>6006.2704000000003</v>
      </c>
      <c r="J80" s="182">
        <f>'HDPE-A3'!J80*1.04</f>
        <v>6287.4117228000005</v>
      </c>
      <c r="K80" s="183">
        <f>'HDPE-A3'!K80*1.04</f>
        <v>6370.4556968000006</v>
      </c>
      <c r="L80" s="184">
        <f>'HDPE-A3'!L80*1.04</f>
        <v>6474.8537453600002</v>
      </c>
      <c r="M80" s="182">
        <f>'HDPE-A3'!M80*1.04</f>
        <v>6576.6593505599994</v>
      </c>
      <c r="N80" s="182">
        <f>'HDPE-A3'!N80*1.04</f>
        <v>6672.2484732799994</v>
      </c>
      <c r="O80" s="182">
        <f>'HDPE-A3'!O80*1.04</f>
        <v>6767.5955963199995</v>
      </c>
      <c r="P80" s="182">
        <f>'HDPE-A3'!P80*1.04</f>
        <v>6859.3436381600004</v>
      </c>
      <c r="Q80" s="185">
        <f>'HDPE-A3'!Q80*1.04</f>
        <v>6950.4033092</v>
      </c>
      <c r="R80" s="299">
        <f t="shared" si="4"/>
        <v>-2.2000000000000002</v>
      </c>
      <c r="S80" s="300">
        <f t="shared" si="5"/>
        <v>1.4</v>
      </c>
    </row>
    <row r="81" spans="1:19" ht="15" customHeight="1">
      <c r="A81" s="16"/>
      <c r="B81" s="105"/>
      <c r="C81" s="615" t="s">
        <v>311</v>
      </c>
      <c r="D81" s="194">
        <f>'HDPE-A3'!D81*1.04</f>
        <v>5675.28</v>
      </c>
      <c r="E81" s="195">
        <f>'HDPE-A3'!E81*1.04</f>
        <v>5060.6400000000003</v>
      </c>
      <c r="F81" s="195">
        <f>'HDPE-A3'!F81*1.04</f>
        <v>4641.5200000000004</v>
      </c>
      <c r="G81" s="195">
        <f>'HDPE-A3'!G81*1.04</f>
        <v>4723.68</v>
      </c>
      <c r="H81" s="190">
        <f>'HDPE-A3'!H81*1.04</f>
        <v>4834.96</v>
      </c>
      <c r="I81" s="190">
        <f>'HDPE-A3'!I81*1.04</f>
        <v>4989.92</v>
      </c>
      <c r="J81" s="190">
        <f>'HDPE-A3'!J81*1.04</f>
        <v>5238.4800000000005</v>
      </c>
      <c r="K81" s="191">
        <f>'HDPE-A3'!K81*1.04</f>
        <v>5291.6656000000003</v>
      </c>
      <c r="L81" s="192">
        <f>'HDPE-A3'!L81*1.04</f>
        <v>5363.9768415999997</v>
      </c>
      <c r="M81" s="190">
        <f>'HDPE-A3'!M81*1.04</f>
        <v>5433.9200344000001</v>
      </c>
      <c r="N81" s="190">
        <f>'HDPE-A3'!N81*1.04</f>
        <v>5501.3907197600001</v>
      </c>
      <c r="O81" s="190">
        <f>'HDPE-A3'!O81*1.04</f>
        <v>5568.77145552</v>
      </c>
      <c r="P81" s="190">
        <f>'HDPE-A3'!P81*1.04</f>
        <v>5632.1423922400008</v>
      </c>
      <c r="Q81" s="193">
        <f>'HDPE-A3'!Q81*1.04</f>
        <v>5694.35111856</v>
      </c>
      <c r="R81" s="303">
        <f t="shared" si="4"/>
        <v>-1</v>
      </c>
      <c r="S81" s="304">
        <f t="shared" si="5"/>
        <v>1.2</v>
      </c>
    </row>
    <row r="82" spans="1:19" ht="15.75" customHeight="1">
      <c r="A82" s="16"/>
      <c r="B82" s="672" t="s">
        <v>312</v>
      </c>
      <c r="C82" s="673"/>
      <c r="D82" s="181">
        <f>'HDPE-A3'!D82*1.04</f>
        <v>1750.3200000000002</v>
      </c>
      <c r="E82" s="67">
        <f>'HDPE-A3'!E82*1.04</f>
        <v>2514.7200000000003</v>
      </c>
      <c r="F82" s="67">
        <f>'HDPE-A3'!F82*1.04</f>
        <v>2616.64</v>
      </c>
      <c r="G82" s="67">
        <f>'HDPE-A3'!G82*1.04</f>
        <v>2667.6</v>
      </c>
      <c r="H82" s="182">
        <f>'HDPE-A3'!H82*1.04</f>
        <v>2647.84</v>
      </c>
      <c r="I82" s="182">
        <f>'HDPE-A3'!I82*1.04</f>
        <v>2698.8</v>
      </c>
      <c r="J82" s="182">
        <f>'HDPE-A3'!J82*1.04</f>
        <v>2796.56</v>
      </c>
      <c r="K82" s="183">
        <f>'HDPE-A3'!K82*1.04</f>
        <v>2904.7200000000003</v>
      </c>
      <c r="L82" s="184">
        <f>'HDPE-A3'!L82*1.04</f>
        <v>3031.6</v>
      </c>
      <c r="M82" s="182">
        <f>'HDPE-A3'!M82*1.04</f>
        <v>3160.56</v>
      </c>
      <c r="N82" s="182">
        <f>'HDPE-A3'!N82*1.04</f>
        <v>3293.6800000000003</v>
      </c>
      <c r="O82" s="182">
        <f>'HDPE-A3'!O82*1.04</f>
        <v>3428.88</v>
      </c>
      <c r="P82" s="182">
        <f>'HDPE-A3'!P82*1.04</f>
        <v>3518.32</v>
      </c>
      <c r="Q82" s="185">
        <f>'HDPE-A3'!Q82*1.04</f>
        <v>3625.44</v>
      </c>
      <c r="R82" s="299">
        <f t="shared" si="4"/>
        <v>7.5</v>
      </c>
      <c r="S82" s="300">
        <f t="shared" si="5"/>
        <v>3.6</v>
      </c>
    </row>
    <row r="83" spans="1:19" ht="15" customHeight="1">
      <c r="A83" s="16"/>
      <c r="B83" s="16"/>
      <c r="C83" s="615" t="s">
        <v>313</v>
      </c>
      <c r="D83" s="194">
        <f>'HDPE-A3'!D83*1.04</f>
        <v>512.72</v>
      </c>
      <c r="E83" s="195">
        <f>'HDPE-A3'!E83*1.04</f>
        <v>512.72</v>
      </c>
      <c r="F83" s="195">
        <f>'HDPE-A3'!F83*1.04</f>
        <v>535.6</v>
      </c>
      <c r="G83" s="195">
        <f>'HDPE-A3'!G83*1.04</f>
        <v>540.80000000000007</v>
      </c>
      <c r="H83" s="190">
        <f>'HDPE-A3'!H83*1.04</f>
        <v>553.28</v>
      </c>
      <c r="I83" s="190">
        <f>'HDPE-A3'!I83*1.04</f>
        <v>566.80000000000007</v>
      </c>
      <c r="J83" s="190">
        <f>'HDPE-A3'!J83*1.04</f>
        <v>577.20000000000005</v>
      </c>
      <c r="K83" s="191">
        <f>'HDPE-A3'!K83*1.04</f>
        <v>585.52</v>
      </c>
      <c r="L83" s="192">
        <f>'HDPE-A3'!L83*1.04</f>
        <v>605.28</v>
      </c>
      <c r="M83" s="190">
        <f>'HDPE-A3'!M83*1.04</f>
        <v>624</v>
      </c>
      <c r="N83" s="190">
        <f>'HDPE-A3'!N83*1.04</f>
        <v>643.76</v>
      </c>
      <c r="O83" s="190">
        <f>'HDPE-A3'!O83*1.04</f>
        <v>663.52</v>
      </c>
      <c r="P83" s="190">
        <f>'HDPE-A3'!P83*1.04</f>
        <v>682.24</v>
      </c>
      <c r="Q83" s="193">
        <f>'HDPE-A3'!Q83*1.04</f>
        <v>715.52</v>
      </c>
      <c r="R83" s="303">
        <f t="shared" si="4"/>
        <v>1.9</v>
      </c>
      <c r="S83" s="304">
        <f t="shared" si="5"/>
        <v>3.4</v>
      </c>
    </row>
    <row r="84" spans="1:19" ht="15.75" customHeight="1">
      <c r="A84" s="16"/>
      <c r="B84" s="674" t="s">
        <v>314</v>
      </c>
      <c r="C84" s="675"/>
      <c r="D84" s="194">
        <f>'HDPE-A3'!D84*1.04</f>
        <v>1160.6400000000001</v>
      </c>
      <c r="E84" s="195">
        <f>'HDPE-A3'!E84*1.04</f>
        <v>1246.96</v>
      </c>
      <c r="F84" s="195">
        <f>'HDPE-A3'!F84*1.04</f>
        <v>1246.96</v>
      </c>
      <c r="G84" s="195">
        <f>'HDPE-A3'!G84*1.04</f>
        <v>1352.9516000000001</v>
      </c>
      <c r="H84" s="190">
        <f>'HDPE-A3'!H84*1.04</f>
        <v>1513.2</v>
      </c>
      <c r="I84" s="190">
        <f>'HDPE-A3'!I84*1.04</f>
        <v>1850.16</v>
      </c>
      <c r="J84" s="190">
        <f>'HDPE-A3'!J84*1.04</f>
        <v>1899.04</v>
      </c>
      <c r="K84" s="191">
        <f>'HDPE-A3'!K84*1.04</f>
        <v>2019.68</v>
      </c>
      <c r="L84" s="192">
        <f>'HDPE-A3'!L84*1.04</f>
        <v>2150.7200000000003</v>
      </c>
      <c r="M84" s="190">
        <f>'HDPE-A3'!M84*1.04</f>
        <v>2288</v>
      </c>
      <c r="N84" s="190">
        <f>'HDPE-A3'!N84*1.04</f>
        <v>2431.52</v>
      </c>
      <c r="O84" s="190">
        <f>'HDPE-A3'!O84*1.04</f>
        <v>2579.2000000000003</v>
      </c>
      <c r="P84" s="190">
        <f>'HDPE-A3'!P84*1.04</f>
        <v>2735.2000000000003</v>
      </c>
      <c r="Q84" s="193">
        <f>'HDPE-A3'!Q84*1.04</f>
        <v>2901.6</v>
      </c>
      <c r="R84" s="303">
        <f t="shared" si="4"/>
        <v>8.1999999999999993</v>
      </c>
      <c r="S84" s="304">
        <f t="shared" si="5"/>
        <v>6.2</v>
      </c>
    </row>
    <row r="85" spans="1:19" ht="15.75" customHeight="1">
      <c r="A85" s="16"/>
      <c r="B85" s="674" t="s">
        <v>315</v>
      </c>
      <c r="C85" s="675"/>
      <c r="D85" s="189">
        <f>'HDPE-A3'!D85*1.04</f>
        <v>1291.68</v>
      </c>
      <c r="E85" s="190">
        <f>'HDPE-A3'!E85*1.04</f>
        <v>1699.3600000000001</v>
      </c>
      <c r="F85" s="190">
        <f>'HDPE-A3'!F85*1.04</f>
        <v>1333.6960000000001</v>
      </c>
      <c r="G85" s="190">
        <f>'HDPE-A3'!G85*1.04</f>
        <v>1469.52</v>
      </c>
      <c r="H85" s="190">
        <f>'HDPE-A3'!H85*1.04</f>
        <v>1362.4</v>
      </c>
      <c r="I85" s="190">
        <f>'HDPE-A3'!I85*1.04</f>
        <v>1269.8400000000001</v>
      </c>
      <c r="J85" s="190">
        <f>'HDPE-A3'!J85*1.04</f>
        <v>1803.9839999999999</v>
      </c>
      <c r="K85" s="191">
        <f>'HDPE-A3'!K85*1.04</f>
        <v>1590.16</v>
      </c>
      <c r="L85" s="192">
        <f>'HDPE-A3'!L85*1.04</f>
        <v>1615.60256</v>
      </c>
      <c r="M85" s="190">
        <f>'HDPE-A3'!M85*1.04</f>
        <v>1768</v>
      </c>
      <c r="N85" s="190">
        <f>'HDPE-A3'!N85*1.04</f>
        <v>1872</v>
      </c>
      <c r="O85" s="190">
        <f>'HDPE-A3'!O85*1.04</f>
        <v>1976</v>
      </c>
      <c r="P85" s="190">
        <f>'HDPE-A3'!P85*1.04</f>
        <v>2132</v>
      </c>
      <c r="Q85" s="193">
        <f>'HDPE-A3'!Q85*1.04</f>
        <v>2288</v>
      </c>
      <c r="R85" s="303">
        <f t="shared" si="4"/>
        <v>3</v>
      </c>
      <c r="S85" s="304">
        <f t="shared" si="5"/>
        <v>7.2</v>
      </c>
    </row>
    <row r="86" spans="1:19" ht="15" customHeight="1">
      <c r="A86" s="16"/>
      <c r="B86" s="672" t="s">
        <v>316</v>
      </c>
      <c r="C86" s="673"/>
      <c r="D86" s="181">
        <f>'HDPE-A3'!D86*1.04</f>
        <v>6098.56</v>
      </c>
      <c r="E86" s="67">
        <f>'HDPE-A3'!E86*1.04</f>
        <v>6219.2</v>
      </c>
      <c r="F86" s="67">
        <f>'HDPE-A3'!F86*1.04</f>
        <v>6229.6</v>
      </c>
      <c r="G86" s="67">
        <f>'HDPE-A3'!G86*1.04</f>
        <v>6293.04</v>
      </c>
      <c r="H86" s="67">
        <f>'HDPE-A3'!H86*1.04</f>
        <v>6356.4800000000005</v>
      </c>
      <c r="I86" s="182">
        <f>'HDPE-A3'!I86*1.04</f>
        <v>6510.4000000000005</v>
      </c>
      <c r="J86" s="182">
        <f>'HDPE-A3'!J86*1.04</f>
        <v>6613.3600000000006</v>
      </c>
      <c r="K86" s="183">
        <f>'HDPE-A3'!K86*1.04</f>
        <v>6765.2</v>
      </c>
      <c r="L86" s="184">
        <f>'HDPE-A3'!L86*1.04</f>
        <v>6960.72</v>
      </c>
      <c r="M86" s="182">
        <f>'HDPE-A3'!M86*1.04</f>
        <v>7161.4400000000005</v>
      </c>
      <c r="N86" s="182">
        <f>'HDPE-A3'!N86*1.04</f>
        <v>7291.4400000000005</v>
      </c>
      <c r="O86" s="182">
        <f>'HDPE-A3'!O86*1.04</f>
        <v>7417.2800000000007</v>
      </c>
      <c r="P86" s="182">
        <f>'HDPE-A3'!P86*1.04</f>
        <v>7527.52</v>
      </c>
      <c r="Q86" s="185">
        <f>'HDPE-A3'!Q86*1.04</f>
        <v>7631.52</v>
      </c>
      <c r="R86" s="299">
        <f t="shared" si="4"/>
        <v>1.5</v>
      </c>
      <c r="S86" s="300">
        <f t="shared" si="5"/>
        <v>1.9</v>
      </c>
    </row>
    <row r="87" spans="1:19" ht="15" customHeight="1">
      <c r="A87" s="16"/>
      <c r="B87" s="670" t="s">
        <v>317</v>
      </c>
      <c r="C87" s="671"/>
      <c r="D87" s="181">
        <f>'HDPE-A3'!D87*1.04</f>
        <v>416</v>
      </c>
      <c r="E87" s="67">
        <f>'HDPE-A3'!E87*1.04</f>
        <v>424.32</v>
      </c>
      <c r="F87" s="67">
        <f>'HDPE-A3'!F87*1.04</f>
        <v>432.64</v>
      </c>
      <c r="G87" s="67">
        <f>'HDPE-A3'!G87*1.04</f>
        <v>440.96000000000004</v>
      </c>
      <c r="H87" s="67">
        <f>'HDPE-A3'!H87*1.04</f>
        <v>452.40000000000003</v>
      </c>
      <c r="I87" s="182">
        <f>'HDPE-A3'!I87*1.04</f>
        <v>457.6</v>
      </c>
      <c r="J87" s="182">
        <f>'HDPE-A3'!J87*1.04</f>
        <v>462.8</v>
      </c>
      <c r="K87" s="183">
        <f>'HDPE-A3'!K87*1.04</f>
        <v>476.32</v>
      </c>
      <c r="L87" s="184">
        <f>'HDPE-A3'!L87*1.04</f>
        <v>485.68</v>
      </c>
      <c r="M87" s="182">
        <f>'HDPE-A3'!M87*1.04</f>
        <v>496.08000000000004</v>
      </c>
      <c r="N87" s="182">
        <f>'HDPE-A3'!N87*1.04</f>
        <v>505.44</v>
      </c>
      <c r="O87" s="182">
        <f>'HDPE-A3'!O87*1.04</f>
        <v>514.80000000000007</v>
      </c>
      <c r="P87" s="182">
        <f>'HDPE-A3'!P87*1.04</f>
        <v>523.12</v>
      </c>
      <c r="Q87" s="185">
        <f>'HDPE-A3'!Q87*1.04</f>
        <v>531.44000000000005</v>
      </c>
      <c r="R87" s="299">
        <f t="shared" si="4"/>
        <v>2</v>
      </c>
      <c r="S87" s="300">
        <f t="shared" si="5"/>
        <v>1.8</v>
      </c>
    </row>
    <row r="88" spans="1:19" ht="15.75" customHeight="1">
      <c r="A88" s="16"/>
      <c r="B88" s="674" t="s">
        <v>318</v>
      </c>
      <c r="C88" s="675"/>
      <c r="D88" s="189">
        <f>'HDPE-A3'!D88*1.04</f>
        <v>6514.56</v>
      </c>
      <c r="E88" s="190">
        <f>'HDPE-A3'!E88*1.04</f>
        <v>6643.52</v>
      </c>
      <c r="F88" s="190">
        <f>'HDPE-A3'!F88*1.04</f>
        <v>6662.24</v>
      </c>
      <c r="G88" s="190">
        <f>'HDPE-A3'!G88*1.04</f>
        <v>6734</v>
      </c>
      <c r="H88" s="190">
        <f>'HDPE-A3'!H88*1.04</f>
        <v>6808.88</v>
      </c>
      <c r="I88" s="190">
        <f>'HDPE-A3'!I88*1.04</f>
        <v>6968</v>
      </c>
      <c r="J88" s="190">
        <f>'HDPE-A3'!J88*1.04</f>
        <v>7076.16</v>
      </c>
      <c r="K88" s="191">
        <f>'HDPE-A3'!K88*1.04</f>
        <v>7241.52</v>
      </c>
      <c r="L88" s="192">
        <f>'HDPE-A3'!L88*1.04</f>
        <v>7446.4000000000005</v>
      </c>
      <c r="M88" s="190">
        <f>'HDPE-A3'!M88*1.04</f>
        <v>7657.52</v>
      </c>
      <c r="N88" s="190">
        <f>'HDPE-A3'!N88*1.04</f>
        <v>7796.88</v>
      </c>
      <c r="O88" s="190">
        <f>'HDPE-A3'!O88*1.04</f>
        <v>7932.08</v>
      </c>
      <c r="P88" s="190">
        <f>'HDPE-A3'!P88*1.04</f>
        <v>8050.64</v>
      </c>
      <c r="Q88" s="193">
        <f>'HDPE-A3'!Q88*1.04</f>
        <v>8162.96</v>
      </c>
      <c r="R88" s="303">
        <f t="shared" si="4"/>
        <v>1.5</v>
      </c>
      <c r="S88" s="304">
        <f t="shared" si="5"/>
        <v>1.9</v>
      </c>
    </row>
    <row r="89" spans="1:19" ht="15" customHeight="1">
      <c r="A89" s="16"/>
      <c r="B89" s="672" t="s">
        <v>319</v>
      </c>
      <c r="C89" s="673"/>
      <c r="D89" s="181">
        <f>'HDPE-A3'!D89*1.04</f>
        <v>812.24</v>
      </c>
      <c r="E89" s="67">
        <f>'HDPE-A3'!E89*1.04</f>
        <v>828.88</v>
      </c>
      <c r="F89" s="67">
        <f>'HDPE-A3'!F89*1.04</f>
        <v>845.52</v>
      </c>
      <c r="G89" s="67">
        <f>'HDPE-A3'!G89*1.04</f>
        <v>863.2</v>
      </c>
      <c r="H89" s="67">
        <f>'HDPE-A3'!H89*1.04</f>
        <v>882.96</v>
      </c>
      <c r="I89" s="182">
        <f>'HDPE-A3'!I89*1.04</f>
        <v>904.80000000000007</v>
      </c>
      <c r="J89" s="182">
        <f>'HDPE-A3'!J89*1.04</f>
        <v>923.52</v>
      </c>
      <c r="K89" s="183">
        <f>'HDPE-A3'!K89*1.04</f>
        <v>942.24</v>
      </c>
      <c r="L89" s="184">
        <f>'HDPE-A3'!L89*1.04</f>
        <v>963.04000000000008</v>
      </c>
      <c r="M89" s="182">
        <f>'HDPE-A3'!M89*1.04</f>
        <v>986.96</v>
      </c>
      <c r="N89" s="182">
        <f>'HDPE-A3'!N89*1.04</f>
        <v>1014</v>
      </c>
      <c r="O89" s="182">
        <f>'HDPE-A3'!O89*1.04</f>
        <v>1043.1200000000001</v>
      </c>
      <c r="P89" s="182">
        <f>'HDPE-A3'!P89*1.04</f>
        <v>1074.32</v>
      </c>
      <c r="Q89" s="185">
        <f>'HDPE-A3'!Q89*1.04</f>
        <v>1106.56</v>
      </c>
      <c r="R89" s="299">
        <f t="shared" si="4"/>
        <v>2.1</v>
      </c>
      <c r="S89" s="300">
        <f t="shared" si="5"/>
        <v>2.8</v>
      </c>
    </row>
    <row r="90" spans="1:19" ht="15" customHeight="1">
      <c r="A90" s="16"/>
      <c r="B90" s="668" t="s">
        <v>320</v>
      </c>
      <c r="C90" s="669"/>
      <c r="D90" s="181">
        <f>'HDPE-A3'!D90*1.04</f>
        <v>968.24</v>
      </c>
      <c r="E90" s="67">
        <f>'HDPE-A3'!E90*1.04</f>
        <v>988</v>
      </c>
      <c r="F90" s="67">
        <f>'HDPE-A3'!F90*1.04</f>
        <v>1007.76</v>
      </c>
      <c r="G90" s="67">
        <f>'HDPE-A3'!G90*1.04</f>
        <v>1028.56</v>
      </c>
      <c r="H90" s="67">
        <f>'HDPE-A3'!H90*1.04</f>
        <v>1049.3600000000001</v>
      </c>
      <c r="I90" s="182">
        <f>'HDPE-A3'!I90*1.04</f>
        <v>1050.4000000000001</v>
      </c>
      <c r="J90" s="182">
        <f>'HDPE-A3'!J90*1.04</f>
        <v>1016.08</v>
      </c>
      <c r="K90" s="183">
        <f>'HDPE-A3'!K90*1.04</f>
        <v>1027.52</v>
      </c>
      <c r="L90" s="184">
        <f>'HDPE-A3'!L90*1.04</f>
        <v>1042.08</v>
      </c>
      <c r="M90" s="182">
        <f>'HDPE-A3'!M90*1.04</f>
        <v>1067.04</v>
      </c>
      <c r="N90" s="182">
        <f>'HDPE-A3'!N90*1.04</f>
        <v>1090.96</v>
      </c>
      <c r="O90" s="182">
        <f>'HDPE-A3'!O90*1.04</f>
        <v>1114.8800000000001</v>
      </c>
      <c r="P90" s="182">
        <f>'HDPE-A3'!P90*1.04</f>
        <v>1139.8400000000001</v>
      </c>
      <c r="Q90" s="185">
        <f>'HDPE-A3'!Q90*1.04</f>
        <v>1164.8</v>
      </c>
      <c r="R90" s="299">
        <f t="shared" si="4"/>
        <v>0.9</v>
      </c>
      <c r="S90" s="300">
        <f t="shared" si="5"/>
        <v>2.2999999999999998</v>
      </c>
    </row>
    <row r="91" spans="1:19" ht="15" customHeight="1">
      <c r="A91" s="16"/>
      <c r="B91" s="670" t="s">
        <v>321</v>
      </c>
      <c r="C91" s="671"/>
      <c r="D91" s="181">
        <f>'HDPE-A3'!D91*1.04</f>
        <v>930.80000000000007</v>
      </c>
      <c r="E91" s="67">
        <f>'HDPE-A3'!E91*1.04</f>
        <v>976.56000000000006</v>
      </c>
      <c r="F91" s="67">
        <f>'HDPE-A3'!F91*1.04</f>
        <v>1050.4000000000001</v>
      </c>
      <c r="G91" s="67">
        <f>'HDPE-A3'!G91*1.04</f>
        <v>1142.96</v>
      </c>
      <c r="H91" s="67">
        <f>'HDPE-A3'!H91*1.04</f>
        <v>1174.1600000000001</v>
      </c>
      <c r="I91" s="182">
        <f>'HDPE-A3'!I91*1.04</f>
        <v>1171.04</v>
      </c>
      <c r="J91" s="182">
        <f>'HDPE-A3'!J91*1.04</f>
        <v>1180.4000000000001</v>
      </c>
      <c r="K91" s="183">
        <f>'HDPE-A3'!K91*1.04</f>
        <v>1194.96</v>
      </c>
      <c r="L91" s="184">
        <f>'HDPE-A3'!L91*1.04</f>
        <v>1210.56</v>
      </c>
      <c r="M91" s="182">
        <f>'HDPE-A3'!M91*1.04</f>
        <v>1225.1200000000001</v>
      </c>
      <c r="N91" s="182">
        <f>'HDPE-A3'!N91*1.04</f>
        <v>1258.4000000000001</v>
      </c>
      <c r="O91" s="182">
        <f>'HDPE-A3'!O91*1.04</f>
        <v>1292.72</v>
      </c>
      <c r="P91" s="182">
        <f>'HDPE-A3'!P91*1.04</f>
        <v>1329.1200000000001</v>
      </c>
      <c r="Q91" s="185">
        <f>'HDPE-A3'!Q91*1.04</f>
        <v>1366.56</v>
      </c>
      <c r="R91" s="299">
        <f t="shared" si="4"/>
        <v>3.6</v>
      </c>
      <c r="S91" s="300">
        <f t="shared" si="5"/>
        <v>2.5</v>
      </c>
    </row>
    <row r="92" spans="1:19" ht="15.75" customHeight="1" thickBot="1">
      <c r="A92" s="16"/>
      <c r="B92" s="678" t="s">
        <v>322</v>
      </c>
      <c r="C92" s="679"/>
      <c r="D92" s="199">
        <f>'HDPE-A3'!D92*1.04</f>
        <v>2711.28</v>
      </c>
      <c r="E92" s="200">
        <f>'HDPE-A3'!E92*1.04</f>
        <v>2793.44</v>
      </c>
      <c r="F92" s="200">
        <f>'HDPE-A3'!F92*1.04</f>
        <v>2903.6800000000003</v>
      </c>
      <c r="G92" s="200">
        <f>'HDPE-A3'!G92*1.04</f>
        <v>3034.7200000000003</v>
      </c>
      <c r="H92" s="200">
        <f>'HDPE-A3'!H92*1.04</f>
        <v>3106.48</v>
      </c>
      <c r="I92" s="200">
        <f>'HDPE-A3'!I92*1.04</f>
        <v>3126.2400000000002</v>
      </c>
      <c r="J92" s="200">
        <f>'HDPE-A3'!J92*1.04</f>
        <v>3120</v>
      </c>
      <c r="K92" s="201">
        <f>'HDPE-A3'!K92*1.04</f>
        <v>3164.7200000000003</v>
      </c>
      <c r="L92" s="202">
        <f>'HDPE-A3'!L92*1.04</f>
        <v>3215.6800000000003</v>
      </c>
      <c r="M92" s="200">
        <f>'HDPE-A3'!M92*1.04</f>
        <v>3279.12</v>
      </c>
      <c r="N92" s="200">
        <f>'HDPE-A3'!N92*1.04</f>
        <v>3363.36</v>
      </c>
      <c r="O92" s="200">
        <f>'HDPE-A3'!O92*1.04</f>
        <v>3450.7200000000003</v>
      </c>
      <c r="P92" s="200">
        <f>'HDPE-A3'!P92*1.04</f>
        <v>3543.28</v>
      </c>
      <c r="Q92" s="203">
        <f>'HDPE-A3'!Q92*1.04</f>
        <v>3637.92</v>
      </c>
      <c r="R92" s="306">
        <f t="shared" si="4"/>
        <v>2.2000000000000002</v>
      </c>
      <c r="S92" s="307">
        <f t="shared" si="5"/>
        <v>2.5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6">D92+D88+D85+D84+D82+D80+D78+D77</f>
        <v>35161.682852221216</v>
      </c>
      <c r="E93" s="205">
        <f t="shared" si="6"/>
        <v>35863.45760933213</v>
      </c>
      <c r="F93" s="205">
        <f t="shared" si="6"/>
        <v>35952.917196364047</v>
      </c>
      <c r="G93" s="205">
        <f t="shared" si="6"/>
        <v>37784.47257344448</v>
      </c>
      <c r="H93" s="205">
        <f t="shared" si="6"/>
        <v>38763.277995034368</v>
      </c>
      <c r="I93" s="205">
        <f t="shared" si="6"/>
        <v>40185.646967735054</v>
      </c>
      <c r="J93" s="205">
        <f t="shared" si="6"/>
        <v>42265.610602799999</v>
      </c>
      <c r="K93" s="206">
        <f t="shared" si="6"/>
        <v>44763.408736800004</v>
      </c>
      <c r="L93" s="207">
        <f t="shared" si="6"/>
        <v>46623.317776880001</v>
      </c>
      <c r="M93" s="205">
        <f t="shared" si="6"/>
        <v>48401.451878420572</v>
      </c>
      <c r="N93" s="205">
        <f t="shared" si="6"/>
        <v>50134.974806723141</v>
      </c>
      <c r="O93" s="205">
        <f t="shared" si="6"/>
        <v>51835.582039028726</v>
      </c>
      <c r="P93" s="205">
        <f t="shared" si="6"/>
        <v>53543.669101880456</v>
      </c>
      <c r="Q93" s="208">
        <f t="shared" si="6"/>
        <v>55191.263335266456</v>
      </c>
      <c r="R93" s="308">
        <f t="shared" si="4"/>
        <v>3.5</v>
      </c>
      <c r="S93" s="309">
        <f t="shared" si="5"/>
        <v>3.4</v>
      </c>
    </row>
    <row r="94" spans="1:19" ht="9" customHeight="1"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26"/>
      <c r="S94" s="26"/>
    </row>
    <row r="95" spans="1:19" ht="13.5" customHeight="1">
      <c r="C95" t="s">
        <v>330</v>
      </c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95" priority="5">
      <formula>CELL("protect",C97)=0</formula>
    </cfRule>
    <cfRule type="expression" dxfId="94" priority="6">
      <formula>CELL("protect",C97)=0</formula>
    </cfRule>
  </conditionalFormatting>
  <conditionalFormatting sqref="C95">
    <cfRule type="expression" dxfId="93" priority="3">
      <formula>CELL("protect",C95)=0</formula>
    </cfRule>
    <cfRule type="expression" dxfId="92" priority="4">
      <formula>CELL("protect",C95)=0</formula>
    </cfRule>
  </conditionalFormatting>
  <conditionalFormatting sqref="C97">
    <cfRule type="expression" dxfId="91" priority="1">
      <formula>CELL("protect",C97)=0</formula>
    </cfRule>
    <cfRule type="expression" dxfId="9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&amp;C187</oddFooter>
  </headerFooter>
  <ignoredErrors>
    <ignoredError sqref="Q55 Q36:Q49 D85:Q92 Q52:Q53 D7:Q20 Q23:Q24 Q26:Q34 D57:Q63 D65:Q78 D81:Q82 D84:Q84 D79:Q80 D83:Q83 E26:P34 D26:D34 D36:D49 D23:P24 D52:P53 E36:P49 D55:P55 D21:P22 D56:P56 D50:P51 D54:P54 D25:P25 D35:P35 Q21 Q50" unlockedFormula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R1" s="26"/>
      <c r="S1" s="26"/>
    </row>
    <row r="2" spans="1:19" s="2" customFormat="1" ht="17.25">
      <c r="G2" s="398" t="s">
        <v>22</v>
      </c>
      <c r="H2" s="397" t="s">
        <v>20</v>
      </c>
      <c r="R2" s="3"/>
      <c r="S2" s="3"/>
    </row>
    <row r="3" spans="1:19" ht="27.6" customHeight="1" thickBot="1">
      <c r="H3" s="624" t="s">
        <v>344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'SM-A6'!D7*0.29</f>
        <v>981.06999999999994</v>
      </c>
      <c r="E7" s="176">
        <f>'SM-A6'!E7*0.29</f>
        <v>962.8</v>
      </c>
      <c r="F7" s="176">
        <f>'SM-A6'!F7*0.29</f>
        <v>958.7399999999999</v>
      </c>
      <c r="G7" s="176">
        <f>'SM-A6'!G7*0.29</f>
        <v>958.7399999999999</v>
      </c>
      <c r="H7" s="177">
        <f>'SM-A6'!H7*0.29</f>
        <v>958.7399999999999</v>
      </c>
      <c r="I7" s="177">
        <f>'SM-A6'!I7*0.29</f>
        <v>958.7399999999999</v>
      </c>
      <c r="J7" s="177">
        <f>'SM-A6'!J7*0.29</f>
        <v>958.7399999999999</v>
      </c>
      <c r="K7" s="183">
        <f>'SM-A6'!K7*0.29</f>
        <v>958.7399999999999</v>
      </c>
      <c r="L7" s="184">
        <f>'SM-A6'!L7*0.29</f>
        <v>958.7399999999999</v>
      </c>
      <c r="M7" s="182">
        <f>'SM-A6'!M7*0.29</f>
        <v>958.7399999999999</v>
      </c>
      <c r="N7" s="182">
        <f>'SM-A6'!N7*0.29</f>
        <v>958.7399999999999</v>
      </c>
      <c r="O7" s="182">
        <f>'SM-A6'!O7*0.29</f>
        <v>958.7399999999999</v>
      </c>
      <c r="P7" s="182">
        <f>'SM-A6'!P7*0.29</f>
        <v>958.7399999999999</v>
      </c>
      <c r="Q7" s="185">
        <f>'SM-A6'!Q7*0.29</f>
        <v>958.7399999999999</v>
      </c>
      <c r="R7" s="276">
        <f>IF(D7=0,"     -",IF(K7=0,"     -",ROUND(((K7/D7)^(1/7)-1)*100,1)))</f>
        <v>-0.3</v>
      </c>
      <c r="S7" s="298">
        <f>IF(L7=0,"     -",IF(Q7=0,"     -",ROUND(((Q7/L7)^(1/5)-1)*100,1)))</f>
        <v>0</v>
      </c>
    </row>
    <row r="8" spans="1:19" ht="15" customHeight="1">
      <c r="A8" s="614" t="s">
        <v>305</v>
      </c>
      <c r="B8" s="605" t="s">
        <v>434</v>
      </c>
      <c r="C8" s="606"/>
      <c r="D8" s="181">
        <f>'SM-A6'!D8*0.29</f>
        <v>582.9</v>
      </c>
      <c r="E8" s="67">
        <f>'SM-A6'!E8*0.29</f>
        <v>582.9</v>
      </c>
      <c r="F8" s="67">
        <f>'SM-A6'!F8*0.29</f>
        <v>582.9</v>
      </c>
      <c r="G8" s="67">
        <f>'SM-A6'!G8*0.29</f>
        <v>588.69999999999993</v>
      </c>
      <c r="H8" s="182">
        <f>'SM-A6'!H8*0.29</f>
        <v>588.69999999999993</v>
      </c>
      <c r="I8" s="182">
        <f>'SM-A6'!I8*0.29</f>
        <v>588.69999999999993</v>
      </c>
      <c r="J8" s="182">
        <f>'SM-A6'!J8*0.29</f>
        <v>588.69999999999993</v>
      </c>
      <c r="K8" s="183">
        <f>'SM-A6'!K8*0.29</f>
        <v>588.69999999999993</v>
      </c>
      <c r="L8" s="184">
        <f>'SM-A6'!L8*0.29</f>
        <v>588.69999999999993</v>
      </c>
      <c r="M8" s="182">
        <f>'SM-A6'!M8*0.29</f>
        <v>588.69999999999993</v>
      </c>
      <c r="N8" s="182">
        <f>'SM-A6'!N8*0.29</f>
        <v>588.69999999999993</v>
      </c>
      <c r="O8" s="182">
        <f>'SM-A6'!O8*0.29</f>
        <v>588.69999999999993</v>
      </c>
      <c r="P8" s="182">
        <f>'SM-A6'!P8*0.29</f>
        <v>588.69999999999993</v>
      </c>
      <c r="Q8" s="185">
        <f>'SM-A6'!Q8*0.29</f>
        <v>588.69999999999993</v>
      </c>
      <c r="R8" s="299">
        <f t="shared" ref="R8:R71" si="0">IF(D8=0,"     -",IF(K8=0,"     -",ROUND(((K8/D8)^(1/7)-1)*100,1)))</f>
        <v>0.1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'SM-A6'!D9*0.29</f>
        <v>269.7</v>
      </c>
      <c r="E9" s="67">
        <f>'SM-A6'!E9*0.29</f>
        <v>269.7</v>
      </c>
      <c r="F9" s="67">
        <f>'SM-A6'!F9*0.29</f>
        <v>269.7</v>
      </c>
      <c r="G9" s="67">
        <f>'SM-A6'!G9*0.29</f>
        <v>269.7</v>
      </c>
      <c r="H9" s="67">
        <f>'SM-A6'!H9*0.29</f>
        <v>269.7</v>
      </c>
      <c r="I9" s="62">
        <f>'SM-A6'!I9*0.29</f>
        <v>269.7</v>
      </c>
      <c r="J9" s="62">
        <f>'SM-A6'!J9*0.29</f>
        <v>269.7</v>
      </c>
      <c r="K9" s="63">
        <f>'SM-A6'!K9*0.29</f>
        <v>269.7</v>
      </c>
      <c r="L9" s="64">
        <f>'SM-A6'!L9*0.29</f>
        <v>269.7</v>
      </c>
      <c r="M9" s="62">
        <f>'SM-A6'!M9*0.29</f>
        <v>269.7</v>
      </c>
      <c r="N9" s="62">
        <f>'SM-A6'!N9*0.29</f>
        <v>269.7</v>
      </c>
      <c r="O9" s="62">
        <f>'SM-A6'!O9*0.29</f>
        <v>269.7</v>
      </c>
      <c r="P9" s="62">
        <f>'SM-A6'!P9*0.29</f>
        <v>269.7</v>
      </c>
      <c r="Q9" s="65">
        <f>'SM-A6'!Q9*0.29</f>
        <v>269.7</v>
      </c>
      <c r="R9" s="301">
        <f t="shared" si="0"/>
        <v>0</v>
      </c>
      <c r="S9" s="300">
        <f t="shared" si="1"/>
        <v>0</v>
      </c>
    </row>
    <row r="10" spans="1:19" ht="15" customHeight="1">
      <c r="A10" s="16"/>
      <c r="B10" s="605" t="s">
        <v>436</v>
      </c>
      <c r="C10" s="606"/>
      <c r="D10" s="181">
        <f>'SM-A6'!D10*0.29</f>
        <v>1396.35</v>
      </c>
      <c r="E10" s="67">
        <f>'SM-A6'!E10*0.29</f>
        <v>1600.8</v>
      </c>
      <c r="F10" s="67">
        <f>'SM-A6'!F10*0.29</f>
        <v>1689.2499999999998</v>
      </c>
      <c r="G10" s="67">
        <f>'SM-A6'!G10*0.29</f>
        <v>1867.6</v>
      </c>
      <c r="H10" s="67">
        <f>'SM-A6'!H10*0.29</f>
        <v>1989.9799999999998</v>
      </c>
      <c r="I10" s="182">
        <f>'SM-A6'!I10*0.29</f>
        <v>2059.58</v>
      </c>
      <c r="J10" s="182">
        <f>'SM-A6'!J10*0.29</f>
        <v>2210.3799999999997</v>
      </c>
      <c r="K10" s="183">
        <f>'SM-A6'!K10*0.29</f>
        <v>2396.85</v>
      </c>
      <c r="L10" s="184">
        <f>'SM-A6'!L10*0.29</f>
        <v>2613.48</v>
      </c>
      <c r="M10" s="182">
        <f>'SM-A6'!M10*0.29</f>
        <v>2670.0299999999997</v>
      </c>
      <c r="N10" s="182">
        <f>'SM-A6'!N10*0.29</f>
        <v>2976.56</v>
      </c>
      <c r="O10" s="182">
        <f>'SM-A6'!O10*0.29</f>
        <v>4226.46</v>
      </c>
      <c r="P10" s="182">
        <f>'SM-A6'!P10*0.29</f>
        <v>4509.21</v>
      </c>
      <c r="Q10" s="185">
        <f>'SM-A6'!Q10*0.29</f>
        <v>4581.71</v>
      </c>
      <c r="R10" s="299">
        <f t="shared" si="0"/>
        <v>8</v>
      </c>
      <c r="S10" s="300">
        <f t="shared" si="1"/>
        <v>11.9</v>
      </c>
    </row>
    <row r="11" spans="1:19" ht="15" customHeight="1">
      <c r="A11" s="16"/>
      <c r="B11" s="605" t="s">
        <v>437</v>
      </c>
      <c r="C11" s="606"/>
      <c r="D11" s="181">
        <f>'SM-A6'!D11*0.29</f>
        <v>150.79999999999998</v>
      </c>
      <c r="E11" s="67">
        <f>'SM-A6'!E11*0.29</f>
        <v>150.79999999999998</v>
      </c>
      <c r="F11" s="67">
        <f>'SM-A6'!F11*0.29</f>
        <v>150.79999999999998</v>
      </c>
      <c r="G11" s="67">
        <f>'SM-A6'!G11*0.29</f>
        <v>150.79999999999998</v>
      </c>
      <c r="H11" s="67">
        <f>'SM-A6'!H11*0.29</f>
        <v>168.2</v>
      </c>
      <c r="I11" s="67">
        <f>'SM-A6'!I11*0.29</f>
        <v>168.2</v>
      </c>
      <c r="J11" s="67">
        <f>'SM-A6'!J11*0.29</f>
        <v>168.2</v>
      </c>
      <c r="K11" s="186">
        <f>'SM-A6'!K11*0.29</f>
        <v>168.2</v>
      </c>
      <c r="L11" s="187">
        <f>'SM-A6'!L11*0.29</f>
        <v>168.2</v>
      </c>
      <c r="M11" s="67">
        <f>'SM-A6'!M11*0.29</f>
        <v>168.2</v>
      </c>
      <c r="N11" s="67">
        <f>'SM-A6'!N11*0.29</f>
        <v>168.2</v>
      </c>
      <c r="O11" s="67">
        <f>'SM-A6'!O11*0.29</f>
        <v>168.2</v>
      </c>
      <c r="P11" s="67">
        <f>'SM-A6'!P11*0.29</f>
        <v>168.2</v>
      </c>
      <c r="Q11" s="68">
        <f>'SM-A6'!Q11*0.29</f>
        <v>168.2</v>
      </c>
      <c r="R11" s="302">
        <f t="shared" si="0"/>
        <v>1.6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'SM-A6'!D12*0.29</f>
        <v>98.6</v>
      </c>
      <c r="E12" s="67">
        <f>'SM-A6'!E12*0.29</f>
        <v>98.6</v>
      </c>
      <c r="F12" s="67">
        <f>'SM-A6'!F12*0.29</f>
        <v>98.6</v>
      </c>
      <c r="G12" s="67">
        <f>'SM-A6'!G12*0.29</f>
        <v>98.6</v>
      </c>
      <c r="H12" s="67">
        <f>'SM-A6'!H12*0.29</f>
        <v>98.6</v>
      </c>
      <c r="I12" s="67">
        <f>'SM-A6'!I12*0.29</f>
        <v>98.6</v>
      </c>
      <c r="J12" s="67">
        <f>'SM-A6'!J12*0.29</f>
        <v>98.6</v>
      </c>
      <c r="K12" s="186">
        <f>'SM-A6'!K12*0.29</f>
        <v>98.6</v>
      </c>
      <c r="L12" s="187">
        <f>'SM-A6'!L12*0.29</f>
        <v>98.6</v>
      </c>
      <c r="M12" s="67">
        <f>'SM-A6'!M12*0.29</f>
        <v>98.6</v>
      </c>
      <c r="N12" s="67">
        <f>'SM-A6'!N12*0.29</f>
        <v>98.6</v>
      </c>
      <c r="O12" s="67">
        <f>'SM-A6'!O12*0.29</f>
        <v>98.6</v>
      </c>
      <c r="P12" s="67">
        <f>'SM-A6'!P12*0.29</f>
        <v>98.6</v>
      </c>
      <c r="Q12" s="68">
        <f>'SM-A6'!Q12*0.29</f>
        <v>98.6</v>
      </c>
      <c r="R12" s="302">
        <f t="shared" si="0"/>
        <v>0</v>
      </c>
      <c r="S12" s="300">
        <f t="shared" si="1"/>
        <v>0</v>
      </c>
    </row>
    <row r="13" spans="1:19" ht="15" customHeight="1">
      <c r="A13" s="16"/>
      <c r="B13" s="605" t="s">
        <v>439</v>
      </c>
      <c r="C13" s="606"/>
      <c r="D13" s="181">
        <f>'SM-A6'!D13*0.29</f>
        <v>0</v>
      </c>
      <c r="E13" s="67">
        <f>'SM-A6'!E13*0.29</f>
        <v>0</v>
      </c>
      <c r="F13" s="67">
        <f>'SM-A6'!F13*0.29</f>
        <v>0</v>
      </c>
      <c r="G13" s="67">
        <f>'SM-A6'!G13*0.29</f>
        <v>0</v>
      </c>
      <c r="H13" s="67">
        <f>'SM-A6'!H13*0.29</f>
        <v>0</v>
      </c>
      <c r="I13" s="67">
        <f>'SM-A6'!I13*0.29</f>
        <v>0</v>
      </c>
      <c r="J13" s="182">
        <f>'SM-A6'!J13*0.29</f>
        <v>0</v>
      </c>
      <c r="K13" s="183">
        <f>'SM-A6'!K13*0.29</f>
        <v>0</v>
      </c>
      <c r="L13" s="184">
        <f>'SM-A6'!L13*0.29</f>
        <v>0</v>
      </c>
      <c r="M13" s="182">
        <f>'SM-A6'!M13*0.29</f>
        <v>0</v>
      </c>
      <c r="N13" s="182">
        <f>'SM-A6'!N13*0.29</f>
        <v>0</v>
      </c>
      <c r="O13" s="182">
        <f>'SM-A6'!O13*0.29</f>
        <v>0</v>
      </c>
      <c r="P13" s="182">
        <f>'SM-A6'!P13*0.29</f>
        <v>0</v>
      </c>
      <c r="Q13" s="185">
        <f>'SM-A6'!Q13*0.29</f>
        <v>0</v>
      </c>
      <c r="R13" s="302" t="str">
        <f t="shared" si="0"/>
        <v xml:space="preserve">     -</v>
      </c>
      <c r="S13" s="300" t="str">
        <f t="shared" si="1"/>
        <v xml:space="preserve">     -</v>
      </c>
    </row>
    <row r="14" spans="1:19" ht="15.75" hidden="1" customHeight="1">
      <c r="A14" s="16"/>
      <c r="B14" s="16"/>
      <c r="C14" s="90" t="s">
        <v>306</v>
      </c>
      <c r="D14" s="181">
        <f>'SM-A6'!D14*0.29</f>
        <v>0</v>
      </c>
      <c r="E14" s="67">
        <f>'SM-A6'!E14*0.29</f>
        <v>0</v>
      </c>
      <c r="F14" s="67">
        <f>'SM-A6'!F14*0.29</f>
        <v>0</v>
      </c>
      <c r="G14" s="67">
        <f>'SM-A6'!G14*0.29</f>
        <v>0</v>
      </c>
      <c r="H14" s="67">
        <f>'SM-A6'!H14*0.29</f>
        <v>0</v>
      </c>
      <c r="I14" s="67">
        <f>'SM-A6'!I14*0.29</f>
        <v>0</v>
      </c>
      <c r="J14" s="67">
        <f>'SM-A6'!J14*0.29</f>
        <v>0</v>
      </c>
      <c r="K14" s="186">
        <f>'SM-A6'!K14*0.29</f>
        <v>0</v>
      </c>
      <c r="L14" s="187">
        <f>'SM-A6'!L14*0.29</f>
        <v>0</v>
      </c>
      <c r="M14" s="67">
        <f>'SM-A6'!M14*0.29</f>
        <v>0</v>
      </c>
      <c r="N14" s="67">
        <f>'SM-A6'!N14*0.29</f>
        <v>0</v>
      </c>
      <c r="O14" s="67">
        <f>'SM-A6'!O14*0.29</f>
        <v>0</v>
      </c>
      <c r="P14" s="67">
        <f>'SM-A6'!P14*0.29</f>
        <v>0</v>
      </c>
      <c r="Q14" s="68">
        <f>'SM-A6'!Q14*0.29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'SM-A6'!D15*0.29</f>
        <v>0</v>
      </c>
      <c r="E15" s="67">
        <f>'SM-A6'!E15*0.29</f>
        <v>0</v>
      </c>
      <c r="F15" s="67">
        <f>'SM-A6'!F15*0.29</f>
        <v>0</v>
      </c>
      <c r="G15" s="67">
        <f>'SM-A6'!G15*0.29</f>
        <v>0</v>
      </c>
      <c r="H15" s="67">
        <f>'SM-A6'!H15*0.29</f>
        <v>0</v>
      </c>
      <c r="I15" s="67">
        <f>'SM-A6'!I15*0.29</f>
        <v>0</v>
      </c>
      <c r="J15" s="67">
        <f>'SM-A6'!J15*0.29</f>
        <v>0</v>
      </c>
      <c r="K15" s="186">
        <f>'SM-A6'!K15*0.29</f>
        <v>0</v>
      </c>
      <c r="L15" s="187">
        <f>'SM-A6'!L15*0.29</f>
        <v>0</v>
      </c>
      <c r="M15" s="67">
        <f>'SM-A6'!M15*0.29</f>
        <v>0</v>
      </c>
      <c r="N15" s="67">
        <f>'SM-A6'!N15*0.29</f>
        <v>0</v>
      </c>
      <c r="O15" s="67">
        <f>'SM-A6'!O15*0.29</f>
        <v>0</v>
      </c>
      <c r="P15" s="67">
        <f>'SM-A6'!P15*0.29</f>
        <v>0</v>
      </c>
      <c r="Q15" s="68">
        <f>'SM-A6'!Q15*0.29</f>
        <v>0</v>
      </c>
      <c r="R15" s="302" t="str">
        <f t="shared" si="0"/>
        <v xml:space="preserve">     -</v>
      </c>
      <c r="S15" s="300" t="str">
        <f t="shared" si="1"/>
        <v xml:space="preserve">     -</v>
      </c>
    </row>
    <row r="16" spans="1:19" ht="15" customHeight="1">
      <c r="A16" s="16"/>
      <c r="B16" s="605" t="s">
        <v>441</v>
      </c>
      <c r="C16" s="606"/>
      <c r="D16" s="181">
        <f>'SM-A6'!D16*0.29</f>
        <v>69.599999999999994</v>
      </c>
      <c r="E16" s="67">
        <f>'SM-A6'!E16*0.29</f>
        <v>69.599999999999994</v>
      </c>
      <c r="F16" s="67">
        <f>'SM-A6'!F16*0.29</f>
        <v>69.599999999999994</v>
      </c>
      <c r="G16" s="67">
        <f>'SM-A6'!G16*0.29</f>
        <v>69.599999999999994</v>
      </c>
      <c r="H16" s="67">
        <f>'SM-A6'!H16*0.29</f>
        <v>69.599999999999994</v>
      </c>
      <c r="I16" s="67">
        <f>'SM-A6'!I16*0.29</f>
        <v>69.599999999999994</v>
      </c>
      <c r="J16" s="67">
        <f>'SM-A6'!J16*0.29</f>
        <v>69.599999999999994</v>
      </c>
      <c r="K16" s="186">
        <f>'SM-A6'!K16*0.29</f>
        <v>69.599999999999994</v>
      </c>
      <c r="L16" s="187">
        <f>'SM-A6'!L16*0.29</f>
        <v>69.599999999999994</v>
      </c>
      <c r="M16" s="67">
        <f>'SM-A6'!M16*0.29</f>
        <v>69.599999999999994</v>
      </c>
      <c r="N16" s="67">
        <f>'SM-A6'!N16*0.29</f>
        <v>69.599999999999994</v>
      </c>
      <c r="O16" s="67">
        <f>'SM-A6'!O16*0.29</f>
        <v>69.599999999999994</v>
      </c>
      <c r="P16" s="67">
        <f>'SM-A6'!P16*0.29</f>
        <v>69.599999999999994</v>
      </c>
      <c r="Q16" s="68">
        <f>'SM-A6'!Q16*0.29</f>
        <v>69.599999999999994</v>
      </c>
      <c r="R16" s="302">
        <f t="shared" si="0"/>
        <v>0</v>
      </c>
      <c r="S16" s="300">
        <f t="shared" si="1"/>
        <v>0</v>
      </c>
    </row>
    <row r="17" spans="1:19" ht="15" customHeight="1">
      <c r="A17" s="16"/>
      <c r="B17" s="605" t="s">
        <v>442</v>
      </c>
      <c r="C17" s="606"/>
      <c r="D17" s="181">
        <f>'SM-A6'!D17*0.29</f>
        <v>0</v>
      </c>
      <c r="E17" s="67">
        <f>'SM-A6'!E17*0.29</f>
        <v>0</v>
      </c>
      <c r="F17" s="67">
        <f>'SM-A6'!F17*0.29</f>
        <v>0</v>
      </c>
      <c r="G17" s="67">
        <f>'SM-A6'!G17*0.29</f>
        <v>0</v>
      </c>
      <c r="H17" s="67">
        <f>'SM-A6'!H17*0.29</f>
        <v>0</v>
      </c>
      <c r="I17" s="67">
        <f>'SM-A6'!I17*0.29</f>
        <v>0</v>
      </c>
      <c r="J17" s="67">
        <f>'SM-A6'!J17*0.29</f>
        <v>0</v>
      </c>
      <c r="K17" s="186">
        <f>'SM-A6'!K17*0.29</f>
        <v>0</v>
      </c>
      <c r="L17" s="187">
        <f>'SM-A6'!L17*0.29</f>
        <v>0</v>
      </c>
      <c r="M17" s="67">
        <f>'SM-A6'!M17*0.29</f>
        <v>0</v>
      </c>
      <c r="N17" s="67">
        <f>'SM-A6'!N17*0.29</f>
        <v>0</v>
      </c>
      <c r="O17" s="67">
        <f>'SM-A6'!O17*0.29</f>
        <v>0</v>
      </c>
      <c r="P17" s="67">
        <f>'SM-A6'!P17*0.29</f>
        <v>0</v>
      </c>
      <c r="Q17" s="68">
        <f>'SM-A6'!Q17*0.29</f>
        <v>0</v>
      </c>
      <c r="R17" s="302" t="str">
        <f t="shared" si="0"/>
        <v xml:space="preserve">     -</v>
      </c>
      <c r="S17" s="300" t="str">
        <f t="shared" si="1"/>
        <v xml:space="preserve">     -</v>
      </c>
    </row>
    <row r="18" spans="1:19" ht="15" customHeight="1">
      <c r="A18" s="16"/>
      <c r="B18" s="607" t="s">
        <v>443</v>
      </c>
      <c r="C18" s="608"/>
      <c r="D18" s="188">
        <f>'SM-A6'!D18*0.29</f>
        <v>950.61999999999989</v>
      </c>
      <c r="E18" s="182">
        <f>'SM-A6'!E18*0.29</f>
        <v>843.03</v>
      </c>
      <c r="F18" s="182">
        <f>'SM-A6'!F18*0.29</f>
        <v>773.43</v>
      </c>
      <c r="G18" s="182">
        <f>'SM-A6'!G18*0.29</f>
        <v>773.43</v>
      </c>
      <c r="H18" s="182">
        <f>'SM-A6'!H18*0.29</f>
        <v>773.43</v>
      </c>
      <c r="I18" s="182">
        <f>'SM-A6'!I18*0.29</f>
        <v>653.94999999999993</v>
      </c>
      <c r="J18" s="182">
        <f>'SM-A6'!J18*0.29</f>
        <v>565.20999999999992</v>
      </c>
      <c r="K18" s="183">
        <f>'SM-A6'!K18*0.29</f>
        <v>565.20999999999992</v>
      </c>
      <c r="L18" s="184">
        <f>'SM-A6'!L18*0.29</f>
        <v>565.20999999999992</v>
      </c>
      <c r="M18" s="182">
        <f>'SM-A6'!M18*0.29</f>
        <v>565.20999999999992</v>
      </c>
      <c r="N18" s="182">
        <f>'SM-A6'!N18*0.29</f>
        <v>565.20999999999992</v>
      </c>
      <c r="O18" s="182">
        <f>'SM-A6'!O18*0.29</f>
        <v>565.20999999999992</v>
      </c>
      <c r="P18" s="182">
        <f>'SM-A6'!P18*0.29</f>
        <v>565.20999999999992</v>
      </c>
      <c r="Q18" s="185">
        <f>'SM-A6'!Q18*0.29</f>
        <v>565.20999999999992</v>
      </c>
      <c r="R18" s="299">
        <f t="shared" si="0"/>
        <v>-7.2</v>
      </c>
      <c r="S18" s="300">
        <f t="shared" si="1"/>
        <v>0</v>
      </c>
    </row>
    <row r="19" spans="1:19" ht="15.75" customHeight="1">
      <c r="A19" s="16"/>
      <c r="B19" s="674" t="s">
        <v>307</v>
      </c>
      <c r="C19" s="675"/>
      <c r="D19" s="189">
        <f>'SM-A6'!D19*0.29</f>
        <v>4499.6399999999994</v>
      </c>
      <c r="E19" s="190">
        <f>'SM-A6'!E19*0.29</f>
        <v>4578.2299999999996</v>
      </c>
      <c r="F19" s="190">
        <f>'SM-A6'!F19*0.29</f>
        <v>4593.0199999999995</v>
      </c>
      <c r="G19" s="190">
        <f>'SM-A6'!G19*0.29</f>
        <v>4777.17</v>
      </c>
      <c r="H19" s="190">
        <f>'SM-A6'!H19*0.29</f>
        <v>4916.95</v>
      </c>
      <c r="I19" s="190">
        <f>'SM-A6'!I19*0.29</f>
        <v>4867.07</v>
      </c>
      <c r="J19" s="190">
        <f>'SM-A6'!J19*0.29</f>
        <v>4929.13</v>
      </c>
      <c r="K19" s="191">
        <f>'SM-A6'!K19*0.29</f>
        <v>5115.5999999999995</v>
      </c>
      <c r="L19" s="192">
        <f>'SM-A6'!L19*0.29</f>
        <v>5332.23</v>
      </c>
      <c r="M19" s="190">
        <f>'SM-A6'!M19*0.29</f>
        <v>5388.78</v>
      </c>
      <c r="N19" s="190">
        <f>'SM-A6'!N19*0.29</f>
        <v>5695.3099999999995</v>
      </c>
      <c r="O19" s="190">
        <f>'SM-A6'!O19*0.29</f>
        <v>6945.2099999999991</v>
      </c>
      <c r="P19" s="190">
        <f>'SM-A6'!P19*0.29</f>
        <v>7227.9599999999991</v>
      </c>
      <c r="Q19" s="193">
        <f>'SM-A6'!Q19*0.29</f>
        <v>7300.4599999999991</v>
      </c>
      <c r="R19" s="303">
        <f t="shared" si="0"/>
        <v>1.8</v>
      </c>
      <c r="S19" s="304">
        <f t="shared" si="1"/>
        <v>6.5</v>
      </c>
    </row>
    <row r="20" spans="1:19" ht="15.75" customHeight="1">
      <c r="A20" s="16"/>
      <c r="B20" s="672" t="s">
        <v>308</v>
      </c>
      <c r="C20" s="673"/>
      <c r="D20" s="194">
        <f>'SM-A6'!D20*0.29</f>
        <v>28.999999999999996</v>
      </c>
      <c r="E20" s="195">
        <f>'SM-A6'!E20*0.29</f>
        <v>28.999999999999996</v>
      </c>
      <c r="F20" s="195">
        <f>'SM-A6'!F20*0.29</f>
        <v>0</v>
      </c>
      <c r="G20" s="195">
        <f>'SM-A6'!G20*0.29</f>
        <v>0</v>
      </c>
      <c r="H20" s="195">
        <f>'SM-A6'!H20*0.29</f>
        <v>0</v>
      </c>
      <c r="I20" s="195">
        <f>'SM-A6'!I20*0.29</f>
        <v>0</v>
      </c>
      <c r="J20" s="195">
        <f>'SM-A6'!J20*0.29</f>
        <v>0</v>
      </c>
      <c r="K20" s="196">
        <f>'SM-A6'!K20*0.29</f>
        <v>0</v>
      </c>
      <c r="L20" s="197">
        <f>'SM-A6'!L20*0.29</f>
        <v>0</v>
      </c>
      <c r="M20" s="195">
        <f>'SM-A6'!M20*0.29</f>
        <v>0</v>
      </c>
      <c r="N20" s="195">
        <f>'SM-A6'!N20*0.29</f>
        <v>0</v>
      </c>
      <c r="O20" s="195">
        <f>'SM-A6'!O20*0.29</f>
        <v>0</v>
      </c>
      <c r="P20" s="195">
        <f>'SM-A6'!P20*0.29</f>
        <v>0</v>
      </c>
      <c r="Q20" s="198">
        <f>'SM-A6'!Q20*0.29</f>
        <v>0</v>
      </c>
      <c r="R20" s="303" t="str">
        <f t="shared" si="0"/>
        <v xml:space="preserve">     -</v>
      </c>
      <c r="S20" s="304" t="str">
        <f t="shared" si="1"/>
        <v xml:space="preserve">     -</v>
      </c>
    </row>
    <row r="21" spans="1:19" ht="15" customHeight="1">
      <c r="A21" s="16"/>
      <c r="B21" s="105"/>
      <c r="C21" s="97" t="s">
        <v>309</v>
      </c>
      <c r="D21" s="194">
        <f>'SM-A6'!D21*0.29</f>
        <v>28.999999999999996</v>
      </c>
      <c r="E21" s="195">
        <f>'SM-A6'!E21*0.29</f>
        <v>28.999999999999996</v>
      </c>
      <c r="F21" s="195">
        <f>'SM-A6'!F21*0.29</f>
        <v>0</v>
      </c>
      <c r="G21" s="195">
        <f>'SM-A6'!G21*0.29</f>
        <v>0</v>
      </c>
      <c r="H21" s="195">
        <f>'SM-A6'!H21*0.29</f>
        <v>0</v>
      </c>
      <c r="I21" s="195">
        <f>'SM-A6'!I21*0.29</f>
        <v>0</v>
      </c>
      <c r="J21" s="195">
        <f>'SM-A6'!J21*0.29</f>
        <v>0</v>
      </c>
      <c r="K21" s="196">
        <f>'SM-A6'!K21*0.29</f>
        <v>0</v>
      </c>
      <c r="L21" s="197">
        <f>'SM-A6'!L21*0.29</f>
        <v>0</v>
      </c>
      <c r="M21" s="195">
        <f>'SM-A6'!M21*0.29</f>
        <v>0</v>
      </c>
      <c r="N21" s="195">
        <f>'SM-A6'!N21*0.29</f>
        <v>0</v>
      </c>
      <c r="O21" s="195">
        <f>'SM-A6'!O21*0.29</f>
        <v>0</v>
      </c>
      <c r="P21" s="195">
        <f>'SM-A6'!P21*0.29</f>
        <v>0</v>
      </c>
      <c r="Q21" s="198">
        <f>'SM-A6'!Q21*0.29</f>
        <v>0</v>
      </c>
      <c r="R21" s="303" t="str">
        <f t="shared" si="0"/>
        <v xml:space="preserve">     -</v>
      </c>
      <c r="S21" s="304" t="str">
        <f t="shared" si="1"/>
        <v xml:space="preserve">     -</v>
      </c>
    </row>
    <row r="22" spans="1:19" ht="15.75" customHeight="1">
      <c r="A22" s="16"/>
      <c r="B22" s="672" t="s">
        <v>310</v>
      </c>
      <c r="C22" s="673"/>
      <c r="D22" s="181">
        <f>'SM-A6'!D22*0.29</f>
        <v>1693.6</v>
      </c>
      <c r="E22" s="67">
        <f>'SM-A6'!E22*0.29</f>
        <v>1691.28</v>
      </c>
      <c r="F22" s="67">
        <f>'SM-A6'!F22*0.29</f>
        <v>1589.78</v>
      </c>
      <c r="G22" s="67">
        <f>'SM-A6'!G22*0.29</f>
        <v>1589.78</v>
      </c>
      <c r="H22" s="182">
        <f>'SM-A6'!H22*0.29</f>
        <v>1581.9499999999998</v>
      </c>
      <c r="I22" s="182">
        <f>'SM-A6'!I22*0.29</f>
        <v>1581.9499999999998</v>
      </c>
      <c r="J22" s="182">
        <f>'SM-A6'!J22*0.29</f>
        <v>1581.9499999999998</v>
      </c>
      <c r="K22" s="183">
        <f>'SM-A6'!K22*0.29</f>
        <v>1589.1999999999998</v>
      </c>
      <c r="L22" s="184">
        <f>'SM-A6'!L22*0.29</f>
        <v>1589.1999999999998</v>
      </c>
      <c r="M22" s="182">
        <f>'SM-A6'!M22*0.29</f>
        <v>1589.1999999999998</v>
      </c>
      <c r="N22" s="182">
        <f>'SM-A6'!N22*0.29</f>
        <v>1589.1999999999998</v>
      </c>
      <c r="O22" s="182">
        <f>'SM-A6'!O22*0.29</f>
        <v>1589.1999999999998</v>
      </c>
      <c r="P22" s="182">
        <f>'SM-A6'!P22*0.29</f>
        <v>1589.1999999999998</v>
      </c>
      <c r="Q22" s="185">
        <f>'SM-A6'!Q22*0.29</f>
        <v>1589.1999999999998</v>
      </c>
      <c r="R22" s="299">
        <f t="shared" si="0"/>
        <v>-0.9</v>
      </c>
      <c r="S22" s="300">
        <f t="shared" si="1"/>
        <v>0</v>
      </c>
    </row>
    <row r="23" spans="1:19" ht="15" customHeight="1">
      <c r="A23" s="16"/>
      <c r="B23" s="105"/>
      <c r="C23" s="615" t="s">
        <v>311</v>
      </c>
      <c r="D23" s="194">
        <f>'SM-A6'!D23*0.29</f>
        <v>1609.5</v>
      </c>
      <c r="E23" s="195">
        <f>'SM-A6'!E23*0.29</f>
        <v>1607.1799999999998</v>
      </c>
      <c r="F23" s="195">
        <f>'SM-A6'!F23*0.29</f>
        <v>1505.6799999999998</v>
      </c>
      <c r="G23" s="195">
        <f>'SM-A6'!G23*0.29</f>
        <v>1505.6799999999998</v>
      </c>
      <c r="H23" s="190">
        <f>'SM-A6'!H23*0.29</f>
        <v>1497.85</v>
      </c>
      <c r="I23" s="190">
        <f>'SM-A6'!I23*0.29</f>
        <v>1497.85</v>
      </c>
      <c r="J23" s="190">
        <f>'SM-A6'!J23*0.29</f>
        <v>1497.85</v>
      </c>
      <c r="K23" s="191">
        <f>'SM-A6'!K23*0.29</f>
        <v>1505.1</v>
      </c>
      <c r="L23" s="192">
        <f>'SM-A6'!L23*0.29</f>
        <v>1505.1</v>
      </c>
      <c r="M23" s="190">
        <f>'SM-A6'!M23*0.29</f>
        <v>1505.1</v>
      </c>
      <c r="N23" s="190">
        <f>'SM-A6'!N23*0.29</f>
        <v>1505.1</v>
      </c>
      <c r="O23" s="190">
        <f>'SM-A6'!O23*0.29</f>
        <v>1505.1</v>
      </c>
      <c r="P23" s="190">
        <f>'SM-A6'!P23*0.29</f>
        <v>1505.1</v>
      </c>
      <c r="Q23" s="193">
        <f>'SM-A6'!Q23*0.29</f>
        <v>1505.1</v>
      </c>
      <c r="R23" s="303">
        <f t="shared" si="0"/>
        <v>-1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'SM-A6'!D24*0.29</f>
        <v>883.63</v>
      </c>
      <c r="E24" s="67">
        <f>'SM-A6'!E24*0.29</f>
        <v>883.63</v>
      </c>
      <c r="F24" s="67">
        <f>'SM-A6'!F24*0.29</f>
        <v>883.63</v>
      </c>
      <c r="G24" s="67">
        <f>'SM-A6'!G24*0.29</f>
        <v>883.63</v>
      </c>
      <c r="H24" s="67">
        <f>'SM-A6'!H24*0.29</f>
        <v>883.63</v>
      </c>
      <c r="I24" s="67">
        <f>'SM-A6'!I24*0.29</f>
        <v>883.63</v>
      </c>
      <c r="J24" s="67">
        <f>'SM-A6'!J24*0.29</f>
        <v>883.63</v>
      </c>
      <c r="K24" s="186">
        <f>'SM-A6'!K24*0.29</f>
        <v>883.63</v>
      </c>
      <c r="L24" s="187">
        <f>'SM-A6'!L24*0.29</f>
        <v>883.63</v>
      </c>
      <c r="M24" s="67">
        <f>'SM-A6'!M24*0.29</f>
        <v>883.63</v>
      </c>
      <c r="N24" s="67">
        <f>'SM-A6'!N24*0.29</f>
        <v>883.63</v>
      </c>
      <c r="O24" s="67">
        <f>'SM-A6'!O24*0.29</f>
        <v>883.63</v>
      </c>
      <c r="P24" s="67">
        <f>'SM-A6'!P24*0.29</f>
        <v>883.63</v>
      </c>
      <c r="Q24" s="68">
        <f>'SM-A6'!Q24*0.29</f>
        <v>883.63</v>
      </c>
      <c r="R24" s="302">
        <f t="shared" si="0"/>
        <v>0</v>
      </c>
      <c r="S24" s="300">
        <f t="shared" si="1"/>
        <v>0</v>
      </c>
    </row>
    <row r="25" spans="1:19" ht="15" customHeight="1">
      <c r="A25" s="16"/>
      <c r="B25" s="16"/>
      <c r="C25" s="615" t="s">
        <v>313</v>
      </c>
      <c r="D25" s="194">
        <f>'SM-A6'!D25*0.29</f>
        <v>0</v>
      </c>
      <c r="E25" s="195">
        <f>'SM-A6'!E25*0.29</f>
        <v>544.32999999999993</v>
      </c>
      <c r="F25" s="195">
        <f>'SM-A6'!F25*0.29</f>
        <v>544.32999999999993</v>
      </c>
      <c r="G25" s="195">
        <f>'SM-A6'!G25*0.29</f>
        <v>544.32999999999993</v>
      </c>
      <c r="H25" s="190">
        <f>'SM-A6'!H25*0.29</f>
        <v>544.32999999999993</v>
      </c>
      <c r="I25" s="190">
        <f>'SM-A6'!I25*0.29</f>
        <v>544.32999999999993</v>
      </c>
      <c r="J25" s="190">
        <f>'SM-A6'!J25*0.29</f>
        <v>544.32999999999993</v>
      </c>
      <c r="K25" s="191">
        <f>'SM-A6'!K25*0.29</f>
        <v>544.32999999999993</v>
      </c>
      <c r="L25" s="192">
        <f>'SM-A6'!L25*0.29</f>
        <v>544.32999999999993</v>
      </c>
      <c r="M25" s="190">
        <f>'SM-A6'!M25*0.29</f>
        <v>544.32999999999993</v>
      </c>
      <c r="N25" s="190">
        <f>'SM-A6'!N25*0.29</f>
        <v>544.32999999999993</v>
      </c>
      <c r="O25" s="190">
        <f>'SM-A6'!O25*0.29</f>
        <v>544.32999999999993</v>
      </c>
      <c r="P25" s="190">
        <f>'SM-A6'!P25*0.29</f>
        <v>547.23</v>
      </c>
      <c r="Q25" s="193">
        <f>'SM-A6'!Q25*0.29</f>
        <v>547.23</v>
      </c>
      <c r="R25" s="303" t="str">
        <f t="shared" si="0"/>
        <v xml:space="preserve">     -</v>
      </c>
      <c r="S25" s="304">
        <f t="shared" si="1"/>
        <v>0.1</v>
      </c>
    </row>
    <row r="26" spans="1:19" ht="15.75" customHeight="1">
      <c r="A26" s="16"/>
      <c r="B26" s="674" t="s">
        <v>314</v>
      </c>
      <c r="C26" s="675"/>
      <c r="D26" s="194">
        <f>'SM-A6'!D26*0.29</f>
        <v>0</v>
      </c>
      <c r="E26" s="195">
        <f>'SM-A6'!E26*0.29</f>
        <v>0</v>
      </c>
      <c r="F26" s="195">
        <f>'SM-A6'!F26*0.29</f>
        <v>0</v>
      </c>
      <c r="G26" s="195">
        <f>'SM-A6'!G26*0.29</f>
        <v>0</v>
      </c>
      <c r="H26" s="195">
        <f>'SM-A6'!H26*0.29</f>
        <v>0</v>
      </c>
      <c r="I26" s="195">
        <f>'SM-A6'!I26*0.29</f>
        <v>0</v>
      </c>
      <c r="J26" s="195">
        <f>'SM-A6'!J26*0.29</f>
        <v>0</v>
      </c>
      <c r="K26" s="196">
        <f>'SM-A6'!K26*0.29</f>
        <v>0</v>
      </c>
      <c r="L26" s="197">
        <f>'SM-A6'!L26*0.29</f>
        <v>0</v>
      </c>
      <c r="M26" s="195">
        <f>'SM-A6'!M26*0.29</f>
        <v>0</v>
      </c>
      <c r="N26" s="195">
        <f>'SM-A6'!N26*0.29</f>
        <v>0</v>
      </c>
      <c r="O26" s="195">
        <f>'SM-A6'!O26*0.29</f>
        <v>0</v>
      </c>
      <c r="P26" s="195">
        <f>'SM-A6'!P26*0.29</f>
        <v>0</v>
      </c>
      <c r="Q26" s="198">
        <f>'SM-A6'!Q26*0.29</f>
        <v>0</v>
      </c>
      <c r="R26" s="305" t="str">
        <f t="shared" si="0"/>
        <v xml:space="preserve">     -</v>
      </c>
      <c r="S26" s="304" t="str">
        <f t="shared" si="1"/>
        <v xml:space="preserve">     -</v>
      </c>
    </row>
    <row r="27" spans="1:19" ht="15.75" customHeight="1">
      <c r="A27" s="16"/>
      <c r="B27" s="674" t="s">
        <v>315</v>
      </c>
      <c r="C27" s="675"/>
      <c r="D27" s="189">
        <f>'SM-A6'!D27*0.29</f>
        <v>220.10999999999999</v>
      </c>
      <c r="E27" s="190">
        <f>'SM-A6'!E27*0.29</f>
        <v>220.10999999999999</v>
      </c>
      <c r="F27" s="190">
        <f>'SM-A6'!F27*0.29</f>
        <v>220.10999999999999</v>
      </c>
      <c r="G27" s="190">
        <f>'SM-A6'!G27*0.29</f>
        <v>211.7</v>
      </c>
      <c r="H27" s="190">
        <f>'SM-A6'!H27*0.29</f>
        <v>211.7</v>
      </c>
      <c r="I27" s="190">
        <f>'SM-A6'!I27*0.29</f>
        <v>211.7</v>
      </c>
      <c r="J27" s="190">
        <f>'SM-A6'!J27*0.29</f>
        <v>221.85</v>
      </c>
      <c r="K27" s="191">
        <f>'SM-A6'!K27*0.29</f>
        <v>221.85</v>
      </c>
      <c r="L27" s="192">
        <f>'SM-A6'!L27*0.29</f>
        <v>221.85</v>
      </c>
      <c r="M27" s="190">
        <f>'SM-A6'!M27*0.29</f>
        <v>221.85</v>
      </c>
      <c r="N27" s="190">
        <f>'SM-A6'!N27*0.29</f>
        <v>221.85</v>
      </c>
      <c r="O27" s="190">
        <f>'SM-A6'!O27*0.29</f>
        <v>221.85</v>
      </c>
      <c r="P27" s="190">
        <f>'SM-A6'!P27*0.29</f>
        <v>221.85</v>
      </c>
      <c r="Q27" s="193">
        <f>'SM-A6'!Q27*0.29</f>
        <v>221.85</v>
      </c>
      <c r="R27" s="303">
        <f t="shared" si="0"/>
        <v>0.1</v>
      </c>
      <c r="S27" s="304">
        <f t="shared" si="1"/>
        <v>0</v>
      </c>
    </row>
    <row r="28" spans="1:19" ht="15" customHeight="1">
      <c r="A28" s="16"/>
      <c r="B28" s="672" t="s">
        <v>316</v>
      </c>
      <c r="C28" s="673"/>
      <c r="D28" s="181">
        <f>'SM-A6'!D28*0.29</f>
        <v>1447.3899999999999</v>
      </c>
      <c r="E28" s="67">
        <f>'SM-A6'!E28*0.29</f>
        <v>1447.3899999999999</v>
      </c>
      <c r="F28" s="67">
        <f>'SM-A6'!F28*0.29</f>
        <v>1447.3899999999999</v>
      </c>
      <c r="G28" s="67">
        <f>'SM-A6'!G28*0.29</f>
        <v>1447.3899999999999</v>
      </c>
      <c r="H28" s="67">
        <f>'SM-A6'!H28*0.29</f>
        <v>1447.3899999999999</v>
      </c>
      <c r="I28" s="182">
        <f>'SM-A6'!I28*0.29</f>
        <v>1447.3899999999999</v>
      </c>
      <c r="J28" s="182">
        <f>'SM-A6'!J28*0.29</f>
        <v>1447.3899999999999</v>
      </c>
      <c r="K28" s="183">
        <f>'SM-A6'!K28*0.29</f>
        <v>1447.3899999999999</v>
      </c>
      <c r="L28" s="184">
        <f>'SM-A6'!L28*0.29</f>
        <v>1447.3899999999999</v>
      </c>
      <c r="M28" s="182">
        <f>'SM-A6'!M28*0.29</f>
        <v>1447.3899999999999</v>
      </c>
      <c r="N28" s="182">
        <f>'SM-A6'!N28*0.29</f>
        <v>1447.3899999999999</v>
      </c>
      <c r="O28" s="182">
        <f>'SM-A6'!O28*0.29</f>
        <v>1447.3899999999999</v>
      </c>
      <c r="P28" s="182">
        <f>'SM-A6'!P28*0.29</f>
        <v>1447.3899999999999</v>
      </c>
      <c r="Q28" s="185">
        <f>'SM-A6'!Q28*0.29</f>
        <v>1447.3899999999999</v>
      </c>
      <c r="R28" s="299">
        <f t="shared" si="0"/>
        <v>0</v>
      </c>
      <c r="S28" s="300">
        <f t="shared" si="1"/>
        <v>0</v>
      </c>
    </row>
    <row r="29" spans="1:19" ht="15" customHeight="1">
      <c r="A29" s="16"/>
      <c r="B29" s="670" t="s">
        <v>317</v>
      </c>
      <c r="C29" s="671"/>
      <c r="D29" s="181">
        <f>'SM-A6'!D29*0.29</f>
        <v>255.48999999999998</v>
      </c>
      <c r="E29" s="67">
        <f>'SM-A6'!E29*0.29</f>
        <v>255.48999999999998</v>
      </c>
      <c r="F29" s="67">
        <f>'SM-A6'!F29*0.29</f>
        <v>255.48999999999998</v>
      </c>
      <c r="G29" s="67">
        <f>'SM-A6'!G29*0.29</f>
        <v>255.48999999999998</v>
      </c>
      <c r="H29" s="67">
        <f>'SM-A6'!H29*0.29</f>
        <v>255.48999999999998</v>
      </c>
      <c r="I29" s="182">
        <f>'SM-A6'!I29*0.29</f>
        <v>255.48999999999998</v>
      </c>
      <c r="J29" s="182">
        <f>'SM-A6'!J29*0.29</f>
        <v>255.48999999999998</v>
      </c>
      <c r="K29" s="183">
        <f>'SM-A6'!K29*0.29</f>
        <v>255.48999999999998</v>
      </c>
      <c r="L29" s="184">
        <f>'SM-A6'!L29*0.29</f>
        <v>255.48999999999998</v>
      </c>
      <c r="M29" s="182">
        <f>'SM-A6'!M29*0.29</f>
        <v>255.48999999999998</v>
      </c>
      <c r="N29" s="182">
        <f>'SM-A6'!N29*0.29</f>
        <v>255.48999999999998</v>
      </c>
      <c r="O29" s="182">
        <f>'SM-A6'!O29*0.29</f>
        <v>255.48999999999998</v>
      </c>
      <c r="P29" s="182">
        <f>'SM-A6'!P29*0.29</f>
        <v>255.48999999999998</v>
      </c>
      <c r="Q29" s="185">
        <f>'SM-A6'!Q29*0.29</f>
        <v>255.48999999999998</v>
      </c>
      <c r="R29" s="299">
        <f t="shared" si="0"/>
        <v>0</v>
      </c>
      <c r="S29" s="300">
        <f t="shared" si="1"/>
        <v>0</v>
      </c>
    </row>
    <row r="30" spans="1:19" ht="15.75" customHeight="1">
      <c r="A30" s="16"/>
      <c r="B30" s="674" t="s">
        <v>318</v>
      </c>
      <c r="C30" s="675"/>
      <c r="D30" s="189">
        <f>'SM-A6'!D30*0.29</f>
        <v>1702.8799999999999</v>
      </c>
      <c r="E30" s="190">
        <f>'SM-A6'!E30*0.29</f>
        <v>1702.8799999999999</v>
      </c>
      <c r="F30" s="190">
        <f>'SM-A6'!F30*0.29</f>
        <v>1702.8799999999999</v>
      </c>
      <c r="G30" s="190">
        <f>'SM-A6'!G30*0.29</f>
        <v>1702.8799999999999</v>
      </c>
      <c r="H30" s="190">
        <f>'SM-A6'!H30*0.29</f>
        <v>1702.8799999999999</v>
      </c>
      <c r="I30" s="190">
        <f>'SM-A6'!I30*0.29</f>
        <v>1702.8799999999999</v>
      </c>
      <c r="J30" s="190">
        <f>'SM-A6'!J30*0.29</f>
        <v>1702.8799999999999</v>
      </c>
      <c r="K30" s="191">
        <f>'SM-A6'!K30*0.29</f>
        <v>1702.8799999999999</v>
      </c>
      <c r="L30" s="192">
        <f>'SM-A6'!L30*0.29</f>
        <v>1702.8799999999999</v>
      </c>
      <c r="M30" s="190">
        <f>'SM-A6'!M30*0.29</f>
        <v>1702.8799999999999</v>
      </c>
      <c r="N30" s="190">
        <f>'SM-A6'!N30*0.29</f>
        <v>1702.8799999999999</v>
      </c>
      <c r="O30" s="190">
        <f>'SM-A6'!O30*0.29</f>
        <v>1702.8799999999999</v>
      </c>
      <c r="P30" s="190">
        <f>'SM-A6'!P30*0.29</f>
        <v>1702.8799999999999</v>
      </c>
      <c r="Q30" s="193">
        <f>'SM-A6'!Q30*0.29</f>
        <v>1702.8799999999999</v>
      </c>
      <c r="R30" s="303">
        <f t="shared" si="0"/>
        <v>0</v>
      </c>
      <c r="S30" s="304">
        <f t="shared" si="1"/>
        <v>0</v>
      </c>
    </row>
    <row r="31" spans="1:19" ht="15" customHeight="1">
      <c r="A31" s="16"/>
      <c r="B31" s="672" t="s">
        <v>319</v>
      </c>
      <c r="C31" s="673"/>
      <c r="D31" s="181">
        <f>'SM-A6'!D31*0.29</f>
        <v>43.5</v>
      </c>
      <c r="E31" s="67">
        <f>'SM-A6'!E31*0.29</f>
        <v>43.5</v>
      </c>
      <c r="F31" s="67">
        <f>'SM-A6'!F31*0.29</f>
        <v>43.5</v>
      </c>
      <c r="G31" s="67">
        <f>'SM-A6'!G31*0.29</f>
        <v>43.5</v>
      </c>
      <c r="H31" s="67">
        <f>'SM-A6'!H31*0.29</f>
        <v>43.5</v>
      </c>
      <c r="I31" s="62">
        <f>'SM-A6'!I31*0.29</f>
        <v>43.5</v>
      </c>
      <c r="J31" s="182">
        <f>'SM-A6'!J31*0.29</f>
        <v>43.5</v>
      </c>
      <c r="K31" s="183">
        <f>'SM-A6'!K31*0.29</f>
        <v>0</v>
      </c>
      <c r="L31" s="184">
        <f>'SM-A6'!L31*0.29</f>
        <v>0</v>
      </c>
      <c r="M31" s="182">
        <f>'SM-A6'!M31*0.29</f>
        <v>0</v>
      </c>
      <c r="N31" s="182">
        <f>'SM-A6'!N31*0.29</f>
        <v>0</v>
      </c>
      <c r="O31" s="182">
        <f>'SM-A6'!O31*0.29</f>
        <v>0</v>
      </c>
      <c r="P31" s="182">
        <f>'SM-A6'!P31*0.29</f>
        <v>0</v>
      </c>
      <c r="Q31" s="185">
        <f>'SM-A6'!Q31*0.29</f>
        <v>0</v>
      </c>
      <c r="R31" s="299" t="str">
        <f t="shared" si="0"/>
        <v xml:space="preserve">     -</v>
      </c>
      <c r="S31" s="300" t="str">
        <f t="shared" si="1"/>
        <v xml:space="preserve">     -</v>
      </c>
    </row>
    <row r="32" spans="1:19" ht="15" customHeight="1">
      <c r="A32" s="16"/>
      <c r="B32" s="668" t="s">
        <v>320</v>
      </c>
      <c r="C32" s="669"/>
      <c r="D32" s="181">
        <f>'SM-A6'!D32*0.29</f>
        <v>142.97</v>
      </c>
      <c r="E32" s="67">
        <f>'SM-A6'!E32*0.29</f>
        <v>142.97</v>
      </c>
      <c r="F32" s="67">
        <f>'SM-A6'!F32*0.29</f>
        <v>142.97</v>
      </c>
      <c r="G32" s="67">
        <f>'SM-A6'!G32*0.29</f>
        <v>142.97</v>
      </c>
      <c r="H32" s="67">
        <f>'SM-A6'!H32*0.29</f>
        <v>142.97</v>
      </c>
      <c r="I32" s="182">
        <f>'SM-A6'!I32*0.29</f>
        <v>155.44</v>
      </c>
      <c r="J32" s="182">
        <f>'SM-A6'!J32*0.29</f>
        <v>155.44</v>
      </c>
      <c r="K32" s="183">
        <f>'SM-A6'!K32*0.29</f>
        <v>155.44</v>
      </c>
      <c r="L32" s="184">
        <f>'SM-A6'!L32*0.29</f>
        <v>155.44</v>
      </c>
      <c r="M32" s="182">
        <f>'SM-A6'!M32*0.29</f>
        <v>190.23999999999998</v>
      </c>
      <c r="N32" s="182">
        <f>'SM-A6'!N32*0.29</f>
        <v>201.83999999999997</v>
      </c>
      <c r="O32" s="182">
        <f>'SM-A6'!O32*0.29</f>
        <v>201.83999999999997</v>
      </c>
      <c r="P32" s="182">
        <f>'SM-A6'!P32*0.29</f>
        <v>201.83999999999997</v>
      </c>
      <c r="Q32" s="185">
        <f>'SM-A6'!Q32*0.29</f>
        <v>201.83999999999997</v>
      </c>
      <c r="R32" s="299">
        <f t="shared" si="0"/>
        <v>1.2</v>
      </c>
      <c r="S32" s="300">
        <f t="shared" si="1"/>
        <v>5.4</v>
      </c>
    </row>
    <row r="33" spans="1:19" ht="15" customHeight="1">
      <c r="A33" s="16"/>
      <c r="B33" s="670" t="s">
        <v>321</v>
      </c>
      <c r="C33" s="671"/>
      <c r="D33" s="181">
        <f>'SM-A6'!D33*0.29</f>
        <v>46.4</v>
      </c>
      <c r="E33" s="67">
        <f>'SM-A6'!E33*0.29</f>
        <v>46.4</v>
      </c>
      <c r="F33" s="67">
        <f>'SM-A6'!F33*0.29</f>
        <v>46.4</v>
      </c>
      <c r="G33" s="67">
        <f>'SM-A6'!G33*0.29</f>
        <v>46.4</v>
      </c>
      <c r="H33" s="67">
        <f>'SM-A6'!H33*0.29</f>
        <v>46.4</v>
      </c>
      <c r="I33" s="182">
        <f>'SM-A6'!I33*0.29</f>
        <v>46.4</v>
      </c>
      <c r="J33" s="182">
        <f>'SM-A6'!J33*0.29</f>
        <v>46.4</v>
      </c>
      <c r="K33" s="183">
        <f>'SM-A6'!K33*0.29</f>
        <v>46.4</v>
      </c>
      <c r="L33" s="184">
        <f>'SM-A6'!L33*0.29</f>
        <v>46.4</v>
      </c>
      <c r="M33" s="182">
        <f>'SM-A6'!M33*0.29</f>
        <v>46.4</v>
      </c>
      <c r="N33" s="182">
        <f>'SM-A6'!N33*0.29</f>
        <v>46.4</v>
      </c>
      <c r="O33" s="182">
        <f>'SM-A6'!O33*0.29</f>
        <v>46.4</v>
      </c>
      <c r="P33" s="182">
        <f>'SM-A6'!P33*0.29</f>
        <v>46.4</v>
      </c>
      <c r="Q33" s="185">
        <f>'SM-A6'!Q33*0.29</f>
        <v>46.4</v>
      </c>
      <c r="R33" s="299">
        <f t="shared" si="0"/>
        <v>0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99">
        <f>'SM-A6'!D34*0.29</f>
        <v>232.86999999999998</v>
      </c>
      <c r="E34" s="200">
        <f>'SM-A6'!E34*0.29</f>
        <v>232.86999999999998</v>
      </c>
      <c r="F34" s="200">
        <f>'SM-A6'!F34*0.29</f>
        <v>232.86999999999998</v>
      </c>
      <c r="G34" s="200">
        <f>'SM-A6'!G34*0.29</f>
        <v>232.86999999999998</v>
      </c>
      <c r="H34" s="200">
        <f>'SM-A6'!H34*0.29</f>
        <v>232.86999999999998</v>
      </c>
      <c r="I34" s="200">
        <f>'SM-A6'!I34*0.29</f>
        <v>245.33999999999997</v>
      </c>
      <c r="J34" s="200">
        <f>'SM-A6'!J34*0.29</f>
        <v>245.33999999999997</v>
      </c>
      <c r="K34" s="201">
        <f>'SM-A6'!K34*0.29</f>
        <v>201.83999999999997</v>
      </c>
      <c r="L34" s="202">
        <f>'SM-A6'!L34*0.29</f>
        <v>201.83999999999997</v>
      </c>
      <c r="M34" s="200">
        <f>'SM-A6'!M34*0.29</f>
        <v>236.64</v>
      </c>
      <c r="N34" s="200">
        <f>'SM-A6'!N34*0.29</f>
        <v>248.23999999999998</v>
      </c>
      <c r="O34" s="200">
        <f>'SM-A6'!O34*0.29</f>
        <v>248.23999999999998</v>
      </c>
      <c r="P34" s="200">
        <f>'SM-A6'!P34*0.29</f>
        <v>248.23999999999998</v>
      </c>
      <c r="Q34" s="203">
        <f>'SM-A6'!Q34*0.29</f>
        <v>248.23999999999998</v>
      </c>
      <c r="R34" s="306">
        <f t="shared" si="0"/>
        <v>-2</v>
      </c>
      <c r="S34" s="307">
        <f t="shared" si="1"/>
        <v>4.2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9261.73</v>
      </c>
      <c r="E35" s="205">
        <f t="shared" ref="E35:Q35" si="2">E34+E30+E27+E26+E24+E22+E20+E19</f>
        <v>9338</v>
      </c>
      <c r="F35" s="205">
        <f t="shared" si="2"/>
        <v>9222.2899999999991</v>
      </c>
      <c r="G35" s="205">
        <f t="shared" si="2"/>
        <v>9398.0299999999988</v>
      </c>
      <c r="H35" s="205">
        <f t="shared" si="2"/>
        <v>9529.98</v>
      </c>
      <c r="I35" s="205">
        <f t="shared" si="2"/>
        <v>9492.57</v>
      </c>
      <c r="J35" s="205">
        <f t="shared" si="2"/>
        <v>9564.7799999999988</v>
      </c>
      <c r="K35" s="206">
        <f t="shared" si="2"/>
        <v>9715</v>
      </c>
      <c r="L35" s="207">
        <f t="shared" si="2"/>
        <v>9931.6299999999992</v>
      </c>
      <c r="M35" s="205">
        <f t="shared" si="2"/>
        <v>10022.98</v>
      </c>
      <c r="N35" s="205">
        <f t="shared" si="2"/>
        <v>10341.109999999999</v>
      </c>
      <c r="O35" s="205">
        <f t="shared" si="2"/>
        <v>11591.009999999998</v>
      </c>
      <c r="P35" s="205">
        <f t="shared" si="2"/>
        <v>11873.759999999998</v>
      </c>
      <c r="Q35" s="208">
        <f t="shared" si="2"/>
        <v>11946.259999999998</v>
      </c>
      <c r="R35" s="308">
        <f t="shared" si="0"/>
        <v>0.7</v>
      </c>
      <c r="S35" s="309">
        <f t="shared" si="1"/>
        <v>3.8</v>
      </c>
    </row>
    <row r="36" spans="1:19" ht="15" customHeight="1">
      <c r="A36" s="613" t="s">
        <v>324</v>
      </c>
      <c r="B36" s="644" t="s">
        <v>433</v>
      </c>
      <c r="C36" s="645"/>
      <c r="D36" s="181">
        <f>'SM-A6'!D36*0.29</f>
        <v>814.9</v>
      </c>
      <c r="E36" s="67">
        <f>'SM-A6'!E36*0.29</f>
        <v>778.3599999999999</v>
      </c>
      <c r="F36" s="67">
        <f>'SM-A6'!F36*0.29</f>
        <v>799.81999999999994</v>
      </c>
      <c r="G36" s="67">
        <f>'SM-A6'!G36*0.29</f>
        <v>789.95999999999992</v>
      </c>
      <c r="H36" s="182">
        <f>'SM-A6'!H36*0.29</f>
        <v>876.08999999999992</v>
      </c>
      <c r="I36" s="182">
        <f>'SM-A6'!I36*0.29</f>
        <v>814.31999999999994</v>
      </c>
      <c r="J36" s="182">
        <f>'SM-A6'!J36*0.29</f>
        <v>881.59999999999991</v>
      </c>
      <c r="K36" s="183">
        <f>'SM-A6'!K36*0.29</f>
        <v>872.31999999999994</v>
      </c>
      <c r="L36" s="184">
        <f>'SM-A6'!L36*0.29</f>
        <v>869.99999999999989</v>
      </c>
      <c r="M36" s="182">
        <f>'SM-A6'!M36*0.29</f>
        <v>869.99999999999989</v>
      </c>
      <c r="N36" s="182">
        <f>'SM-A6'!N36*0.29</f>
        <v>884.49999999999989</v>
      </c>
      <c r="O36" s="182">
        <f>'SM-A6'!O36*0.29</f>
        <v>884.49999999999989</v>
      </c>
      <c r="P36" s="182">
        <f>'SM-A6'!P36*0.29</f>
        <v>890.3</v>
      </c>
      <c r="Q36" s="185">
        <f>'SM-A6'!Q36*0.29</f>
        <v>890.3</v>
      </c>
      <c r="R36" s="299">
        <f t="shared" si="0"/>
        <v>1</v>
      </c>
      <c r="S36" s="300">
        <f t="shared" si="1"/>
        <v>0.5</v>
      </c>
    </row>
    <row r="37" spans="1:19" ht="15" customHeight="1">
      <c r="A37" s="614" t="s">
        <v>325</v>
      </c>
      <c r="B37" s="605" t="s">
        <v>434</v>
      </c>
      <c r="C37" s="606"/>
      <c r="D37" s="181">
        <f>'SM-A6'!D37*0.29</f>
        <v>557.08999999999992</v>
      </c>
      <c r="E37" s="67">
        <f>'SM-A6'!E37*0.29</f>
        <v>490.96999999999997</v>
      </c>
      <c r="F37" s="67">
        <f>'SM-A6'!F37*0.29</f>
        <v>519.09999999999991</v>
      </c>
      <c r="G37" s="67">
        <f>'SM-A6'!G37*0.29</f>
        <v>592.76</v>
      </c>
      <c r="H37" s="182">
        <f>'SM-A6'!H37*0.29</f>
        <v>572.45999999999992</v>
      </c>
      <c r="I37" s="182">
        <f>'SM-A6'!I37*0.29</f>
        <v>585.79999999999995</v>
      </c>
      <c r="J37" s="182">
        <f>'SM-A6'!J37*0.29</f>
        <v>614.51</v>
      </c>
      <c r="K37" s="183">
        <f>'SM-A6'!K37*0.29</f>
        <v>528.66999999999996</v>
      </c>
      <c r="L37" s="184">
        <f>'SM-A6'!L37*0.29</f>
        <v>580</v>
      </c>
      <c r="M37" s="182">
        <f>'SM-A6'!M37*0.29</f>
        <v>580</v>
      </c>
      <c r="N37" s="182">
        <f>'SM-A6'!N37*0.29</f>
        <v>580</v>
      </c>
      <c r="O37" s="182">
        <f>'SM-A6'!O37*0.29</f>
        <v>580</v>
      </c>
      <c r="P37" s="182">
        <f>'SM-A6'!P37*0.29</f>
        <v>580</v>
      </c>
      <c r="Q37" s="185">
        <f>'SM-A6'!Q37*0.29</f>
        <v>580</v>
      </c>
      <c r="R37" s="299">
        <f t="shared" si="0"/>
        <v>-0.7</v>
      </c>
      <c r="S37" s="300">
        <f t="shared" si="1"/>
        <v>0</v>
      </c>
    </row>
    <row r="38" spans="1:19" ht="15" customHeight="1">
      <c r="A38" s="16"/>
      <c r="B38" s="605" t="s">
        <v>435</v>
      </c>
      <c r="C38" s="606"/>
      <c r="D38" s="181">
        <f>'SM-A6'!D38*0.29</f>
        <v>256.35999999999996</v>
      </c>
      <c r="E38" s="67">
        <f>'SM-A6'!E38*0.29</f>
        <v>240.41</v>
      </c>
      <c r="F38" s="67">
        <f>'SM-A6'!F38*0.29</f>
        <v>269.7</v>
      </c>
      <c r="G38" s="67">
        <f>'SM-A6'!G38*0.29</f>
        <v>269.81599999999997</v>
      </c>
      <c r="H38" s="67">
        <f>'SM-A6'!H38*0.29</f>
        <v>233.25366999999997</v>
      </c>
      <c r="I38" s="62">
        <f>'SM-A6'!I38*0.29</f>
        <v>269.8073</v>
      </c>
      <c r="J38" s="62">
        <f>'SM-A6'!J38*0.29</f>
        <v>216.04999999999998</v>
      </c>
      <c r="K38" s="63">
        <f>'SM-A6'!K38*0.29</f>
        <v>269.7</v>
      </c>
      <c r="L38" s="64">
        <f>'SM-A6'!L38*0.29</f>
        <v>256.35999999999996</v>
      </c>
      <c r="M38" s="62">
        <f>'SM-A6'!M38*0.29</f>
        <v>241.27999999999997</v>
      </c>
      <c r="N38" s="62">
        <f>'SM-A6'!N38*0.29</f>
        <v>256.35999999999996</v>
      </c>
      <c r="O38" s="62">
        <f>'SM-A6'!O38*0.29</f>
        <v>246.49999999999997</v>
      </c>
      <c r="P38" s="62">
        <f>'SM-A6'!P38*0.29</f>
        <v>256.35999999999996</v>
      </c>
      <c r="Q38" s="65">
        <f>'SM-A6'!Q38*0.29</f>
        <v>256.35999999999996</v>
      </c>
      <c r="R38" s="301">
        <f t="shared" si="0"/>
        <v>0.7</v>
      </c>
      <c r="S38" s="300">
        <f t="shared" si="1"/>
        <v>0</v>
      </c>
    </row>
    <row r="39" spans="1:19" ht="15" customHeight="1">
      <c r="A39" s="16"/>
      <c r="B39" s="605" t="s">
        <v>436</v>
      </c>
      <c r="C39" s="606"/>
      <c r="D39" s="181">
        <f>'SM-A6'!D39*0.29</f>
        <v>1209.5899999999999</v>
      </c>
      <c r="E39" s="67">
        <f>'SM-A6'!E39*0.29</f>
        <v>1282.6699999999998</v>
      </c>
      <c r="F39" s="67">
        <f>'SM-A6'!F39*0.29</f>
        <v>1318.6299999999999</v>
      </c>
      <c r="G39" s="67">
        <f>'SM-A6'!G39*0.29</f>
        <v>1466.82</v>
      </c>
      <c r="H39" s="67">
        <f>'SM-A6'!H39*0.29</f>
        <v>1501.9099999999999</v>
      </c>
      <c r="I39" s="182">
        <f>'SM-A6'!I39*0.29</f>
        <v>1623.4199999999998</v>
      </c>
      <c r="J39" s="182">
        <f>'SM-A6'!J39*0.29</f>
        <v>1720.28</v>
      </c>
      <c r="K39" s="183">
        <f>'SM-A6'!K39*0.29</f>
        <v>1929.6599999999999</v>
      </c>
      <c r="L39" s="184">
        <f>'SM-A6'!L39*0.29</f>
        <v>2163.3999999999996</v>
      </c>
      <c r="M39" s="182">
        <f>'SM-A6'!M39*0.29</f>
        <v>2325.2199999999998</v>
      </c>
      <c r="N39" s="182">
        <f>'SM-A6'!N39*0.29</f>
        <v>2534.02</v>
      </c>
      <c r="O39" s="182">
        <f>'SM-A6'!O39*0.29</f>
        <v>2738.7599999999998</v>
      </c>
      <c r="P39" s="182">
        <f>'SM-A6'!P39*0.29</f>
        <v>2926.68</v>
      </c>
      <c r="Q39" s="185">
        <f>'SM-A6'!Q39*0.29</f>
        <v>3059.5</v>
      </c>
      <c r="R39" s="299">
        <f t="shared" si="0"/>
        <v>6.9</v>
      </c>
      <c r="S39" s="300">
        <f t="shared" si="1"/>
        <v>7.2</v>
      </c>
    </row>
    <row r="40" spans="1:19" ht="15" customHeight="1">
      <c r="A40" s="16"/>
      <c r="B40" s="605" t="s">
        <v>437</v>
      </c>
      <c r="C40" s="606"/>
      <c r="D40" s="181">
        <f>'SM-A6'!D40*0.29</f>
        <v>140.94</v>
      </c>
      <c r="E40" s="67">
        <f>'SM-A6'!E40*0.29</f>
        <v>133.10999999999999</v>
      </c>
      <c r="F40" s="67">
        <f>'SM-A6'!F40*0.29</f>
        <v>133.10999999999999</v>
      </c>
      <c r="G40" s="67">
        <f>'SM-A6'!G40*0.29</f>
        <v>134.15863999999999</v>
      </c>
      <c r="H40" s="67">
        <f>'SM-A6'!H40*0.29</f>
        <v>137.25525999999999</v>
      </c>
      <c r="I40" s="67">
        <f>'SM-A6'!I40*0.29</f>
        <v>136.77414999999999</v>
      </c>
      <c r="J40" s="67">
        <f>'SM-A6'!J40*0.29</f>
        <v>128.58976999999999</v>
      </c>
      <c r="K40" s="186">
        <f>'SM-A6'!K40*0.29</f>
        <v>140.02330999999998</v>
      </c>
      <c r="L40" s="187">
        <f>'SM-A6'!L40*0.29</f>
        <v>140.02330999999998</v>
      </c>
      <c r="M40" s="67">
        <f>'SM-A6'!M40*0.29</f>
        <v>140.02330999999998</v>
      </c>
      <c r="N40" s="67">
        <f>'SM-A6'!N40*0.29</f>
        <v>140.02330999999998</v>
      </c>
      <c r="O40" s="67">
        <f>'SM-A6'!O40*0.29</f>
        <v>140.02330999999998</v>
      </c>
      <c r="P40" s="67">
        <f>'SM-A6'!P40*0.29</f>
        <v>140.02330999999998</v>
      </c>
      <c r="Q40" s="68">
        <f>'SM-A6'!Q40*0.29</f>
        <v>140.02330999999998</v>
      </c>
      <c r="R40" s="302">
        <f t="shared" si="0"/>
        <v>-0.1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'SM-A6'!D41*0.29</f>
        <v>81.199999999999989</v>
      </c>
      <c r="E41" s="67">
        <f>'SM-A6'!E41*0.29</f>
        <v>81.199999999999989</v>
      </c>
      <c r="F41" s="67">
        <f>'SM-A6'!F41*0.29</f>
        <v>81.199999999999989</v>
      </c>
      <c r="G41" s="67">
        <f>'SM-A6'!G41*0.29</f>
        <v>81.199999999999989</v>
      </c>
      <c r="H41" s="67">
        <f>'SM-A6'!H41*0.29</f>
        <v>81.199999999999989</v>
      </c>
      <c r="I41" s="67">
        <f>'SM-A6'!I41*0.29</f>
        <v>81.199999999999989</v>
      </c>
      <c r="J41" s="67">
        <f>'SM-A6'!J41*0.29</f>
        <v>81.199999999999989</v>
      </c>
      <c r="K41" s="186">
        <f>'SM-A6'!K41*0.29</f>
        <v>98.6</v>
      </c>
      <c r="L41" s="187">
        <f>'SM-A6'!L41*0.29</f>
        <v>81.199999999999989</v>
      </c>
      <c r="M41" s="67">
        <f>'SM-A6'!M41*0.29</f>
        <v>81.199999999999989</v>
      </c>
      <c r="N41" s="67">
        <f>'SM-A6'!N41*0.29</f>
        <v>87</v>
      </c>
      <c r="O41" s="67">
        <f>'SM-A6'!O41*0.29</f>
        <v>87</v>
      </c>
      <c r="P41" s="67">
        <f>'SM-A6'!P41*0.29</f>
        <v>87</v>
      </c>
      <c r="Q41" s="68">
        <f>'SM-A6'!Q41*0.29</f>
        <v>87</v>
      </c>
      <c r="R41" s="302">
        <f t="shared" si="0"/>
        <v>2.8</v>
      </c>
      <c r="S41" s="300">
        <f t="shared" si="1"/>
        <v>1.4</v>
      </c>
    </row>
    <row r="42" spans="1:19" ht="15" customHeight="1">
      <c r="A42" s="16"/>
      <c r="B42" s="605" t="s">
        <v>439</v>
      </c>
      <c r="C42" s="606"/>
      <c r="D42" s="181">
        <f>'SM-A6'!D42*0.29</f>
        <v>0</v>
      </c>
      <c r="E42" s="67">
        <f>'SM-A6'!E42*0.29</f>
        <v>0</v>
      </c>
      <c r="F42" s="67">
        <f>'SM-A6'!F42*0.29</f>
        <v>0</v>
      </c>
      <c r="G42" s="67">
        <f>'SM-A6'!G42*0.29</f>
        <v>0</v>
      </c>
      <c r="H42" s="67">
        <f>'SM-A6'!H42*0.29</f>
        <v>0</v>
      </c>
      <c r="I42" s="67">
        <f>'SM-A6'!I42*0.29</f>
        <v>0</v>
      </c>
      <c r="J42" s="182">
        <f>'SM-A6'!J42*0.29</f>
        <v>0</v>
      </c>
      <c r="K42" s="183">
        <f>'SM-A6'!K42*0.29</f>
        <v>0</v>
      </c>
      <c r="L42" s="184">
        <f>'SM-A6'!L42*0.29</f>
        <v>0</v>
      </c>
      <c r="M42" s="182">
        <f>'SM-A6'!M42*0.29</f>
        <v>0</v>
      </c>
      <c r="N42" s="182">
        <f>'SM-A6'!N42*0.29</f>
        <v>0</v>
      </c>
      <c r="O42" s="182">
        <f>'SM-A6'!O42*0.29</f>
        <v>0</v>
      </c>
      <c r="P42" s="182">
        <f>'SM-A6'!P42*0.29</f>
        <v>0</v>
      </c>
      <c r="Q42" s="185">
        <f>'SM-A6'!Q42*0.29</f>
        <v>0</v>
      </c>
      <c r="R42" s="299" t="str">
        <f t="shared" si="0"/>
        <v xml:space="preserve">     -</v>
      </c>
      <c r="S42" s="256" t="str">
        <f t="shared" si="1"/>
        <v xml:space="preserve">     -</v>
      </c>
    </row>
    <row r="43" spans="1:19" ht="15" hidden="1" customHeight="1">
      <c r="A43" s="16"/>
      <c r="B43" s="16"/>
      <c r="C43" s="90" t="s">
        <v>306</v>
      </c>
      <c r="D43" s="181">
        <f>'SM-A6'!D43*0.29</f>
        <v>0</v>
      </c>
      <c r="E43" s="67">
        <f>'SM-A6'!E43*0.29</f>
        <v>0</v>
      </c>
      <c r="F43" s="67">
        <f>'SM-A6'!F43*0.29</f>
        <v>0</v>
      </c>
      <c r="G43" s="67">
        <f>'SM-A6'!G43*0.29</f>
        <v>0</v>
      </c>
      <c r="H43" s="67">
        <f>'SM-A6'!H43*0.29</f>
        <v>0</v>
      </c>
      <c r="I43" s="67">
        <f>'SM-A6'!I43*0.29</f>
        <v>0</v>
      </c>
      <c r="J43" s="67">
        <f>'SM-A6'!J43*0.29</f>
        <v>0</v>
      </c>
      <c r="K43" s="186">
        <f>'SM-A6'!K43*0.29</f>
        <v>0</v>
      </c>
      <c r="L43" s="187">
        <f>'SM-A6'!L43*0.29</f>
        <v>0</v>
      </c>
      <c r="M43" s="67">
        <f>'SM-A6'!M43*0.29</f>
        <v>0</v>
      </c>
      <c r="N43" s="67">
        <f>'SM-A6'!N43*0.29</f>
        <v>0</v>
      </c>
      <c r="O43" s="67">
        <f>'SM-A6'!O43*0.29</f>
        <v>0</v>
      </c>
      <c r="P43" s="67">
        <f>'SM-A6'!P43*0.29</f>
        <v>0</v>
      </c>
      <c r="Q43" s="68">
        <f>'SM-A6'!Q43*0.29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'SM-A6'!D44*0.29</f>
        <v>0</v>
      </c>
      <c r="E44" s="67">
        <f>'SM-A6'!E44*0.29</f>
        <v>0</v>
      </c>
      <c r="F44" s="67">
        <f>'SM-A6'!F44*0.29</f>
        <v>0</v>
      </c>
      <c r="G44" s="67">
        <f>'SM-A6'!G44*0.29</f>
        <v>0</v>
      </c>
      <c r="H44" s="67">
        <f>'SM-A6'!H44*0.29</f>
        <v>0</v>
      </c>
      <c r="I44" s="67">
        <f>'SM-A6'!I44*0.29</f>
        <v>0</v>
      </c>
      <c r="J44" s="67">
        <f>'SM-A6'!J44*0.29</f>
        <v>0</v>
      </c>
      <c r="K44" s="186">
        <f>'SM-A6'!K44*0.29</f>
        <v>0</v>
      </c>
      <c r="L44" s="187">
        <f>'SM-A6'!L44*0.29</f>
        <v>0</v>
      </c>
      <c r="M44" s="67">
        <f>'SM-A6'!M44*0.29</f>
        <v>0</v>
      </c>
      <c r="N44" s="67">
        <f>'SM-A6'!N44*0.29</f>
        <v>0</v>
      </c>
      <c r="O44" s="67">
        <f>'SM-A6'!O44*0.29</f>
        <v>0</v>
      </c>
      <c r="P44" s="67">
        <f>'SM-A6'!P44*0.29</f>
        <v>0</v>
      </c>
      <c r="Q44" s="68">
        <f>'SM-A6'!Q44*0.29</f>
        <v>0</v>
      </c>
      <c r="R44" s="302" t="str">
        <f t="shared" si="0"/>
        <v xml:space="preserve">     -</v>
      </c>
      <c r="S44" s="300" t="str">
        <f t="shared" si="1"/>
        <v xml:space="preserve">     -</v>
      </c>
    </row>
    <row r="45" spans="1:19" ht="15" customHeight="1">
      <c r="A45" s="16"/>
      <c r="B45" s="605" t="s">
        <v>441</v>
      </c>
      <c r="C45" s="606"/>
      <c r="D45" s="181">
        <f>'SM-A6'!D45*0.29</f>
        <v>69.599999999999994</v>
      </c>
      <c r="E45" s="67">
        <f>'SM-A6'!E45*0.29</f>
        <v>69.599999999999994</v>
      </c>
      <c r="F45" s="67">
        <f>'SM-A6'!F45*0.29</f>
        <v>69.599999999999994</v>
      </c>
      <c r="G45" s="67">
        <f>'SM-A6'!G45*0.29</f>
        <v>67.703689999999995</v>
      </c>
      <c r="H45" s="67">
        <f>'SM-A6'!H45*0.29</f>
        <v>67.221129999999988</v>
      </c>
      <c r="I45" s="67">
        <f>'SM-A6'!I45*0.29</f>
        <v>67.477681658099996</v>
      </c>
      <c r="J45" s="67">
        <f>'SM-A6'!J45*0.29</f>
        <v>62.395820000000001</v>
      </c>
      <c r="K45" s="186">
        <f>'SM-A6'!K45*0.29</f>
        <v>64.839649999999992</v>
      </c>
      <c r="L45" s="187">
        <f>'SM-A6'!L45*0.29</f>
        <v>64.839649999999992</v>
      </c>
      <c r="M45" s="67">
        <f>'SM-A6'!M45*0.29</f>
        <v>64.839649999999992</v>
      </c>
      <c r="N45" s="67">
        <f>'SM-A6'!N45*0.29</f>
        <v>64.839649999999992</v>
      </c>
      <c r="O45" s="67">
        <f>'SM-A6'!O45*0.29</f>
        <v>64.839649999999992</v>
      </c>
      <c r="P45" s="67">
        <f>'SM-A6'!P45*0.29</f>
        <v>64.839649999999992</v>
      </c>
      <c r="Q45" s="68">
        <f>'SM-A6'!Q45*0.29</f>
        <v>64.839649999999992</v>
      </c>
      <c r="R45" s="302">
        <f t="shared" si="0"/>
        <v>-1</v>
      </c>
      <c r="S45" s="300">
        <f t="shared" si="1"/>
        <v>0</v>
      </c>
    </row>
    <row r="46" spans="1:19" ht="15" customHeight="1">
      <c r="A46" s="16"/>
      <c r="B46" s="605" t="s">
        <v>442</v>
      </c>
      <c r="C46" s="606"/>
      <c r="D46" s="181">
        <f>'SM-A6'!D46*0.29</f>
        <v>0</v>
      </c>
      <c r="E46" s="67">
        <f>'SM-A6'!E46*0.29</f>
        <v>0</v>
      </c>
      <c r="F46" s="67">
        <f>'SM-A6'!F46*0.29</f>
        <v>0</v>
      </c>
      <c r="G46" s="67">
        <f>'SM-A6'!G46*0.29</f>
        <v>0</v>
      </c>
      <c r="H46" s="67">
        <f>'SM-A6'!H46*0.29</f>
        <v>0</v>
      </c>
      <c r="I46" s="67">
        <f>'SM-A6'!I46*0.29</f>
        <v>0</v>
      </c>
      <c r="J46" s="67">
        <f>'SM-A6'!J46*0.29</f>
        <v>0</v>
      </c>
      <c r="K46" s="186">
        <f>'SM-A6'!K46*0.29</f>
        <v>0</v>
      </c>
      <c r="L46" s="187">
        <f>'SM-A6'!L46*0.29</f>
        <v>0</v>
      </c>
      <c r="M46" s="67">
        <f>'SM-A6'!M46*0.29</f>
        <v>0</v>
      </c>
      <c r="N46" s="67">
        <f>'SM-A6'!N46*0.29</f>
        <v>0</v>
      </c>
      <c r="O46" s="67">
        <f>'SM-A6'!O46*0.29</f>
        <v>0</v>
      </c>
      <c r="P46" s="67">
        <f>'SM-A6'!P46*0.29</f>
        <v>0</v>
      </c>
      <c r="Q46" s="68">
        <f>'SM-A6'!Q46*0.29</f>
        <v>0</v>
      </c>
      <c r="R46" s="302" t="str">
        <f t="shared" si="0"/>
        <v xml:space="preserve">     -</v>
      </c>
      <c r="S46" s="300" t="str">
        <f t="shared" si="1"/>
        <v xml:space="preserve">     -</v>
      </c>
    </row>
    <row r="47" spans="1:19" ht="15" customHeight="1">
      <c r="A47" s="16"/>
      <c r="B47" s="607" t="s">
        <v>443</v>
      </c>
      <c r="C47" s="608"/>
      <c r="D47" s="188">
        <f>'SM-A6'!D47*0.29</f>
        <v>852.19399999999996</v>
      </c>
      <c r="E47" s="182">
        <f>'SM-A6'!E47*0.29</f>
        <v>794.31</v>
      </c>
      <c r="F47" s="182">
        <f>'SM-A6'!F47*0.29</f>
        <v>693.68</v>
      </c>
      <c r="G47" s="182">
        <f>'SM-A6'!G47*0.29</f>
        <v>751.68</v>
      </c>
      <c r="H47" s="182">
        <f>'SM-A6'!H47*0.29</f>
        <v>712.93599999999992</v>
      </c>
      <c r="I47" s="182">
        <f>'SM-A6'!I47*0.29</f>
        <v>700.29200000000003</v>
      </c>
      <c r="J47" s="182">
        <f>'SM-A6'!J47*0.29</f>
        <v>564.86199999999997</v>
      </c>
      <c r="K47" s="183">
        <f>'SM-A6'!K47*0.29</f>
        <v>604.53399999999988</v>
      </c>
      <c r="L47" s="184">
        <f>'SM-A6'!L47*0.29</f>
        <v>582.17499999999995</v>
      </c>
      <c r="M47" s="182">
        <f>'SM-A6'!M47*0.29</f>
        <v>542.29999999999995</v>
      </c>
      <c r="N47" s="182">
        <f>'SM-A6'!N47*0.29</f>
        <v>548.09999999999991</v>
      </c>
      <c r="O47" s="182">
        <f>'SM-A6'!O47*0.29</f>
        <v>555.34999999999991</v>
      </c>
      <c r="P47" s="182">
        <f>'SM-A6'!P47*0.29</f>
        <v>530.69999999999993</v>
      </c>
      <c r="Q47" s="185">
        <f>'SM-A6'!Q47*0.29</f>
        <v>555.34999999999991</v>
      </c>
      <c r="R47" s="299">
        <f t="shared" si="0"/>
        <v>-4.8</v>
      </c>
      <c r="S47" s="300">
        <f t="shared" si="1"/>
        <v>-0.9</v>
      </c>
    </row>
    <row r="48" spans="1:19" ht="15.75" customHeight="1">
      <c r="A48" s="16"/>
      <c r="B48" s="674" t="s">
        <v>307</v>
      </c>
      <c r="C48" s="675"/>
      <c r="D48" s="189">
        <f>'SM-A6'!D48*0.29</f>
        <v>3981.8739999999998</v>
      </c>
      <c r="E48" s="190">
        <f>'SM-A6'!E48*0.29</f>
        <v>3870.6299999999997</v>
      </c>
      <c r="F48" s="190">
        <f>'SM-A6'!F48*0.29</f>
        <v>3884.8399999999997</v>
      </c>
      <c r="G48" s="190">
        <f>'SM-A6'!G48*0.29</f>
        <v>4154.0983299999998</v>
      </c>
      <c r="H48" s="190">
        <f>'SM-A6'!H48*0.29</f>
        <v>4182.3260599999994</v>
      </c>
      <c r="I48" s="190">
        <f>'SM-A6'!I48*0.29</f>
        <v>4279.0911316580996</v>
      </c>
      <c r="J48" s="190">
        <f>'SM-A6'!J48*0.29</f>
        <v>4269.4875899999997</v>
      </c>
      <c r="K48" s="191">
        <f>'SM-A6'!K48*0.29</f>
        <v>4508.3469599999999</v>
      </c>
      <c r="L48" s="192">
        <f>'SM-A6'!L48*0.29</f>
        <v>4737.9979599999997</v>
      </c>
      <c r="M48" s="190">
        <f>'SM-A6'!M48*0.29</f>
        <v>4844.8629599999995</v>
      </c>
      <c r="N48" s="190">
        <f>'SM-A6'!N48*0.29</f>
        <v>5094.842959999999</v>
      </c>
      <c r="O48" s="190">
        <f>'SM-A6'!O48*0.29</f>
        <v>5296.9729599999991</v>
      </c>
      <c r="P48" s="190">
        <f>'SM-A6'!P48*0.29</f>
        <v>5475.9029599999994</v>
      </c>
      <c r="Q48" s="193">
        <f>'SM-A6'!Q48*0.29</f>
        <v>5633.3729599999997</v>
      </c>
      <c r="R48" s="303">
        <f t="shared" si="0"/>
        <v>1.8</v>
      </c>
      <c r="S48" s="304">
        <f t="shared" si="1"/>
        <v>3.5</v>
      </c>
    </row>
    <row r="49" spans="1:19" ht="15.75" customHeight="1">
      <c r="A49" s="16"/>
      <c r="B49" s="672" t="s">
        <v>308</v>
      </c>
      <c r="C49" s="673"/>
      <c r="D49" s="194">
        <f>'SM-A6'!D49*0.29</f>
        <v>0</v>
      </c>
      <c r="E49" s="195">
        <f>'SM-A6'!E49*0.29</f>
        <v>0</v>
      </c>
      <c r="F49" s="195">
        <f>'SM-A6'!F49*0.29</f>
        <v>0</v>
      </c>
      <c r="G49" s="195">
        <f>'SM-A6'!G49*0.29</f>
        <v>0</v>
      </c>
      <c r="H49" s="195">
        <f>'SM-A6'!H49*0.29</f>
        <v>0</v>
      </c>
      <c r="I49" s="195">
        <f>'SM-A6'!I49*0.29</f>
        <v>0</v>
      </c>
      <c r="J49" s="195">
        <f>'SM-A6'!J49*0.29</f>
        <v>0</v>
      </c>
      <c r="K49" s="196">
        <f>'SM-A6'!K49*0.29</f>
        <v>0</v>
      </c>
      <c r="L49" s="197">
        <f>'SM-A6'!L49*0.29</f>
        <v>0</v>
      </c>
      <c r="M49" s="195">
        <f>'SM-A6'!M49*0.29</f>
        <v>0</v>
      </c>
      <c r="N49" s="195">
        <f>'SM-A6'!N49*0.29</f>
        <v>0</v>
      </c>
      <c r="O49" s="195">
        <f>'SM-A6'!O49*0.29</f>
        <v>0</v>
      </c>
      <c r="P49" s="195">
        <f>'SM-A6'!P49*0.29</f>
        <v>0</v>
      </c>
      <c r="Q49" s="198">
        <f>'SM-A6'!Q49*0.29</f>
        <v>0</v>
      </c>
      <c r="R49" s="305" t="str">
        <f t="shared" si="0"/>
        <v xml:space="preserve">     -</v>
      </c>
      <c r="S49" s="304" t="str">
        <f t="shared" si="1"/>
        <v xml:space="preserve">     -</v>
      </c>
    </row>
    <row r="50" spans="1:19" ht="15" customHeight="1">
      <c r="A50" s="16"/>
      <c r="B50" s="105"/>
      <c r="C50" s="97" t="s">
        <v>309</v>
      </c>
      <c r="D50" s="194">
        <f>'SM-A6'!D50*0.29</f>
        <v>0</v>
      </c>
      <c r="E50" s="195">
        <f>'SM-A6'!E50*0.29</f>
        <v>0</v>
      </c>
      <c r="F50" s="195">
        <f>'SM-A6'!F50*0.29</f>
        <v>0</v>
      </c>
      <c r="G50" s="195">
        <f>'SM-A6'!G50*0.29</f>
        <v>0</v>
      </c>
      <c r="H50" s="195">
        <f>'SM-A6'!H50*0.29</f>
        <v>0</v>
      </c>
      <c r="I50" s="195">
        <f>'SM-A6'!I50*0.29</f>
        <v>0</v>
      </c>
      <c r="J50" s="195">
        <f>'SM-A6'!J50*0.29</f>
        <v>0</v>
      </c>
      <c r="K50" s="196">
        <f>'SM-A6'!K50*0.29</f>
        <v>0</v>
      </c>
      <c r="L50" s="197">
        <f>'SM-A6'!L50*0.29</f>
        <v>0</v>
      </c>
      <c r="M50" s="195">
        <f>'SM-A6'!M50*0.29</f>
        <v>0</v>
      </c>
      <c r="N50" s="195">
        <f>'SM-A6'!N50*0.29</f>
        <v>0</v>
      </c>
      <c r="O50" s="195">
        <f>'SM-A6'!O50*0.29</f>
        <v>0</v>
      </c>
      <c r="P50" s="195">
        <f>'SM-A6'!P50*0.29</f>
        <v>0</v>
      </c>
      <c r="Q50" s="198">
        <f>'SM-A6'!Q50*0.29</f>
        <v>0</v>
      </c>
      <c r="R50" s="305" t="str">
        <f t="shared" si="0"/>
        <v xml:space="preserve">     -</v>
      </c>
      <c r="S50" s="304" t="str">
        <f t="shared" si="1"/>
        <v xml:space="preserve">     -</v>
      </c>
    </row>
    <row r="51" spans="1:19" ht="15.75" customHeight="1">
      <c r="A51" s="16"/>
      <c r="B51" s="672" t="s">
        <v>310</v>
      </c>
      <c r="C51" s="673"/>
      <c r="D51" s="181">
        <f>'SM-A6'!D51*0.29</f>
        <v>1519.8899999999999</v>
      </c>
      <c r="E51" s="67">
        <f>'SM-A6'!E51*0.29</f>
        <v>1461.02</v>
      </c>
      <c r="F51" s="67">
        <f>'SM-A6'!F51*0.29</f>
        <v>1384.4599999999998</v>
      </c>
      <c r="G51" s="67">
        <f>'SM-A6'!G51*0.29</f>
        <v>1363.87</v>
      </c>
      <c r="H51" s="182">
        <f>'SM-A6'!H51*0.29</f>
        <v>1287.02</v>
      </c>
      <c r="I51" s="182">
        <f>'SM-A6'!I51*0.29</f>
        <v>1268.1699999999998</v>
      </c>
      <c r="J51" s="182">
        <f>'SM-A6'!J51*0.29</f>
        <v>1331.9699999999998</v>
      </c>
      <c r="K51" s="183">
        <f>'SM-A6'!K51*0.29</f>
        <v>1355.1699999999998</v>
      </c>
      <c r="L51" s="184">
        <f>'SM-A6'!L51*0.29</f>
        <v>1302.0999999999999</v>
      </c>
      <c r="M51" s="182">
        <f>'SM-A6'!M51*0.29</f>
        <v>1274.8399999999999</v>
      </c>
      <c r="N51" s="182">
        <f>'SM-A6'!N51*0.29</f>
        <v>1259.4699999999998</v>
      </c>
      <c r="O51" s="182">
        <f>'SM-A6'!O51*0.29</f>
        <v>1255.4099999999999</v>
      </c>
      <c r="P51" s="182">
        <f>'SM-A6'!P51*0.29</f>
        <v>1249.8999999999999</v>
      </c>
      <c r="Q51" s="185">
        <f>'SM-A6'!Q51*0.29</f>
        <v>1239.1699999999998</v>
      </c>
      <c r="R51" s="299">
        <f t="shared" si="0"/>
        <v>-1.6</v>
      </c>
      <c r="S51" s="300">
        <f t="shared" si="1"/>
        <v>-1</v>
      </c>
    </row>
    <row r="52" spans="1:19" ht="15" customHeight="1">
      <c r="A52" s="16"/>
      <c r="B52" s="105"/>
      <c r="C52" s="615" t="s">
        <v>311</v>
      </c>
      <c r="D52" s="194">
        <f>'SM-A6'!D52*0.29</f>
        <v>1443.33</v>
      </c>
      <c r="E52" s="195">
        <f>'SM-A6'!E52*0.29</f>
        <v>1390.26</v>
      </c>
      <c r="F52" s="195">
        <f>'SM-A6'!F52*0.29</f>
        <v>1325.3</v>
      </c>
      <c r="G52" s="195">
        <f>'SM-A6'!G52*0.29</f>
        <v>1293.98</v>
      </c>
      <c r="H52" s="190">
        <f>'SM-A6'!H52*0.29</f>
        <v>1214.52</v>
      </c>
      <c r="I52" s="190">
        <f>'SM-A6'!I52*0.29</f>
        <v>1207.56</v>
      </c>
      <c r="J52" s="190">
        <f>'SM-A6'!J52*0.29</f>
        <v>1277.74</v>
      </c>
      <c r="K52" s="191">
        <f>'SM-A6'!K52*0.29</f>
        <v>1289.9199999999998</v>
      </c>
      <c r="L52" s="192">
        <f>'SM-A6'!L52*0.29</f>
        <v>1234.82</v>
      </c>
      <c r="M52" s="190">
        <f>'SM-A6'!M52*0.29</f>
        <v>1206.98</v>
      </c>
      <c r="N52" s="190">
        <f>'SM-A6'!N52*0.29</f>
        <v>1192.48</v>
      </c>
      <c r="O52" s="190">
        <f>'SM-A6'!O52*0.29</f>
        <v>1187.26</v>
      </c>
      <c r="P52" s="190">
        <f>'SM-A6'!P52*0.29</f>
        <v>1182.04</v>
      </c>
      <c r="Q52" s="193">
        <f>'SM-A6'!Q52*0.29</f>
        <v>1170.4399999999998</v>
      </c>
      <c r="R52" s="303">
        <f t="shared" si="0"/>
        <v>-1.6</v>
      </c>
      <c r="S52" s="304">
        <f t="shared" si="1"/>
        <v>-1.1000000000000001</v>
      </c>
    </row>
    <row r="53" spans="1:19" ht="15.75" customHeight="1">
      <c r="A53" s="16"/>
      <c r="B53" s="672" t="s">
        <v>312</v>
      </c>
      <c r="C53" s="673"/>
      <c r="D53" s="181">
        <f>'SM-A6'!D53*0.29</f>
        <v>642.64</v>
      </c>
      <c r="E53" s="67">
        <f>'SM-A6'!E53*0.29</f>
        <v>652.5</v>
      </c>
      <c r="F53" s="67">
        <f>'SM-A6'!F53*0.29</f>
        <v>674.61616161616269</v>
      </c>
      <c r="G53" s="67">
        <f>'SM-A6'!G53*0.29</f>
        <v>682.01750841750788</v>
      </c>
      <c r="H53" s="67">
        <f>'SM-A6'!H53*0.29</f>
        <v>699.0269360269358</v>
      </c>
      <c r="I53" s="67">
        <f>'SM-A6'!I53*0.29</f>
        <v>696.29</v>
      </c>
      <c r="J53" s="67">
        <f>'SM-A6'!J53*0.29</f>
        <v>698.9</v>
      </c>
      <c r="K53" s="186">
        <f>'SM-A6'!K53*0.29</f>
        <v>700.34999999999991</v>
      </c>
      <c r="L53" s="187">
        <f>'SM-A6'!L53*0.29</f>
        <v>705.56999999999994</v>
      </c>
      <c r="M53" s="67">
        <f>'SM-A6'!M53*0.29</f>
        <v>716.88</v>
      </c>
      <c r="N53" s="67">
        <f>'SM-A6'!N53*0.29</f>
        <v>726.44999999999993</v>
      </c>
      <c r="O53" s="67">
        <f>'SM-A6'!O53*0.29</f>
        <v>742.4</v>
      </c>
      <c r="P53" s="67">
        <f>'SM-A6'!P53*0.29</f>
        <v>760.95999999999992</v>
      </c>
      <c r="Q53" s="68">
        <f>'SM-A6'!Q53*0.29</f>
        <v>784.44999999999993</v>
      </c>
      <c r="R53" s="302">
        <f t="shared" si="0"/>
        <v>1.2</v>
      </c>
      <c r="S53" s="300">
        <f t="shared" si="1"/>
        <v>2.1</v>
      </c>
    </row>
    <row r="54" spans="1:19" ht="15" customHeight="1">
      <c r="A54" s="16"/>
      <c r="B54" s="16"/>
      <c r="C54" s="615" t="s">
        <v>313</v>
      </c>
      <c r="D54" s="194">
        <f>'SM-A6'!D54*0.29</f>
        <v>400.48999999999995</v>
      </c>
      <c r="E54" s="195">
        <f>'SM-A6'!E54*0.29</f>
        <v>400.48999999999995</v>
      </c>
      <c r="F54" s="195">
        <f>'SM-A6'!F54*0.29</f>
        <v>402.48484848484907</v>
      </c>
      <c r="G54" s="195">
        <f>'SM-A6'!G54*0.29</f>
        <v>400.2</v>
      </c>
      <c r="H54" s="190">
        <f>'SM-A6'!H54*0.29</f>
        <v>395.64983164983039</v>
      </c>
      <c r="I54" s="190">
        <f>'SM-A6'!I54*0.29</f>
        <v>428.30769230769226</v>
      </c>
      <c r="J54" s="190">
        <f>'SM-A6'!J54*0.29</f>
        <v>414.92307692307691</v>
      </c>
      <c r="K54" s="191">
        <f>'SM-A6'!K54*0.29</f>
        <v>427.56410256410254</v>
      </c>
      <c r="L54" s="192">
        <f>'SM-A6'!L54*0.29</f>
        <v>429.79487179487177</v>
      </c>
      <c r="M54" s="190">
        <f>'SM-A6'!M54*0.29</f>
        <v>429.79487179487177</v>
      </c>
      <c r="N54" s="190">
        <f>'SM-A6'!N54*0.29</f>
        <v>434.25641025641022</v>
      </c>
      <c r="O54" s="190">
        <f>'SM-A6'!O54*0.29</f>
        <v>436.48717948717945</v>
      </c>
      <c r="P54" s="190">
        <f>'SM-A6'!P54*0.29</f>
        <v>440.79999999999995</v>
      </c>
      <c r="Q54" s="193">
        <f>'SM-A6'!Q54*0.29</f>
        <v>448.04999999999995</v>
      </c>
      <c r="R54" s="303">
        <f t="shared" si="0"/>
        <v>0.9</v>
      </c>
      <c r="S54" s="304">
        <f t="shared" si="1"/>
        <v>0.8</v>
      </c>
    </row>
    <row r="55" spans="1:19" ht="15.75" customHeight="1">
      <c r="A55" s="16"/>
      <c r="B55" s="674" t="s">
        <v>314</v>
      </c>
      <c r="C55" s="675"/>
      <c r="D55" s="194">
        <f>'SM-A6'!D55*0.29</f>
        <v>0</v>
      </c>
      <c r="E55" s="195">
        <f>'SM-A6'!E55*0.29</f>
        <v>0</v>
      </c>
      <c r="F55" s="195">
        <f>'SM-A6'!F55*0.29</f>
        <v>0</v>
      </c>
      <c r="G55" s="195">
        <f>'SM-A6'!G55*0.29</f>
        <v>0</v>
      </c>
      <c r="H55" s="190">
        <f>'SM-A6'!H55*0.29</f>
        <v>0</v>
      </c>
      <c r="I55" s="190">
        <f>'SM-A6'!I55*0.29</f>
        <v>0</v>
      </c>
      <c r="J55" s="190">
        <f>'SM-A6'!J55*0.29</f>
        <v>0</v>
      </c>
      <c r="K55" s="191">
        <f>'SM-A6'!K55*0.29</f>
        <v>0</v>
      </c>
      <c r="L55" s="192">
        <f>'SM-A6'!L55*0.29</f>
        <v>0</v>
      </c>
      <c r="M55" s="190">
        <f>'SM-A6'!M55*0.29</f>
        <v>0</v>
      </c>
      <c r="N55" s="190">
        <f>'SM-A6'!N55*0.29</f>
        <v>0</v>
      </c>
      <c r="O55" s="190">
        <f>'SM-A6'!O55*0.29</f>
        <v>0</v>
      </c>
      <c r="P55" s="190">
        <f>'SM-A6'!P55*0.29</f>
        <v>0</v>
      </c>
      <c r="Q55" s="193">
        <f>'SM-A6'!Q55*0.29</f>
        <v>0</v>
      </c>
      <c r="R55" s="303" t="str">
        <f t="shared" si="0"/>
        <v xml:space="preserve">     -</v>
      </c>
      <c r="S55" s="304" t="str">
        <f t="shared" si="1"/>
        <v xml:space="preserve">     -</v>
      </c>
    </row>
    <row r="56" spans="1:19" ht="15.75" customHeight="1">
      <c r="A56" s="16"/>
      <c r="B56" s="674" t="s">
        <v>315</v>
      </c>
      <c r="C56" s="675"/>
      <c r="D56" s="189">
        <f>'SM-A6'!D56*0.29</f>
        <v>134.56</v>
      </c>
      <c r="E56" s="190">
        <f>'SM-A6'!E56*0.29</f>
        <v>140.94</v>
      </c>
      <c r="F56" s="190">
        <f>'SM-A6'!F56*0.29</f>
        <v>154.541</v>
      </c>
      <c r="G56" s="190">
        <f>'SM-A6'!G56*0.29</f>
        <v>176.755</v>
      </c>
      <c r="H56" s="190">
        <f>'SM-A6'!H56*0.29</f>
        <v>187.63</v>
      </c>
      <c r="I56" s="190">
        <f>'SM-A6'!I56*0.29</f>
        <v>194.58999999999997</v>
      </c>
      <c r="J56" s="190">
        <f>'SM-A6'!J56*0.29</f>
        <v>198.02070000000001</v>
      </c>
      <c r="K56" s="191">
        <f>'SM-A6'!K56*0.29</f>
        <v>200.39</v>
      </c>
      <c r="L56" s="192">
        <f>'SM-A6'!L56*0.29</f>
        <v>203.59623999999999</v>
      </c>
      <c r="M56" s="190">
        <f>'SM-A6'!M56*0.29</f>
        <v>206.24299112</v>
      </c>
      <c r="N56" s="190">
        <f>'SM-A6'!N56*0.29</f>
        <v>209.33663598679996</v>
      </c>
      <c r="O56" s="190">
        <f>'SM-A6'!O56*0.29</f>
        <v>212.47668552660193</v>
      </c>
      <c r="P56" s="190">
        <f>'SM-A6'!P56*0.29</f>
        <v>215.66383580950097</v>
      </c>
      <c r="Q56" s="193">
        <f>'SM-A6'!Q56*0.29</f>
        <v>218.89879334664346</v>
      </c>
      <c r="R56" s="303">
        <f t="shared" si="0"/>
        <v>5.9</v>
      </c>
      <c r="S56" s="304">
        <f t="shared" si="1"/>
        <v>1.5</v>
      </c>
    </row>
    <row r="57" spans="1:19" ht="15" customHeight="1">
      <c r="A57" s="16"/>
      <c r="B57" s="672" t="s">
        <v>316</v>
      </c>
      <c r="C57" s="673"/>
      <c r="D57" s="181">
        <f>'SM-A6'!D57*0.29</f>
        <v>1302.6799999999998</v>
      </c>
      <c r="E57" s="67">
        <f>'SM-A6'!E57*0.29</f>
        <v>1302.6799999999998</v>
      </c>
      <c r="F57" s="67">
        <f>'SM-A6'!F57*0.29</f>
        <v>1302.6799999999998</v>
      </c>
      <c r="G57" s="67">
        <f>'SM-A6'!G57*0.29</f>
        <v>1302.6799999999998</v>
      </c>
      <c r="H57" s="67">
        <f>'SM-A6'!H57*0.29</f>
        <v>1302.6799999999998</v>
      </c>
      <c r="I57" s="182">
        <f>'SM-A6'!I57*0.29</f>
        <v>1302.6799999999998</v>
      </c>
      <c r="J57" s="182">
        <f>'SM-A6'!J57*0.29</f>
        <v>1302.6799999999998</v>
      </c>
      <c r="K57" s="183">
        <f>'SM-A6'!K57*0.29</f>
        <v>1302.6799999999998</v>
      </c>
      <c r="L57" s="184">
        <f>'SM-A6'!L57*0.29</f>
        <v>1302.6799999999998</v>
      </c>
      <c r="M57" s="182">
        <f>'SM-A6'!M57*0.29</f>
        <v>1302.6799999999998</v>
      </c>
      <c r="N57" s="182">
        <f>'SM-A6'!N57*0.29</f>
        <v>1302.6799999999998</v>
      </c>
      <c r="O57" s="182">
        <f>'SM-A6'!O57*0.29</f>
        <v>1302.6799999999998</v>
      </c>
      <c r="P57" s="182">
        <f>'SM-A6'!P57*0.29</f>
        <v>1302.6799999999998</v>
      </c>
      <c r="Q57" s="185">
        <f>'SM-A6'!Q57*0.29</f>
        <v>1302.6799999999998</v>
      </c>
      <c r="R57" s="299">
        <f t="shared" si="0"/>
        <v>0</v>
      </c>
      <c r="S57" s="300">
        <f t="shared" si="1"/>
        <v>0</v>
      </c>
    </row>
    <row r="58" spans="1:19" ht="15" customHeight="1">
      <c r="A58" s="16"/>
      <c r="B58" s="670" t="s">
        <v>317</v>
      </c>
      <c r="C58" s="671"/>
      <c r="D58" s="181">
        <f>'SM-A6'!D58*0.29</f>
        <v>172.54999999999998</v>
      </c>
      <c r="E58" s="67">
        <f>'SM-A6'!E58*0.29</f>
        <v>185.6</v>
      </c>
      <c r="F58" s="67">
        <f>'SM-A6'!F58*0.29</f>
        <v>189.66</v>
      </c>
      <c r="G58" s="67">
        <f>'SM-A6'!G58*0.29</f>
        <v>229.96999999999997</v>
      </c>
      <c r="H58" s="67">
        <f>'SM-A6'!H58*0.29</f>
        <v>229.96999999999997</v>
      </c>
      <c r="I58" s="182">
        <f>'SM-A6'!I58*0.29</f>
        <v>229.96999999999997</v>
      </c>
      <c r="J58" s="182">
        <f>'SM-A6'!J58*0.29</f>
        <v>229.96999999999997</v>
      </c>
      <c r="K58" s="183">
        <f>'SM-A6'!K58*0.29</f>
        <v>229.96999999999997</v>
      </c>
      <c r="L58" s="184">
        <f>'SM-A6'!L58*0.29</f>
        <v>229.96999999999997</v>
      </c>
      <c r="M58" s="182">
        <f>'SM-A6'!M58*0.29</f>
        <v>229.96999999999997</v>
      </c>
      <c r="N58" s="182">
        <f>'SM-A6'!N58*0.29</f>
        <v>229.96999999999997</v>
      </c>
      <c r="O58" s="182">
        <f>'SM-A6'!O58*0.29</f>
        <v>229.96999999999997</v>
      </c>
      <c r="P58" s="182">
        <f>'SM-A6'!P58*0.29</f>
        <v>229.96999999999997</v>
      </c>
      <c r="Q58" s="185">
        <f>'SM-A6'!Q58*0.29</f>
        <v>229.96999999999997</v>
      </c>
      <c r="R58" s="299">
        <f t="shared" si="0"/>
        <v>4.2</v>
      </c>
      <c r="S58" s="300">
        <f t="shared" si="1"/>
        <v>0</v>
      </c>
    </row>
    <row r="59" spans="1:19" ht="15.75" customHeight="1">
      <c r="A59" s="16"/>
      <c r="B59" s="674" t="s">
        <v>318</v>
      </c>
      <c r="C59" s="675"/>
      <c r="D59" s="189">
        <f>'SM-A6'!D59*0.29</f>
        <v>1475.2299999999998</v>
      </c>
      <c r="E59" s="190">
        <f>'SM-A6'!E59*0.29</f>
        <v>1488.28</v>
      </c>
      <c r="F59" s="190">
        <f>'SM-A6'!F59*0.29</f>
        <v>1492.34</v>
      </c>
      <c r="G59" s="190">
        <f>'SM-A6'!G59*0.29</f>
        <v>1532.6499999999999</v>
      </c>
      <c r="H59" s="190">
        <f>'SM-A6'!H59*0.29</f>
        <v>1532.6499999999999</v>
      </c>
      <c r="I59" s="190">
        <f>'SM-A6'!I59*0.29</f>
        <v>1532.6499999999999</v>
      </c>
      <c r="J59" s="190">
        <f>'SM-A6'!J59*0.29</f>
        <v>1532.6499999999999</v>
      </c>
      <c r="K59" s="191">
        <f>'SM-A6'!K59*0.29</f>
        <v>1532.6499999999999</v>
      </c>
      <c r="L59" s="192">
        <f>'SM-A6'!L59*0.29</f>
        <v>1532.6499999999999</v>
      </c>
      <c r="M59" s="190">
        <f>'SM-A6'!M59*0.29</f>
        <v>1532.6499999999999</v>
      </c>
      <c r="N59" s="190">
        <f>'SM-A6'!N59*0.29</f>
        <v>1532.6499999999999</v>
      </c>
      <c r="O59" s="190">
        <f>'SM-A6'!O59*0.29</f>
        <v>1532.6499999999999</v>
      </c>
      <c r="P59" s="190">
        <f>'SM-A6'!P59*0.29</f>
        <v>1532.6499999999999</v>
      </c>
      <c r="Q59" s="193">
        <f>'SM-A6'!Q59*0.29</f>
        <v>1532.6499999999999</v>
      </c>
      <c r="R59" s="303">
        <f t="shared" si="0"/>
        <v>0.5</v>
      </c>
      <c r="S59" s="304">
        <f t="shared" si="1"/>
        <v>0</v>
      </c>
    </row>
    <row r="60" spans="1:19" ht="15" customHeight="1">
      <c r="A60" s="16"/>
      <c r="B60" s="672" t="s">
        <v>319</v>
      </c>
      <c r="C60" s="673"/>
      <c r="D60" s="181">
        <f>'SM-A6'!D60*0.29</f>
        <v>33.349999999999994</v>
      </c>
      <c r="E60" s="67">
        <f>'SM-A6'!E60*0.29</f>
        <v>36.25</v>
      </c>
      <c r="F60" s="67">
        <f>'SM-A6'!F60*0.29</f>
        <v>8.6999999999999993</v>
      </c>
      <c r="G60" s="67">
        <f>'SM-A6'!G60*0.29</f>
        <v>39.15</v>
      </c>
      <c r="H60" s="67">
        <f>'SM-A6'!H60*0.29</f>
        <v>39.15</v>
      </c>
      <c r="I60" s="182">
        <f>'SM-A6'!I60*0.29</f>
        <v>39.15</v>
      </c>
      <c r="J60" s="182">
        <f>'SM-A6'!J60*0.29</f>
        <v>39.15</v>
      </c>
      <c r="K60" s="183">
        <f>'SM-A6'!K60*0.29</f>
        <v>0</v>
      </c>
      <c r="L60" s="184">
        <f>'SM-A6'!L60*0.29</f>
        <v>0</v>
      </c>
      <c r="M60" s="182">
        <f>'SM-A6'!M60*0.29</f>
        <v>0</v>
      </c>
      <c r="N60" s="182">
        <f>'SM-A6'!N60*0.29</f>
        <v>0</v>
      </c>
      <c r="O60" s="182">
        <f>'SM-A6'!O60*0.29</f>
        <v>0</v>
      </c>
      <c r="P60" s="182">
        <f>'SM-A6'!P60*0.29</f>
        <v>0</v>
      </c>
      <c r="Q60" s="185">
        <f>'SM-A6'!Q60*0.29</f>
        <v>0</v>
      </c>
      <c r="R60" s="299" t="str">
        <f t="shared" si="0"/>
        <v xml:space="preserve">     -</v>
      </c>
      <c r="S60" s="300" t="str">
        <f t="shared" si="1"/>
        <v xml:space="preserve">     -</v>
      </c>
    </row>
    <row r="61" spans="1:19" ht="15" customHeight="1">
      <c r="A61" s="16"/>
      <c r="B61" s="668" t="s">
        <v>320</v>
      </c>
      <c r="C61" s="669"/>
      <c r="D61" s="181">
        <f>'SM-A6'!D61*0.29</f>
        <v>114.55</v>
      </c>
      <c r="E61" s="67">
        <f>'SM-A6'!E61*0.29</f>
        <v>124.69999999999999</v>
      </c>
      <c r="F61" s="67">
        <f>'SM-A6'!F61*0.29</f>
        <v>127.6</v>
      </c>
      <c r="G61" s="67">
        <f>'SM-A6'!G61*0.29</f>
        <v>132.23999999999998</v>
      </c>
      <c r="H61" s="67">
        <f>'SM-A6'!H61*0.29</f>
        <v>132.23999999999998</v>
      </c>
      <c r="I61" s="182">
        <f>'SM-A6'!I61*0.29</f>
        <v>132.23999999999998</v>
      </c>
      <c r="J61" s="182">
        <f>'SM-A6'!J61*0.29</f>
        <v>132.12399999999997</v>
      </c>
      <c r="K61" s="183">
        <f>'SM-A6'!K61*0.29</f>
        <v>132.23999999999998</v>
      </c>
      <c r="L61" s="184">
        <f>'SM-A6'!L61*0.29</f>
        <v>132.23999999999998</v>
      </c>
      <c r="M61" s="182">
        <f>'SM-A6'!M61*0.29</f>
        <v>161.82</v>
      </c>
      <c r="N61" s="182">
        <f>'SM-A6'!N61*0.29</f>
        <v>171.67999999999998</v>
      </c>
      <c r="O61" s="182">
        <f>'SM-A6'!O61*0.29</f>
        <v>171.67999999999998</v>
      </c>
      <c r="P61" s="182">
        <f>'SM-A6'!P61*0.29</f>
        <v>171.67999999999998</v>
      </c>
      <c r="Q61" s="185">
        <f>'SM-A6'!Q61*0.29</f>
        <v>171.67999999999998</v>
      </c>
      <c r="R61" s="299">
        <f t="shared" si="0"/>
        <v>2.1</v>
      </c>
      <c r="S61" s="300">
        <f t="shared" si="1"/>
        <v>5.4</v>
      </c>
    </row>
    <row r="62" spans="1:19" ht="15" customHeight="1">
      <c r="A62" s="16"/>
      <c r="B62" s="670" t="s">
        <v>321</v>
      </c>
      <c r="C62" s="671"/>
      <c r="D62" s="181">
        <f>'SM-A6'!D62*0.29</f>
        <v>33.059999999999995</v>
      </c>
      <c r="E62" s="67">
        <f>'SM-A6'!E62*0.29</f>
        <v>34.22</v>
      </c>
      <c r="F62" s="67">
        <f>'SM-A6'!F62*0.29</f>
        <v>35.379999999999995</v>
      </c>
      <c r="G62" s="67">
        <f>'SM-A6'!G62*0.29</f>
        <v>39.44</v>
      </c>
      <c r="H62" s="67">
        <f>'SM-A6'!H62*0.29</f>
        <v>39.44</v>
      </c>
      <c r="I62" s="182">
        <f>'SM-A6'!I62*0.29</f>
        <v>39.44</v>
      </c>
      <c r="J62" s="182">
        <f>'SM-A6'!J62*0.29</f>
        <v>39.44</v>
      </c>
      <c r="K62" s="183">
        <f>'SM-A6'!K62*0.29</f>
        <v>39.44</v>
      </c>
      <c r="L62" s="184">
        <f>'SM-A6'!L62*0.29</f>
        <v>39.44</v>
      </c>
      <c r="M62" s="182">
        <f>'SM-A6'!M62*0.29</f>
        <v>39.44</v>
      </c>
      <c r="N62" s="182">
        <f>'SM-A6'!N62*0.29</f>
        <v>39.44</v>
      </c>
      <c r="O62" s="182">
        <f>'SM-A6'!O62*0.29</f>
        <v>39.44</v>
      </c>
      <c r="P62" s="182">
        <f>'SM-A6'!P62*0.29</f>
        <v>39.44</v>
      </c>
      <c r="Q62" s="185">
        <f>'SM-A6'!Q62*0.29</f>
        <v>39.44</v>
      </c>
      <c r="R62" s="299">
        <f t="shared" si="0"/>
        <v>2.6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99">
        <f>'SM-A6'!D63*0.29</f>
        <v>180.95999999999998</v>
      </c>
      <c r="E63" s="200">
        <f>'SM-A6'!E63*0.29</f>
        <v>195.17</v>
      </c>
      <c r="F63" s="200">
        <f>'SM-A6'!F63*0.29</f>
        <v>171.67999999999998</v>
      </c>
      <c r="G63" s="200">
        <f>'SM-A6'!G63*0.29</f>
        <v>210.82999999999998</v>
      </c>
      <c r="H63" s="200">
        <f>'SM-A6'!H63*0.29</f>
        <v>210.82999999999998</v>
      </c>
      <c r="I63" s="200">
        <f>'SM-A6'!I63*0.29</f>
        <v>210.82999999999998</v>
      </c>
      <c r="J63" s="200">
        <f>'SM-A6'!J63*0.29</f>
        <v>210.71399999999997</v>
      </c>
      <c r="K63" s="201">
        <f>'SM-A6'!K63*0.29</f>
        <v>171.67999999999998</v>
      </c>
      <c r="L63" s="202">
        <f>'SM-A6'!L63*0.29</f>
        <v>171.67999999999998</v>
      </c>
      <c r="M63" s="200">
        <f>'SM-A6'!M63*0.29</f>
        <v>201.26</v>
      </c>
      <c r="N63" s="200">
        <f>'SM-A6'!N63*0.29</f>
        <v>211.11999999999998</v>
      </c>
      <c r="O63" s="200">
        <f>'SM-A6'!O63*0.29</f>
        <v>211.11999999999998</v>
      </c>
      <c r="P63" s="200">
        <f>'SM-A6'!P63*0.29</f>
        <v>211.11999999999998</v>
      </c>
      <c r="Q63" s="203">
        <f>'SM-A6'!Q63*0.29</f>
        <v>211.11999999999998</v>
      </c>
      <c r="R63" s="306">
        <f t="shared" si="0"/>
        <v>-0.7</v>
      </c>
      <c r="S63" s="307">
        <f t="shared" si="1"/>
        <v>4.2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3">D63+D59+D56+D55+D53+D51+D49+D48</f>
        <v>7935.1539999999995</v>
      </c>
      <c r="E64" s="210">
        <f t="shared" si="3"/>
        <v>7808.54</v>
      </c>
      <c r="F64" s="210">
        <f t="shared" si="3"/>
        <v>7762.4771616161615</v>
      </c>
      <c r="G64" s="210">
        <f t="shared" si="3"/>
        <v>8120.2208384175074</v>
      </c>
      <c r="H64" s="210">
        <f t="shared" si="3"/>
        <v>8099.4829960269344</v>
      </c>
      <c r="I64" s="210">
        <f t="shared" si="3"/>
        <v>8181.6211316580993</v>
      </c>
      <c r="J64" s="210">
        <f t="shared" si="3"/>
        <v>8241.7422899999983</v>
      </c>
      <c r="K64" s="211">
        <f t="shared" si="3"/>
        <v>8468.5869600000005</v>
      </c>
      <c r="L64" s="212">
        <f t="shared" si="3"/>
        <v>8653.5941999999995</v>
      </c>
      <c r="M64" s="210">
        <f t="shared" si="3"/>
        <v>8776.7359511199993</v>
      </c>
      <c r="N64" s="210">
        <f t="shared" si="3"/>
        <v>9033.8695959867982</v>
      </c>
      <c r="O64" s="210">
        <f t="shared" si="3"/>
        <v>9251.0296455265998</v>
      </c>
      <c r="P64" s="210">
        <f t="shared" si="3"/>
        <v>9446.1967958095011</v>
      </c>
      <c r="Q64" s="213">
        <f t="shared" si="3"/>
        <v>9619.6617533466415</v>
      </c>
      <c r="R64" s="310">
        <f t="shared" si="0"/>
        <v>0.9</v>
      </c>
      <c r="S64" s="311">
        <f t="shared" si="1"/>
        <v>2.1</v>
      </c>
    </row>
    <row r="65" spans="1:19" ht="15" customHeight="1">
      <c r="A65" s="616" t="s">
        <v>327</v>
      </c>
      <c r="B65" s="644" t="s">
        <v>433</v>
      </c>
      <c r="C65" s="645"/>
      <c r="D65" s="175">
        <f>'SM-A6'!D65*0.29</f>
        <v>669.03</v>
      </c>
      <c r="E65" s="176">
        <f>'SM-A6'!E65*0.29</f>
        <v>646.41</v>
      </c>
      <c r="F65" s="176">
        <f>'SM-A6'!F65*0.29</f>
        <v>667</v>
      </c>
      <c r="G65" s="176">
        <f>'SM-A6'!G65*0.29</f>
        <v>697.7399999999999</v>
      </c>
      <c r="H65" s="177">
        <f>'SM-A6'!H65*0.29</f>
        <v>693.96999999999991</v>
      </c>
      <c r="I65" s="177">
        <f>'SM-A6'!I65*0.29</f>
        <v>706.15</v>
      </c>
      <c r="J65" s="177">
        <f>'SM-A6'!J65*0.29</f>
        <v>740.37</v>
      </c>
      <c r="K65" s="178">
        <f>'SM-A6'!K65*0.29</f>
        <v>736.59999999999991</v>
      </c>
      <c r="L65" s="179">
        <f>'SM-A6'!L65*0.29</f>
        <v>754</v>
      </c>
      <c r="M65" s="177">
        <f>'SM-A6'!M65*0.29</f>
        <v>754</v>
      </c>
      <c r="N65" s="177">
        <f>'SM-A6'!N65*0.29</f>
        <v>754</v>
      </c>
      <c r="O65" s="177">
        <f>'SM-A6'!O65*0.29</f>
        <v>768.5</v>
      </c>
      <c r="P65" s="177">
        <f>'SM-A6'!P65*0.29</f>
        <v>768.5</v>
      </c>
      <c r="Q65" s="180">
        <f>'SM-A6'!Q65*0.29</f>
        <v>768.5</v>
      </c>
      <c r="R65" s="276">
        <f t="shared" si="0"/>
        <v>1.4</v>
      </c>
      <c r="S65" s="298">
        <f t="shared" si="1"/>
        <v>0.4</v>
      </c>
    </row>
    <row r="66" spans="1:19" ht="15" customHeight="1">
      <c r="A66" s="614" t="s">
        <v>328</v>
      </c>
      <c r="B66" s="605" t="s">
        <v>434</v>
      </c>
      <c r="C66" s="606"/>
      <c r="D66" s="181">
        <f>'SM-A6'!D66*0.29</f>
        <v>578.26</v>
      </c>
      <c r="E66" s="67">
        <f>'SM-A6'!E66*0.29</f>
        <v>519.39</v>
      </c>
      <c r="F66" s="67">
        <f>'SM-A6'!F66*0.29</f>
        <v>528.38</v>
      </c>
      <c r="G66" s="67">
        <f>'SM-A6'!G66*0.29</f>
        <v>557.95999999999992</v>
      </c>
      <c r="H66" s="182">
        <f>'SM-A6'!H66*0.29</f>
        <v>520.26</v>
      </c>
      <c r="I66" s="182">
        <f>'SM-A6'!I66*0.29</f>
        <v>540.55999999999995</v>
      </c>
      <c r="J66" s="182">
        <f>'SM-A6'!J66*0.29</f>
        <v>546.93999999999994</v>
      </c>
      <c r="K66" s="183">
        <f>'SM-A6'!K66*0.29</f>
        <v>554.77</v>
      </c>
      <c r="L66" s="184">
        <f>'SM-A6'!L66*0.29</f>
        <v>565.5</v>
      </c>
      <c r="M66" s="182">
        <f>'SM-A6'!M66*0.29</f>
        <v>565.5</v>
      </c>
      <c r="N66" s="182">
        <f>'SM-A6'!N66*0.29</f>
        <v>565.5</v>
      </c>
      <c r="O66" s="182">
        <f>'SM-A6'!O66*0.29</f>
        <v>565.5</v>
      </c>
      <c r="P66" s="182">
        <f>'SM-A6'!P66*0.29</f>
        <v>565.5</v>
      </c>
      <c r="Q66" s="185">
        <f>'SM-A6'!Q66*0.29</f>
        <v>565.5</v>
      </c>
      <c r="R66" s="299">
        <f t="shared" si="0"/>
        <v>-0.6</v>
      </c>
      <c r="S66" s="300">
        <f t="shared" si="1"/>
        <v>0</v>
      </c>
    </row>
    <row r="67" spans="1:19" ht="15" customHeight="1">
      <c r="A67" s="16"/>
      <c r="B67" s="605" t="s">
        <v>435</v>
      </c>
      <c r="C67" s="606"/>
      <c r="D67" s="181">
        <f>'SM-A6'!D67*0.29</f>
        <v>74.53</v>
      </c>
      <c r="E67" s="67">
        <f>'SM-A6'!E67*0.29</f>
        <v>73.08</v>
      </c>
      <c r="F67" s="67">
        <f>'SM-A6'!F67*0.29</f>
        <v>66.11999999999999</v>
      </c>
      <c r="G67" s="67">
        <f>'SM-A6'!G67*0.29</f>
        <v>65.25</v>
      </c>
      <c r="H67" s="67">
        <f>'SM-A6'!H67*0.29</f>
        <v>74.384999999999991</v>
      </c>
      <c r="I67" s="62">
        <f>'SM-A6'!I67*0.29</f>
        <v>63.879459999999995</v>
      </c>
      <c r="J67" s="62">
        <f>'SM-A6'!J67*0.29</f>
        <v>74.53</v>
      </c>
      <c r="K67" s="63">
        <f>'SM-A6'!K67*0.29</f>
        <v>73.66</v>
      </c>
      <c r="L67" s="64">
        <f>'SM-A6'!L67*0.29</f>
        <v>74.53</v>
      </c>
      <c r="M67" s="62">
        <f>'SM-A6'!M67*0.29</f>
        <v>74.53</v>
      </c>
      <c r="N67" s="62">
        <f>'SM-A6'!N67*0.29</f>
        <v>74.53</v>
      </c>
      <c r="O67" s="62">
        <f>'SM-A6'!O67*0.29</f>
        <v>74.53</v>
      </c>
      <c r="P67" s="62">
        <f>'SM-A6'!P67*0.29</f>
        <v>74.53</v>
      </c>
      <c r="Q67" s="65">
        <f>'SM-A6'!Q67*0.29</f>
        <v>74.53</v>
      </c>
      <c r="R67" s="301">
        <f t="shared" si="0"/>
        <v>-0.2</v>
      </c>
      <c r="S67" s="300">
        <f t="shared" si="1"/>
        <v>0</v>
      </c>
    </row>
    <row r="68" spans="1:19" ht="15" customHeight="1">
      <c r="A68" s="16"/>
      <c r="B68" s="605" t="s">
        <v>436</v>
      </c>
      <c r="C68" s="606"/>
      <c r="D68" s="181">
        <f>'SM-A6'!D68*0.29</f>
        <v>2130.0499999999997</v>
      </c>
      <c r="E68" s="67">
        <f>'SM-A6'!E68*0.29</f>
        <v>2270.9899999999998</v>
      </c>
      <c r="F68" s="67">
        <f>'SM-A6'!F68*0.29</f>
        <v>2299.12</v>
      </c>
      <c r="G68" s="67">
        <f>'SM-A6'!G68*0.29</f>
        <v>2507.0499999999997</v>
      </c>
      <c r="H68" s="67">
        <f>'SM-A6'!H68*0.29</f>
        <v>2595.79</v>
      </c>
      <c r="I68" s="182">
        <f>'SM-A6'!I68*0.29</f>
        <v>2681.0499999999997</v>
      </c>
      <c r="J68" s="182">
        <f>'SM-A6'!J68*0.29</f>
        <v>2733.25</v>
      </c>
      <c r="K68" s="183">
        <f>'SM-A6'!K68*0.29</f>
        <v>2853.89</v>
      </c>
      <c r="L68" s="184">
        <f>'SM-A6'!L68*0.29</f>
        <v>2933.93</v>
      </c>
      <c r="M68" s="182">
        <f>'SM-A6'!M68*0.29</f>
        <v>3036.5899999999997</v>
      </c>
      <c r="N68" s="182">
        <f>'SM-A6'!N68*0.29</f>
        <v>3144.7599999999998</v>
      </c>
      <c r="O68" s="182">
        <f>'SM-A6'!O68*0.29</f>
        <v>3256.41</v>
      </c>
      <c r="P68" s="182">
        <f>'SM-A6'!P68*0.29</f>
        <v>3343.99</v>
      </c>
      <c r="Q68" s="185">
        <f>'SM-A6'!Q68*0.29</f>
        <v>3420.5499999999997</v>
      </c>
      <c r="R68" s="299">
        <f t="shared" si="0"/>
        <v>4.3</v>
      </c>
      <c r="S68" s="300">
        <f t="shared" si="1"/>
        <v>3.1</v>
      </c>
    </row>
    <row r="69" spans="1:19" ht="15" customHeight="1">
      <c r="A69" s="16"/>
      <c r="B69" s="605" t="s">
        <v>437</v>
      </c>
      <c r="C69" s="606"/>
      <c r="D69" s="181">
        <f>'SM-A6'!D69*0.29</f>
        <v>168.2</v>
      </c>
      <c r="E69" s="67">
        <f>'SM-A6'!E69*0.29</f>
        <v>146.16</v>
      </c>
      <c r="F69" s="67">
        <f>'SM-A6'!F69*0.29</f>
        <v>146.16</v>
      </c>
      <c r="G69" s="67">
        <f>'SM-A6'!G69*0.29</f>
        <v>145</v>
      </c>
      <c r="H69" s="67">
        <f>'SM-A6'!H69*0.29</f>
        <v>145</v>
      </c>
      <c r="I69" s="182">
        <f>'SM-A6'!I69*0.29</f>
        <v>145</v>
      </c>
      <c r="J69" s="182">
        <f>'SM-A6'!J69*0.29</f>
        <v>150.51</v>
      </c>
      <c r="K69" s="183">
        <f>'SM-A6'!K69*0.29</f>
        <v>156.01999999999998</v>
      </c>
      <c r="L69" s="184">
        <f>'SM-A6'!L69*0.29</f>
        <v>154.85999999999999</v>
      </c>
      <c r="M69" s="182">
        <f>'SM-A6'!M69*0.29</f>
        <v>154.85999999999999</v>
      </c>
      <c r="N69" s="182">
        <f>'SM-A6'!N69*0.29</f>
        <v>154.85999999999999</v>
      </c>
      <c r="O69" s="182">
        <f>'SM-A6'!O69*0.29</f>
        <v>154.85999999999999</v>
      </c>
      <c r="P69" s="182">
        <f>'SM-A6'!P69*0.29</f>
        <v>154.85999999999999</v>
      </c>
      <c r="Q69" s="185">
        <f>'SM-A6'!Q69*0.29</f>
        <v>154.85999999999999</v>
      </c>
      <c r="R69" s="299">
        <f t="shared" si="0"/>
        <v>-1.1000000000000001</v>
      </c>
      <c r="S69" s="300">
        <f t="shared" si="1"/>
        <v>0</v>
      </c>
    </row>
    <row r="70" spans="1:19" ht="15" customHeight="1">
      <c r="A70" s="16"/>
      <c r="B70" s="605" t="s">
        <v>438</v>
      </c>
      <c r="C70" s="606"/>
      <c r="D70" s="181">
        <f>'SM-A6'!D70*0.29</f>
        <v>67.879284999999996</v>
      </c>
      <c r="E70" s="67">
        <f>'SM-A6'!E70*0.29</f>
        <v>54.23</v>
      </c>
      <c r="F70" s="67">
        <f>'SM-A6'!F70*0.29</f>
        <v>57.999999999999993</v>
      </c>
      <c r="G70" s="67">
        <f>'SM-A6'!G70*0.29</f>
        <v>59.739999999999995</v>
      </c>
      <c r="H70" s="67">
        <f>'SM-A6'!H70*0.29</f>
        <v>52.199999999999996</v>
      </c>
      <c r="I70" s="67">
        <f>'SM-A6'!I70*0.29</f>
        <v>52.199999999999996</v>
      </c>
      <c r="J70" s="67">
        <f>'SM-A6'!J70*0.29</f>
        <v>76.849999999999994</v>
      </c>
      <c r="K70" s="186">
        <f>'SM-A6'!K70*0.29</f>
        <v>46.4</v>
      </c>
      <c r="L70" s="187">
        <f>'SM-A6'!L70*0.29</f>
        <v>84.1</v>
      </c>
      <c r="M70" s="67">
        <f>'SM-A6'!M70*0.29</f>
        <v>88.449999999999989</v>
      </c>
      <c r="N70" s="67">
        <f>'SM-A6'!N70*0.29</f>
        <v>92.8</v>
      </c>
      <c r="O70" s="67">
        <f>'SM-A6'!O70*0.29</f>
        <v>98.6</v>
      </c>
      <c r="P70" s="67">
        <f>'SM-A6'!P70*0.29</f>
        <v>104.39999999999999</v>
      </c>
      <c r="Q70" s="68">
        <f>'SM-A6'!Q70*0.29</f>
        <v>108.74999999999999</v>
      </c>
      <c r="R70" s="299">
        <f t="shared" si="0"/>
        <v>-5.3</v>
      </c>
      <c r="S70" s="300">
        <f t="shared" si="1"/>
        <v>5.3</v>
      </c>
    </row>
    <row r="71" spans="1:19" ht="15" customHeight="1">
      <c r="A71" s="16"/>
      <c r="B71" s="605" t="s">
        <v>439</v>
      </c>
      <c r="C71" s="606"/>
      <c r="D71" s="181">
        <f>'SM-A6'!D71*0.29</f>
        <v>136.88</v>
      </c>
      <c r="E71" s="67">
        <f>'SM-A6'!E71*0.29</f>
        <v>152.25</v>
      </c>
      <c r="F71" s="67">
        <f>'SM-A6'!F71*0.29</f>
        <v>169.64999999999998</v>
      </c>
      <c r="G71" s="67">
        <f>'SM-A6'!G71*0.29</f>
        <v>159.79</v>
      </c>
      <c r="H71" s="67">
        <f>'SM-A6'!H71*0.29</f>
        <v>287.09999999999997</v>
      </c>
      <c r="I71" s="182">
        <f>'SM-A6'!I71*0.29</f>
        <v>476.76</v>
      </c>
      <c r="J71" s="182">
        <f>'SM-A6'!J71*0.29</f>
        <v>176.89999999999998</v>
      </c>
      <c r="K71" s="183">
        <f>'SM-A6'!K71*0.29</f>
        <v>231.99999999999997</v>
      </c>
      <c r="L71" s="184">
        <f>'SM-A6'!L71*0.29</f>
        <v>261</v>
      </c>
      <c r="M71" s="182">
        <f>'SM-A6'!M71*0.29</f>
        <v>261</v>
      </c>
      <c r="N71" s="182">
        <f>'SM-A6'!N71*0.29</f>
        <v>261</v>
      </c>
      <c r="O71" s="182">
        <f>'SM-A6'!O71*0.29</f>
        <v>290</v>
      </c>
      <c r="P71" s="182">
        <f>'SM-A6'!P71*0.29</f>
        <v>290</v>
      </c>
      <c r="Q71" s="185">
        <f>'SM-A6'!Q71*0.29</f>
        <v>290</v>
      </c>
      <c r="R71" s="299">
        <f t="shared" si="0"/>
        <v>7.8</v>
      </c>
      <c r="S71" s="300">
        <f t="shared" si="1"/>
        <v>2.1</v>
      </c>
    </row>
    <row r="72" spans="1:19" ht="15.75" hidden="1" customHeight="1">
      <c r="A72" s="16"/>
      <c r="B72" s="16"/>
      <c r="C72" s="90" t="s">
        <v>306</v>
      </c>
      <c r="D72" s="181">
        <f>'SM-A6'!D72*0.29</f>
        <v>0</v>
      </c>
      <c r="E72" s="67">
        <f>'SM-A6'!E72*0.29</f>
        <v>0</v>
      </c>
      <c r="F72" s="67">
        <f>'SM-A6'!F72*0.29</f>
        <v>0</v>
      </c>
      <c r="G72" s="67">
        <f>'SM-A6'!G72*0.29</f>
        <v>0</v>
      </c>
      <c r="H72" s="67">
        <f>'SM-A6'!H72*0.29</f>
        <v>0</v>
      </c>
      <c r="I72" s="67">
        <f>'SM-A6'!I72*0.29</f>
        <v>0</v>
      </c>
      <c r="J72" s="67">
        <f>'SM-A6'!J72*0.29</f>
        <v>0</v>
      </c>
      <c r="K72" s="183">
        <f>'SM-A6'!K72*0.29</f>
        <v>0</v>
      </c>
      <c r="L72" s="184">
        <f>'SM-A6'!L72*0.29</f>
        <v>0</v>
      </c>
      <c r="M72" s="182">
        <f>'SM-A6'!M72*0.29</f>
        <v>0</v>
      </c>
      <c r="N72" s="182">
        <f>'SM-A6'!N72*0.29</f>
        <v>0</v>
      </c>
      <c r="O72" s="182">
        <f>'SM-A6'!O72*0.29</f>
        <v>0</v>
      </c>
      <c r="P72" s="182">
        <f>'SM-A6'!P72*0.29</f>
        <v>0</v>
      </c>
      <c r="Q72" s="185">
        <f>'SM-A6'!Q72*0.29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'SM-A6'!D73*0.29</f>
        <v>3.4799999999999995</v>
      </c>
      <c r="E73" s="67">
        <f>'SM-A6'!E73*0.29</f>
        <v>3.7699999999999996</v>
      </c>
      <c r="F73" s="67">
        <f>'SM-A6'!F73*0.29</f>
        <v>4.0599999999999996</v>
      </c>
      <c r="G73" s="67">
        <f>'SM-A6'!G73*0.29</f>
        <v>4.3499999999999996</v>
      </c>
      <c r="H73" s="67">
        <f>'SM-A6'!H73*0.29</f>
        <v>4.3499999999999996</v>
      </c>
      <c r="I73" s="67">
        <f>'SM-A6'!I73*0.29</f>
        <v>4.3499999999999996</v>
      </c>
      <c r="J73" s="67">
        <f>'SM-A6'!J73*0.29</f>
        <v>4.3499999999999996</v>
      </c>
      <c r="K73" s="186">
        <f>'SM-A6'!K73*0.29</f>
        <v>4.6399999999999997</v>
      </c>
      <c r="L73" s="187">
        <f>'SM-A6'!L73*0.29</f>
        <v>4.93</v>
      </c>
      <c r="M73" s="67">
        <f>'SM-A6'!M73*0.29</f>
        <v>5.22</v>
      </c>
      <c r="N73" s="67">
        <f>'SM-A6'!N73*0.29</f>
        <v>5.51</v>
      </c>
      <c r="O73" s="67">
        <f>'SM-A6'!O73*0.29</f>
        <v>5.8</v>
      </c>
      <c r="P73" s="67">
        <f>'SM-A6'!P73*0.29</f>
        <v>6.09</v>
      </c>
      <c r="Q73" s="68">
        <f>'SM-A6'!Q73*0.29</f>
        <v>6.38</v>
      </c>
      <c r="R73" s="302">
        <f t="shared" si="4"/>
        <v>4.2</v>
      </c>
      <c r="S73" s="300">
        <f t="shared" si="5"/>
        <v>5.3</v>
      </c>
    </row>
    <row r="74" spans="1:19" ht="15" customHeight="1">
      <c r="A74" s="16"/>
      <c r="B74" s="605" t="s">
        <v>441</v>
      </c>
      <c r="C74" s="606"/>
      <c r="D74" s="181">
        <f>'SM-A6'!D74*0.29</f>
        <v>102.18545454545455</v>
      </c>
      <c r="E74" s="67">
        <f>'SM-A6'!E74*0.29</f>
        <v>102.36999999999999</v>
      </c>
      <c r="F74" s="67">
        <f>'SM-A6'!F74*0.29</f>
        <v>102.36999999999999</v>
      </c>
      <c r="G74" s="67">
        <f>'SM-A6'!G74*0.29</f>
        <v>87</v>
      </c>
      <c r="H74" s="67">
        <f>'SM-A6'!H74*0.29</f>
        <v>90.299909999999997</v>
      </c>
      <c r="I74" s="182">
        <f>'SM-A6'!I74*0.29</f>
        <v>91.646281658099994</v>
      </c>
      <c r="J74" s="182">
        <f>'SM-A6'!J74*0.29</f>
        <v>98.6</v>
      </c>
      <c r="K74" s="183">
        <f>'SM-A6'!K74*0.29</f>
        <v>105.85</v>
      </c>
      <c r="L74" s="184">
        <f>'SM-A6'!L74*0.29</f>
        <v>105.85</v>
      </c>
      <c r="M74" s="182">
        <f>'SM-A6'!M74*0.29</f>
        <v>105.85</v>
      </c>
      <c r="N74" s="182">
        <f>'SM-A6'!N74*0.29</f>
        <v>105.85</v>
      </c>
      <c r="O74" s="182">
        <f>'SM-A6'!O74*0.29</f>
        <v>105.85</v>
      </c>
      <c r="P74" s="182">
        <f>'SM-A6'!P74*0.29</f>
        <v>105.85</v>
      </c>
      <c r="Q74" s="185">
        <f>'SM-A6'!Q74*0.29</f>
        <v>105.85</v>
      </c>
      <c r="R74" s="299">
        <f t="shared" si="4"/>
        <v>0.5</v>
      </c>
      <c r="S74" s="300">
        <f t="shared" si="5"/>
        <v>0</v>
      </c>
    </row>
    <row r="75" spans="1:19" ht="15" customHeight="1">
      <c r="A75" s="16"/>
      <c r="B75" s="605" t="s">
        <v>442</v>
      </c>
      <c r="C75" s="606"/>
      <c r="D75" s="181">
        <f>'SM-A6'!D75*0.29</f>
        <v>5.22</v>
      </c>
      <c r="E75" s="67">
        <f>'SM-A6'!E75*0.29</f>
        <v>5.51</v>
      </c>
      <c r="F75" s="67">
        <f>'SM-A6'!F75*0.29</f>
        <v>20.59</v>
      </c>
      <c r="G75" s="67">
        <f>'SM-A6'!G75*0.29</f>
        <v>20.88</v>
      </c>
      <c r="H75" s="67">
        <f>'SM-A6'!H75*0.29</f>
        <v>21.75</v>
      </c>
      <c r="I75" s="67">
        <f>'SM-A6'!I75*0.29</f>
        <v>22.91</v>
      </c>
      <c r="J75" s="67">
        <f>'SM-A6'!J75*0.29</f>
        <v>20.88</v>
      </c>
      <c r="K75" s="186">
        <f>'SM-A6'!K75*0.29</f>
        <v>42.629999999999995</v>
      </c>
      <c r="L75" s="187">
        <f>'SM-A6'!L75*0.29</f>
        <v>44.949999999999996</v>
      </c>
      <c r="M75" s="67">
        <f>'SM-A6'!M75*0.29</f>
        <v>47.559999999999995</v>
      </c>
      <c r="N75" s="67">
        <f>'SM-A6'!N75*0.29</f>
        <v>50.459999999999994</v>
      </c>
      <c r="O75" s="67">
        <f>'SM-A6'!O75*0.29</f>
        <v>53.36</v>
      </c>
      <c r="P75" s="67">
        <f>'SM-A6'!P75*0.29</f>
        <v>56.55</v>
      </c>
      <c r="Q75" s="68">
        <f>'SM-A6'!Q75*0.29</f>
        <v>59.739999999999995</v>
      </c>
      <c r="R75" s="302">
        <f t="shared" si="4"/>
        <v>35</v>
      </c>
      <c r="S75" s="300">
        <f t="shared" si="5"/>
        <v>5.9</v>
      </c>
    </row>
    <row r="76" spans="1:19" ht="15" customHeight="1">
      <c r="A76" s="16"/>
      <c r="B76" s="607" t="s">
        <v>443</v>
      </c>
      <c r="C76" s="608"/>
      <c r="D76" s="181">
        <f>'SM-A6'!D76*0.29</f>
        <v>446.64350000000002</v>
      </c>
      <c r="E76" s="67">
        <f>'SM-A6'!E76*0.29</f>
        <v>424.44399999999996</v>
      </c>
      <c r="F76" s="67">
        <f>'SM-A6'!F76*0.29</f>
        <v>402.75199999999995</v>
      </c>
      <c r="G76" s="67">
        <f>'SM-A6'!G76*0.29</f>
        <v>413.74299999999999</v>
      </c>
      <c r="H76" s="67">
        <f>'SM-A6'!H76*0.29</f>
        <v>405.30400000000003</v>
      </c>
      <c r="I76" s="182">
        <f>'SM-A6'!I76*0.29</f>
        <v>410.28213999999997</v>
      </c>
      <c r="J76" s="182">
        <f>'SM-A6'!J76*0.29</f>
        <v>407.59123</v>
      </c>
      <c r="K76" s="183">
        <f>'SM-A6'!K76*0.29</f>
        <v>425.60399999999993</v>
      </c>
      <c r="L76" s="184">
        <f>'SM-A6'!L76*0.29</f>
        <v>423.02299999999997</v>
      </c>
      <c r="M76" s="182">
        <f>'SM-A6'!M76*0.29</f>
        <v>430.35999999999996</v>
      </c>
      <c r="N76" s="182">
        <f>'SM-A6'!N76*0.29</f>
        <v>429.2</v>
      </c>
      <c r="O76" s="182">
        <f>'SM-A6'!O76*0.29</f>
        <v>428.03999999999996</v>
      </c>
      <c r="P76" s="182">
        <f>'SM-A6'!P76*0.29</f>
        <v>426.88</v>
      </c>
      <c r="Q76" s="185">
        <f>'SM-A6'!Q76*0.29</f>
        <v>425.71999999999997</v>
      </c>
      <c r="R76" s="299">
        <f t="shared" si="4"/>
        <v>-0.7</v>
      </c>
      <c r="S76" s="300">
        <f t="shared" si="5"/>
        <v>0.1</v>
      </c>
    </row>
    <row r="77" spans="1:19" ht="15.75" customHeight="1">
      <c r="A77" s="16"/>
      <c r="B77" s="674" t="s">
        <v>307</v>
      </c>
      <c r="C77" s="675"/>
      <c r="D77" s="189">
        <f>'SM-A6'!D77*0.29</f>
        <v>4382.3582395454541</v>
      </c>
      <c r="E77" s="190">
        <f>'SM-A6'!E77*0.29</f>
        <v>4398.6039999999994</v>
      </c>
      <c r="F77" s="190">
        <f>'SM-A6'!F77*0.29</f>
        <v>4464.2019999999993</v>
      </c>
      <c r="G77" s="190">
        <f>'SM-A6'!G77*0.29</f>
        <v>4718.5029999999997</v>
      </c>
      <c r="H77" s="190">
        <f>'SM-A6'!H77*0.29</f>
        <v>4890.4089099999992</v>
      </c>
      <c r="I77" s="190">
        <f>'SM-A6'!I77*0.29</f>
        <v>5194.7878816581006</v>
      </c>
      <c r="J77" s="190">
        <f>'SM-A6'!J77*0.29</f>
        <v>5030.7712300000003</v>
      </c>
      <c r="K77" s="191">
        <f>'SM-A6'!K77*0.29</f>
        <v>5232.0639999999994</v>
      </c>
      <c r="L77" s="192">
        <f>'SM-A6'!L77*0.29</f>
        <v>5406.6729999999998</v>
      </c>
      <c r="M77" s="190">
        <f>'SM-A6'!M77*0.29</f>
        <v>5523.92</v>
      </c>
      <c r="N77" s="190">
        <f>'SM-A6'!N77*0.29</f>
        <v>5638.4699999999993</v>
      </c>
      <c r="O77" s="190">
        <f>'SM-A6'!O77*0.29</f>
        <v>5801.45</v>
      </c>
      <c r="P77" s="190">
        <f>'SM-A6'!P77*0.29</f>
        <v>5897.15</v>
      </c>
      <c r="Q77" s="193">
        <f>'SM-A6'!Q77*0.29</f>
        <v>5980.3799999999992</v>
      </c>
      <c r="R77" s="303">
        <f t="shared" si="4"/>
        <v>2.6</v>
      </c>
      <c r="S77" s="304">
        <f t="shared" si="5"/>
        <v>2</v>
      </c>
    </row>
    <row r="78" spans="1:19" ht="15" customHeight="1">
      <c r="A78" s="16"/>
      <c r="B78" s="672" t="s">
        <v>308</v>
      </c>
      <c r="C78" s="673"/>
      <c r="D78" s="194">
        <f>'SM-A6'!D78*0.29</f>
        <v>8.41</v>
      </c>
      <c r="E78" s="195">
        <f>'SM-A6'!E78*0.29</f>
        <v>7.8299999999999992</v>
      </c>
      <c r="F78" s="195">
        <f>'SM-A6'!F78*0.29</f>
        <v>5.8</v>
      </c>
      <c r="G78" s="195">
        <f>'SM-A6'!G78*0.29</f>
        <v>5.8</v>
      </c>
      <c r="H78" s="195">
        <f>'SM-A6'!H78*0.29</f>
        <v>5.8</v>
      </c>
      <c r="I78" s="195">
        <f>'SM-A6'!I78*0.29</f>
        <v>5.8</v>
      </c>
      <c r="J78" s="195">
        <f>'SM-A6'!J78*0.29</f>
        <v>4.1887600000000003</v>
      </c>
      <c r="K78" s="196">
        <f>'SM-A6'!K78*0.29</f>
        <v>5.8</v>
      </c>
      <c r="L78" s="197">
        <f>'SM-A6'!L78*0.29</f>
        <v>5.8</v>
      </c>
      <c r="M78" s="195">
        <f>'SM-A6'!M78*0.29</f>
        <v>5.8</v>
      </c>
      <c r="N78" s="195">
        <f>'SM-A6'!N78*0.29</f>
        <v>5.8</v>
      </c>
      <c r="O78" s="195">
        <f>'SM-A6'!O78*0.29</f>
        <v>5.8</v>
      </c>
      <c r="P78" s="195">
        <f>'SM-A6'!P78*0.29</f>
        <v>5.8</v>
      </c>
      <c r="Q78" s="198">
        <f>'SM-A6'!Q78*0.29</f>
        <v>5.8</v>
      </c>
      <c r="R78" s="305">
        <f t="shared" si="4"/>
        <v>-5.2</v>
      </c>
      <c r="S78" s="304">
        <f t="shared" si="5"/>
        <v>0</v>
      </c>
    </row>
    <row r="79" spans="1:19" ht="15" customHeight="1">
      <c r="A79" s="16"/>
      <c r="B79" s="105"/>
      <c r="C79" s="97" t="s">
        <v>309</v>
      </c>
      <c r="D79" s="194">
        <f>'SM-A6'!D79*0.29</f>
        <v>7.8299999999999992</v>
      </c>
      <c r="E79" s="195">
        <f>'SM-A6'!E79*0.29</f>
        <v>7.8299999999999992</v>
      </c>
      <c r="F79" s="195">
        <f>'SM-A6'!F79*0.29</f>
        <v>5.8</v>
      </c>
      <c r="G79" s="195">
        <f>'SM-A6'!G79*0.29</f>
        <v>5.8</v>
      </c>
      <c r="H79" s="195">
        <f>'SM-A6'!H79*0.29</f>
        <v>5.8</v>
      </c>
      <c r="I79" s="195">
        <f>'SM-A6'!I79*0.29</f>
        <v>5.8</v>
      </c>
      <c r="J79" s="195">
        <f>'SM-A6'!J79*0.29</f>
        <v>4.1887600000000003</v>
      </c>
      <c r="K79" s="196">
        <f>'SM-A6'!K79*0.29</f>
        <v>5.8</v>
      </c>
      <c r="L79" s="197">
        <f>'SM-A6'!L79*0.29</f>
        <v>5.8</v>
      </c>
      <c r="M79" s="195">
        <f>'SM-A6'!M79*0.29</f>
        <v>5.8</v>
      </c>
      <c r="N79" s="195">
        <f>'SM-A6'!N79*0.29</f>
        <v>5.8</v>
      </c>
      <c r="O79" s="195">
        <f>'SM-A6'!O79*0.29</f>
        <v>5.8</v>
      </c>
      <c r="P79" s="195">
        <f>'SM-A6'!P79*0.29</f>
        <v>5.8</v>
      </c>
      <c r="Q79" s="198">
        <f>'SM-A6'!Q79*0.29</f>
        <v>5.8</v>
      </c>
      <c r="R79" s="305">
        <f t="shared" si="4"/>
        <v>-4.2</v>
      </c>
      <c r="S79" s="304">
        <f t="shared" si="5"/>
        <v>0</v>
      </c>
    </row>
    <row r="80" spans="1:19" ht="15.75" customHeight="1">
      <c r="A80" s="16"/>
      <c r="B80" s="672" t="s">
        <v>310</v>
      </c>
      <c r="C80" s="673"/>
      <c r="D80" s="181">
        <f>'SM-A6'!D80*0.29</f>
        <v>1677.36</v>
      </c>
      <c r="E80" s="67">
        <f>'SM-A6'!E80*0.29</f>
        <v>1597.8999999999999</v>
      </c>
      <c r="F80" s="67">
        <f>'SM-A6'!F80*0.29</f>
        <v>1525.6899999999998</v>
      </c>
      <c r="G80" s="67">
        <f>'SM-A6'!G80*0.29</f>
        <v>1497.85</v>
      </c>
      <c r="H80" s="182">
        <f>'SM-A6'!H80*0.29</f>
        <v>1415.1999999999998</v>
      </c>
      <c r="I80" s="182">
        <f>'SM-A6'!I80*0.29</f>
        <v>1423.8999999999999</v>
      </c>
      <c r="J80" s="182">
        <f>'SM-A6'!J80*0.29</f>
        <v>1407.9499999999998</v>
      </c>
      <c r="K80" s="183">
        <f>'SM-A6'!K80*0.29</f>
        <v>1405.6299999999999</v>
      </c>
      <c r="L80" s="184">
        <f>'SM-A6'!L80*0.29</f>
        <v>1412.01</v>
      </c>
      <c r="M80" s="182">
        <f>'SM-A6'!M80*0.29</f>
        <v>1404.1799999999998</v>
      </c>
      <c r="N80" s="182">
        <f>'SM-A6'!N80*0.29</f>
        <v>1405.9199999999998</v>
      </c>
      <c r="O80" s="182">
        <f>'SM-A6'!O80*0.29</f>
        <v>1404.76</v>
      </c>
      <c r="P80" s="182">
        <f>'SM-A6'!P80*0.29</f>
        <v>1404.76</v>
      </c>
      <c r="Q80" s="185">
        <f>'SM-A6'!Q80*0.29</f>
        <v>1401.28</v>
      </c>
      <c r="R80" s="299">
        <f t="shared" si="4"/>
        <v>-2.5</v>
      </c>
      <c r="S80" s="300">
        <f t="shared" si="5"/>
        <v>-0.2</v>
      </c>
    </row>
    <row r="81" spans="1:19" ht="15" customHeight="1">
      <c r="A81" s="16"/>
      <c r="B81" s="105"/>
      <c r="C81" s="615" t="s">
        <v>311</v>
      </c>
      <c r="D81" s="194">
        <f>'SM-A6'!D81*0.29</f>
        <v>1501.9099999999999</v>
      </c>
      <c r="E81" s="195">
        <f>'SM-A6'!E81*0.29</f>
        <v>1457.25</v>
      </c>
      <c r="F81" s="195">
        <f>'SM-A6'!F81*0.29</f>
        <v>1389.1</v>
      </c>
      <c r="G81" s="195">
        <f>'SM-A6'!G81*0.29</f>
        <v>1365.03</v>
      </c>
      <c r="H81" s="190">
        <f>'SM-A6'!H81*0.29</f>
        <v>1280.06</v>
      </c>
      <c r="I81" s="190">
        <f>'SM-A6'!I81*0.29</f>
        <v>1282.9599999999998</v>
      </c>
      <c r="J81" s="190">
        <f>'SM-A6'!J81*0.29</f>
        <v>1267.3</v>
      </c>
      <c r="K81" s="191">
        <f>'SM-A6'!K81*0.29</f>
        <v>1261.5</v>
      </c>
      <c r="L81" s="192">
        <f>'SM-A6'!L81*0.29</f>
        <v>1267.8799999999999</v>
      </c>
      <c r="M81" s="190">
        <f>'SM-A6'!M81*0.29</f>
        <v>1258.8899999999999</v>
      </c>
      <c r="N81" s="190">
        <f>'SM-A6'!N81*0.29</f>
        <v>1259.1799999999998</v>
      </c>
      <c r="O81" s="190">
        <f>'SM-A6'!O81*0.29</f>
        <v>1256.57</v>
      </c>
      <c r="P81" s="190">
        <f>'SM-A6'!P81*0.29</f>
        <v>1254.25</v>
      </c>
      <c r="Q81" s="193">
        <f>'SM-A6'!Q81*0.29</f>
        <v>1242.9399999999998</v>
      </c>
      <c r="R81" s="303">
        <f t="shared" si="4"/>
        <v>-2.5</v>
      </c>
      <c r="S81" s="304">
        <f t="shared" si="5"/>
        <v>-0.4</v>
      </c>
    </row>
    <row r="82" spans="1:19" ht="15.75" customHeight="1">
      <c r="A82" s="16"/>
      <c r="B82" s="672" t="s">
        <v>312</v>
      </c>
      <c r="C82" s="673"/>
      <c r="D82" s="181">
        <f>'SM-A6'!D82*0.29</f>
        <v>100.33999999999999</v>
      </c>
      <c r="E82" s="67">
        <f>'SM-A6'!E82*0.29</f>
        <v>141.81</v>
      </c>
      <c r="F82" s="67">
        <f>'SM-A6'!F82*0.29</f>
        <v>154.57289999999998</v>
      </c>
      <c r="G82" s="67">
        <f>'SM-A6'!G82*0.29</f>
        <v>168.48446099999998</v>
      </c>
      <c r="H82" s="182">
        <f>'SM-A6'!H82*0.29</f>
        <v>176.90868404999998</v>
      </c>
      <c r="I82" s="182">
        <f>'SM-A6'!I82*0.29</f>
        <v>185.75411825250001</v>
      </c>
      <c r="J82" s="182">
        <f>'SM-A6'!J82*0.29</f>
        <v>195.04182416512501</v>
      </c>
      <c r="K82" s="183">
        <f>'SM-A6'!K82*0.29</f>
        <v>204.79391537338128</v>
      </c>
      <c r="L82" s="184">
        <f>'SM-A6'!L82*0.29</f>
        <v>215.03361114205035</v>
      </c>
      <c r="M82" s="182">
        <f>'SM-A6'!M82*0.29</f>
        <v>226.2</v>
      </c>
      <c r="N82" s="182">
        <f>'SM-A6'!N82*0.29</f>
        <v>227.64999999999998</v>
      </c>
      <c r="O82" s="182">
        <f>'SM-A6'!O82*0.29</f>
        <v>225.78529169915288</v>
      </c>
      <c r="P82" s="182">
        <f>'SM-A6'!P82*0.29</f>
        <v>235.48</v>
      </c>
      <c r="Q82" s="185">
        <f>'SM-A6'!Q82*0.29</f>
        <v>243.6</v>
      </c>
      <c r="R82" s="299">
        <f t="shared" si="4"/>
        <v>10.7</v>
      </c>
      <c r="S82" s="300">
        <f t="shared" si="5"/>
        <v>2.5</v>
      </c>
    </row>
    <row r="83" spans="1:19" ht="15" customHeight="1">
      <c r="A83" s="16"/>
      <c r="B83" s="16"/>
      <c r="C83" s="615" t="s">
        <v>313</v>
      </c>
      <c r="D83" s="194">
        <f>'SM-A6'!D83*0.29</f>
        <v>0</v>
      </c>
      <c r="E83" s="195">
        <f>'SM-A6'!E83*0.29</f>
        <v>51.91</v>
      </c>
      <c r="F83" s="195">
        <f>'SM-A6'!F83*0.29</f>
        <v>59.696499999999993</v>
      </c>
      <c r="G83" s="195">
        <f>'SM-A6'!G83*0.29</f>
        <v>62.349999999999994</v>
      </c>
      <c r="H83" s="190">
        <f>'SM-A6'!H83*0.29</f>
        <v>68.650974999999988</v>
      </c>
      <c r="I83" s="190">
        <f>'SM-A6'!I83*0.29</f>
        <v>74.143052999999995</v>
      </c>
      <c r="J83" s="190">
        <f>'SM-A6'!J83*0.29</f>
        <v>80.074497239999999</v>
      </c>
      <c r="K83" s="191">
        <f>'SM-A6'!K83*0.29</f>
        <v>86.480457019200017</v>
      </c>
      <c r="L83" s="192">
        <f>'SM-A6'!L83*0.29</f>
        <v>93.398893580736015</v>
      </c>
      <c r="M83" s="190">
        <f>'SM-A6'!M83*0.29</f>
        <v>98.6</v>
      </c>
      <c r="N83" s="190">
        <f>'SM-A6'!N83*0.29</f>
        <v>101.5</v>
      </c>
      <c r="O83" s="190">
        <f>'SM-A6'!O83*0.29</f>
        <v>104.39999999999999</v>
      </c>
      <c r="P83" s="190">
        <f>'SM-A6'!P83*0.29</f>
        <v>106.72</v>
      </c>
      <c r="Q83" s="193">
        <f>'SM-A6'!Q83*0.29</f>
        <v>107.88</v>
      </c>
      <c r="R83" s="303" t="str">
        <f t="shared" si="4"/>
        <v xml:space="preserve">     -</v>
      </c>
      <c r="S83" s="304">
        <f t="shared" si="5"/>
        <v>2.9</v>
      </c>
    </row>
    <row r="84" spans="1:19" ht="15.75" customHeight="1">
      <c r="A84" s="16"/>
      <c r="B84" s="674" t="s">
        <v>314</v>
      </c>
      <c r="C84" s="675"/>
      <c r="D84" s="194">
        <f>'SM-A6'!D84*0.29</f>
        <v>11.02</v>
      </c>
      <c r="E84" s="195">
        <f>'SM-A6'!E84*0.29</f>
        <v>10.149999999999999</v>
      </c>
      <c r="F84" s="195">
        <f>'SM-A6'!F84*0.29</f>
        <v>11.672499999999999</v>
      </c>
      <c r="G84" s="195">
        <f>'SM-A6'!G84*0.29</f>
        <v>11.672499999999999</v>
      </c>
      <c r="H84" s="190">
        <f>'SM-A6'!H84*0.29</f>
        <v>13.423374999999998</v>
      </c>
      <c r="I84" s="190">
        <f>'SM-A6'!I84*0.29</f>
        <v>46.4</v>
      </c>
      <c r="J84" s="190">
        <f>'SM-A6'!J84*0.29</f>
        <v>52.199999999999996</v>
      </c>
      <c r="K84" s="191">
        <f>'SM-A6'!K84*0.29</f>
        <v>53.65</v>
      </c>
      <c r="L84" s="192">
        <f>'SM-A6'!L84*0.29</f>
        <v>55.099999999999994</v>
      </c>
      <c r="M84" s="190">
        <f>'SM-A6'!M84*0.29</f>
        <v>56.55</v>
      </c>
      <c r="N84" s="190">
        <f>'SM-A6'!N84*0.29</f>
        <v>57.129999999999995</v>
      </c>
      <c r="O84" s="190">
        <f>'SM-A6'!O84*0.29</f>
        <v>58.58</v>
      </c>
      <c r="P84" s="190">
        <f>'SM-A6'!P84*0.29</f>
        <v>59.16</v>
      </c>
      <c r="Q84" s="193">
        <f>'SM-A6'!Q84*0.29</f>
        <v>59.739999999999995</v>
      </c>
      <c r="R84" s="303">
        <f t="shared" si="4"/>
        <v>25.4</v>
      </c>
      <c r="S84" s="304">
        <f t="shared" si="5"/>
        <v>1.6</v>
      </c>
    </row>
    <row r="85" spans="1:19" ht="15.75" customHeight="1">
      <c r="A85" s="16"/>
      <c r="B85" s="674" t="s">
        <v>315</v>
      </c>
      <c r="C85" s="675"/>
      <c r="D85" s="189">
        <f>'SM-A6'!D85*0.29</f>
        <v>90.19</v>
      </c>
      <c r="E85" s="190">
        <f>'SM-A6'!E85*0.29</f>
        <v>112.52</v>
      </c>
      <c r="F85" s="190">
        <f>'SM-A6'!F85*0.29</f>
        <v>121.887</v>
      </c>
      <c r="G85" s="190">
        <f>'SM-A6'!G85*0.29</f>
        <v>142.36099999999999</v>
      </c>
      <c r="H85" s="190">
        <f>'SM-A6'!H85*0.29</f>
        <v>163.26999999999998</v>
      </c>
      <c r="I85" s="190">
        <f>'SM-A6'!I85*0.29</f>
        <v>162.97999999999999</v>
      </c>
      <c r="J85" s="190">
        <f>'SM-A6'!J85*0.29</f>
        <v>128.42070000000001</v>
      </c>
      <c r="K85" s="191">
        <f>'SM-A6'!K85*0.29</f>
        <v>141.81</v>
      </c>
      <c r="L85" s="192">
        <f>'SM-A6'!L85*0.29</f>
        <v>144.07896</v>
      </c>
      <c r="M85" s="190">
        <f>'SM-A6'!M85*0.29</f>
        <v>145.95198647999999</v>
      </c>
      <c r="N85" s="190">
        <f>'SM-A6'!N85*0.29</f>
        <v>148.14126627719997</v>
      </c>
      <c r="O85" s="190">
        <f>'SM-A6'!O85*0.29</f>
        <v>150.36338527135797</v>
      </c>
      <c r="P85" s="190">
        <f>'SM-A6'!P85*0.29</f>
        <v>152.61883605042831</v>
      </c>
      <c r="Q85" s="193">
        <f>'SM-A6'!Q85*0.29</f>
        <v>154.90811859118472</v>
      </c>
      <c r="R85" s="303">
        <f t="shared" si="4"/>
        <v>6.7</v>
      </c>
      <c r="S85" s="304">
        <f t="shared" si="5"/>
        <v>1.5</v>
      </c>
    </row>
    <row r="86" spans="1:19" ht="15" customHeight="1">
      <c r="A86" s="16"/>
      <c r="B86" s="672" t="s">
        <v>316</v>
      </c>
      <c r="C86" s="673"/>
      <c r="D86" s="181">
        <f>'SM-A6'!D86*0.29</f>
        <v>794.02</v>
      </c>
      <c r="E86" s="67">
        <f>'SM-A6'!E86*0.29</f>
        <v>802.14</v>
      </c>
      <c r="F86" s="67">
        <f>'SM-A6'!F86*0.29</f>
        <v>810.26</v>
      </c>
      <c r="G86" s="67">
        <f>'SM-A6'!G86*0.29</f>
        <v>818.38</v>
      </c>
      <c r="H86" s="67">
        <f>'SM-A6'!H86*0.29</f>
        <v>826.79</v>
      </c>
      <c r="I86" s="182">
        <f>'SM-A6'!I86*0.29</f>
        <v>846.8</v>
      </c>
      <c r="J86" s="182">
        <f>'SM-A6'!J86*0.29</f>
        <v>860.14</v>
      </c>
      <c r="K86" s="183">
        <f>'SM-A6'!K86*0.29</f>
        <v>878.9899999999999</v>
      </c>
      <c r="L86" s="184">
        <f>'SM-A6'!L86*0.29</f>
        <v>904.21999999999991</v>
      </c>
      <c r="M86" s="182">
        <f>'SM-A6'!M86*0.29</f>
        <v>927.12999999999988</v>
      </c>
      <c r="N86" s="182">
        <f>'SM-A6'!N86*0.29</f>
        <v>943.94999999999993</v>
      </c>
      <c r="O86" s="182">
        <f>'SM-A6'!O86*0.29</f>
        <v>974.4</v>
      </c>
      <c r="P86" s="182">
        <f>'SM-A6'!P86*0.29</f>
        <v>988.9</v>
      </c>
      <c r="Q86" s="185">
        <f>'SM-A6'!Q86*0.29</f>
        <v>1002.53</v>
      </c>
      <c r="R86" s="299">
        <f t="shared" si="4"/>
        <v>1.5</v>
      </c>
      <c r="S86" s="300">
        <f t="shared" si="5"/>
        <v>2.1</v>
      </c>
    </row>
    <row r="87" spans="1:19" ht="15" customHeight="1">
      <c r="A87" s="16"/>
      <c r="B87" s="670" t="s">
        <v>317</v>
      </c>
      <c r="C87" s="671"/>
      <c r="D87" s="181">
        <f>'SM-A6'!D87*0.29</f>
        <v>75.69</v>
      </c>
      <c r="E87" s="67">
        <f>'SM-A6'!E87*0.29</f>
        <v>76.559999999999988</v>
      </c>
      <c r="F87" s="67">
        <f>'SM-A6'!F87*0.29</f>
        <v>77.429999999999993</v>
      </c>
      <c r="G87" s="67">
        <f>'SM-A6'!G87*0.29</f>
        <v>78.3</v>
      </c>
      <c r="H87" s="67">
        <f>'SM-A6'!H87*0.29</f>
        <v>80.33</v>
      </c>
      <c r="I87" s="182">
        <f>'SM-A6'!I87*0.29</f>
        <v>81.199999999999989</v>
      </c>
      <c r="J87" s="182">
        <f>'SM-A6'!J87*0.29</f>
        <v>82.36</v>
      </c>
      <c r="K87" s="183">
        <f>'SM-A6'!K87*0.29</f>
        <v>83.809999999999988</v>
      </c>
      <c r="L87" s="184">
        <f>'SM-A6'!L87*0.29</f>
        <v>85.55</v>
      </c>
      <c r="M87" s="182">
        <f>'SM-A6'!M87*0.29</f>
        <v>87.289999999999992</v>
      </c>
      <c r="N87" s="182">
        <f>'SM-A6'!N87*0.29</f>
        <v>88.74</v>
      </c>
      <c r="O87" s="182">
        <f>'SM-A6'!O87*0.29</f>
        <v>90.19</v>
      </c>
      <c r="P87" s="182">
        <f>'SM-A6'!P87*0.29</f>
        <v>91.64</v>
      </c>
      <c r="Q87" s="185">
        <f>'SM-A6'!Q87*0.29</f>
        <v>93.089999999999989</v>
      </c>
      <c r="R87" s="299">
        <f t="shared" si="4"/>
        <v>1.5</v>
      </c>
      <c r="S87" s="300">
        <f t="shared" si="5"/>
        <v>1.7</v>
      </c>
    </row>
    <row r="88" spans="1:19" ht="15.75" customHeight="1">
      <c r="A88" s="16"/>
      <c r="B88" s="674" t="s">
        <v>318</v>
      </c>
      <c r="C88" s="675"/>
      <c r="D88" s="189">
        <f>'SM-A6'!D88*0.29</f>
        <v>869.70999999999992</v>
      </c>
      <c r="E88" s="190">
        <f>'SM-A6'!E88*0.29</f>
        <v>878.69999999999993</v>
      </c>
      <c r="F88" s="190">
        <f>'SM-A6'!F88*0.29</f>
        <v>887.68999999999994</v>
      </c>
      <c r="G88" s="190">
        <f>'SM-A6'!G88*0.29</f>
        <v>896.68</v>
      </c>
      <c r="H88" s="190">
        <f>'SM-A6'!H88*0.29</f>
        <v>907.11999999999989</v>
      </c>
      <c r="I88" s="190">
        <f>'SM-A6'!I88*0.29</f>
        <v>927.99999999999989</v>
      </c>
      <c r="J88" s="190">
        <f>'SM-A6'!J88*0.29</f>
        <v>942.49999999999989</v>
      </c>
      <c r="K88" s="191">
        <f>'SM-A6'!K88*0.29</f>
        <v>962.8</v>
      </c>
      <c r="L88" s="192">
        <f>'SM-A6'!L88*0.29</f>
        <v>989.77</v>
      </c>
      <c r="M88" s="190">
        <f>'SM-A6'!M88*0.29</f>
        <v>1014.42</v>
      </c>
      <c r="N88" s="190">
        <f>'SM-A6'!N88*0.29</f>
        <v>1032.6899999999998</v>
      </c>
      <c r="O88" s="190">
        <f>'SM-A6'!O88*0.29</f>
        <v>1064.5899999999999</v>
      </c>
      <c r="P88" s="190">
        <f>'SM-A6'!P88*0.29</f>
        <v>1080.54</v>
      </c>
      <c r="Q88" s="193">
        <f>'SM-A6'!Q88*0.29</f>
        <v>1095.6199999999999</v>
      </c>
      <c r="R88" s="303">
        <f t="shared" si="4"/>
        <v>1.5</v>
      </c>
      <c r="S88" s="304">
        <f t="shared" si="5"/>
        <v>2.1</v>
      </c>
    </row>
    <row r="89" spans="1:19" ht="15" customHeight="1">
      <c r="A89" s="16"/>
      <c r="B89" s="672" t="s">
        <v>319</v>
      </c>
      <c r="C89" s="673"/>
      <c r="D89" s="181">
        <f>'SM-A6'!D89*0.29</f>
        <v>170.81</v>
      </c>
      <c r="E89" s="67">
        <f>'SM-A6'!E89*0.29</f>
        <v>172.54999999999998</v>
      </c>
      <c r="F89" s="67">
        <f>'SM-A6'!F89*0.29</f>
        <v>174.29</v>
      </c>
      <c r="G89" s="67">
        <f>'SM-A6'!G89*0.29</f>
        <v>193.72</v>
      </c>
      <c r="H89" s="67">
        <f>'SM-A6'!H89*0.29</f>
        <v>198.07</v>
      </c>
      <c r="I89" s="182">
        <f>'SM-A6'!I89*0.29</f>
        <v>203</v>
      </c>
      <c r="J89" s="182">
        <f>'SM-A6'!J89*0.29</f>
        <v>207.35</v>
      </c>
      <c r="K89" s="183">
        <f>'SM-A6'!K89*0.29</f>
        <v>212.27999999999997</v>
      </c>
      <c r="L89" s="184">
        <f>'SM-A6'!L89*0.29</f>
        <v>216.92</v>
      </c>
      <c r="M89" s="182">
        <f>'SM-A6'!M89*0.29</f>
        <v>222.42999999999998</v>
      </c>
      <c r="N89" s="182">
        <f>'SM-A6'!N89*0.29</f>
        <v>228.51999999999998</v>
      </c>
      <c r="O89" s="182">
        <f>'SM-A6'!O89*0.29</f>
        <v>235.19</v>
      </c>
      <c r="P89" s="182">
        <f>'SM-A6'!P89*0.29</f>
        <v>242.14999999999998</v>
      </c>
      <c r="Q89" s="185">
        <f>'SM-A6'!Q89*0.29</f>
        <v>249.39999999999998</v>
      </c>
      <c r="R89" s="299">
        <f t="shared" si="4"/>
        <v>3.2</v>
      </c>
      <c r="S89" s="300">
        <f t="shared" si="5"/>
        <v>2.8</v>
      </c>
    </row>
    <row r="90" spans="1:19" ht="15" customHeight="1">
      <c r="A90" s="16"/>
      <c r="B90" s="668" t="s">
        <v>320</v>
      </c>
      <c r="C90" s="669"/>
      <c r="D90" s="181">
        <f>'SM-A6'!D90*0.29</f>
        <v>172.54999999999998</v>
      </c>
      <c r="E90" s="67">
        <f>'SM-A6'!E90*0.29</f>
        <v>174.29</v>
      </c>
      <c r="F90" s="67">
        <f>'SM-A6'!F90*0.29</f>
        <v>176.03</v>
      </c>
      <c r="G90" s="67">
        <f>'SM-A6'!G90*0.29</f>
        <v>177.76999999999998</v>
      </c>
      <c r="H90" s="67">
        <f>'SM-A6'!H90*0.29</f>
        <v>179.51</v>
      </c>
      <c r="I90" s="182">
        <f>'SM-A6'!I90*0.29</f>
        <v>179.79999999999998</v>
      </c>
      <c r="J90" s="182">
        <f>'SM-A6'!J90*0.29</f>
        <v>174</v>
      </c>
      <c r="K90" s="183">
        <f>'SM-A6'!K90*0.29</f>
        <v>174.86999999999998</v>
      </c>
      <c r="L90" s="184">
        <f>'SM-A6'!L90*0.29</f>
        <v>177.48</v>
      </c>
      <c r="M90" s="182">
        <f>'SM-A6'!M90*0.29</f>
        <v>181.82999999999998</v>
      </c>
      <c r="N90" s="182">
        <f>'SM-A6'!N90*0.29</f>
        <v>185.89</v>
      </c>
      <c r="O90" s="182">
        <f>'SM-A6'!O90*0.29</f>
        <v>189.95</v>
      </c>
      <c r="P90" s="182">
        <f>'SM-A6'!P90*0.29</f>
        <v>194.29999999999998</v>
      </c>
      <c r="Q90" s="185">
        <f>'SM-A6'!Q90*0.29</f>
        <v>198.64999999999998</v>
      </c>
      <c r="R90" s="299">
        <f t="shared" si="4"/>
        <v>0.2</v>
      </c>
      <c r="S90" s="300">
        <f t="shared" si="5"/>
        <v>2.2999999999999998</v>
      </c>
    </row>
    <row r="91" spans="1:19" ht="15" customHeight="1">
      <c r="A91" s="16"/>
      <c r="B91" s="670" t="s">
        <v>321</v>
      </c>
      <c r="C91" s="671"/>
      <c r="D91" s="181">
        <f>'SM-A6'!D91*0.29</f>
        <v>75.11</v>
      </c>
      <c r="E91" s="67">
        <f>'SM-A6'!E91*0.29</f>
        <v>73.66</v>
      </c>
      <c r="F91" s="67">
        <f>'SM-A6'!F91*0.29</f>
        <v>76.559999999999988</v>
      </c>
      <c r="G91" s="67">
        <f>'SM-A6'!G91*0.29</f>
        <v>78.88</v>
      </c>
      <c r="H91" s="67">
        <f>'SM-A6'!H91*0.29</f>
        <v>80.039999999999992</v>
      </c>
      <c r="I91" s="182">
        <f>'SM-A6'!I91*0.29</f>
        <v>78.009999999999991</v>
      </c>
      <c r="J91" s="182">
        <f>'SM-A6'!J91*0.29</f>
        <v>86.13</v>
      </c>
      <c r="K91" s="183">
        <f>'SM-A6'!K91*0.29</f>
        <v>88.16</v>
      </c>
      <c r="L91" s="184">
        <f>'SM-A6'!L91*0.29</f>
        <v>89.32</v>
      </c>
      <c r="M91" s="182">
        <f>'SM-A6'!M91*0.29</f>
        <v>91.35</v>
      </c>
      <c r="N91" s="182">
        <f>'SM-A6'!N91*0.29</f>
        <v>93.669999999999987</v>
      </c>
      <c r="O91" s="182">
        <f>'SM-A6'!O91*0.29</f>
        <v>96.279999999999987</v>
      </c>
      <c r="P91" s="182">
        <f>'SM-A6'!P91*0.29</f>
        <v>98.889999999999986</v>
      </c>
      <c r="Q91" s="185">
        <f>'SM-A6'!Q91*0.29</f>
        <v>101.78999999999999</v>
      </c>
      <c r="R91" s="299">
        <f t="shared" si="4"/>
        <v>2.2999999999999998</v>
      </c>
      <c r="S91" s="300">
        <f t="shared" si="5"/>
        <v>2.6</v>
      </c>
    </row>
    <row r="92" spans="1:19" ht="15.75" customHeight="1" thickBot="1">
      <c r="A92" s="16"/>
      <c r="B92" s="678" t="s">
        <v>322</v>
      </c>
      <c r="C92" s="679"/>
      <c r="D92" s="199">
        <f>'SM-A6'!D92*0.29</f>
        <v>418.46999999999997</v>
      </c>
      <c r="E92" s="200">
        <f>'SM-A6'!E92*0.29</f>
        <v>420.49999999999994</v>
      </c>
      <c r="F92" s="200">
        <f>'SM-A6'!F92*0.29</f>
        <v>426.88</v>
      </c>
      <c r="G92" s="200">
        <f>'SM-A6'!G92*0.29</f>
        <v>450.36999999999995</v>
      </c>
      <c r="H92" s="200">
        <f>'SM-A6'!H92*0.29</f>
        <v>457.61999999999995</v>
      </c>
      <c r="I92" s="200">
        <f>'SM-A6'!I92*0.29</f>
        <v>460.80999999999995</v>
      </c>
      <c r="J92" s="200">
        <f>'SM-A6'!J92*0.29</f>
        <v>467.47999999999996</v>
      </c>
      <c r="K92" s="201">
        <f>'SM-A6'!K92*0.29</f>
        <v>475.30999999999995</v>
      </c>
      <c r="L92" s="202">
        <f>'SM-A6'!L92*0.29</f>
        <v>483.71999999999997</v>
      </c>
      <c r="M92" s="200">
        <f>'SM-A6'!M92*0.29</f>
        <v>495.60999999999996</v>
      </c>
      <c r="N92" s="200">
        <f>'SM-A6'!N92*0.29</f>
        <v>508.08</v>
      </c>
      <c r="O92" s="200">
        <f>'SM-A6'!O92*0.29</f>
        <v>521.41999999999996</v>
      </c>
      <c r="P92" s="200">
        <f>'SM-A6'!P92*0.29</f>
        <v>535.33999999999992</v>
      </c>
      <c r="Q92" s="203">
        <f>'SM-A6'!Q92*0.29</f>
        <v>549.83999999999992</v>
      </c>
      <c r="R92" s="306">
        <f t="shared" si="4"/>
        <v>1.8</v>
      </c>
      <c r="S92" s="307">
        <f t="shared" si="5"/>
        <v>2.6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6">D92+D88+D85+D84+D82+D80+D78+D77</f>
        <v>7557.8582395454541</v>
      </c>
      <c r="E93" s="205">
        <f t="shared" si="6"/>
        <v>7568.0139999999992</v>
      </c>
      <c r="F93" s="205">
        <f t="shared" si="6"/>
        <v>7598.3943999999992</v>
      </c>
      <c r="G93" s="205">
        <f t="shared" si="6"/>
        <v>7891.720961</v>
      </c>
      <c r="H93" s="205">
        <f t="shared" si="6"/>
        <v>8029.7509690499992</v>
      </c>
      <c r="I93" s="205">
        <f t="shared" si="6"/>
        <v>8408.431999910601</v>
      </c>
      <c r="J93" s="205">
        <f t="shared" si="6"/>
        <v>8228.5525141651251</v>
      </c>
      <c r="K93" s="206">
        <f t="shared" si="6"/>
        <v>8481.8579153733808</v>
      </c>
      <c r="L93" s="207">
        <f t="shared" si="6"/>
        <v>8712.1855711420503</v>
      </c>
      <c r="M93" s="205">
        <f t="shared" si="6"/>
        <v>8872.6319864799989</v>
      </c>
      <c r="N93" s="205">
        <f t="shared" si="6"/>
        <v>9023.8812662771998</v>
      </c>
      <c r="O93" s="205">
        <f t="shared" si="6"/>
        <v>9232.7486769705101</v>
      </c>
      <c r="P93" s="205">
        <f t="shared" si="6"/>
        <v>9370.8488360504271</v>
      </c>
      <c r="Q93" s="208">
        <f t="shared" si="6"/>
        <v>9491.1681185911839</v>
      </c>
      <c r="R93" s="308">
        <f t="shared" si="4"/>
        <v>1.7</v>
      </c>
      <c r="S93" s="309">
        <f t="shared" si="5"/>
        <v>1.7</v>
      </c>
    </row>
    <row r="94" spans="1:19" ht="9" customHeight="1"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26"/>
      <c r="S94" s="26"/>
    </row>
    <row r="95" spans="1:19" ht="13.5" customHeight="1">
      <c r="C95" t="s">
        <v>330</v>
      </c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89" priority="5">
      <formula>CELL("protect",C97)=0</formula>
    </cfRule>
    <cfRule type="expression" dxfId="88" priority="6">
      <formula>CELL("protect",C97)=0</formula>
    </cfRule>
  </conditionalFormatting>
  <conditionalFormatting sqref="C95">
    <cfRule type="expression" dxfId="87" priority="3">
      <formula>CELL("protect",C95)=0</formula>
    </cfRule>
    <cfRule type="expression" dxfId="86" priority="4">
      <formula>CELL("protect",C95)=0</formula>
    </cfRule>
  </conditionalFormatting>
  <conditionalFormatting sqref="C97">
    <cfRule type="expression" dxfId="85" priority="1">
      <formula>CELL("protect",C97)=0</formula>
    </cfRule>
    <cfRule type="expression" dxfId="8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&amp;C188</oddFooter>
  </headerFooter>
  <ignoredErrors>
    <ignoredError sqref="T57:T68 D7:Q20 D65:Q78 D57:Q63 E26:Q34 D26:D34 D36:D49 D23:Q24 D52:Q53 D81:Q82 D84:Q87 E36:Q49 D55:Q55 D21:Q22 D56:Q56 D50:Q51 D88:Q91 D83:Q83 D54:Q54 D25:Q25 D35:Q35 D79:Q80 D64:Q64" unlockedFormula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R1" s="26"/>
      <c r="S1" s="26"/>
    </row>
    <row r="2" spans="1:19" s="2" customFormat="1" ht="17.25">
      <c r="G2" s="398" t="s">
        <v>23</v>
      </c>
      <c r="H2" s="397" t="s">
        <v>20</v>
      </c>
      <c r="R2" s="3"/>
      <c r="S2" s="3"/>
    </row>
    <row r="3" spans="1:19" ht="27.6" customHeight="1" thickBot="1">
      <c r="H3" s="624" t="s">
        <v>344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'PVC-A7'!D7*0.5</f>
        <v>715</v>
      </c>
      <c r="E7" s="176">
        <f>'PVC-A7'!E7*0.5</f>
        <v>715</v>
      </c>
      <c r="F7" s="176">
        <f>'PVC-A7'!F7*0.5</f>
        <v>715</v>
      </c>
      <c r="G7" s="176">
        <f>'PVC-A7'!G7*0.5</f>
        <v>715</v>
      </c>
      <c r="H7" s="177">
        <f>'PVC-A7'!H7*0.5</f>
        <v>756</v>
      </c>
      <c r="I7" s="177">
        <f>'PVC-A7'!I7*0.5</f>
        <v>783.5</v>
      </c>
      <c r="J7" s="177">
        <f>'PVC-A7'!J7*0.5</f>
        <v>783.5</v>
      </c>
      <c r="K7" s="63">
        <f>'PVC-A7'!K7*0.5</f>
        <v>783.5</v>
      </c>
      <c r="L7" s="64">
        <f>'PVC-A7'!L7*0.5</f>
        <v>783.5</v>
      </c>
      <c r="M7" s="62">
        <f>'PVC-A7'!M7*0.5</f>
        <v>783.5</v>
      </c>
      <c r="N7" s="62">
        <f>'PVC-A7'!N7*0.5</f>
        <v>783.5</v>
      </c>
      <c r="O7" s="62">
        <f>'PVC-A7'!O7*0.5</f>
        <v>783.5</v>
      </c>
      <c r="P7" s="62">
        <f>'PVC-A7'!P7*0.5</f>
        <v>783.5</v>
      </c>
      <c r="Q7" s="65">
        <f>'PVC-A7'!Q7*0.5</f>
        <v>783.5</v>
      </c>
      <c r="R7" s="276">
        <f>IF(D7=0,"     -",IF(K7=0,"     -",ROUND(((K7/D7)^(1/7)-1)*100,1)))</f>
        <v>1.3</v>
      </c>
      <c r="S7" s="298">
        <f>IF(L7=0,"     -",IF(Q7=0,"     -",ROUND(((Q7/L7)^(1/5)-1)*100,1)))</f>
        <v>0</v>
      </c>
    </row>
    <row r="8" spans="1:19" ht="15" customHeight="1">
      <c r="A8" s="614" t="s">
        <v>305</v>
      </c>
      <c r="B8" s="605" t="s">
        <v>434</v>
      </c>
      <c r="C8" s="606"/>
      <c r="D8" s="181">
        <f>'PVC-A7'!D8*0.5</f>
        <v>850</v>
      </c>
      <c r="E8" s="67">
        <f>'PVC-A7'!E8*0.5</f>
        <v>850</v>
      </c>
      <c r="F8" s="67">
        <f>'PVC-A7'!F8*0.5</f>
        <v>935</v>
      </c>
      <c r="G8" s="67">
        <f>'PVC-A7'!G8*0.5</f>
        <v>935</v>
      </c>
      <c r="H8" s="182">
        <f>'PVC-A7'!H8*0.5</f>
        <v>915</v>
      </c>
      <c r="I8" s="182">
        <f>'PVC-A7'!I8*0.5</f>
        <v>915</v>
      </c>
      <c r="J8" s="182">
        <f>'PVC-A7'!J8*0.5</f>
        <v>915</v>
      </c>
      <c r="K8" s="63">
        <f>'PVC-A7'!K8*0.5</f>
        <v>915</v>
      </c>
      <c r="L8" s="64">
        <f>'PVC-A7'!L8*0.5</f>
        <v>915</v>
      </c>
      <c r="M8" s="62">
        <f>'PVC-A7'!M8*0.5</f>
        <v>915</v>
      </c>
      <c r="N8" s="62">
        <f>'PVC-A7'!N8*0.5</f>
        <v>915</v>
      </c>
      <c r="O8" s="62">
        <f>'PVC-A7'!O8*0.5</f>
        <v>915</v>
      </c>
      <c r="P8" s="62">
        <f>'PVC-A7'!P8*0.5</f>
        <v>915</v>
      </c>
      <c r="Q8" s="65">
        <f>'PVC-A7'!Q8*0.5</f>
        <v>915</v>
      </c>
      <c r="R8" s="299">
        <f t="shared" ref="R8:R71" si="0">IF(D8=0,"     -",IF(K8=0,"     -",ROUND(((K8/D8)^(1/7)-1)*100,1)))</f>
        <v>1.1000000000000001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'PVC-A7'!D9*0.5</f>
        <v>0</v>
      </c>
      <c r="E9" s="67">
        <f>'PVC-A7'!E9*0.5</f>
        <v>0</v>
      </c>
      <c r="F9" s="67">
        <f>'PVC-A7'!F9*0.5</f>
        <v>0</v>
      </c>
      <c r="G9" s="67">
        <f>'PVC-A7'!G9*0.5</f>
        <v>0</v>
      </c>
      <c r="H9" s="67">
        <f>'PVC-A7'!H9*0.5</f>
        <v>0</v>
      </c>
      <c r="I9" s="62">
        <f>'PVC-A7'!I9*0.5</f>
        <v>0</v>
      </c>
      <c r="J9" s="62">
        <f>'PVC-A7'!J9*0.5</f>
        <v>0</v>
      </c>
      <c r="K9" s="63">
        <f>'PVC-A7'!K9*0.5</f>
        <v>0</v>
      </c>
      <c r="L9" s="64">
        <f>'PVC-A7'!L9*0.5</f>
        <v>0</v>
      </c>
      <c r="M9" s="62">
        <f>'PVC-A7'!M9*0.5</f>
        <v>0</v>
      </c>
      <c r="N9" s="62">
        <f>'PVC-A7'!N9*0.5</f>
        <v>0</v>
      </c>
      <c r="O9" s="62">
        <f>'PVC-A7'!O9*0.5</f>
        <v>0</v>
      </c>
      <c r="P9" s="62">
        <f>'PVC-A7'!P9*0.5</f>
        <v>0</v>
      </c>
      <c r="Q9" s="65">
        <f>'PVC-A7'!Q9*0.5</f>
        <v>0</v>
      </c>
      <c r="R9" s="301" t="str">
        <f t="shared" si="0"/>
        <v xml:space="preserve">     -</v>
      </c>
      <c r="S9" s="300" t="str">
        <f t="shared" si="1"/>
        <v xml:space="preserve">     -</v>
      </c>
    </row>
    <row r="10" spans="1:19" ht="15" customHeight="1">
      <c r="A10" s="16"/>
      <c r="B10" s="605" t="s">
        <v>436</v>
      </c>
      <c r="C10" s="606"/>
      <c r="D10" s="181">
        <f>'PVC-A7'!D10*0.5*0.2</f>
        <v>1712.7</v>
      </c>
      <c r="E10" s="67">
        <f>'PVC-A7'!E10*0.5*0.2</f>
        <v>1994.2</v>
      </c>
      <c r="F10" s="67">
        <f>'PVC-A7'!F10*0.5*0.2</f>
        <v>2179.2000000000003</v>
      </c>
      <c r="G10" s="67">
        <f>'PVC-A7'!G10*0.5*0.2</f>
        <v>2495.1000000000004</v>
      </c>
      <c r="H10" s="67">
        <f>'PVC-A7'!H10*0.5*0.2</f>
        <v>2483.8000000000002</v>
      </c>
      <c r="I10" s="67">
        <f>'PVC-A7'!I10*0.5*0.2</f>
        <v>2404.2000000000003</v>
      </c>
      <c r="J10" s="67">
        <f>'PVC-A7'!J10*0.5*0.2</f>
        <v>2383</v>
      </c>
      <c r="K10" s="186">
        <f>'PVC-A7'!K10*0.5*0.2</f>
        <v>2206</v>
      </c>
      <c r="L10" s="187">
        <f>'PVC-A7'!L10*0.5*0.2</f>
        <v>2341.7000000000003</v>
      </c>
      <c r="M10" s="67">
        <f>'PVC-A7'!M10*0.5*0.2</f>
        <v>2399.7000000000003</v>
      </c>
      <c r="N10" s="67">
        <f>'PVC-A7'!N10*0.5*0.2</f>
        <v>2477.7000000000003</v>
      </c>
      <c r="O10" s="67">
        <f>'PVC-A7'!O10*0.5*0.2</f>
        <v>2580.7000000000003</v>
      </c>
      <c r="P10" s="67">
        <f>'PVC-A7'!P10*0.5*0.2</f>
        <v>2663.7000000000003</v>
      </c>
      <c r="Q10" s="68">
        <f>'PVC-A7'!Q10*0.5*0.2</f>
        <v>2756.7000000000003</v>
      </c>
      <c r="R10" s="299">
        <f t="shared" si="0"/>
        <v>3.7</v>
      </c>
      <c r="S10" s="300">
        <f t="shared" si="1"/>
        <v>3.3</v>
      </c>
    </row>
    <row r="11" spans="1:19" ht="15" customHeight="1">
      <c r="A11" s="16"/>
      <c r="B11" s="605" t="s">
        <v>437</v>
      </c>
      <c r="C11" s="606"/>
      <c r="D11" s="181">
        <f>'PVC-A7'!D11*0.5</f>
        <v>447.5</v>
      </c>
      <c r="E11" s="67">
        <f>'PVC-A7'!E11*0.5</f>
        <v>423</v>
      </c>
      <c r="F11" s="67">
        <f>'PVC-A7'!F11*0.5</f>
        <v>423</v>
      </c>
      <c r="G11" s="67">
        <f>'PVC-A7'!G11*0.5</f>
        <v>423</v>
      </c>
      <c r="H11" s="67">
        <f>'PVC-A7'!H11*0.5</f>
        <v>423</v>
      </c>
      <c r="I11" s="67">
        <f>'PVC-A7'!I11*0.5</f>
        <v>423</v>
      </c>
      <c r="J11" s="67">
        <f>'PVC-A7'!J11*0.5</f>
        <v>423</v>
      </c>
      <c r="K11" s="186">
        <f>'PVC-A7'!K11*0.5</f>
        <v>423</v>
      </c>
      <c r="L11" s="187">
        <f>'PVC-A7'!L11*0.5</f>
        <v>423</v>
      </c>
      <c r="M11" s="67">
        <f>'PVC-A7'!M11*0.5</f>
        <v>423</v>
      </c>
      <c r="N11" s="67">
        <f>'PVC-A7'!N11*0.5</f>
        <v>423</v>
      </c>
      <c r="O11" s="67">
        <f>'PVC-A7'!O11*0.5</f>
        <v>423</v>
      </c>
      <c r="P11" s="67">
        <f>'PVC-A7'!P11*0.5</f>
        <v>423</v>
      </c>
      <c r="Q11" s="68">
        <f>'PVC-A7'!Q11*0.5</f>
        <v>423</v>
      </c>
      <c r="R11" s="302">
        <f t="shared" si="0"/>
        <v>-0.8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'PVC-A7'!D12*0.5</f>
        <v>305</v>
      </c>
      <c r="E12" s="67">
        <f>'PVC-A7'!E12*0.5</f>
        <v>305</v>
      </c>
      <c r="F12" s="67">
        <f>'PVC-A7'!F12*0.5</f>
        <v>305</v>
      </c>
      <c r="G12" s="67">
        <f>'PVC-A7'!G12*0.5</f>
        <v>305</v>
      </c>
      <c r="H12" s="67">
        <f>'PVC-A7'!H12*0.5</f>
        <v>305</v>
      </c>
      <c r="I12" s="67">
        <f>'PVC-A7'!I12*0.5</f>
        <v>430</v>
      </c>
      <c r="J12" s="67">
        <f>'PVC-A7'!J12*0.5</f>
        <v>495</v>
      </c>
      <c r="K12" s="186">
        <f>'PVC-A7'!K12*0.5</f>
        <v>495</v>
      </c>
      <c r="L12" s="187">
        <f>'PVC-A7'!L12*0.5</f>
        <v>495</v>
      </c>
      <c r="M12" s="67">
        <f>'PVC-A7'!M12*0.5</f>
        <v>495</v>
      </c>
      <c r="N12" s="67">
        <f>'PVC-A7'!N12*0.5</f>
        <v>495</v>
      </c>
      <c r="O12" s="67">
        <f>'PVC-A7'!O12*0.5</f>
        <v>495</v>
      </c>
      <c r="P12" s="67">
        <f>'PVC-A7'!P12*0.5</f>
        <v>495</v>
      </c>
      <c r="Q12" s="68">
        <f>'PVC-A7'!Q12*0.5</f>
        <v>495</v>
      </c>
      <c r="R12" s="302">
        <f t="shared" si="0"/>
        <v>7.2</v>
      </c>
      <c r="S12" s="300">
        <f t="shared" si="1"/>
        <v>0</v>
      </c>
    </row>
    <row r="13" spans="1:19" ht="15" customHeight="1">
      <c r="A13" s="16"/>
      <c r="B13" s="605" t="s">
        <v>439</v>
      </c>
      <c r="C13" s="606"/>
      <c r="D13" s="181">
        <f>'PVC-A7'!D13*0.5</f>
        <v>670</v>
      </c>
      <c r="E13" s="67">
        <f>'PVC-A7'!E13*0.5</f>
        <v>670</v>
      </c>
      <c r="F13" s="67">
        <f>'PVC-A7'!F13*0.5</f>
        <v>670</v>
      </c>
      <c r="G13" s="67">
        <f>'PVC-A7'!G13*0.5</f>
        <v>744.5</v>
      </c>
      <c r="H13" s="67">
        <f>'PVC-A7'!H13*0.5</f>
        <v>730</v>
      </c>
      <c r="I13" s="67">
        <f>'PVC-A7'!I13*0.5</f>
        <v>730</v>
      </c>
      <c r="J13" s="182">
        <f>'PVC-A7'!J13*0.5</f>
        <v>730</v>
      </c>
      <c r="K13" s="183">
        <f>'PVC-A7'!K13*0.5</f>
        <v>730</v>
      </c>
      <c r="L13" s="184">
        <f>'PVC-A7'!L13*0.5</f>
        <v>730</v>
      </c>
      <c r="M13" s="182">
        <f>'PVC-A7'!M13*0.5</f>
        <v>730</v>
      </c>
      <c r="N13" s="182">
        <f>'PVC-A7'!N13*0.5</f>
        <v>730</v>
      </c>
      <c r="O13" s="182">
        <f>'PVC-A7'!O13*0.5</f>
        <v>730</v>
      </c>
      <c r="P13" s="182">
        <f>'PVC-A7'!P13*0.5</f>
        <v>730</v>
      </c>
      <c r="Q13" s="185">
        <f>'PVC-A7'!Q13*0.5</f>
        <v>730</v>
      </c>
      <c r="R13" s="302">
        <f t="shared" si="0"/>
        <v>1.2</v>
      </c>
      <c r="S13" s="300">
        <f t="shared" si="1"/>
        <v>0</v>
      </c>
    </row>
    <row r="14" spans="1:19" ht="15.75" hidden="1" customHeight="1">
      <c r="A14" s="16"/>
      <c r="B14" s="16"/>
      <c r="C14" s="90" t="s">
        <v>306</v>
      </c>
      <c r="D14" s="181">
        <f>'PVC-A7'!D14*0.5</f>
        <v>0</v>
      </c>
      <c r="E14" s="67">
        <f>'PVC-A7'!E14*0.5</f>
        <v>0</v>
      </c>
      <c r="F14" s="67">
        <f>'PVC-A7'!F14*0.5</f>
        <v>0</v>
      </c>
      <c r="G14" s="67">
        <f>'PVC-A7'!G14*0.5</f>
        <v>0</v>
      </c>
      <c r="H14" s="67">
        <f>'PVC-A7'!H14*0.5</f>
        <v>0</v>
      </c>
      <c r="I14" s="67">
        <f>'PVC-A7'!I14*0.5</f>
        <v>0</v>
      </c>
      <c r="J14" s="67">
        <f>'PVC-A7'!J14*0.5</f>
        <v>0</v>
      </c>
      <c r="K14" s="186">
        <f>'PVC-A7'!K14*0.5</f>
        <v>0</v>
      </c>
      <c r="L14" s="187">
        <f>'PVC-A7'!L14*0.5</f>
        <v>0</v>
      </c>
      <c r="M14" s="67">
        <f>'PVC-A7'!M14*0.5</f>
        <v>0</v>
      </c>
      <c r="N14" s="67">
        <f>'PVC-A7'!N14*0.5</f>
        <v>0</v>
      </c>
      <c r="O14" s="67">
        <f>'PVC-A7'!O14*0.5</f>
        <v>0</v>
      </c>
      <c r="P14" s="67">
        <f>'PVC-A7'!P14*0.5</f>
        <v>0</v>
      </c>
      <c r="Q14" s="68">
        <f>'PVC-A7'!Q14*0.5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'PVC-A7'!D15*0.5</f>
        <v>60</v>
      </c>
      <c r="E15" s="67">
        <f>'PVC-A7'!E15*0.5</f>
        <v>60</v>
      </c>
      <c r="F15" s="67">
        <f>'PVC-A7'!F15*0.5</f>
        <v>60</v>
      </c>
      <c r="G15" s="67">
        <f>'PVC-A7'!G15*0.5</f>
        <v>60</v>
      </c>
      <c r="H15" s="67">
        <f>'PVC-A7'!H15*0.5</f>
        <v>60</v>
      </c>
      <c r="I15" s="67">
        <f>'PVC-A7'!I15*0.5</f>
        <v>60</v>
      </c>
      <c r="J15" s="67">
        <f>'PVC-A7'!J15*0.5</f>
        <v>60</v>
      </c>
      <c r="K15" s="186">
        <f>'PVC-A7'!K15*0.5</f>
        <v>60</v>
      </c>
      <c r="L15" s="187">
        <f>'PVC-A7'!L15*0.5</f>
        <v>60</v>
      </c>
      <c r="M15" s="67">
        <f>'PVC-A7'!M15*0.5</f>
        <v>115</v>
      </c>
      <c r="N15" s="67">
        <f>'PVC-A7'!N15*0.5</f>
        <v>115</v>
      </c>
      <c r="O15" s="67">
        <f>'PVC-A7'!O15*0.5</f>
        <v>115</v>
      </c>
      <c r="P15" s="67">
        <f>'PVC-A7'!P15*0.5</f>
        <v>115</v>
      </c>
      <c r="Q15" s="68">
        <f>'PVC-A7'!Q15*0.5</f>
        <v>115</v>
      </c>
      <c r="R15" s="302">
        <f t="shared" si="0"/>
        <v>0</v>
      </c>
      <c r="S15" s="300">
        <f t="shared" si="1"/>
        <v>13.9</v>
      </c>
    </row>
    <row r="16" spans="1:19" ht="15" customHeight="1">
      <c r="A16" s="16"/>
      <c r="B16" s="605" t="s">
        <v>441</v>
      </c>
      <c r="C16" s="606"/>
      <c r="D16" s="181">
        <f>'PVC-A7'!D16*0.5</f>
        <v>140</v>
      </c>
      <c r="E16" s="67">
        <f>'PVC-A7'!E16*0.5</f>
        <v>140</v>
      </c>
      <c r="F16" s="67">
        <f>'PVC-A7'!F16*0.5</f>
        <v>140</v>
      </c>
      <c r="G16" s="67">
        <f>'PVC-A7'!G16*0.5</f>
        <v>65</v>
      </c>
      <c r="H16" s="67">
        <f>'PVC-A7'!H16*0.5</f>
        <v>65</v>
      </c>
      <c r="I16" s="67">
        <f>'PVC-A7'!I16*0.5</f>
        <v>65</v>
      </c>
      <c r="J16" s="67">
        <f>'PVC-A7'!J16*0.5</f>
        <v>65</v>
      </c>
      <c r="K16" s="186">
        <f>'PVC-A7'!K16*0.5</f>
        <v>65</v>
      </c>
      <c r="L16" s="187">
        <f>'PVC-A7'!L16*0.5</f>
        <v>65</v>
      </c>
      <c r="M16" s="67">
        <f>'PVC-A7'!M16*0.5</f>
        <v>65</v>
      </c>
      <c r="N16" s="67">
        <f>'PVC-A7'!N16*0.5</f>
        <v>65</v>
      </c>
      <c r="O16" s="67">
        <f>'PVC-A7'!O16*0.5</f>
        <v>65</v>
      </c>
      <c r="P16" s="67">
        <f>'PVC-A7'!P16*0.5</f>
        <v>65</v>
      </c>
      <c r="Q16" s="68">
        <f>'PVC-A7'!Q16*0.5</f>
        <v>65</v>
      </c>
      <c r="R16" s="302">
        <f t="shared" si="0"/>
        <v>-10.4</v>
      </c>
      <c r="S16" s="300">
        <f t="shared" si="1"/>
        <v>0</v>
      </c>
    </row>
    <row r="17" spans="1:19" ht="15" customHeight="1">
      <c r="A17" s="16"/>
      <c r="B17" s="605" t="s">
        <v>442</v>
      </c>
      <c r="C17" s="606"/>
      <c r="D17" s="181">
        <f>'PVC-A7'!D17*0.5</f>
        <v>145</v>
      </c>
      <c r="E17" s="67">
        <f>'PVC-A7'!E17*0.5</f>
        <v>150</v>
      </c>
      <c r="F17" s="67">
        <f>'PVC-A7'!F17*0.5</f>
        <v>150</v>
      </c>
      <c r="G17" s="67">
        <f>'PVC-A7'!G17*0.5</f>
        <v>150</v>
      </c>
      <c r="H17" s="67">
        <f>'PVC-A7'!H17*0.5</f>
        <v>150</v>
      </c>
      <c r="I17" s="67">
        <f>'PVC-A7'!I17*0.5</f>
        <v>150</v>
      </c>
      <c r="J17" s="67">
        <f>'PVC-A7'!J17*0.5</f>
        <v>175</v>
      </c>
      <c r="K17" s="186">
        <f>'PVC-A7'!K17*0.5</f>
        <v>175</v>
      </c>
      <c r="L17" s="187">
        <f>'PVC-A7'!L17*0.5</f>
        <v>175</v>
      </c>
      <c r="M17" s="67">
        <f>'PVC-A7'!M17*0.5</f>
        <v>175</v>
      </c>
      <c r="N17" s="67">
        <f>'PVC-A7'!N17*0.5</f>
        <v>175</v>
      </c>
      <c r="O17" s="67">
        <f>'PVC-A7'!O17*0.5</f>
        <v>175</v>
      </c>
      <c r="P17" s="67">
        <f>'PVC-A7'!P17*0.5</f>
        <v>175</v>
      </c>
      <c r="Q17" s="68">
        <f>'PVC-A7'!Q17*0.5</f>
        <v>175</v>
      </c>
      <c r="R17" s="302">
        <f t="shared" si="0"/>
        <v>2.7</v>
      </c>
      <c r="S17" s="300">
        <f t="shared" si="1"/>
        <v>0</v>
      </c>
    </row>
    <row r="18" spans="1:19" ht="15" customHeight="1">
      <c r="A18" s="16"/>
      <c r="B18" s="607" t="s">
        <v>443</v>
      </c>
      <c r="C18" s="608"/>
      <c r="D18" s="188">
        <f>'PVC-A7'!D18*0.5</f>
        <v>1057.5</v>
      </c>
      <c r="E18" s="182">
        <f>'PVC-A7'!E18*0.5</f>
        <v>1002.5</v>
      </c>
      <c r="F18" s="182">
        <f>'PVC-A7'!F18*0.5</f>
        <v>1002.5</v>
      </c>
      <c r="G18" s="182">
        <f>'PVC-A7'!G18*0.5</f>
        <v>998.5</v>
      </c>
      <c r="H18" s="182">
        <f>'PVC-A7'!H18*0.5</f>
        <v>1004.5</v>
      </c>
      <c r="I18" s="182">
        <f>'PVC-A7'!I18*0.5</f>
        <v>964.5</v>
      </c>
      <c r="J18" s="182">
        <f>'PVC-A7'!J18*0.5</f>
        <v>964.5</v>
      </c>
      <c r="K18" s="183">
        <f>'PVC-A7'!K18*0.5</f>
        <v>964.5</v>
      </c>
      <c r="L18" s="184">
        <f>'PVC-A7'!L18*0.5</f>
        <v>964.5</v>
      </c>
      <c r="M18" s="182">
        <f>'PVC-A7'!M18*0.5</f>
        <v>964.5</v>
      </c>
      <c r="N18" s="182">
        <f>'PVC-A7'!N18*0.5</f>
        <v>924.5</v>
      </c>
      <c r="O18" s="182">
        <f>'PVC-A7'!O18*0.5</f>
        <v>884.5</v>
      </c>
      <c r="P18" s="182">
        <f>'PVC-A7'!P18*0.5</f>
        <v>884.5</v>
      </c>
      <c r="Q18" s="185">
        <f>'PVC-A7'!Q18*0.5</f>
        <v>884.5</v>
      </c>
      <c r="R18" s="299">
        <f t="shared" si="0"/>
        <v>-1.3</v>
      </c>
      <c r="S18" s="300">
        <f t="shared" si="1"/>
        <v>-1.7</v>
      </c>
    </row>
    <row r="19" spans="1:19" ht="15.75" customHeight="1">
      <c r="A19" s="16"/>
      <c r="B19" s="674" t="s">
        <v>307</v>
      </c>
      <c r="C19" s="675"/>
      <c r="D19" s="189">
        <f>SUM(D7:D18)</f>
        <v>6102.7</v>
      </c>
      <c r="E19" s="190">
        <f t="shared" ref="E19:K19" si="2">SUM(E7:E18)</f>
        <v>6309.7</v>
      </c>
      <c r="F19" s="190">
        <f t="shared" si="2"/>
        <v>6579.7000000000007</v>
      </c>
      <c r="G19" s="190">
        <f t="shared" si="2"/>
        <v>6891.1</v>
      </c>
      <c r="H19" s="190">
        <f t="shared" si="2"/>
        <v>6892.3</v>
      </c>
      <c r="I19" s="190">
        <f t="shared" si="2"/>
        <v>6925.2000000000007</v>
      </c>
      <c r="J19" s="190">
        <f t="shared" si="2"/>
        <v>6994</v>
      </c>
      <c r="K19" s="191">
        <f t="shared" si="2"/>
        <v>6817</v>
      </c>
      <c r="L19" s="192">
        <f t="shared" ref="L19:Q19" si="3">SUM(L7:L18)</f>
        <v>6952.7000000000007</v>
      </c>
      <c r="M19" s="190">
        <f t="shared" si="3"/>
        <v>7065.7000000000007</v>
      </c>
      <c r="N19" s="190">
        <f t="shared" si="3"/>
        <v>7103.7000000000007</v>
      </c>
      <c r="O19" s="190">
        <f t="shared" si="3"/>
        <v>7166.7000000000007</v>
      </c>
      <c r="P19" s="190">
        <f t="shared" si="3"/>
        <v>7249.7000000000007</v>
      </c>
      <c r="Q19" s="193">
        <f t="shared" si="3"/>
        <v>7342.7000000000007</v>
      </c>
      <c r="R19" s="303">
        <f t="shared" si="0"/>
        <v>1.6</v>
      </c>
      <c r="S19" s="304">
        <f t="shared" si="1"/>
        <v>1.1000000000000001</v>
      </c>
    </row>
    <row r="20" spans="1:19" ht="15.75" customHeight="1">
      <c r="A20" s="16"/>
      <c r="B20" s="672" t="s">
        <v>308</v>
      </c>
      <c r="C20" s="673"/>
      <c r="D20" s="194">
        <f>'PVC-A7'!D20*0.5</f>
        <v>90</v>
      </c>
      <c r="E20" s="195">
        <f>'PVC-A7'!E20*0.5</f>
        <v>90</v>
      </c>
      <c r="F20" s="195">
        <f>'PVC-A7'!F20*0.5</f>
        <v>75</v>
      </c>
      <c r="G20" s="195">
        <f>'PVC-A7'!G20*0.5</f>
        <v>75</v>
      </c>
      <c r="H20" s="195">
        <f>'PVC-A7'!H20*0.5</f>
        <v>75</v>
      </c>
      <c r="I20" s="195">
        <f>'PVC-A7'!I20*0.5</f>
        <v>75</v>
      </c>
      <c r="J20" s="195">
        <f>'PVC-A7'!J20*0.5</f>
        <v>6</v>
      </c>
      <c r="K20" s="196">
        <f>'PVC-A7'!K20*0.5</f>
        <v>0</v>
      </c>
      <c r="L20" s="197">
        <f>'PVC-A7'!L20*0.5</f>
        <v>0</v>
      </c>
      <c r="M20" s="195">
        <f>'PVC-A7'!M20*0.5</f>
        <v>0</v>
      </c>
      <c r="N20" s="195">
        <f>'PVC-A7'!N20*0.5</f>
        <v>0</v>
      </c>
      <c r="O20" s="195">
        <f>'PVC-A7'!O20*0.5</f>
        <v>0</v>
      </c>
      <c r="P20" s="195">
        <f>'PVC-A7'!P20*0.5</f>
        <v>0</v>
      </c>
      <c r="Q20" s="198">
        <f>'PVC-A7'!Q20*0.5</f>
        <v>0</v>
      </c>
      <c r="R20" s="303" t="str">
        <f t="shared" si="0"/>
        <v xml:space="preserve">     -</v>
      </c>
      <c r="S20" s="304" t="str">
        <f t="shared" si="1"/>
        <v xml:space="preserve">     -</v>
      </c>
    </row>
    <row r="21" spans="1:19" ht="15" customHeight="1">
      <c r="A21" s="16"/>
      <c r="B21" s="105"/>
      <c r="C21" s="97" t="s">
        <v>309</v>
      </c>
      <c r="D21" s="194">
        <f>'PVC-A7'!D21*0.5</f>
        <v>90</v>
      </c>
      <c r="E21" s="195">
        <f>'PVC-A7'!E21*0.5</f>
        <v>90</v>
      </c>
      <c r="F21" s="195">
        <f>'PVC-A7'!F21*0.5</f>
        <v>75</v>
      </c>
      <c r="G21" s="195">
        <f>'PVC-A7'!G21*0.5</f>
        <v>75</v>
      </c>
      <c r="H21" s="195">
        <f>'PVC-A7'!H21*0.5</f>
        <v>75</v>
      </c>
      <c r="I21" s="195">
        <f>'PVC-A7'!I21*0.5</f>
        <v>75</v>
      </c>
      <c r="J21" s="195">
        <f>'PVC-A7'!J21*0.5</f>
        <v>6</v>
      </c>
      <c r="K21" s="196">
        <f>'PVC-A7'!K21*0.5</f>
        <v>0</v>
      </c>
      <c r="L21" s="197">
        <f>'PVC-A7'!L21*0.5</f>
        <v>0</v>
      </c>
      <c r="M21" s="195">
        <f>'PVC-A7'!M21*0.5</f>
        <v>0</v>
      </c>
      <c r="N21" s="195">
        <f>'PVC-A7'!N21*0.5</f>
        <v>0</v>
      </c>
      <c r="O21" s="195">
        <f>'PVC-A7'!O21*0.5</f>
        <v>0</v>
      </c>
      <c r="P21" s="195">
        <f>'PVC-A7'!P21*0.5</f>
        <v>0</v>
      </c>
      <c r="Q21" s="198">
        <f>'PVC-A7'!Q21*0.5</f>
        <v>0</v>
      </c>
      <c r="R21" s="303" t="str">
        <f t="shared" si="0"/>
        <v xml:space="preserve">     -</v>
      </c>
      <c r="S21" s="304" t="str">
        <f t="shared" si="1"/>
        <v xml:space="preserve">     -</v>
      </c>
    </row>
    <row r="22" spans="1:19" ht="15.75" customHeight="1">
      <c r="A22" s="16"/>
      <c r="B22" s="672" t="s">
        <v>310</v>
      </c>
      <c r="C22" s="673"/>
      <c r="D22" s="181">
        <f>'PVC-A7'!D22*0.5</f>
        <v>3821</v>
      </c>
      <c r="E22" s="67">
        <f>'PVC-A7'!E22*0.5</f>
        <v>3886</v>
      </c>
      <c r="F22" s="67">
        <f>'PVC-A7'!F22*0.5</f>
        <v>3891.5</v>
      </c>
      <c r="G22" s="67">
        <f>'PVC-A7'!G22*0.5</f>
        <v>3755</v>
      </c>
      <c r="H22" s="182">
        <f>'PVC-A7'!H22*0.5</f>
        <v>3466.5</v>
      </c>
      <c r="I22" s="182">
        <f>'PVC-A7'!I22*0.5</f>
        <v>3471.5</v>
      </c>
      <c r="J22" s="182">
        <f>'PVC-A7'!J22*0.5</f>
        <v>3471.5</v>
      </c>
      <c r="K22" s="183">
        <f>'PVC-A7'!K22*0.5</f>
        <v>3461.5</v>
      </c>
      <c r="L22" s="184">
        <f>'PVC-A7'!L22*0.5</f>
        <v>3461.5</v>
      </c>
      <c r="M22" s="182">
        <f>'PVC-A7'!M22*0.5</f>
        <v>3461.5</v>
      </c>
      <c r="N22" s="182">
        <f>'PVC-A7'!N22*0.5</f>
        <v>3461.5</v>
      </c>
      <c r="O22" s="182">
        <f>'PVC-A7'!O22*0.5</f>
        <v>3461.5</v>
      </c>
      <c r="P22" s="182">
        <f>'PVC-A7'!P22*0.5</f>
        <v>3461.5</v>
      </c>
      <c r="Q22" s="185">
        <f>'PVC-A7'!Q22*0.5</f>
        <v>3461.5</v>
      </c>
      <c r="R22" s="299">
        <f t="shared" si="0"/>
        <v>-1.4</v>
      </c>
      <c r="S22" s="300">
        <f t="shared" si="1"/>
        <v>0</v>
      </c>
    </row>
    <row r="23" spans="1:19" ht="15" customHeight="1">
      <c r="A23" s="16"/>
      <c r="B23" s="105"/>
      <c r="C23" s="615" t="s">
        <v>311</v>
      </c>
      <c r="D23" s="194">
        <f>'PVC-A7'!D23*0.5</f>
        <v>3167</v>
      </c>
      <c r="E23" s="195">
        <f>'PVC-A7'!E23*0.5</f>
        <v>3216.5</v>
      </c>
      <c r="F23" s="195">
        <f>'PVC-A7'!F23*0.5</f>
        <v>3262.5</v>
      </c>
      <c r="G23" s="195">
        <f>'PVC-A7'!G23*0.5</f>
        <v>3126</v>
      </c>
      <c r="H23" s="190">
        <f>'PVC-A7'!H23*0.5</f>
        <v>2837.5</v>
      </c>
      <c r="I23" s="190">
        <f>'PVC-A7'!I23*0.5</f>
        <v>2977.5</v>
      </c>
      <c r="J23" s="190">
        <f>'PVC-A7'!J23*0.5</f>
        <v>2977.5</v>
      </c>
      <c r="K23" s="191">
        <f>'PVC-A7'!K23*0.5</f>
        <v>2982.5</v>
      </c>
      <c r="L23" s="192">
        <f>'PVC-A7'!L23*0.5</f>
        <v>2982.5</v>
      </c>
      <c r="M23" s="190">
        <f>'PVC-A7'!M23*0.5</f>
        <v>2982.5</v>
      </c>
      <c r="N23" s="190">
        <f>'PVC-A7'!N23*0.5</f>
        <v>2982.5</v>
      </c>
      <c r="O23" s="190">
        <f>'PVC-A7'!O23*0.5</f>
        <v>2982.5</v>
      </c>
      <c r="P23" s="190">
        <f>'PVC-A7'!P23*0.5</f>
        <v>2982.5</v>
      </c>
      <c r="Q23" s="193">
        <f>'PVC-A7'!Q23*0.5</f>
        <v>2982.5</v>
      </c>
      <c r="R23" s="303">
        <f t="shared" si="0"/>
        <v>-0.9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'PVC-A7'!D24*0.5</f>
        <v>460</v>
      </c>
      <c r="E24" s="67">
        <f>'PVC-A7'!E24*0.5</f>
        <v>622.5</v>
      </c>
      <c r="F24" s="67">
        <f>'PVC-A7'!F24*0.5</f>
        <v>622.5</v>
      </c>
      <c r="G24" s="67">
        <f>'PVC-A7'!G24*0.5</f>
        <v>645</v>
      </c>
      <c r="H24" s="67">
        <f>'PVC-A7'!H24*0.5</f>
        <v>645</v>
      </c>
      <c r="I24" s="67">
        <f>'PVC-A7'!I24*0.5</f>
        <v>730</v>
      </c>
      <c r="J24" s="67">
        <f>'PVC-A7'!J24*0.5</f>
        <v>730</v>
      </c>
      <c r="K24" s="186">
        <f>'PVC-A7'!K24*0.5</f>
        <v>780</v>
      </c>
      <c r="L24" s="187">
        <f>'PVC-A7'!L24*0.5</f>
        <v>780</v>
      </c>
      <c r="M24" s="67">
        <f>'PVC-A7'!M24*0.5</f>
        <v>780</v>
      </c>
      <c r="N24" s="67">
        <f>'PVC-A7'!N24*0.5</f>
        <v>780</v>
      </c>
      <c r="O24" s="67">
        <f>'PVC-A7'!O24*0.5</f>
        <v>780</v>
      </c>
      <c r="P24" s="67">
        <f>'PVC-A7'!P24*0.5</f>
        <v>780</v>
      </c>
      <c r="Q24" s="68">
        <f>'PVC-A7'!Q24*0.5</f>
        <v>780</v>
      </c>
      <c r="R24" s="302">
        <f t="shared" si="0"/>
        <v>7.8</v>
      </c>
      <c r="S24" s="300">
        <f t="shared" si="1"/>
        <v>0</v>
      </c>
    </row>
    <row r="25" spans="1:19" ht="15" customHeight="1">
      <c r="A25" s="16"/>
      <c r="B25" s="16"/>
      <c r="C25" s="615" t="s">
        <v>313</v>
      </c>
      <c r="D25" s="194">
        <f>'PVC-A7'!D25*0.5</f>
        <v>0</v>
      </c>
      <c r="E25" s="195">
        <f>'PVC-A7'!E25*0.5</f>
        <v>200</v>
      </c>
      <c r="F25" s="195">
        <f>'PVC-A7'!F25*0.5</f>
        <v>200</v>
      </c>
      <c r="G25" s="195">
        <f>'PVC-A7'!G25*0.5</f>
        <v>200</v>
      </c>
      <c r="H25" s="190">
        <f>'PVC-A7'!H25*0.5</f>
        <v>200</v>
      </c>
      <c r="I25" s="190">
        <f>'PVC-A7'!I25*0.5</f>
        <v>207.5</v>
      </c>
      <c r="J25" s="190">
        <f>'PVC-A7'!J25*0.5</f>
        <v>207.5</v>
      </c>
      <c r="K25" s="191">
        <f>'PVC-A7'!K25*0.5</f>
        <v>207.5</v>
      </c>
      <c r="L25" s="192">
        <f>'PVC-A7'!L25*0.5</f>
        <v>207.5</v>
      </c>
      <c r="M25" s="190">
        <f>'PVC-A7'!M25*0.5</f>
        <v>207.5</v>
      </c>
      <c r="N25" s="190">
        <f>'PVC-A7'!N25*0.5</f>
        <v>207.5</v>
      </c>
      <c r="O25" s="190">
        <f>'PVC-A7'!O25*0.5</f>
        <v>207.5</v>
      </c>
      <c r="P25" s="190">
        <f>'PVC-A7'!P25*0.5</f>
        <v>207.5</v>
      </c>
      <c r="Q25" s="193">
        <f>'PVC-A7'!Q25*0.5</f>
        <v>207.5</v>
      </c>
      <c r="R25" s="303" t="str">
        <f t="shared" si="0"/>
        <v xml:space="preserve">     -</v>
      </c>
      <c r="S25" s="304">
        <f t="shared" si="1"/>
        <v>0</v>
      </c>
    </row>
    <row r="26" spans="1:19" ht="15.75" customHeight="1">
      <c r="A26" s="16"/>
      <c r="B26" s="674" t="s">
        <v>314</v>
      </c>
      <c r="C26" s="675"/>
      <c r="D26" s="194">
        <f>'PVC-A7'!D26*0.5</f>
        <v>206.5</v>
      </c>
      <c r="E26" s="195">
        <f>'PVC-A7'!E26*0.5</f>
        <v>212.5</v>
      </c>
      <c r="F26" s="195">
        <f>'PVC-A7'!F26*0.5</f>
        <v>295</v>
      </c>
      <c r="G26" s="195">
        <f>'PVC-A7'!G26*0.5</f>
        <v>295</v>
      </c>
      <c r="H26" s="195">
        <f>'PVC-A7'!H26*0.5</f>
        <v>295</v>
      </c>
      <c r="I26" s="195">
        <f>'PVC-A7'!I26*0.5</f>
        <v>295</v>
      </c>
      <c r="J26" s="195">
        <f>'PVC-A7'!J26*0.5</f>
        <v>395</v>
      </c>
      <c r="K26" s="196">
        <f>'PVC-A7'!K26*0.5</f>
        <v>395</v>
      </c>
      <c r="L26" s="197">
        <f>'PVC-A7'!L26*0.5</f>
        <v>395</v>
      </c>
      <c r="M26" s="195">
        <f>'PVC-A7'!M26*0.5</f>
        <v>395</v>
      </c>
      <c r="N26" s="195">
        <f>'PVC-A7'!N26*0.5</f>
        <v>395</v>
      </c>
      <c r="O26" s="195">
        <f>'PVC-A7'!O26*0.5</f>
        <v>395</v>
      </c>
      <c r="P26" s="195">
        <f>'PVC-A7'!P26*0.5</f>
        <v>395</v>
      </c>
      <c r="Q26" s="198">
        <f>'PVC-A7'!Q26*0.5</f>
        <v>395</v>
      </c>
      <c r="R26" s="305">
        <f t="shared" si="0"/>
        <v>9.6999999999999993</v>
      </c>
      <c r="S26" s="304">
        <f t="shared" si="1"/>
        <v>0</v>
      </c>
    </row>
    <row r="27" spans="1:19" ht="15.75" customHeight="1">
      <c r="A27" s="16"/>
      <c r="B27" s="674" t="s">
        <v>315</v>
      </c>
      <c r="C27" s="675"/>
      <c r="D27" s="189">
        <f>'PVC-A7'!D27*0.5</f>
        <v>311</v>
      </c>
      <c r="E27" s="190">
        <f>'PVC-A7'!E27*0.5</f>
        <v>467</v>
      </c>
      <c r="F27" s="190">
        <f>'PVC-A7'!F27*0.5</f>
        <v>467</v>
      </c>
      <c r="G27" s="190">
        <f>'PVC-A7'!G27*0.5</f>
        <v>450</v>
      </c>
      <c r="H27" s="190">
        <f>'PVC-A7'!H27*0.5</f>
        <v>630</v>
      </c>
      <c r="I27" s="190">
        <f>'PVC-A7'!I27*0.5</f>
        <v>630</v>
      </c>
      <c r="J27" s="190">
        <f>'PVC-A7'!J27*0.5</f>
        <v>510</v>
      </c>
      <c r="K27" s="191">
        <f>'PVC-A7'!K27*0.5</f>
        <v>660</v>
      </c>
      <c r="L27" s="192">
        <f>'PVC-A7'!L27*0.5</f>
        <v>660</v>
      </c>
      <c r="M27" s="190">
        <f>'PVC-A7'!M27*0.5</f>
        <v>710</v>
      </c>
      <c r="N27" s="190">
        <f>'PVC-A7'!N27*0.5</f>
        <v>710</v>
      </c>
      <c r="O27" s="190">
        <f>'PVC-A7'!O27*0.5</f>
        <v>710</v>
      </c>
      <c r="P27" s="190">
        <f>'PVC-A7'!P27*0.5</f>
        <v>710</v>
      </c>
      <c r="Q27" s="193">
        <f>'PVC-A7'!Q27*0.5</f>
        <v>710</v>
      </c>
      <c r="R27" s="303">
        <f t="shared" si="0"/>
        <v>11.3</v>
      </c>
      <c r="S27" s="304">
        <f t="shared" si="1"/>
        <v>1.5</v>
      </c>
    </row>
    <row r="28" spans="1:19" ht="15" customHeight="1">
      <c r="A28" s="16"/>
      <c r="B28" s="672" t="s">
        <v>316</v>
      </c>
      <c r="C28" s="673"/>
      <c r="D28" s="181">
        <f>'PVC-A7'!D28*0.5</f>
        <v>3795.5</v>
      </c>
      <c r="E28" s="67">
        <f>'PVC-A7'!E28*0.5</f>
        <v>3795.5</v>
      </c>
      <c r="F28" s="67">
        <f>'PVC-A7'!F28*0.5</f>
        <v>3795.5</v>
      </c>
      <c r="G28" s="67">
        <f>'PVC-A7'!G28*0.5</f>
        <v>3795.5</v>
      </c>
      <c r="H28" s="67">
        <f>'PVC-A7'!H28*0.5</f>
        <v>3795.5</v>
      </c>
      <c r="I28" s="182">
        <f>'PVC-A7'!I28*0.5</f>
        <v>3951.5</v>
      </c>
      <c r="J28" s="182">
        <f>'PVC-A7'!J28*0.5</f>
        <v>4008</v>
      </c>
      <c r="K28" s="183">
        <f>'PVC-A7'!K28*0.5</f>
        <v>4484.5</v>
      </c>
      <c r="L28" s="184">
        <f>'PVC-A7'!L28*0.5</f>
        <v>4484.5</v>
      </c>
      <c r="M28" s="182">
        <f>'PVC-A7'!M28*0.5</f>
        <v>4484.5</v>
      </c>
      <c r="N28" s="182">
        <f>'PVC-A7'!N28*0.5</f>
        <v>4629.5</v>
      </c>
      <c r="O28" s="182">
        <f>'PVC-A7'!O28*0.5</f>
        <v>4629.5</v>
      </c>
      <c r="P28" s="182">
        <f>'PVC-A7'!P28*0.5</f>
        <v>4629.5</v>
      </c>
      <c r="Q28" s="185">
        <f>'PVC-A7'!Q28*0.5</f>
        <v>4629.5</v>
      </c>
      <c r="R28" s="299">
        <f t="shared" si="0"/>
        <v>2.4</v>
      </c>
      <c r="S28" s="300">
        <f t="shared" si="1"/>
        <v>0.6</v>
      </c>
    </row>
    <row r="29" spans="1:19" ht="15" customHeight="1">
      <c r="A29" s="16"/>
      <c r="B29" s="670" t="s">
        <v>317</v>
      </c>
      <c r="C29" s="671"/>
      <c r="D29" s="181">
        <f>'PVC-A7'!D29*0.5</f>
        <v>136.5</v>
      </c>
      <c r="E29" s="67">
        <f>'PVC-A7'!E29*0.5</f>
        <v>136.5</v>
      </c>
      <c r="F29" s="67">
        <f>'PVC-A7'!F29*0.5</f>
        <v>136.5</v>
      </c>
      <c r="G29" s="67">
        <f>'PVC-A7'!G29*0.5</f>
        <v>136.5</v>
      </c>
      <c r="H29" s="67">
        <f>'PVC-A7'!H29*0.5</f>
        <v>136.5</v>
      </c>
      <c r="I29" s="182">
        <f>'PVC-A7'!I29*0.5</f>
        <v>136.5</v>
      </c>
      <c r="J29" s="182">
        <f>'PVC-A7'!J29*0.5</f>
        <v>136.5</v>
      </c>
      <c r="K29" s="183">
        <f>'PVC-A7'!K29*0.5</f>
        <v>136.5</v>
      </c>
      <c r="L29" s="184">
        <f>'PVC-A7'!L29*0.5</f>
        <v>136.5</v>
      </c>
      <c r="M29" s="182">
        <f>'PVC-A7'!M29*0.5</f>
        <v>136.5</v>
      </c>
      <c r="N29" s="182">
        <f>'PVC-A7'!N29*0.5</f>
        <v>136.5</v>
      </c>
      <c r="O29" s="182">
        <f>'PVC-A7'!O29*0.5</f>
        <v>136.5</v>
      </c>
      <c r="P29" s="182">
        <f>'PVC-A7'!P29*0.5</f>
        <v>136.5</v>
      </c>
      <c r="Q29" s="185">
        <f>'PVC-A7'!Q29*0.5</f>
        <v>136.5</v>
      </c>
      <c r="R29" s="299">
        <f t="shared" si="0"/>
        <v>0</v>
      </c>
      <c r="S29" s="300">
        <f t="shared" si="1"/>
        <v>0</v>
      </c>
    </row>
    <row r="30" spans="1:19" ht="15.75" customHeight="1">
      <c r="A30" s="16"/>
      <c r="B30" s="674" t="s">
        <v>318</v>
      </c>
      <c r="C30" s="675"/>
      <c r="D30" s="189">
        <f>'PVC-A7'!D30*0.5</f>
        <v>3932</v>
      </c>
      <c r="E30" s="190">
        <f>'PVC-A7'!E30*0.5</f>
        <v>3932</v>
      </c>
      <c r="F30" s="190">
        <f>'PVC-A7'!F30*0.5</f>
        <v>3932</v>
      </c>
      <c r="G30" s="190">
        <f>'PVC-A7'!G30*0.5</f>
        <v>3932</v>
      </c>
      <c r="H30" s="190">
        <f>'PVC-A7'!H30*0.5</f>
        <v>3932</v>
      </c>
      <c r="I30" s="190">
        <f>'PVC-A7'!I30*0.5</f>
        <v>4088</v>
      </c>
      <c r="J30" s="190">
        <f>'PVC-A7'!J30*0.5</f>
        <v>4144.5</v>
      </c>
      <c r="K30" s="191">
        <f>'PVC-A7'!K30*0.5</f>
        <v>4621</v>
      </c>
      <c r="L30" s="192">
        <f>'PVC-A7'!L30*0.5</f>
        <v>4621</v>
      </c>
      <c r="M30" s="190">
        <f>'PVC-A7'!M30*0.5</f>
        <v>4621</v>
      </c>
      <c r="N30" s="190">
        <f>'PVC-A7'!N30*0.5</f>
        <v>4766</v>
      </c>
      <c r="O30" s="190">
        <f>'PVC-A7'!O30*0.5</f>
        <v>4766</v>
      </c>
      <c r="P30" s="190">
        <f>'PVC-A7'!P30*0.5</f>
        <v>4766</v>
      </c>
      <c r="Q30" s="193">
        <f>'PVC-A7'!Q30*0.5</f>
        <v>4766</v>
      </c>
      <c r="R30" s="303">
        <f t="shared" si="0"/>
        <v>2.2999999999999998</v>
      </c>
      <c r="S30" s="304">
        <f t="shared" si="1"/>
        <v>0.6</v>
      </c>
    </row>
    <row r="31" spans="1:19" ht="15" customHeight="1">
      <c r="A31" s="16"/>
      <c r="B31" s="672" t="s">
        <v>319</v>
      </c>
      <c r="C31" s="673"/>
      <c r="D31" s="181">
        <f>'PVC-A7'!D31*0.5</f>
        <v>410</v>
      </c>
      <c r="E31" s="67">
        <f>'PVC-A7'!E31*0.5</f>
        <v>410</v>
      </c>
      <c r="F31" s="67">
        <f>'PVC-A7'!F31*0.5</f>
        <v>410</v>
      </c>
      <c r="G31" s="67">
        <f>'PVC-A7'!G31*0.5</f>
        <v>410</v>
      </c>
      <c r="H31" s="67">
        <f>'PVC-A7'!H31*0.5</f>
        <v>410</v>
      </c>
      <c r="I31" s="62">
        <f>'PVC-A7'!I31*0.5</f>
        <v>410</v>
      </c>
      <c r="J31" s="182">
        <f>'PVC-A7'!J31*0.5</f>
        <v>410</v>
      </c>
      <c r="K31" s="183">
        <f>'PVC-A7'!K31*0.5</f>
        <v>410</v>
      </c>
      <c r="L31" s="184">
        <f>'PVC-A7'!L31*0.5</f>
        <v>410</v>
      </c>
      <c r="M31" s="182">
        <f>'PVC-A7'!M31*0.5</f>
        <v>410</v>
      </c>
      <c r="N31" s="182">
        <f>'PVC-A7'!N31*0.5</f>
        <v>410</v>
      </c>
      <c r="O31" s="182">
        <f>'PVC-A7'!O31*0.5</f>
        <v>410</v>
      </c>
      <c r="P31" s="182">
        <f>'PVC-A7'!P31*0.5</f>
        <v>410</v>
      </c>
      <c r="Q31" s="185">
        <f>'PVC-A7'!Q31*0.5</f>
        <v>410</v>
      </c>
      <c r="R31" s="299">
        <f t="shared" si="0"/>
        <v>0</v>
      </c>
      <c r="S31" s="300">
        <f t="shared" si="1"/>
        <v>0</v>
      </c>
    </row>
    <row r="32" spans="1:19" ht="15" customHeight="1">
      <c r="A32" s="16"/>
      <c r="B32" s="668" t="s">
        <v>320</v>
      </c>
      <c r="C32" s="669"/>
      <c r="D32" s="181">
        <f>'PVC-A7'!D32*0.5</f>
        <v>413.5</v>
      </c>
      <c r="E32" s="67">
        <f>'PVC-A7'!E32*0.5</f>
        <v>397.5</v>
      </c>
      <c r="F32" s="67">
        <f>'PVC-A7'!F32*0.5</f>
        <v>409.5</v>
      </c>
      <c r="G32" s="67">
        <f>'PVC-A7'!G32*0.5</f>
        <v>409.5</v>
      </c>
      <c r="H32" s="67">
        <f>'PVC-A7'!H32*0.5</f>
        <v>409.5</v>
      </c>
      <c r="I32" s="182">
        <f>'PVC-A7'!I32*0.5</f>
        <v>505</v>
      </c>
      <c r="J32" s="182">
        <f>'PVC-A7'!J32*0.5</f>
        <v>505</v>
      </c>
      <c r="K32" s="183">
        <f>'PVC-A7'!K32*0.5</f>
        <v>505</v>
      </c>
      <c r="L32" s="184">
        <f>'PVC-A7'!L32*0.5</f>
        <v>505</v>
      </c>
      <c r="M32" s="182">
        <f>'PVC-A7'!M32*0.5</f>
        <v>505</v>
      </c>
      <c r="N32" s="182">
        <f>'PVC-A7'!N32*0.5</f>
        <v>505</v>
      </c>
      <c r="O32" s="182">
        <f>'PVC-A7'!O32*0.5</f>
        <v>505</v>
      </c>
      <c r="P32" s="182">
        <f>'PVC-A7'!P32*0.5</f>
        <v>505</v>
      </c>
      <c r="Q32" s="185">
        <f>'PVC-A7'!Q32*0.5</f>
        <v>505</v>
      </c>
      <c r="R32" s="299">
        <f t="shared" si="0"/>
        <v>2.9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81">
        <f>'PVC-A7'!D33*0.5</f>
        <v>428.5</v>
      </c>
      <c r="E33" s="67">
        <f>'PVC-A7'!E33*0.5</f>
        <v>428.5</v>
      </c>
      <c r="F33" s="67">
        <f>'PVC-A7'!F33*0.5</f>
        <v>428.5</v>
      </c>
      <c r="G33" s="67">
        <f>'PVC-A7'!G33*0.5</f>
        <v>428.5</v>
      </c>
      <c r="H33" s="67">
        <f>'PVC-A7'!H33*0.5</f>
        <v>428.5</v>
      </c>
      <c r="I33" s="182">
        <f>'PVC-A7'!I33*0.5</f>
        <v>428.5</v>
      </c>
      <c r="J33" s="182">
        <f>'PVC-A7'!J33*0.5</f>
        <v>428.5</v>
      </c>
      <c r="K33" s="183">
        <f>'PVC-A7'!K33*0.5</f>
        <v>428.5</v>
      </c>
      <c r="L33" s="184">
        <f>'PVC-A7'!L33*0.5</f>
        <v>428.5</v>
      </c>
      <c r="M33" s="182">
        <f>'PVC-A7'!M33*0.5</f>
        <v>428.5</v>
      </c>
      <c r="N33" s="182">
        <f>'PVC-A7'!N33*0.5</f>
        <v>428.5</v>
      </c>
      <c r="O33" s="182">
        <f>'PVC-A7'!O33*0.5</f>
        <v>428.5</v>
      </c>
      <c r="P33" s="182">
        <f>'PVC-A7'!P33*0.5</f>
        <v>428.5</v>
      </c>
      <c r="Q33" s="185">
        <f>'PVC-A7'!Q33*0.5</f>
        <v>428.5</v>
      </c>
      <c r="R33" s="299">
        <f t="shared" si="0"/>
        <v>0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99">
        <f>'PVC-A7'!D34*0.5</f>
        <v>1252</v>
      </c>
      <c r="E34" s="200">
        <f>'PVC-A7'!E34*0.5</f>
        <v>1236</v>
      </c>
      <c r="F34" s="200">
        <f>'PVC-A7'!F34*0.5</f>
        <v>1248</v>
      </c>
      <c r="G34" s="200">
        <f>'PVC-A7'!G34*0.5</f>
        <v>1248</v>
      </c>
      <c r="H34" s="200">
        <f>'PVC-A7'!H34*0.5</f>
        <v>1248</v>
      </c>
      <c r="I34" s="200">
        <f>'PVC-A7'!I34*0.5</f>
        <v>1343.5</v>
      </c>
      <c r="J34" s="200">
        <f>'PVC-A7'!J34*0.5</f>
        <v>1343.5</v>
      </c>
      <c r="K34" s="201">
        <f>'PVC-A7'!K34*0.5</f>
        <v>1343.5</v>
      </c>
      <c r="L34" s="202">
        <f>'PVC-A7'!L34*0.5</f>
        <v>1343.5</v>
      </c>
      <c r="M34" s="200">
        <f>'PVC-A7'!M34*0.5</f>
        <v>1343.5</v>
      </c>
      <c r="N34" s="200">
        <f>'PVC-A7'!N34*0.5</f>
        <v>1343.5</v>
      </c>
      <c r="O34" s="200">
        <f>'PVC-A7'!O34*0.5</f>
        <v>1343.5</v>
      </c>
      <c r="P34" s="200">
        <f>'PVC-A7'!P34*0.5</f>
        <v>1343.5</v>
      </c>
      <c r="Q34" s="203">
        <f>'PVC-A7'!Q34*0.5</f>
        <v>1343.5</v>
      </c>
      <c r="R34" s="306">
        <f t="shared" si="0"/>
        <v>1</v>
      </c>
      <c r="S34" s="307">
        <f t="shared" si="1"/>
        <v>0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16175.2</v>
      </c>
      <c r="E35" s="205">
        <f t="shared" ref="E35:Q35" si="4">E34+E30+E27+E26+E24+E22+E20+E19</f>
        <v>16755.7</v>
      </c>
      <c r="F35" s="205">
        <f t="shared" si="4"/>
        <v>17110.7</v>
      </c>
      <c r="G35" s="205">
        <f t="shared" si="4"/>
        <v>17291.099999999999</v>
      </c>
      <c r="H35" s="205">
        <f t="shared" si="4"/>
        <v>17183.8</v>
      </c>
      <c r="I35" s="205">
        <f t="shared" si="4"/>
        <v>17558.2</v>
      </c>
      <c r="J35" s="205">
        <f t="shared" si="4"/>
        <v>17594.5</v>
      </c>
      <c r="K35" s="206">
        <f t="shared" si="4"/>
        <v>18078</v>
      </c>
      <c r="L35" s="207">
        <f t="shared" si="4"/>
        <v>18213.7</v>
      </c>
      <c r="M35" s="205">
        <f t="shared" si="4"/>
        <v>18376.7</v>
      </c>
      <c r="N35" s="205">
        <f t="shared" si="4"/>
        <v>18559.7</v>
      </c>
      <c r="O35" s="205">
        <f t="shared" si="4"/>
        <v>18622.7</v>
      </c>
      <c r="P35" s="205">
        <f t="shared" si="4"/>
        <v>18705.7</v>
      </c>
      <c r="Q35" s="208">
        <f t="shared" si="4"/>
        <v>18798.7</v>
      </c>
      <c r="R35" s="308">
        <f t="shared" si="0"/>
        <v>1.6</v>
      </c>
      <c r="S35" s="309">
        <f t="shared" si="1"/>
        <v>0.6</v>
      </c>
    </row>
    <row r="36" spans="1:19" ht="15" customHeight="1">
      <c r="A36" s="613" t="s">
        <v>324</v>
      </c>
      <c r="B36" s="644" t="s">
        <v>433</v>
      </c>
      <c r="C36" s="645"/>
      <c r="D36" s="181">
        <f>'PVC-A7'!D36*0.5</f>
        <v>702</v>
      </c>
      <c r="E36" s="67">
        <f>'PVC-A7'!E36*0.5</f>
        <v>715</v>
      </c>
      <c r="F36" s="67">
        <f>'PVC-A7'!F36*0.5</f>
        <v>744.5</v>
      </c>
      <c r="G36" s="67">
        <f>'PVC-A7'!G36*0.5</f>
        <v>705</v>
      </c>
      <c r="H36" s="182">
        <f>'PVC-A7'!H36*0.5</f>
        <v>681.5</v>
      </c>
      <c r="I36" s="182">
        <f>'PVC-A7'!I36*0.5</f>
        <v>736</v>
      </c>
      <c r="J36" s="182">
        <f>'PVC-A7'!J36*0.5</f>
        <v>774.5</v>
      </c>
      <c r="K36" s="183">
        <f>'PVC-A7'!K36*0.5</f>
        <v>800.5</v>
      </c>
      <c r="L36" s="184">
        <f>'PVC-A7'!L36*0.5</f>
        <v>775</v>
      </c>
      <c r="M36" s="182">
        <f>'PVC-A7'!M36*0.5</f>
        <v>775</v>
      </c>
      <c r="N36" s="182">
        <f>'PVC-A7'!N36*0.5</f>
        <v>775</v>
      </c>
      <c r="O36" s="182">
        <f>'PVC-A7'!O36*0.5</f>
        <v>800</v>
      </c>
      <c r="P36" s="182">
        <f>'PVC-A7'!P36*0.5</f>
        <v>800</v>
      </c>
      <c r="Q36" s="185">
        <f>'PVC-A7'!Q36*0.5</f>
        <v>800</v>
      </c>
      <c r="R36" s="299">
        <f t="shared" si="0"/>
        <v>1.9</v>
      </c>
      <c r="S36" s="300">
        <f t="shared" si="1"/>
        <v>0.6</v>
      </c>
    </row>
    <row r="37" spans="1:19" ht="15" customHeight="1">
      <c r="A37" s="614" t="s">
        <v>325</v>
      </c>
      <c r="B37" s="605" t="s">
        <v>434</v>
      </c>
      <c r="C37" s="606"/>
      <c r="D37" s="181">
        <f>'PVC-A7'!D37*0.5</f>
        <v>716</v>
      </c>
      <c r="E37" s="67">
        <f>'PVC-A7'!E37*0.5</f>
        <v>705.5</v>
      </c>
      <c r="F37" s="67">
        <f>'PVC-A7'!F37*0.5</f>
        <v>760</v>
      </c>
      <c r="G37" s="67">
        <f>'PVC-A7'!G37*0.5</f>
        <v>810.5</v>
      </c>
      <c r="H37" s="182">
        <f>'PVC-A7'!H37*0.5</f>
        <v>757.5</v>
      </c>
      <c r="I37" s="182">
        <f>'PVC-A7'!I37*0.5</f>
        <v>804</v>
      </c>
      <c r="J37" s="182">
        <f>'PVC-A7'!J37*0.5</f>
        <v>820.5</v>
      </c>
      <c r="K37" s="183">
        <f>'PVC-A7'!K37*0.5</f>
        <v>841.5</v>
      </c>
      <c r="L37" s="184">
        <f>'PVC-A7'!L37*0.5</f>
        <v>825</v>
      </c>
      <c r="M37" s="182">
        <f>'PVC-A7'!M37*0.5</f>
        <v>825</v>
      </c>
      <c r="N37" s="182">
        <f>'PVC-A7'!N37*0.5</f>
        <v>825</v>
      </c>
      <c r="O37" s="182">
        <f>'PVC-A7'!O37*0.5</f>
        <v>850</v>
      </c>
      <c r="P37" s="182">
        <f>'PVC-A7'!P37*0.5</f>
        <v>850</v>
      </c>
      <c r="Q37" s="185">
        <f>'PVC-A7'!Q37*0.5</f>
        <v>850</v>
      </c>
      <c r="R37" s="299">
        <f t="shared" si="0"/>
        <v>2.2999999999999998</v>
      </c>
      <c r="S37" s="300">
        <f t="shared" si="1"/>
        <v>0.6</v>
      </c>
    </row>
    <row r="38" spans="1:19" ht="15" customHeight="1">
      <c r="A38" s="16"/>
      <c r="B38" s="605" t="s">
        <v>435</v>
      </c>
      <c r="C38" s="606"/>
      <c r="D38" s="181">
        <f>'PVC-A7'!D38*0.5</f>
        <v>0</v>
      </c>
      <c r="E38" s="67">
        <f>'PVC-A7'!E38*0.5</f>
        <v>0</v>
      </c>
      <c r="F38" s="67">
        <f>'PVC-A7'!F38*0.5</f>
        <v>0</v>
      </c>
      <c r="G38" s="67">
        <f>'PVC-A7'!G38*0.5</f>
        <v>0</v>
      </c>
      <c r="H38" s="67">
        <f>'PVC-A7'!H38*0.5</f>
        <v>0</v>
      </c>
      <c r="I38" s="62">
        <f>'PVC-A7'!I38*0.5</f>
        <v>0</v>
      </c>
      <c r="J38" s="62">
        <f>'PVC-A7'!J38*0.5</f>
        <v>0</v>
      </c>
      <c r="K38" s="63">
        <f>'PVC-A7'!K38*0.5</f>
        <v>0</v>
      </c>
      <c r="L38" s="64">
        <f>'PVC-A7'!L38*0.5</f>
        <v>0</v>
      </c>
      <c r="M38" s="62">
        <f>'PVC-A7'!M38*0.5</f>
        <v>0</v>
      </c>
      <c r="N38" s="62">
        <f>'PVC-A7'!N38*0.5</f>
        <v>0</v>
      </c>
      <c r="O38" s="62">
        <f>'PVC-A7'!O38*0.5</f>
        <v>0</v>
      </c>
      <c r="P38" s="62">
        <f>'PVC-A7'!P38*0.5</f>
        <v>0</v>
      </c>
      <c r="Q38" s="65">
        <f>'PVC-A7'!Q38*0.5</f>
        <v>0</v>
      </c>
      <c r="R38" s="301" t="str">
        <f t="shared" si="0"/>
        <v xml:space="preserve">     -</v>
      </c>
      <c r="S38" s="300" t="str">
        <f t="shared" si="1"/>
        <v xml:space="preserve">     -</v>
      </c>
    </row>
    <row r="39" spans="1:19" ht="15" customHeight="1">
      <c r="A39" s="16"/>
      <c r="B39" s="605" t="s">
        <v>436</v>
      </c>
      <c r="C39" s="606"/>
      <c r="D39" s="181">
        <f>'PVC-A7'!D39*0.5*0.2</f>
        <v>1108.8</v>
      </c>
      <c r="E39" s="67">
        <f>'PVC-A7'!E39*0.5*0.2</f>
        <v>1303.6000000000001</v>
      </c>
      <c r="F39" s="67">
        <f>'PVC-A7'!F39*0.5*0.2</f>
        <v>1481.6000000000001</v>
      </c>
      <c r="G39" s="67">
        <f>'PVC-A7'!G39*0.5*0.2</f>
        <v>1518.2</v>
      </c>
      <c r="H39" s="67">
        <f>'PVC-A7'!H39*0.5*0.2</f>
        <v>1624.2</v>
      </c>
      <c r="I39" s="67">
        <f>'PVC-A7'!I39*0.5*0.2</f>
        <v>1632.3000000000002</v>
      </c>
      <c r="J39" s="67">
        <f>'PVC-A7'!J39*0.5*0.2</f>
        <v>1703</v>
      </c>
      <c r="K39" s="186">
        <f>'PVC-A7'!K39*0.5*0.2</f>
        <v>1731.3000000000002</v>
      </c>
      <c r="L39" s="187">
        <f>'PVC-A7'!L39*0.5*0.2</f>
        <v>1853.3000000000002</v>
      </c>
      <c r="M39" s="67">
        <f>'PVC-A7'!M39*0.5*0.2</f>
        <v>1994</v>
      </c>
      <c r="N39" s="67">
        <f>'PVC-A7'!N39*0.5*0.2</f>
        <v>2152.4</v>
      </c>
      <c r="O39" s="67">
        <f>'PVC-A7'!O39*0.5*0.2</f>
        <v>2260.8000000000002</v>
      </c>
      <c r="P39" s="67">
        <f>'PVC-A7'!P39*0.5*0.2</f>
        <v>2387.8000000000002</v>
      </c>
      <c r="Q39" s="68">
        <f>'PVC-A7'!Q39*0.5*0.2</f>
        <v>2518.7000000000003</v>
      </c>
      <c r="R39" s="299">
        <f t="shared" si="0"/>
        <v>6.6</v>
      </c>
      <c r="S39" s="300">
        <f t="shared" si="1"/>
        <v>6.3</v>
      </c>
    </row>
    <row r="40" spans="1:19" ht="15" customHeight="1">
      <c r="A40" s="16"/>
      <c r="B40" s="605" t="s">
        <v>437</v>
      </c>
      <c r="C40" s="606"/>
      <c r="D40" s="181">
        <f>'PVC-A7'!D40*0.5</f>
        <v>415</v>
      </c>
      <c r="E40" s="67">
        <f>'PVC-A7'!E40*0.5</f>
        <v>378</v>
      </c>
      <c r="F40" s="67">
        <f>'PVC-A7'!F40*0.5</f>
        <v>378</v>
      </c>
      <c r="G40" s="67">
        <f>'PVC-A7'!G40*0.5</f>
        <v>378</v>
      </c>
      <c r="H40" s="67">
        <f>'PVC-A7'!H40*0.5</f>
        <v>344</v>
      </c>
      <c r="I40" s="67">
        <f>'PVC-A7'!I40*0.5</f>
        <v>375.5</v>
      </c>
      <c r="J40" s="67">
        <f>'PVC-A7'!J40*0.5</f>
        <v>378.5</v>
      </c>
      <c r="K40" s="186">
        <f>'PVC-A7'!K40*0.5</f>
        <v>392.5</v>
      </c>
      <c r="L40" s="187">
        <f>'PVC-A7'!L40*0.5</f>
        <v>405</v>
      </c>
      <c r="M40" s="67">
        <f>'PVC-A7'!M40*0.5</f>
        <v>405</v>
      </c>
      <c r="N40" s="67">
        <f>'PVC-A7'!N40*0.5</f>
        <v>405</v>
      </c>
      <c r="O40" s="67">
        <f>'PVC-A7'!O40*0.5</f>
        <v>405</v>
      </c>
      <c r="P40" s="67">
        <f>'PVC-A7'!P40*0.5</f>
        <v>405</v>
      </c>
      <c r="Q40" s="68">
        <f>'PVC-A7'!Q40*0.5</f>
        <v>405</v>
      </c>
      <c r="R40" s="302">
        <f t="shared" si="0"/>
        <v>-0.8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'PVC-A7'!D41*0.5</f>
        <v>262.45204999999999</v>
      </c>
      <c r="E41" s="67">
        <f>'PVC-A7'!E41*0.5</f>
        <v>232</v>
      </c>
      <c r="F41" s="67">
        <f>'PVC-A7'!F41*0.5</f>
        <v>259</v>
      </c>
      <c r="G41" s="67">
        <f>'PVC-A7'!G41*0.5</f>
        <v>259</v>
      </c>
      <c r="H41" s="67">
        <f>'PVC-A7'!H41*0.5</f>
        <v>259</v>
      </c>
      <c r="I41" s="67">
        <f>'PVC-A7'!I41*0.5</f>
        <v>300</v>
      </c>
      <c r="J41" s="67">
        <f>'PVC-A7'!J41*0.5</f>
        <v>420.75</v>
      </c>
      <c r="K41" s="186">
        <f>'PVC-A7'!K41*0.5</f>
        <v>420.75</v>
      </c>
      <c r="L41" s="187">
        <f>'PVC-A7'!L41*0.5</f>
        <v>420.75</v>
      </c>
      <c r="M41" s="67">
        <f>'PVC-A7'!M41*0.5</f>
        <v>420.75</v>
      </c>
      <c r="N41" s="67">
        <f>'PVC-A7'!N41*0.5</f>
        <v>420.75</v>
      </c>
      <c r="O41" s="67">
        <f>'PVC-A7'!O41*0.5</f>
        <v>420.75</v>
      </c>
      <c r="P41" s="67">
        <f>'PVC-A7'!P41*0.5</f>
        <v>421</v>
      </c>
      <c r="Q41" s="68">
        <f>'PVC-A7'!Q41*0.5</f>
        <v>421</v>
      </c>
      <c r="R41" s="302">
        <f t="shared" si="0"/>
        <v>7</v>
      </c>
      <c r="S41" s="300">
        <f t="shared" si="1"/>
        <v>0</v>
      </c>
    </row>
    <row r="42" spans="1:19" ht="15" customHeight="1">
      <c r="A42" s="16"/>
      <c r="B42" s="605" t="s">
        <v>439</v>
      </c>
      <c r="C42" s="606"/>
      <c r="D42" s="181">
        <f>'PVC-A7'!D42*0.5</f>
        <v>608</v>
      </c>
      <c r="E42" s="67">
        <f>'PVC-A7'!E42*0.5</f>
        <v>625</v>
      </c>
      <c r="F42" s="67">
        <f>'PVC-A7'!F42*0.5</f>
        <v>567.5</v>
      </c>
      <c r="G42" s="67">
        <f>'PVC-A7'!G42*0.5</f>
        <v>703</v>
      </c>
      <c r="H42" s="67">
        <f>'PVC-A7'!H42*0.5</f>
        <v>700</v>
      </c>
      <c r="I42" s="67">
        <f>'PVC-A7'!I42*0.5</f>
        <v>700</v>
      </c>
      <c r="J42" s="182">
        <f>'PVC-A7'!J42*0.5</f>
        <v>700</v>
      </c>
      <c r="K42" s="183">
        <f>'PVC-A7'!K42*0.5</f>
        <v>700</v>
      </c>
      <c r="L42" s="184">
        <f>'PVC-A7'!L42*0.5</f>
        <v>700</v>
      </c>
      <c r="M42" s="182">
        <f>'PVC-A7'!M42*0.5</f>
        <v>700</v>
      </c>
      <c r="N42" s="182">
        <f>'PVC-A7'!N42*0.5</f>
        <v>700</v>
      </c>
      <c r="O42" s="182">
        <f>'PVC-A7'!O42*0.5</f>
        <v>700</v>
      </c>
      <c r="P42" s="182">
        <f>'PVC-A7'!P42*0.5</f>
        <v>700</v>
      </c>
      <c r="Q42" s="185">
        <f>'PVC-A7'!Q42*0.5</f>
        <v>700</v>
      </c>
      <c r="R42" s="299">
        <f t="shared" si="0"/>
        <v>2</v>
      </c>
      <c r="S42" s="300">
        <f t="shared" si="1"/>
        <v>0</v>
      </c>
    </row>
    <row r="43" spans="1:19" ht="15" hidden="1" customHeight="1">
      <c r="A43" s="16"/>
      <c r="B43" s="16"/>
      <c r="C43" s="90" t="s">
        <v>306</v>
      </c>
      <c r="D43" s="181">
        <f>'PVC-A7'!D43*0.5</f>
        <v>0</v>
      </c>
      <c r="E43" s="67">
        <f>'PVC-A7'!E43*0.5</f>
        <v>0</v>
      </c>
      <c r="F43" s="67">
        <f>'PVC-A7'!F43*0.5</f>
        <v>0</v>
      </c>
      <c r="G43" s="67">
        <f>'PVC-A7'!G43*0.5</f>
        <v>0</v>
      </c>
      <c r="H43" s="67">
        <f>'PVC-A7'!H43*0.5</f>
        <v>0</v>
      </c>
      <c r="I43" s="67">
        <f>'PVC-A7'!I43*0.5</f>
        <v>0</v>
      </c>
      <c r="J43" s="67">
        <f>'PVC-A7'!J43*0.5</f>
        <v>0</v>
      </c>
      <c r="K43" s="186">
        <f>'PVC-A7'!K43*0.5</f>
        <v>0</v>
      </c>
      <c r="L43" s="187">
        <f>'PVC-A7'!L43*0.5</f>
        <v>0</v>
      </c>
      <c r="M43" s="67">
        <f>'PVC-A7'!M43*0.5</f>
        <v>0</v>
      </c>
      <c r="N43" s="67">
        <f>'PVC-A7'!N43*0.5</f>
        <v>0</v>
      </c>
      <c r="O43" s="67">
        <f>'PVC-A7'!O43*0.5</f>
        <v>0</v>
      </c>
      <c r="P43" s="67">
        <f>'PVC-A7'!P43*0.5</f>
        <v>0</v>
      </c>
      <c r="Q43" s="68">
        <f>'PVC-A7'!Q43*0.5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'PVC-A7'!D44*0.5</f>
        <v>46</v>
      </c>
      <c r="E44" s="67">
        <f>'PVC-A7'!E44*0.5</f>
        <v>33</v>
      </c>
      <c r="F44" s="67">
        <f>'PVC-A7'!F44*0.5</f>
        <v>37.5</v>
      </c>
      <c r="G44" s="67">
        <f>'PVC-A7'!G44*0.5</f>
        <v>48</v>
      </c>
      <c r="H44" s="67">
        <f>'PVC-A7'!H44*0.5</f>
        <v>29.5</v>
      </c>
      <c r="I44" s="67">
        <f>'PVC-A7'!I44*0.5</f>
        <v>50</v>
      </c>
      <c r="J44" s="67">
        <f>'PVC-A7'!J44*0.5</f>
        <v>50</v>
      </c>
      <c r="K44" s="186">
        <f>'PVC-A7'!K44*0.5</f>
        <v>50</v>
      </c>
      <c r="L44" s="187">
        <f>'PVC-A7'!L44*0.5</f>
        <v>50</v>
      </c>
      <c r="M44" s="67">
        <f>'PVC-A7'!M44*0.5</f>
        <v>77.5</v>
      </c>
      <c r="N44" s="67">
        <f>'PVC-A7'!N44*0.5</f>
        <v>83</v>
      </c>
      <c r="O44" s="67">
        <f>'PVC-A7'!O44*0.5</f>
        <v>88.5</v>
      </c>
      <c r="P44" s="67">
        <f>'PVC-A7'!P44*0.5</f>
        <v>94</v>
      </c>
      <c r="Q44" s="68">
        <f>'PVC-A7'!Q44*0.5</f>
        <v>100</v>
      </c>
      <c r="R44" s="302">
        <f t="shared" si="0"/>
        <v>1.2</v>
      </c>
      <c r="S44" s="300">
        <f t="shared" si="1"/>
        <v>14.9</v>
      </c>
    </row>
    <row r="45" spans="1:19" ht="15" customHeight="1">
      <c r="A45" s="16"/>
      <c r="B45" s="605" t="s">
        <v>441</v>
      </c>
      <c r="C45" s="606"/>
      <c r="D45" s="181">
        <f>'PVC-A7'!D45*0.5</f>
        <v>125</v>
      </c>
      <c r="E45" s="67">
        <f>'PVC-A7'!E45*0.5</f>
        <v>126.5</v>
      </c>
      <c r="F45" s="67">
        <f>'PVC-A7'!F45*0.5</f>
        <v>74.5</v>
      </c>
      <c r="G45" s="67">
        <f>'PVC-A7'!G45*0.5</f>
        <v>51.76700000000001</v>
      </c>
      <c r="H45" s="67">
        <f>'PVC-A7'!H45*0.5</f>
        <v>29.677000000000007</v>
      </c>
      <c r="I45" s="67">
        <f>'PVC-A7'!I45*0.5</f>
        <v>32.589499999999987</v>
      </c>
      <c r="J45" s="67">
        <f>'PVC-A7'!J45*0.5</f>
        <v>25.5</v>
      </c>
      <c r="K45" s="186">
        <f>'PVC-A7'!K45*0.5</f>
        <v>37.341999999999999</v>
      </c>
      <c r="L45" s="187">
        <f>'PVC-A7'!L45*0.5</f>
        <v>37.341999999999999</v>
      </c>
      <c r="M45" s="67">
        <f>'PVC-A7'!M45*0.5</f>
        <v>37.341999999999999</v>
      </c>
      <c r="N45" s="67">
        <f>'PVC-A7'!N45*0.5</f>
        <v>37.341999999999999</v>
      </c>
      <c r="O45" s="67">
        <f>'PVC-A7'!O45*0.5</f>
        <v>37.341999999999999</v>
      </c>
      <c r="P45" s="67">
        <f>'PVC-A7'!P45*0.5</f>
        <v>37.341999999999999</v>
      </c>
      <c r="Q45" s="68">
        <f>'PVC-A7'!Q45*0.5</f>
        <v>37.341999999999999</v>
      </c>
      <c r="R45" s="302">
        <f t="shared" si="0"/>
        <v>-15.9</v>
      </c>
      <c r="S45" s="300">
        <f t="shared" si="1"/>
        <v>0</v>
      </c>
    </row>
    <row r="46" spans="1:19" ht="15" customHeight="1">
      <c r="A46" s="16"/>
      <c r="B46" s="605" t="s">
        <v>442</v>
      </c>
      <c r="C46" s="606"/>
      <c r="D46" s="181">
        <f>'PVC-A7'!D46*0.5</f>
        <v>145</v>
      </c>
      <c r="E46" s="67">
        <f>'PVC-A7'!E46*0.5</f>
        <v>145</v>
      </c>
      <c r="F46" s="67">
        <f>'PVC-A7'!F46*0.5</f>
        <v>145</v>
      </c>
      <c r="G46" s="67">
        <f>'PVC-A7'!G46*0.5</f>
        <v>145</v>
      </c>
      <c r="H46" s="67">
        <f>'PVC-A7'!H46*0.5</f>
        <v>145</v>
      </c>
      <c r="I46" s="67">
        <f>'PVC-A7'!I46*0.5</f>
        <v>145</v>
      </c>
      <c r="J46" s="67">
        <f>'PVC-A7'!J46*0.5</f>
        <v>175</v>
      </c>
      <c r="K46" s="186">
        <f>'PVC-A7'!K46*0.5</f>
        <v>170</v>
      </c>
      <c r="L46" s="187">
        <f>'PVC-A7'!L46*0.5</f>
        <v>175</v>
      </c>
      <c r="M46" s="67">
        <f>'PVC-A7'!M46*0.5</f>
        <v>175</v>
      </c>
      <c r="N46" s="67">
        <f>'PVC-A7'!N46*0.5</f>
        <v>175</v>
      </c>
      <c r="O46" s="67">
        <f>'PVC-A7'!O46*0.5</f>
        <v>175</v>
      </c>
      <c r="P46" s="67">
        <f>'PVC-A7'!P46*0.5</f>
        <v>175</v>
      </c>
      <c r="Q46" s="68">
        <f>'PVC-A7'!Q46*0.5</f>
        <v>175</v>
      </c>
      <c r="R46" s="302">
        <f t="shared" si="0"/>
        <v>2.2999999999999998</v>
      </c>
      <c r="S46" s="300">
        <f t="shared" si="1"/>
        <v>0</v>
      </c>
    </row>
    <row r="47" spans="1:19" ht="15" customHeight="1">
      <c r="A47" s="16"/>
      <c r="B47" s="607" t="s">
        <v>443</v>
      </c>
      <c r="C47" s="608"/>
      <c r="D47" s="188">
        <f>'PVC-A7'!D47*0.5</f>
        <v>874.5</v>
      </c>
      <c r="E47" s="182">
        <f>'PVC-A7'!E47*0.5</f>
        <v>764.25</v>
      </c>
      <c r="F47" s="182">
        <f>'PVC-A7'!F47*0.5</f>
        <v>665.95</v>
      </c>
      <c r="G47" s="182">
        <f>'PVC-A7'!G47*0.5</f>
        <v>743.3</v>
      </c>
      <c r="H47" s="182">
        <f>'PVC-A7'!H47*0.5</f>
        <v>738.35</v>
      </c>
      <c r="I47" s="182">
        <f>'PVC-A7'!I47*0.5</f>
        <v>823.05</v>
      </c>
      <c r="J47" s="182">
        <f>'PVC-A7'!J47*0.5</f>
        <v>825.45</v>
      </c>
      <c r="K47" s="183">
        <f>'PVC-A7'!K47*0.5</f>
        <v>852.95</v>
      </c>
      <c r="L47" s="184">
        <f>'PVC-A7'!L47*0.5</f>
        <v>845.15</v>
      </c>
      <c r="M47" s="182">
        <f>'PVC-A7'!M47*0.5</f>
        <v>825</v>
      </c>
      <c r="N47" s="182">
        <f>'PVC-A7'!N47*0.5</f>
        <v>805</v>
      </c>
      <c r="O47" s="182">
        <f>'PVC-A7'!O47*0.5</f>
        <v>800</v>
      </c>
      <c r="P47" s="182">
        <f>'PVC-A7'!P47*0.5</f>
        <v>800</v>
      </c>
      <c r="Q47" s="185">
        <f>'PVC-A7'!Q47*0.5</f>
        <v>800</v>
      </c>
      <c r="R47" s="299">
        <f t="shared" si="0"/>
        <v>-0.4</v>
      </c>
      <c r="S47" s="300">
        <f t="shared" si="1"/>
        <v>-1.1000000000000001</v>
      </c>
    </row>
    <row r="48" spans="1:19" ht="15.75" customHeight="1">
      <c r="A48" s="16"/>
      <c r="B48" s="674" t="s">
        <v>307</v>
      </c>
      <c r="C48" s="675"/>
      <c r="D48" s="189">
        <f>SUM(D36:D47)</f>
        <v>5002.7520500000001</v>
      </c>
      <c r="E48" s="190">
        <f t="shared" ref="E48:K48" si="5">SUM(E36:E47)</f>
        <v>5027.8500000000004</v>
      </c>
      <c r="F48" s="190">
        <f t="shared" si="5"/>
        <v>5113.55</v>
      </c>
      <c r="G48" s="190">
        <f t="shared" si="5"/>
        <v>5361.7669999999998</v>
      </c>
      <c r="H48" s="190">
        <f t="shared" si="5"/>
        <v>5308.7269999999999</v>
      </c>
      <c r="I48" s="190">
        <f t="shared" si="5"/>
        <v>5598.4395000000004</v>
      </c>
      <c r="J48" s="190">
        <f t="shared" si="5"/>
        <v>5873.2</v>
      </c>
      <c r="K48" s="191">
        <f t="shared" si="5"/>
        <v>5996.8419999999996</v>
      </c>
      <c r="L48" s="192">
        <f t="shared" ref="L48:Q48" si="6">SUM(L36:L47)</f>
        <v>6086.5419999999995</v>
      </c>
      <c r="M48" s="190">
        <f t="shared" si="6"/>
        <v>6234.5919999999996</v>
      </c>
      <c r="N48" s="190">
        <f t="shared" si="6"/>
        <v>6378.4919999999993</v>
      </c>
      <c r="O48" s="190">
        <f t="shared" si="6"/>
        <v>6537.3919999999998</v>
      </c>
      <c r="P48" s="190">
        <f t="shared" si="6"/>
        <v>6670.1419999999998</v>
      </c>
      <c r="Q48" s="193">
        <f t="shared" si="6"/>
        <v>6807.0420000000004</v>
      </c>
      <c r="R48" s="303">
        <f t="shared" si="0"/>
        <v>2.6</v>
      </c>
      <c r="S48" s="304">
        <f t="shared" si="1"/>
        <v>2.2999999999999998</v>
      </c>
    </row>
    <row r="49" spans="1:19" ht="15.75" customHeight="1">
      <c r="A49" s="16"/>
      <c r="B49" s="672" t="s">
        <v>308</v>
      </c>
      <c r="C49" s="673"/>
      <c r="D49" s="194">
        <f>'PVC-A7'!D49*0.5</f>
        <v>75</v>
      </c>
      <c r="E49" s="195">
        <f>'PVC-A7'!E49*0.5</f>
        <v>75</v>
      </c>
      <c r="F49" s="195">
        <f>'PVC-A7'!F49*0.5</f>
        <v>70</v>
      </c>
      <c r="G49" s="195">
        <f>'PVC-A7'!G49*0.5</f>
        <v>70</v>
      </c>
      <c r="H49" s="195">
        <f>'PVC-A7'!H49*0.5</f>
        <v>70</v>
      </c>
      <c r="I49" s="195">
        <f>'PVC-A7'!I49*0.5</f>
        <v>70</v>
      </c>
      <c r="J49" s="195">
        <f>'PVC-A7'!J49*0.5</f>
        <v>6</v>
      </c>
      <c r="K49" s="196">
        <f>'PVC-A7'!K49*0.5</f>
        <v>0</v>
      </c>
      <c r="L49" s="197">
        <f>'PVC-A7'!L49*0.5</f>
        <v>0</v>
      </c>
      <c r="M49" s="195">
        <f>'PVC-A7'!M49*0.5</f>
        <v>0</v>
      </c>
      <c r="N49" s="195">
        <f>'PVC-A7'!N49*0.5</f>
        <v>0</v>
      </c>
      <c r="O49" s="195">
        <f>'PVC-A7'!O49*0.5</f>
        <v>0</v>
      </c>
      <c r="P49" s="195">
        <f>'PVC-A7'!P49*0.5</f>
        <v>0</v>
      </c>
      <c r="Q49" s="198">
        <f>'PVC-A7'!Q49*0.5</f>
        <v>0</v>
      </c>
      <c r="R49" s="305" t="str">
        <f t="shared" si="0"/>
        <v xml:space="preserve">     -</v>
      </c>
      <c r="S49" s="304" t="str">
        <f t="shared" si="1"/>
        <v xml:space="preserve">     -</v>
      </c>
    </row>
    <row r="50" spans="1:19" ht="15" customHeight="1">
      <c r="A50" s="16"/>
      <c r="B50" s="105"/>
      <c r="C50" s="97" t="s">
        <v>309</v>
      </c>
      <c r="D50" s="194">
        <f>'PVC-A7'!D50*0.5</f>
        <v>75</v>
      </c>
      <c r="E50" s="195">
        <f>'PVC-A7'!E50*0.5</f>
        <v>75</v>
      </c>
      <c r="F50" s="195">
        <f>'PVC-A7'!F50*0.5</f>
        <v>70</v>
      </c>
      <c r="G50" s="195">
        <f>'PVC-A7'!G50*0.5</f>
        <v>70</v>
      </c>
      <c r="H50" s="195">
        <f>'PVC-A7'!H50*0.5</f>
        <v>70</v>
      </c>
      <c r="I50" s="195">
        <f>'PVC-A7'!I50*0.5</f>
        <v>70</v>
      </c>
      <c r="J50" s="195">
        <f>'PVC-A7'!J50*0.5</f>
        <v>6</v>
      </c>
      <c r="K50" s="196">
        <f>'PVC-A7'!K50*0.5</f>
        <v>0</v>
      </c>
      <c r="L50" s="197">
        <f>'PVC-A7'!L50*0.5</f>
        <v>0</v>
      </c>
      <c r="M50" s="195">
        <f>'PVC-A7'!M50*0.5</f>
        <v>0</v>
      </c>
      <c r="N50" s="195">
        <f>'PVC-A7'!N50*0.5</f>
        <v>0</v>
      </c>
      <c r="O50" s="195">
        <f>'PVC-A7'!O50*0.5</f>
        <v>0</v>
      </c>
      <c r="P50" s="195">
        <f>'PVC-A7'!P50*0.5</f>
        <v>0</v>
      </c>
      <c r="Q50" s="198">
        <f>'PVC-A7'!Q50*0.5</f>
        <v>0</v>
      </c>
      <c r="R50" s="305" t="str">
        <f t="shared" si="0"/>
        <v xml:space="preserve">     -</v>
      </c>
      <c r="S50" s="304" t="str">
        <f t="shared" si="1"/>
        <v xml:space="preserve">     -</v>
      </c>
    </row>
    <row r="51" spans="1:19" ht="15.75" customHeight="1">
      <c r="A51" s="16"/>
      <c r="B51" s="672" t="s">
        <v>310</v>
      </c>
      <c r="C51" s="673"/>
      <c r="D51" s="181">
        <f>'PVC-A7'!D51*0.5</f>
        <v>3005.5</v>
      </c>
      <c r="E51" s="67">
        <f>'PVC-A7'!E51*0.5</f>
        <v>3005.5</v>
      </c>
      <c r="F51" s="67">
        <f>'PVC-A7'!F51*0.5</f>
        <v>2894.5</v>
      </c>
      <c r="G51" s="67">
        <f>'PVC-A7'!G51*0.5</f>
        <v>2839.5</v>
      </c>
      <c r="H51" s="182">
        <f>'PVC-A7'!H51*0.5</f>
        <v>2851</v>
      </c>
      <c r="I51" s="182">
        <f>'PVC-A7'!I51*0.5</f>
        <v>2804.5</v>
      </c>
      <c r="J51" s="182">
        <f>'PVC-A7'!J51*0.5</f>
        <v>2758.5</v>
      </c>
      <c r="K51" s="183">
        <f>'PVC-A7'!K51*0.5</f>
        <v>2868.5</v>
      </c>
      <c r="L51" s="184">
        <f>'PVC-A7'!L51*0.5</f>
        <v>2951</v>
      </c>
      <c r="M51" s="182">
        <f>'PVC-A7'!M51*0.5</f>
        <v>2975</v>
      </c>
      <c r="N51" s="182">
        <f>'PVC-A7'!N51*0.5</f>
        <v>3006</v>
      </c>
      <c r="O51" s="182">
        <f>'PVC-A7'!O51*0.5</f>
        <v>3000.5</v>
      </c>
      <c r="P51" s="182">
        <f>'PVC-A7'!P51*0.5</f>
        <v>3018</v>
      </c>
      <c r="Q51" s="185">
        <f>'PVC-A7'!Q51*0.5</f>
        <v>3012</v>
      </c>
      <c r="R51" s="299">
        <f t="shared" si="0"/>
        <v>-0.7</v>
      </c>
      <c r="S51" s="300">
        <f t="shared" si="1"/>
        <v>0.4</v>
      </c>
    </row>
    <row r="52" spans="1:19" ht="15" customHeight="1">
      <c r="A52" s="16"/>
      <c r="B52" s="105"/>
      <c r="C52" s="615" t="s">
        <v>311</v>
      </c>
      <c r="D52" s="194">
        <f>'PVC-A7'!D52*0.5</f>
        <v>2697</v>
      </c>
      <c r="E52" s="195">
        <f>'PVC-A7'!E52*0.5</f>
        <v>2716.5</v>
      </c>
      <c r="F52" s="195">
        <f>'PVC-A7'!F52*0.5</f>
        <v>2542.5</v>
      </c>
      <c r="G52" s="195">
        <f>'PVC-A7'!G52*0.5</f>
        <v>2480</v>
      </c>
      <c r="H52" s="190">
        <f>'PVC-A7'!H52*0.5</f>
        <v>2497</v>
      </c>
      <c r="I52" s="190">
        <f>'PVC-A7'!I52*0.5</f>
        <v>2431</v>
      </c>
      <c r="J52" s="190">
        <f>'PVC-A7'!J52*0.5</f>
        <v>2438.5</v>
      </c>
      <c r="K52" s="191">
        <f>'PVC-A7'!K52*0.5</f>
        <v>2514.5</v>
      </c>
      <c r="L52" s="192">
        <f>'PVC-A7'!L52*0.5</f>
        <v>2571</v>
      </c>
      <c r="M52" s="190">
        <f>'PVC-A7'!M52*0.5</f>
        <v>2593.5</v>
      </c>
      <c r="N52" s="190">
        <f>'PVC-A7'!N52*0.5</f>
        <v>2620.5</v>
      </c>
      <c r="O52" s="190">
        <f>'PVC-A7'!O52*0.5</f>
        <v>2610.5</v>
      </c>
      <c r="P52" s="190">
        <f>'PVC-A7'!P52*0.5</f>
        <v>2618.5</v>
      </c>
      <c r="Q52" s="193">
        <f>'PVC-A7'!Q52*0.5</f>
        <v>2618.5</v>
      </c>
      <c r="R52" s="303">
        <f t="shared" si="0"/>
        <v>-1</v>
      </c>
      <c r="S52" s="304">
        <f t="shared" si="1"/>
        <v>0.4</v>
      </c>
    </row>
    <row r="53" spans="1:19" ht="15.75" customHeight="1">
      <c r="A53" s="16"/>
      <c r="B53" s="672" t="s">
        <v>312</v>
      </c>
      <c r="C53" s="673"/>
      <c r="D53" s="181">
        <f>'PVC-A7'!D53*0.5</f>
        <v>322</v>
      </c>
      <c r="E53" s="67">
        <f>'PVC-A7'!E53*0.5</f>
        <v>392</v>
      </c>
      <c r="F53" s="67">
        <f>'PVC-A7'!F53*0.5</f>
        <v>403.5</v>
      </c>
      <c r="G53" s="67">
        <f>'PVC-A7'!G53*0.5</f>
        <v>453</v>
      </c>
      <c r="H53" s="67">
        <f>'PVC-A7'!H53*0.5</f>
        <v>459</v>
      </c>
      <c r="I53" s="67">
        <f>'PVC-A7'!I53*0.5</f>
        <v>615</v>
      </c>
      <c r="J53" s="67">
        <f>'PVC-A7'!J53*0.5</f>
        <v>607.5</v>
      </c>
      <c r="K53" s="186">
        <f>'PVC-A7'!K53*0.5</f>
        <v>620</v>
      </c>
      <c r="L53" s="187">
        <f>'PVC-A7'!L53*0.5</f>
        <v>635</v>
      </c>
      <c r="M53" s="67">
        <f>'PVC-A7'!M53*0.5</f>
        <v>650</v>
      </c>
      <c r="N53" s="67">
        <f>'PVC-A7'!N53*0.5</f>
        <v>655</v>
      </c>
      <c r="O53" s="67">
        <f>'PVC-A7'!O53*0.5</f>
        <v>697.5</v>
      </c>
      <c r="P53" s="67">
        <f>'PVC-A7'!P53*0.5</f>
        <v>707.5</v>
      </c>
      <c r="Q53" s="68">
        <f>'PVC-A7'!Q53*0.5</f>
        <v>712.5</v>
      </c>
      <c r="R53" s="302">
        <f t="shared" si="0"/>
        <v>9.8000000000000007</v>
      </c>
      <c r="S53" s="300">
        <f t="shared" si="1"/>
        <v>2.2999999999999998</v>
      </c>
    </row>
    <row r="54" spans="1:19" ht="15" customHeight="1">
      <c r="A54" s="16"/>
      <c r="B54" s="16"/>
      <c r="C54" s="615" t="s">
        <v>313</v>
      </c>
      <c r="D54" s="194">
        <f>'PVC-A7'!D54*0.5</f>
        <v>0</v>
      </c>
      <c r="E54" s="195">
        <f>'PVC-A7'!E54*0.5</f>
        <v>200</v>
      </c>
      <c r="F54" s="195">
        <f>'PVC-A7'!F54*0.5</f>
        <v>200</v>
      </c>
      <c r="G54" s="195">
        <f>'PVC-A7'!G54*0.5</f>
        <v>200</v>
      </c>
      <c r="H54" s="190">
        <f>'PVC-A7'!H54*0.5</f>
        <v>200</v>
      </c>
      <c r="I54" s="190">
        <f>'PVC-A7'!I54*0.5</f>
        <v>195</v>
      </c>
      <c r="J54" s="190">
        <f>'PVC-A7'!J54*0.5</f>
        <v>205</v>
      </c>
      <c r="K54" s="191">
        <f>'PVC-A7'!K54*0.5</f>
        <v>205</v>
      </c>
      <c r="L54" s="192">
        <f>'PVC-A7'!L54*0.5</f>
        <v>205</v>
      </c>
      <c r="M54" s="190">
        <f>'PVC-A7'!M54*0.5</f>
        <v>205</v>
      </c>
      <c r="N54" s="190">
        <f>'PVC-A7'!N54*0.5</f>
        <v>205</v>
      </c>
      <c r="O54" s="190">
        <f>'PVC-A7'!O54*0.5</f>
        <v>205</v>
      </c>
      <c r="P54" s="190">
        <f>'PVC-A7'!P54*0.5</f>
        <v>205</v>
      </c>
      <c r="Q54" s="193">
        <f>'PVC-A7'!Q54*0.5</f>
        <v>205</v>
      </c>
      <c r="R54" s="303" t="str">
        <f t="shared" si="0"/>
        <v xml:space="preserve">     -</v>
      </c>
      <c r="S54" s="304">
        <f t="shared" si="1"/>
        <v>0</v>
      </c>
    </row>
    <row r="55" spans="1:19" ht="15.75" customHeight="1">
      <c r="A55" s="16"/>
      <c r="B55" s="674" t="s">
        <v>314</v>
      </c>
      <c r="C55" s="675"/>
      <c r="D55" s="194">
        <f>'PVC-A7'!D55*0.5</f>
        <v>155</v>
      </c>
      <c r="E55" s="195">
        <f>'PVC-A7'!E55*0.5</f>
        <v>155</v>
      </c>
      <c r="F55" s="195">
        <f>'PVC-A7'!F55*0.5</f>
        <v>155</v>
      </c>
      <c r="G55" s="195">
        <f>'PVC-A7'!G55*0.5</f>
        <v>155</v>
      </c>
      <c r="H55" s="190">
        <f>'PVC-A7'!H55*0.5</f>
        <v>155</v>
      </c>
      <c r="I55" s="190">
        <f>'PVC-A7'!I55*0.5</f>
        <v>195</v>
      </c>
      <c r="J55" s="190">
        <f>'PVC-A7'!J55*0.5</f>
        <v>207.5</v>
      </c>
      <c r="K55" s="191">
        <f>'PVC-A7'!K55*0.5</f>
        <v>234</v>
      </c>
      <c r="L55" s="192">
        <f>'PVC-A7'!L55*0.5</f>
        <v>258</v>
      </c>
      <c r="M55" s="190">
        <f>'PVC-A7'!M55*0.5</f>
        <v>282</v>
      </c>
      <c r="N55" s="190">
        <f>'PVC-A7'!N55*0.5</f>
        <v>303.5</v>
      </c>
      <c r="O55" s="190">
        <f>'PVC-A7'!O55*0.5</f>
        <v>325</v>
      </c>
      <c r="P55" s="190">
        <f>'PVC-A7'!P55*0.5</f>
        <v>345</v>
      </c>
      <c r="Q55" s="193">
        <f>'PVC-A7'!Q55*0.5</f>
        <v>367.5</v>
      </c>
      <c r="R55" s="303">
        <f t="shared" si="0"/>
        <v>6.1</v>
      </c>
      <c r="S55" s="304">
        <f t="shared" si="1"/>
        <v>7.3</v>
      </c>
    </row>
    <row r="56" spans="1:19" ht="15.75" customHeight="1">
      <c r="A56" s="16"/>
      <c r="B56" s="674" t="s">
        <v>315</v>
      </c>
      <c r="C56" s="675"/>
      <c r="D56" s="189">
        <f>'PVC-A7'!D56*0.5</f>
        <v>297.5</v>
      </c>
      <c r="E56" s="190">
        <f>'PVC-A7'!E56*0.5</f>
        <v>330</v>
      </c>
      <c r="F56" s="190">
        <f>'PVC-A7'!F56*0.5</f>
        <v>368.35</v>
      </c>
      <c r="G56" s="190">
        <f>'PVC-A7'!G56*0.5</f>
        <v>308</v>
      </c>
      <c r="H56" s="190">
        <f>'PVC-A7'!H56*0.5</f>
        <v>321</v>
      </c>
      <c r="I56" s="190">
        <f>'PVC-A7'!I56*0.5</f>
        <v>392.5</v>
      </c>
      <c r="J56" s="190">
        <f>'PVC-A7'!J56*0.5</f>
        <v>394.15</v>
      </c>
      <c r="K56" s="191">
        <f>'PVC-A7'!K56*0.5</f>
        <v>482.5</v>
      </c>
      <c r="L56" s="192">
        <f>'PVC-A7'!L56*0.5</f>
        <v>490.22</v>
      </c>
      <c r="M56" s="190">
        <f>'PVC-A7'!M56*0.5</f>
        <v>496.59285999999997</v>
      </c>
      <c r="N56" s="190">
        <f>'PVC-A7'!N56*0.5</f>
        <v>504.04175289999995</v>
      </c>
      <c r="O56" s="190">
        <f>'PVC-A7'!O56*0.5</f>
        <v>511.60237919349987</v>
      </c>
      <c r="P56" s="190">
        <f>'PVC-A7'!P56*0.5</f>
        <v>519.27641488140227</v>
      </c>
      <c r="Q56" s="193">
        <f>'PVC-A7'!Q56*0.5</f>
        <v>527.06556110462327</v>
      </c>
      <c r="R56" s="303">
        <f t="shared" si="0"/>
        <v>7.2</v>
      </c>
      <c r="S56" s="304">
        <f t="shared" si="1"/>
        <v>1.5</v>
      </c>
    </row>
    <row r="57" spans="1:19" ht="15" customHeight="1">
      <c r="A57" s="16"/>
      <c r="B57" s="672" t="s">
        <v>316</v>
      </c>
      <c r="C57" s="673"/>
      <c r="D57" s="181">
        <f>'PVC-A7'!D57*0.5</f>
        <v>3090.5</v>
      </c>
      <c r="E57" s="67">
        <f>'PVC-A7'!E57*0.5</f>
        <v>3415.95</v>
      </c>
      <c r="F57" s="67">
        <f>'PVC-A7'!F57*0.5</f>
        <v>3415.95</v>
      </c>
      <c r="G57" s="67">
        <f>'PVC-A7'!G57*0.5</f>
        <v>3415.95</v>
      </c>
      <c r="H57" s="67">
        <f>'PVC-A7'!H57*0.5</f>
        <v>3415.95</v>
      </c>
      <c r="I57" s="182">
        <f>'PVC-A7'!I57*0.5</f>
        <v>3573.5</v>
      </c>
      <c r="J57" s="182">
        <f>'PVC-A7'!J57*0.5</f>
        <v>3607</v>
      </c>
      <c r="K57" s="183">
        <f>'PVC-A7'!K57*0.5</f>
        <v>4036</v>
      </c>
      <c r="L57" s="184">
        <f>'PVC-A7'!L57*0.5</f>
        <v>4036</v>
      </c>
      <c r="M57" s="182">
        <f>'PVC-A7'!M57*0.5</f>
        <v>4036</v>
      </c>
      <c r="N57" s="182">
        <f>'PVC-A7'!N57*0.5</f>
        <v>4166.5</v>
      </c>
      <c r="O57" s="182">
        <f>'PVC-A7'!O57*0.5</f>
        <v>4166.5</v>
      </c>
      <c r="P57" s="182">
        <f>'PVC-A7'!P57*0.5</f>
        <v>4166.5</v>
      </c>
      <c r="Q57" s="185">
        <f>'PVC-A7'!Q57*0.5</f>
        <v>4166.5</v>
      </c>
      <c r="R57" s="299">
        <f t="shared" si="0"/>
        <v>3.9</v>
      </c>
      <c r="S57" s="300">
        <f t="shared" si="1"/>
        <v>0.6</v>
      </c>
    </row>
    <row r="58" spans="1:19" ht="15" customHeight="1">
      <c r="A58" s="16"/>
      <c r="B58" s="670" t="s">
        <v>317</v>
      </c>
      <c r="C58" s="671"/>
      <c r="D58" s="181">
        <f>'PVC-A7'!D58*0.5</f>
        <v>88.5</v>
      </c>
      <c r="E58" s="67">
        <f>'PVC-A7'!E58*0.5</f>
        <v>109</v>
      </c>
      <c r="F58" s="67">
        <f>'PVC-A7'!F58*0.5</f>
        <v>125</v>
      </c>
      <c r="G58" s="67">
        <f>'PVC-A7'!G58*0.5</f>
        <v>114.5</v>
      </c>
      <c r="H58" s="67">
        <f>'PVC-A7'!H58*0.5</f>
        <v>117.5</v>
      </c>
      <c r="I58" s="182">
        <f>'PVC-A7'!I58*0.5</f>
        <v>122</v>
      </c>
      <c r="J58" s="182">
        <f>'PVC-A7'!J58*0.5</f>
        <v>126</v>
      </c>
      <c r="K58" s="183">
        <f>'PVC-A7'!K58*0.5</f>
        <v>126</v>
      </c>
      <c r="L58" s="184">
        <f>'PVC-A7'!L58*0.5</f>
        <v>126</v>
      </c>
      <c r="M58" s="182">
        <f>'PVC-A7'!M58*0.5</f>
        <v>126</v>
      </c>
      <c r="N58" s="182">
        <f>'PVC-A7'!N58*0.5</f>
        <v>126</v>
      </c>
      <c r="O58" s="182">
        <f>'PVC-A7'!O58*0.5</f>
        <v>126</v>
      </c>
      <c r="P58" s="182">
        <f>'PVC-A7'!P58*0.5</f>
        <v>126</v>
      </c>
      <c r="Q58" s="185">
        <f>'PVC-A7'!Q58*0.5</f>
        <v>126</v>
      </c>
      <c r="R58" s="299">
        <f t="shared" si="0"/>
        <v>5.2</v>
      </c>
      <c r="S58" s="300">
        <f t="shared" si="1"/>
        <v>0</v>
      </c>
    </row>
    <row r="59" spans="1:19" ht="15.75" customHeight="1">
      <c r="A59" s="16"/>
      <c r="B59" s="674" t="s">
        <v>318</v>
      </c>
      <c r="C59" s="675"/>
      <c r="D59" s="189">
        <f>'PVC-A7'!D59*0.5</f>
        <v>3179</v>
      </c>
      <c r="E59" s="190">
        <f>'PVC-A7'!E59*0.5</f>
        <v>3524.95</v>
      </c>
      <c r="F59" s="190">
        <f>'PVC-A7'!F59*0.5</f>
        <v>3540.95</v>
      </c>
      <c r="G59" s="190">
        <f>'PVC-A7'!G59*0.5</f>
        <v>3530.45</v>
      </c>
      <c r="H59" s="190">
        <f>'PVC-A7'!H59*0.5</f>
        <v>3533.45</v>
      </c>
      <c r="I59" s="190">
        <f>'PVC-A7'!I59*0.5</f>
        <v>3695.5</v>
      </c>
      <c r="J59" s="190">
        <f>'PVC-A7'!J59*0.5</f>
        <v>3733</v>
      </c>
      <c r="K59" s="191">
        <f>'PVC-A7'!K59*0.5</f>
        <v>4162</v>
      </c>
      <c r="L59" s="192">
        <f>'PVC-A7'!L59*0.5</f>
        <v>4162</v>
      </c>
      <c r="M59" s="190">
        <f>'PVC-A7'!M59*0.5</f>
        <v>4162</v>
      </c>
      <c r="N59" s="190">
        <f>'PVC-A7'!N59*0.5</f>
        <v>4292.5</v>
      </c>
      <c r="O59" s="190">
        <f>'PVC-A7'!O59*0.5</f>
        <v>4292.5</v>
      </c>
      <c r="P59" s="190">
        <f>'PVC-A7'!P59*0.5</f>
        <v>4292.5</v>
      </c>
      <c r="Q59" s="193">
        <f>'PVC-A7'!Q59*0.5</f>
        <v>4292.5</v>
      </c>
      <c r="R59" s="303">
        <f t="shared" si="0"/>
        <v>3.9</v>
      </c>
      <c r="S59" s="304">
        <f t="shared" si="1"/>
        <v>0.6</v>
      </c>
    </row>
    <row r="60" spans="1:19" ht="15" customHeight="1">
      <c r="A60" s="16"/>
      <c r="B60" s="672" t="s">
        <v>319</v>
      </c>
      <c r="C60" s="673"/>
      <c r="D60" s="181">
        <f>'PVC-A7'!D60*0.5</f>
        <v>254.47500000000002</v>
      </c>
      <c r="E60" s="67">
        <f>'PVC-A7'!E60*0.5</f>
        <v>254.47500000000002</v>
      </c>
      <c r="F60" s="67">
        <f>'PVC-A7'!F60*0.5</f>
        <v>254.47500000000002</v>
      </c>
      <c r="G60" s="67">
        <f>'PVC-A7'!G60*0.5</f>
        <v>254.47500000000002</v>
      </c>
      <c r="H60" s="67">
        <f>'PVC-A7'!H60*0.5</f>
        <v>254.47500000000002</v>
      </c>
      <c r="I60" s="182">
        <f>'PVC-A7'!I60*0.5</f>
        <v>352.5</v>
      </c>
      <c r="J60" s="182">
        <f>'PVC-A7'!J60*0.5</f>
        <v>352.35</v>
      </c>
      <c r="K60" s="183">
        <f>'PVC-A7'!K60*0.5</f>
        <v>352.35</v>
      </c>
      <c r="L60" s="184">
        <f>'PVC-A7'!L60*0.5</f>
        <v>352.35</v>
      </c>
      <c r="M60" s="182">
        <f>'PVC-A7'!M60*0.5</f>
        <v>352.35</v>
      </c>
      <c r="N60" s="182">
        <f>'PVC-A7'!N60*0.5</f>
        <v>352.35</v>
      </c>
      <c r="O60" s="182">
        <f>'PVC-A7'!O60*0.5</f>
        <v>352.35</v>
      </c>
      <c r="P60" s="182">
        <f>'PVC-A7'!P60*0.5</f>
        <v>352.5</v>
      </c>
      <c r="Q60" s="185">
        <f>'PVC-A7'!Q60*0.5</f>
        <v>352.5</v>
      </c>
      <c r="R60" s="299">
        <f t="shared" si="0"/>
        <v>4.8</v>
      </c>
      <c r="S60" s="300">
        <f t="shared" si="1"/>
        <v>0</v>
      </c>
    </row>
    <row r="61" spans="1:19" ht="15" customHeight="1">
      <c r="A61" s="16"/>
      <c r="B61" s="668" t="s">
        <v>320</v>
      </c>
      <c r="C61" s="669"/>
      <c r="D61" s="181">
        <f>'PVC-A7'!D61*0.5</f>
        <v>345.5</v>
      </c>
      <c r="E61" s="67">
        <f>'PVC-A7'!E61*0.5</f>
        <v>325</v>
      </c>
      <c r="F61" s="67">
        <f>'PVC-A7'!F61*0.5</f>
        <v>335</v>
      </c>
      <c r="G61" s="67">
        <f>'PVC-A7'!G61*0.5</f>
        <v>345</v>
      </c>
      <c r="H61" s="67">
        <f>'PVC-A7'!H61*0.5</f>
        <v>348.5</v>
      </c>
      <c r="I61" s="182">
        <f>'PVC-A7'!I61*0.5</f>
        <v>348.5</v>
      </c>
      <c r="J61" s="182">
        <f>'PVC-A7'!J61*0.5</f>
        <v>357</v>
      </c>
      <c r="K61" s="183">
        <f>'PVC-A7'!K61*0.5</f>
        <v>357</v>
      </c>
      <c r="L61" s="184">
        <f>'PVC-A7'!L61*0.5</f>
        <v>357</v>
      </c>
      <c r="M61" s="182">
        <f>'PVC-A7'!M61*0.5</f>
        <v>357</v>
      </c>
      <c r="N61" s="182">
        <f>'PVC-A7'!N61*0.5</f>
        <v>357</v>
      </c>
      <c r="O61" s="182">
        <f>'PVC-A7'!O61*0.5</f>
        <v>357</v>
      </c>
      <c r="P61" s="182">
        <f>'PVC-A7'!P61*0.5</f>
        <v>357</v>
      </c>
      <c r="Q61" s="185">
        <f>'PVC-A7'!Q61*0.5</f>
        <v>357</v>
      </c>
      <c r="R61" s="299">
        <f t="shared" si="0"/>
        <v>0.5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'PVC-A7'!D62*0.5</f>
        <v>250</v>
      </c>
      <c r="E62" s="67">
        <f>'PVC-A7'!E62*0.5</f>
        <v>317</v>
      </c>
      <c r="F62" s="67">
        <f>'PVC-A7'!F62*0.5</f>
        <v>338</v>
      </c>
      <c r="G62" s="67">
        <f>'PVC-A7'!G62*0.5</f>
        <v>350</v>
      </c>
      <c r="H62" s="67">
        <f>'PVC-A7'!H62*0.5</f>
        <v>359</v>
      </c>
      <c r="I62" s="182">
        <f>'PVC-A7'!I62*0.5</f>
        <v>294.5</v>
      </c>
      <c r="J62" s="182">
        <f>'PVC-A7'!J62*0.5</f>
        <v>294.5</v>
      </c>
      <c r="K62" s="183">
        <f>'PVC-A7'!K62*0.5</f>
        <v>294.5</v>
      </c>
      <c r="L62" s="184">
        <f>'PVC-A7'!L62*0.5</f>
        <v>294.5</v>
      </c>
      <c r="M62" s="182">
        <f>'PVC-A7'!M62*0.5</f>
        <v>294.5</v>
      </c>
      <c r="N62" s="182">
        <f>'PVC-A7'!N62*0.5</f>
        <v>294.5</v>
      </c>
      <c r="O62" s="182">
        <f>'PVC-A7'!O62*0.5</f>
        <v>294.5</v>
      </c>
      <c r="P62" s="182">
        <f>'PVC-A7'!P62*0.5</f>
        <v>294.5</v>
      </c>
      <c r="Q62" s="185">
        <f>'PVC-A7'!Q62*0.5</f>
        <v>294.5</v>
      </c>
      <c r="R62" s="299">
        <f t="shared" si="0"/>
        <v>2.4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99">
        <f>'PVC-A7'!D63*0.5</f>
        <v>849.97500000000002</v>
      </c>
      <c r="E63" s="200">
        <f>'PVC-A7'!E63*0.5</f>
        <v>896.47500000000002</v>
      </c>
      <c r="F63" s="200">
        <f>'PVC-A7'!F63*0.5</f>
        <v>927.47500000000002</v>
      </c>
      <c r="G63" s="200">
        <f>'PVC-A7'!G63*0.5</f>
        <v>949.47500000000002</v>
      </c>
      <c r="H63" s="200">
        <f>'PVC-A7'!H63*0.5</f>
        <v>961.97500000000002</v>
      </c>
      <c r="I63" s="200">
        <f>'PVC-A7'!I63*0.5</f>
        <v>995.5</v>
      </c>
      <c r="J63" s="200">
        <f>'PVC-A7'!J63*0.5</f>
        <v>1003.85</v>
      </c>
      <c r="K63" s="201">
        <f>'PVC-A7'!K63*0.5</f>
        <v>1003.85</v>
      </c>
      <c r="L63" s="202">
        <f>'PVC-A7'!L63*0.5</f>
        <v>1003.85</v>
      </c>
      <c r="M63" s="200">
        <f>'PVC-A7'!M63*0.5</f>
        <v>1003.85</v>
      </c>
      <c r="N63" s="200">
        <f>'PVC-A7'!N63*0.5</f>
        <v>1003.85</v>
      </c>
      <c r="O63" s="200">
        <f>'PVC-A7'!O63*0.5</f>
        <v>1003.85</v>
      </c>
      <c r="P63" s="200">
        <f>'PVC-A7'!P63*0.5</f>
        <v>1004</v>
      </c>
      <c r="Q63" s="203">
        <f>'PVC-A7'!Q63*0.5</f>
        <v>1004</v>
      </c>
      <c r="R63" s="306">
        <f t="shared" si="0"/>
        <v>2.4</v>
      </c>
      <c r="S63" s="307">
        <f t="shared" si="1"/>
        <v>0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7">D63+D59+D56+D55+D53+D51+D49+D48</f>
        <v>12886.727050000001</v>
      </c>
      <c r="E64" s="210">
        <f t="shared" si="7"/>
        <v>13406.775</v>
      </c>
      <c r="F64" s="210">
        <f t="shared" si="7"/>
        <v>13473.325000000001</v>
      </c>
      <c r="G64" s="210">
        <f t="shared" si="7"/>
        <v>13667.191999999999</v>
      </c>
      <c r="H64" s="210">
        <f t="shared" si="7"/>
        <v>13660.151999999998</v>
      </c>
      <c r="I64" s="210">
        <f t="shared" si="7"/>
        <v>14366.4395</v>
      </c>
      <c r="J64" s="210">
        <f t="shared" si="7"/>
        <v>14583.7</v>
      </c>
      <c r="K64" s="211">
        <f t="shared" si="7"/>
        <v>15367.691999999999</v>
      </c>
      <c r="L64" s="212">
        <f t="shared" si="7"/>
        <v>15586.611999999999</v>
      </c>
      <c r="M64" s="210">
        <f t="shared" si="7"/>
        <v>15804.03486</v>
      </c>
      <c r="N64" s="210">
        <f t="shared" si="7"/>
        <v>16143.383752899997</v>
      </c>
      <c r="O64" s="210">
        <f t="shared" si="7"/>
        <v>16368.344379193499</v>
      </c>
      <c r="P64" s="210">
        <f t="shared" si="7"/>
        <v>16556.418414881402</v>
      </c>
      <c r="Q64" s="213">
        <f t="shared" si="7"/>
        <v>16722.607561104625</v>
      </c>
      <c r="R64" s="310">
        <f t="shared" si="0"/>
        <v>2.5</v>
      </c>
      <c r="S64" s="311">
        <f t="shared" si="1"/>
        <v>1.4</v>
      </c>
    </row>
    <row r="65" spans="1:19" ht="15" customHeight="1">
      <c r="A65" s="616" t="s">
        <v>327</v>
      </c>
      <c r="B65" s="644" t="s">
        <v>433</v>
      </c>
      <c r="C65" s="645"/>
      <c r="D65" s="175">
        <f>'PVC-A7'!D65*0.5</f>
        <v>425</v>
      </c>
      <c r="E65" s="176">
        <f>'PVC-A7'!E65*0.5</f>
        <v>433.5</v>
      </c>
      <c r="F65" s="176">
        <f>'PVC-A7'!F65*0.5</f>
        <v>411.5</v>
      </c>
      <c r="G65" s="176">
        <f>'PVC-A7'!G65*0.5</f>
        <v>412.5</v>
      </c>
      <c r="H65" s="177">
        <f>'PVC-A7'!H65*0.5</f>
        <v>443.5</v>
      </c>
      <c r="I65" s="177">
        <f>'PVC-A7'!I65*0.5</f>
        <v>491</v>
      </c>
      <c r="J65" s="177">
        <f>'PVC-A7'!J65*0.5</f>
        <v>560</v>
      </c>
      <c r="K65" s="178">
        <f>'PVC-A7'!K65*0.5</f>
        <v>596.5</v>
      </c>
      <c r="L65" s="179">
        <f>'PVC-A7'!L65*0.5</f>
        <v>585</v>
      </c>
      <c r="M65" s="177">
        <f>'PVC-A7'!M65*0.5</f>
        <v>585</v>
      </c>
      <c r="N65" s="177">
        <f>'PVC-A7'!N65*0.5</f>
        <v>585</v>
      </c>
      <c r="O65" s="177">
        <f>'PVC-A7'!O65*0.5</f>
        <v>590</v>
      </c>
      <c r="P65" s="177">
        <f>'PVC-A7'!P65*0.5</f>
        <v>590</v>
      </c>
      <c r="Q65" s="180">
        <f>'PVC-A7'!Q65*0.5</f>
        <v>600</v>
      </c>
      <c r="R65" s="276">
        <f t="shared" si="0"/>
        <v>5</v>
      </c>
      <c r="S65" s="298">
        <f t="shared" si="1"/>
        <v>0.5</v>
      </c>
    </row>
    <row r="66" spans="1:19" ht="15" customHeight="1">
      <c r="A66" s="614" t="s">
        <v>328</v>
      </c>
      <c r="B66" s="605" t="s">
        <v>434</v>
      </c>
      <c r="C66" s="606"/>
      <c r="D66" s="181">
        <f>'PVC-A7'!D66*0.5</f>
        <v>314.5</v>
      </c>
      <c r="E66" s="67">
        <f>'PVC-A7'!E66*0.5</f>
        <v>290.5</v>
      </c>
      <c r="F66" s="67">
        <f>'PVC-A7'!F66*0.5</f>
        <v>271</v>
      </c>
      <c r="G66" s="67">
        <f>'PVC-A7'!G66*0.5</f>
        <v>287.5</v>
      </c>
      <c r="H66" s="182">
        <f>'PVC-A7'!H66*0.5</f>
        <v>283.5</v>
      </c>
      <c r="I66" s="182">
        <f>'PVC-A7'!I66*0.5</f>
        <v>260</v>
      </c>
      <c r="J66" s="182">
        <f>'PVC-A7'!J66*0.5</f>
        <v>259</v>
      </c>
      <c r="K66" s="183">
        <f>'PVC-A7'!K66*0.5</f>
        <v>237.5</v>
      </c>
      <c r="L66" s="184">
        <f>'PVC-A7'!L66*0.5</f>
        <v>260</v>
      </c>
      <c r="M66" s="182">
        <f>'PVC-A7'!M66*0.5</f>
        <v>262.5</v>
      </c>
      <c r="N66" s="182">
        <f>'PVC-A7'!N66*0.5</f>
        <v>262.5</v>
      </c>
      <c r="O66" s="182">
        <f>'PVC-A7'!O66*0.5</f>
        <v>262.5</v>
      </c>
      <c r="P66" s="182">
        <f>'PVC-A7'!P66*0.5</f>
        <v>265</v>
      </c>
      <c r="Q66" s="185">
        <f>'PVC-A7'!Q66*0.5</f>
        <v>265</v>
      </c>
      <c r="R66" s="299">
        <f t="shared" si="0"/>
        <v>-3.9</v>
      </c>
      <c r="S66" s="300">
        <f t="shared" si="1"/>
        <v>0.4</v>
      </c>
    </row>
    <row r="67" spans="1:19" ht="15" customHeight="1">
      <c r="A67" s="16"/>
      <c r="B67" s="605" t="s">
        <v>435</v>
      </c>
      <c r="C67" s="606"/>
      <c r="D67" s="181">
        <f>'PVC-A7'!D67*0.5</f>
        <v>21</v>
      </c>
      <c r="E67" s="67">
        <f>'PVC-A7'!E67*0.5</f>
        <v>18.528500000000001</v>
      </c>
      <c r="F67" s="67">
        <f>'PVC-A7'!F67*0.5</f>
        <v>19.674500000000002</v>
      </c>
      <c r="G67" s="67">
        <f>'PVC-A7'!G67*0.5</f>
        <v>18.2545</v>
      </c>
      <c r="H67" s="67">
        <f>'PVC-A7'!H67*0.5</f>
        <v>18.783880499999999</v>
      </c>
      <c r="I67" s="62">
        <f>'PVC-A7'!I67*0.5</f>
        <v>16.944499999999998</v>
      </c>
      <c r="J67" s="62">
        <f>'PVC-A7'!J67*0.5</f>
        <v>17.5</v>
      </c>
      <c r="K67" s="63">
        <f>'PVC-A7'!K67*0.5</f>
        <v>21.5</v>
      </c>
      <c r="L67" s="64">
        <f>'PVC-A7'!L67*0.5</f>
        <v>22</v>
      </c>
      <c r="M67" s="62">
        <f>'PVC-A7'!M67*0.5</f>
        <v>23</v>
      </c>
      <c r="N67" s="62">
        <f>'PVC-A7'!N67*0.5</f>
        <v>23.5</v>
      </c>
      <c r="O67" s="62">
        <f>'PVC-A7'!O67*0.5</f>
        <v>24</v>
      </c>
      <c r="P67" s="62">
        <f>'PVC-A7'!P67*0.5</f>
        <v>24.5</v>
      </c>
      <c r="Q67" s="65">
        <f>'PVC-A7'!Q67*0.5</f>
        <v>25</v>
      </c>
      <c r="R67" s="301">
        <f t="shared" si="0"/>
        <v>0.3</v>
      </c>
      <c r="S67" s="300">
        <f t="shared" si="1"/>
        <v>2.6</v>
      </c>
    </row>
    <row r="68" spans="1:19" ht="15" customHeight="1">
      <c r="A68" s="16"/>
      <c r="B68" s="605" t="s">
        <v>436</v>
      </c>
      <c r="C68" s="606"/>
      <c r="D68" s="181">
        <f>('PVC-A7'!D68-'PVC-A7'!D39)*0.5+('PVC-A7'!D39)*0.5*0.2</f>
        <v>1704.8</v>
      </c>
      <c r="E68" s="67">
        <f>('PVC-A7'!E68-'PVC-A7'!E39)*0.5+('PVC-A7'!E39)*0.5*0.2</f>
        <v>1710.6000000000001</v>
      </c>
      <c r="F68" s="67">
        <f>('PVC-A7'!F68-'PVC-A7'!F39)*0.5+('PVC-A7'!F39)*0.5*0.2</f>
        <v>1823.6000000000001</v>
      </c>
      <c r="G68" s="67">
        <f>('PVC-A7'!G68-'PVC-A7'!G39)*0.5+('PVC-A7'!G39)*0.5*0.2</f>
        <v>1697.2</v>
      </c>
      <c r="H68" s="67">
        <f>('PVC-A7'!H68-'PVC-A7'!H39)*0.5+('PVC-A7'!H39)*0.5*0.2</f>
        <v>1428.2</v>
      </c>
      <c r="I68" s="67">
        <f>('PVC-A7'!I68-'PVC-A7'!I39)*0.5+('PVC-A7'!I39)*0.5*0.2</f>
        <v>1670.8000000000002</v>
      </c>
      <c r="J68" s="67">
        <f>('PVC-A7'!J68-'PVC-A7'!J39)*0.5+('PVC-A7'!J39)*0.5*0.2</f>
        <v>1563</v>
      </c>
      <c r="K68" s="186">
        <f>('PVC-A7'!K68-'PVC-A7'!K39)*0.5+('PVC-A7'!K39)*0.5*0.2</f>
        <v>1699.8000000000002</v>
      </c>
      <c r="L68" s="187">
        <f>('PVC-A7'!L68-'PVC-A7'!L39)*0.9*0.5+('PVC-A7'!L39)*0.5*0.2</f>
        <v>1748.4500000000003</v>
      </c>
      <c r="M68" s="67">
        <f>('PVC-A7'!M68-'PVC-A7'!M39)*0.9*0.5+('PVC-A7'!M39)*0.5*0.2</f>
        <v>1737.5</v>
      </c>
      <c r="N68" s="67">
        <f>('PVC-A7'!N68-'PVC-A7'!N39)*0.9*0.5+('PVC-A7'!N39)*0.5*0.2</f>
        <v>1720.8500000000001</v>
      </c>
      <c r="O68" s="67">
        <f>('PVC-A7'!O68-'PVC-A7'!O39)*0.9*0.5+('PVC-A7'!O39)*0.5*0.2</f>
        <v>1795.9500000000003</v>
      </c>
      <c r="P68" s="67">
        <f>('PVC-A7'!P68-'PVC-A7'!P39)*0.9*0.5+('PVC-A7'!P39)*0.5*0.2</f>
        <v>1861.75</v>
      </c>
      <c r="Q68" s="68">
        <f>('PVC-A7'!Q68-'PVC-A7'!Q39)*0.9*0.5+('PVC-A7'!Q39)*0.5*0.2</f>
        <v>1915.2500000000002</v>
      </c>
      <c r="R68" s="299">
        <f t="shared" si="0"/>
        <v>0</v>
      </c>
      <c r="S68" s="300">
        <f t="shared" si="1"/>
        <v>1.8</v>
      </c>
    </row>
    <row r="69" spans="1:19" ht="15" customHeight="1">
      <c r="A69" s="16"/>
      <c r="B69" s="605" t="s">
        <v>437</v>
      </c>
      <c r="C69" s="606"/>
      <c r="D69" s="181">
        <f>'PVC-A7'!D69*0.5</f>
        <v>220.5</v>
      </c>
      <c r="E69" s="67">
        <f>'PVC-A7'!E69*0.5</f>
        <v>235</v>
      </c>
      <c r="F69" s="67">
        <f>'PVC-A7'!F69*0.5</f>
        <v>252</v>
      </c>
      <c r="G69" s="67">
        <f>'PVC-A7'!G69*0.5</f>
        <v>220.542</v>
      </c>
      <c r="H69" s="67">
        <f>'PVC-A7'!H69*0.5</f>
        <v>240.76399999999998</v>
      </c>
      <c r="I69" s="182">
        <f>'PVC-A7'!I69*0.5</f>
        <v>262.423</v>
      </c>
      <c r="J69" s="182">
        <f>'PVC-A7'!J69*0.5</f>
        <v>300.5</v>
      </c>
      <c r="K69" s="183">
        <f>'PVC-A7'!K69*0.5</f>
        <v>216.9435</v>
      </c>
      <c r="L69" s="184">
        <f>'PVC-A7'!L69*0.5</f>
        <v>221.93320049999997</v>
      </c>
      <c r="M69" s="182">
        <f>'PVC-A7'!M69*0.5</f>
        <v>226.21651126965</v>
      </c>
      <c r="N69" s="182">
        <f>'PVC-A7'!N69*0.5</f>
        <v>230.39020590257505</v>
      </c>
      <c r="O69" s="182">
        <f>'PVC-A7'!O69*0.5</f>
        <v>234.47963205734573</v>
      </c>
      <c r="P69" s="182">
        <f>'PVC-A7'!P69*0.5</f>
        <v>238.5830256183493</v>
      </c>
      <c r="Q69" s="185">
        <f>'PVC-A7'!Q69*0.5</f>
        <v>242.82980347435591</v>
      </c>
      <c r="R69" s="299">
        <f t="shared" si="0"/>
        <v>-0.2</v>
      </c>
      <c r="S69" s="300">
        <f t="shared" si="1"/>
        <v>1.8</v>
      </c>
    </row>
    <row r="70" spans="1:19" ht="15" customHeight="1">
      <c r="A70" s="16"/>
      <c r="B70" s="605" t="s">
        <v>438</v>
      </c>
      <c r="C70" s="606"/>
      <c r="D70" s="181">
        <f>'PVC-A7'!D70*0.5</f>
        <v>182</v>
      </c>
      <c r="E70" s="67">
        <f>'PVC-A7'!E70*0.5</f>
        <v>193</v>
      </c>
      <c r="F70" s="67">
        <f>'PVC-A7'!F70*0.5</f>
        <v>260</v>
      </c>
      <c r="G70" s="67">
        <f>'PVC-A7'!G70*0.5</f>
        <v>260</v>
      </c>
      <c r="H70" s="67">
        <f>'PVC-A7'!H70*0.5</f>
        <v>273</v>
      </c>
      <c r="I70" s="67">
        <f>'PVC-A7'!I70*0.5</f>
        <v>286.5</v>
      </c>
      <c r="J70" s="67">
        <f>'PVC-A7'!J70*0.5</f>
        <v>301</v>
      </c>
      <c r="K70" s="186">
        <f>'PVC-A7'!K70*0.5</f>
        <v>335</v>
      </c>
      <c r="L70" s="187">
        <f>'PVC-A7'!L70*0.5</f>
        <v>331.5</v>
      </c>
      <c r="M70" s="67">
        <f>'PVC-A7'!M70*0.5</f>
        <v>348.5</v>
      </c>
      <c r="N70" s="67">
        <f>'PVC-A7'!N70*0.5</f>
        <v>365</v>
      </c>
      <c r="O70" s="67">
        <f>'PVC-A7'!O70*0.5</f>
        <v>385</v>
      </c>
      <c r="P70" s="67">
        <f>'PVC-A7'!P70*0.5</f>
        <v>402.5</v>
      </c>
      <c r="Q70" s="68">
        <f>'PVC-A7'!Q70*0.5</f>
        <v>422.5</v>
      </c>
      <c r="R70" s="299">
        <f t="shared" si="0"/>
        <v>9.1</v>
      </c>
      <c r="S70" s="300">
        <f t="shared" si="1"/>
        <v>5</v>
      </c>
    </row>
    <row r="71" spans="1:19" ht="15" customHeight="1">
      <c r="A71" s="16"/>
      <c r="B71" s="605" t="s">
        <v>439</v>
      </c>
      <c r="C71" s="606"/>
      <c r="D71" s="181">
        <f>'PVC-A7'!D71*0.5</f>
        <v>937.5</v>
      </c>
      <c r="E71" s="67">
        <f>'PVC-A7'!E71*0.5</f>
        <v>986</v>
      </c>
      <c r="F71" s="67">
        <f>'PVC-A7'!F71*0.5</f>
        <v>1062</v>
      </c>
      <c r="G71" s="67">
        <f>'PVC-A7'!G71*0.5</f>
        <v>1250.5</v>
      </c>
      <c r="H71" s="67">
        <f>'PVC-A7'!H71*0.5</f>
        <v>1275</v>
      </c>
      <c r="I71" s="182">
        <f>'PVC-A7'!I71*0.5</f>
        <v>1250</v>
      </c>
      <c r="J71" s="182">
        <f>'PVC-A7'!J71*0.5</f>
        <v>1468</v>
      </c>
      <c r="K71" s="183">
        <f>'PVC-A7'!K71*0.5</f>
        <v>1450</v>
      </c>
      <c r="L71" s="184">
        <f>'PVC-A7'!L71*0.5</f>
        <v>1500</v>
      </c>
      <c r="M71" s="182">
        <f>'PVC-A7'!M71*0.5</f>
        <v>1600</v>
      </c>
      <c r="N71" s="182">
        <f>'PVC-A7'!N71*0.5</f>
        <v>1700</v>
      </c>
      <c r="O71" s="182">
        <f>'PVC-A7'!O71*0.5</f>
        <v>1800</v>
      </c>
      <c r="P71" s="182">
        <f>'PVC-A7'!P71*0.5</f>
        <v>1900</v>
      </c>
      <c r="Q71" s="185">
        <f>'PVC-A7'!Q71*0.5</f>
        <v>1900</v>
      </c>
      <c r="R71" s="299">
        <f t="shared" si="0"/>
        <v>6.4</v>
      </c>
      <c r="S71" s="300">
        <f t="shared" si="1"/>
        <v>4.8</v>
      </c>
    </row>
    <row r="72" spans="1:19" ht="15.75" hidden="1" customHeight="1">
      <c r="A72" s="16"/>
      <c r="B72" s="16"/>
      <c r="C72" s="90" t="s">
        <v>306</v>
      </c>
      <c r="D72" s="181">
        <f>'PVC-A7'!D72*0.5</f>
        <v>0</v>
      </c>
      <c r="E72" s="67">
        <f>'PVC-A7'!E72*0.5</f>
        <v>0</v>
      </c>
      <c r="F72" s="67">
        <f>'PVC-A7'!F72*0.5</f>
        <v>0</v>
      </c>
      <c r="G72" s="67">
        <f>'PVC-A7'!G72*0.5</f>
        <v>0</v>
      </c>
      <c r="H72" s="67">
        <f>'PVC-A7'!H72*0.5</f>
        <v>0</v>
      </c>
      <c r="I72" s="67">
        <f>'PVC-A7'!I72*0.5</f>
        <v>0</v>
      </c>
      <c r="J72" s="67">
        <f>'PVC-A7'!J72*0.5</f>
        <v>0</v>
      </c>
      <c r="K72" s="183">
        <f>'PVC-A7'!K72*0.5</f>
        <v>0</v>
      </c>
      <c r="L72" s="184">
        <f>'PVC-A7'!L72*0.5</f>
        <v>0</v>
      </c>
      <c r="M72" s="182">
        <f>'PVC-A7'!M72*0.5</f>
        <v>0</v>
      </c>
      <c r="N72" s="182">
        <f>'PVC-A7'!N72*0.5</f>
        <v>0</v>
      </c>
      <c r="O72" s="182">
        <f>'PVC-A7'!O72*0.5</f>
        <v>0</v>
      </c>
      <c r="P72" s="182">
        <f>'PVC-A7'!P72*0.5</f>
        <v>0</v>
      </c>
      <c r="Q72" s="185">
        <f>'PVC-A7'!Q72*0.5</f>
        <v>0</v>
      </c>
      <c r="R72" s="299" t="str">
        <f t="shared" ref="R72:R93" si="8">IF(D72=0,"     -",IF(K72=0,"     -",ROUND(((K72/D72)^(1/7)-1)*100,1)))</f>
        <v xml:space="preserve">     -</v>
      </c>
      <c r="S72" s="300" t="str">
        <f t="shared" ref="S72:S93" si="9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'PVC-A7'!D73*0.5</f>
        <v>55</v>
      </c>
      <c r="E73" s="67">
        <f>'PVC-A7'!E73*0.5</f>
        <v>44.5</v>
      </c>
      <c r="F73" s="67">
        <f>'PVC-A7'!F73*0.5</f>
        <v>53.74</v>
      </c>
      <c r="G73" s="67">
        <f>'PVC-A7'!G73*0.5</f>
        <v>63</v>
      </c>
      <c r="H73" s="67">
        <f>'PVC-A7'!H73*0.5</f>
        <v>53.5</v>
      </c>
      <c r="I73" s="67">
        <f>'PVC-A7'!I73*0.5</f>
        <v>56.71</v>
      </c>
      <c r="J73" s="67">
        <f>'PVC-A7'!J73*0.5</f>
        <v>62</v>
      </c>
      <c r="K73" s="186">
        <f>'PVC-A7'!K73*0.5</f>
        <v>68.5</v>
      </c>
      <c r="L73" s="187">
        <f>'PVC-A7'!L73*0.5</f>
        <v>75</v>
      </c>
      <c r="M73" s="67">
        <f>'PVC-A7'!M73*0.5</f>
        <v>82.5</v>
      </c>
      <c r="N73" s="67">
        <f>'PVC-A7'!N73*0.5</f>
        <v>91</v>
      </c>
      <c r="O73" s="67">
        <f>'PVC-A7'!O73*0.5</f>
        <v>100</v>
      </c>
      <c r="P73" s="67">
        <f>'PVC-A7'!P73*0.5</f>
        <v>110</v>
      </c>
      <c r="Q73" s="68">
        <f>'PVC-A7'!Q73*0.5</f>
        <v>121</v>
      </c>
      <c r="R73" s="302">
        <f t="shared" si="8"/>
        <v>3.2</v>
      </c>
      <c r="S73" s="300">
        <f t="shared" si="9"/>
        <v>10</v>
      </c>
    </row>
    <row r="74" spans="1:19" ht="15" customHeight="1">
      <c r="A74" s="16"/>
      <c r="B74" s="605" t="s">
        <v>441</v>
      </c>
      <c r="C74" s="606"/>
      <c r="D74" s="181">
        <f>'PVC-A7'!D74*0.5</f>
        <v>80</v>
      </c>
      <c r="E74" s="67">
        <f>'PVC-A7'!E74*0.5</f>
        <v>80</v>
      </c>
      <c r="F74" s="67">
        <f>'PVC-A7'!F74*0.5</f>
        <v>94</v>
      </c>
      <c r="G74" s="67">
        <f>'PVC-A7'!G74*0.5</f>
        <v>115</v>
      </c>
      <c r="H74" s="67">
        <f>'PVC-A7'!H74*0.5</f>
        <v>115</v>
      </c>
      <c r="I74" s="182">
        <f>'PVC-A7'!I74*0.5</f>
        <v>115</v>
      </c>
      <c r="J74" s="182">
        <f>'PVC-A7'!J74*0.5</f>
        <v>125</v>
      </c>
      <c r="K74" s="183">
        <f>'PVC-A7'!K74*0.5</f>
        <v>127</v>
      </c>
      <c r="L74" s="184">
        <f>'PVC-A7'!L74*0.5</f>
        <v>132.96899999999999</v>
      </c>
      <c r="M74" s="182">
        <f>'PVC-A7'!M74*0.5</f>
        <v>139.08557400000001</v>
      </c>
      <c r="N74" s="182">
        <f>'PVC-A7'!N74*0.5</f>
        <v>145.76168155200003</v>
      </c>
      <c r="O74" s="182">
        <f>'PVC-A7'!O74*0.5</f>
        <v>152.81654693911682</v>
      </c>
      <c r="P74" s="182">
        <f>'PVC-A7'!P74*0.5</f>
        <v>160.21286781097007</v>
      </c>
      <c r="Q74" s="185">
        <f>'PVC-A7'!Q74*0.5</f>
        <v>167.96717061302101</v>
      </c>
      <c r="R74" s="299">
        <f t="shared" si="8"/>
        <v>6.8</v>
      </c>
      <c r="S74" s="300">
        <f t="shared" si="9"/>
        <v>4.8</v>
      </c>
    </row>
    <row r="75" spans="1:19" ht="15" customHeight="1">
      <c r="A75" s="16"/>
      <c r="B75" s="605" t="s">
        <v>442</v>
      </c>
      <c r="C75" s="606"/>
      <c r="D75" s="181">
        <f>'PVC-A7'!D75*0.5</f>
        <v>125</v>
      </c>
      <c r="E75" s="67">
        <f>'PVC-A7'!E75*0.5</f>
        <v>133.5</v>
      </c>
      <c r="F75" s="67">
        <f>'PVC-A7'!F75*0.5</f>
        <v>142.5</v>
      </c>
      <c r="G75" s="67">
        <f>'PVC-A7'!G75*0.5</f>
        <v>152.5</v>
      </c>
      <c r="H75" s="67">
        <f>'PVC-A7'!H75*0.5</f>
        <v>162.5</v>
      </c>
      <c r="I75" s="67">
        <f>'PVC-A7'!I75*0.5</f>
        <v>173.5</v>
      </c>
      <c r="J75" s="67">
        <f>'PVC-A7'!J75*0.5</f>
        <v>184.5</v>
      </c>
      <c r="K75" s="186">
        <f>'PVC-A7'!K75*0.5</f>
        <v>269</v>
      </c>
      <c r="L75" s="187">
        <f>'PVC-A7'!L75*0.5</f>
        <v>289</v>
      </c>
      <c r="M75" s="67">
        <f>'PVC-A7'!M75*0.5</f>
        <v>306</v>
      </c>
      <c r="N75" s="67">
        <f>'PVC-A7'!N75*0.5</f>
        <v>324</v>
      </c>
      <c r="O75" s="67">
        <f>'PVC-A7'!O75*0.5</f>
        <v>343.5</v>
      </c>
      <c r="P75" s="67">
        <f>'PVC-A7'!P75*0.5</f>
        <v>364</v>
      </c>
      <c r="Q75" s="68">
        <f>'PVC-A7'!Q75*0.5</f>
        <v>385.5</v>
      </c>
      <c r="R75" s="302">
        <f t="shared" si="8"/>
        <v>11.6</v>
      </c>
      <c r="S75" s="300">
        <f t="shared" si="9"/>
        <v>5.9</v>
      </c>
    </row>
    <row r="76" spans="1:19" ht="15" customHeight="1">
      <c r="A76" s="16"/>
      <c r="B76" s="607" t="s">
        <v>443</v>
      </c>
      <c r="C76" s="608"/>
      <c r="D76" s="222">
        <f>'PVC-A7'!D76*0.5</f>
        <v>518.29999999999995</v>
      </c>
      <c r="E76" s="67">
        <f>'PVC-A7'!E76*0.5</f>
        <v>535.04999999999995</v>
      </c>
      <c r="F76" s="67">
        <f>'PVC-A7'!F76*0.5</f>
        <v>523.6</v>
      </c>
      <c r="G76" s="67">
        <f>'PVC-A7'!G76*0.5</f>
        <v>539.1</v>
      </c>
      <c r="H76" s="67">
        <f>'PVC-A7'!H76*0.5</f>
        <v>531.20000000000005</v>
      </c>
      <c r="I76" s="67">
        <f>'PVC-A7'!I76*0.5</f>
        <v>540.65</v>
      </c>
      <c r="J76" s="67">
        <f>'PVC-A7'!J76*0.5</f>
        <v>507.6</v>
      </c>
      <c r="K76" s="402">
        <f>'PVC-A7'!K76*0.5</f>
        <v>524.54999999999995</v>
      </c>
      <c r="L76" s="224">
        <f>'PVC-A7'!L76*0.5</f>
        <v>528.9</v>
      </c>
      <c r="M76" s="67">
        <f>'PVC-A7'!M76*0.5</f>
        <v>525</v>
      </c>
      <c r="N76" s="67">
        <f>'PVC-A7'!N76*0.5</f>
        <v>510</v>
      </c>
      <c r="O76" s="67">
        <f>'PVC-A7'!O76*0.5</f>
        <v>505</v>
      </c>
      <c r="P76" s="67">
        <f>'PVC-A7'!P76*0.5</f>
        <v>505</v>
      </c>
      <c r="Q76" s="223">
        <f>'PVC-A7'!Q76*0.5</f>
        <v>505</v>
      </c>
      <c r="R76" s="299">
        <f t="shared" si="8"/>
        <v>0.2</v>
      </c>
      <c r="S76" s="300">
        <f t="shared" si="9"/>
        <v>-0.9</v>
      </c>
    </row>
    <row r="77" spans="1:19" ht="15.75" customHeight="1">
      <c r="A77" s="16"/>
      <c r="B77" s="674" t="s">
        <v>307</v>
      </c>
      <c r="C77" s="675"/>
      <c r="D77" s="189">
        <f>SUM(D65:D76)</f>
        <v>4583.6000000000004</v>
      </c>
      <c r="E77" s="190">
        <f t="shared" ref="E77:K77" si="10">SUM(E65:E76)</f>
        <v>4660.1785000000009</v>
      </c>
      <c r="F77" s="190">
        <f t="shared" si="10"/>
        <v>4913.6144999999997</v>
      </c>
      <c r="G77" s="190">
        <f t="shared" si="10"/>
        <v>5016.0964999999997</v>
      </c>
      <c r="H77" s="190">
        <f t="shared" si="10"/>
        <v>4824.9478804999999</v>
      </c>
      <c r="I77" s="190">
        <f t="shared" si="10"/>
        <v>5123.5275000000001</v>
      </c>
      <c r="J77" s="190">
        <f t="shared" si="10"/>
        <v>5348.1</v>
      </c>
      <c r="K77" s="191">
        <f t="shared" si="10"/>
        <v>5546.2935000000007</v>
      </c>
      <c r="L77" s="192">
        <f t="shared" ref="L77:Q77" si="11">SUM(L65:L76)</f>
        <v>5694.7522005000001</v>
      </c>
      <c r="M77" s="190">
        <f t="shared" si="11"/>
        <v>5835.3020852696491</v>
      </c>
      <c r="N77" s="190">
        <f t="shared" si="11"/>
        <v>5958.0018874545749</v>
      </c>
      <c r="O77" s="190">
        <f t="shared" si="11"/>
        <v>6193.2461789964627</v>
      </c>
      <c r="P77" s="190">
        <f t="shared" si="11"/>
        <v>6421.5458934293192</v>
      </c>
      <c r="Q77" s="193">
        <f t="shared" si="11"/>
        <v>6550.0469740873768</v>
      </c>
      <c r="R77" s="303">
        <f t="shared" si="8"/>
        <v>2.8</v>
      </c>
      <c r="S77" s="304">
        <f t="shared" si="9"/>
        <v>2.8</v>
      </c>
    </row>
    <row r="78" spans="1:19" ht="15" customHeight="1">
      <c r="A78" s="16"/>
      <c r="B78" s="672" t="s">
        <v>308</v>
      </c>
      <c r="C78" s="673"/>
      <c r="D78" s="194">
        <f>'PVC-A7'!D78*0.5</f>
        <v>167.5</v>
      </c>
      <c r="E78" s="195">
        <f>'PVC-A7'!E78*0.5</f>
        <v>152</v>
      </c>
      <c r="F78" s="195">
        <f>'PVC-A7'!F78*0.5</f>
        <v>87.5</v>
      </c>
      <c r="G78" s="195">
        <f>'PVC-A7'!G78*0.5</f>
        <v>87.5</v>
      </c>
      <c r="H78" s="195">
        <f>'PVC-A7'!H78*0.5</f>
        <v>92.5</v>
      </c>
      <c r="I78" s="195">
        <f>'PVC-A7'!I78*0.5</f>
        <v>107.5</v>
      </c>
      <c r="J78" s="195">
        <f>'PVC-A7'!J78*0.5</f>
        <v>100</v>
      </c>
      <c r="K78" s="196">
        <f>'PVC-A7'!K78*0.5</f>
        <v>109</v>
      </c>
      <c r="L78" s="197">
        <f>'PVC-A7'!L78*0.5</f>
        <v>115</v>
      </c>
      <c r="M78" s="195">
        <f>'PVC-A7'!M78*0.5</f>
        <v>115</v>
      </c>
      <c r="N78" s="195">
        <f>'PVC-A7'!N78*0.5</f>
        <v>116</v>
      </c>
      <c r="O78" s="195">
        <f>'PVC-A7'!O78*0.5</f>
        <v>117</v>
      </c>
      <c r="P78" s="195">
        <f>'PVC-A7'!P78*0.5</f>
        <v>118</v>
      </c>
      <c r="Q78" s="198">
        <f>'PVC-A7'!Q78*0.5</f>
        <v>119</v>
      </c>
      <c r="R78" s="305">
        <f t="shared" si="8"/>
        <v>-6</v>
      </c>
      <c r="S78" s="304">
        <f t="shared" si="9"/>
        <v>0.7</v>
      </c>
    </row>
    <row r="79" spans="1:19" ht="15" customHeight="1">
      <c r="A79" s="16"/>
      <c r="B79" s="105"/>
      <c r="C79" s="97" t="s">
        <v>309</v>
      </c>
      <c r="D79" s="194">
        <f>'PVC-A7'!D79*0.5</f>
        <v>150</v>
      </c>
      <c r="E79" s="195">
        <f>'PVC-A7'!E79*0.5</f>
        <v>152</v>
      </c>
      <c r="F79" s="195">
        <f>'PVC-A7'!F79*0.5</f>
        <v>87.5</v>
      </c>
      <c r="G79" s="195">
        <f>'PVC-A7'!G79*0.5</f>
        <v>87.5</v>
      </c>
      <c r="H79" s="195">
        <f>'PVC-A7'!H79*0.5</f>
        <v>92.5</v>
      </c>
      <c r="I79" s="195">
        <f>'PVC-A7'!I79*0.5</f>
        <v>107.5</v>
      </c>
      <c r="J79" s="195">
        <f>'PVC-A7'!J79*0.5</f>
        <v>100</v>
      </c>
      <c r="K79" s="196">
        <f>'PVC-A7'!K79*0.5</f>
        <v>109</v>
      </c>
      <c r="L79" s="197">
        <f>'PVC-A7'!L79*0.5</f>
        <v>115</v>
      </c>
      <c r="M79" s="195">
        <f>'PVC-A7'!M79*0.5</f>
        <v>115</v>
      </c>
      <c r="N79" s="195">
        <f>'PVC-A7'!N79*0.5</f>
        <v>116</v>
      </c>
      <c r="O79" s="195">
        <f>'PVC-A7'!O79*0.5</f>
        <v>117</v>
      </c>
      <c r="P79" s="195">
        <f>'PVC-A7'!P79*0.5</f>
        <v>118</v>
      </c>
      <c r="Q79" s="198">
        <f>'PVC-A7'!Q79*0.5</f>
        <v>119</v>
      </c>
      <c r="R79" s="305">
        <f t="shared" si="8"/>
        <v>-4.5</v>
      </c>
      <c r="S79" s="304">
        <f t="shared" si="9"/>
        <v>0.7</v>
      </c>
    </row>
    <row r="80" spans="1:19" ht="15.75" customHeight="1">
      <c r="A80" s="16"/>
      <c r="B80" s="672" t="s">
        <v>310</v>
      </c>
      <c r="C80" s="673"/>
      <c r="D80" s="181">
        <f>'PVC-A7'!D80*0.5</f>
        <v>3031.5</v>
      </c>
      <c r="E80" s="67">
        <f>'PVC-A7'!E80*0.5</f>
        <v>2605</v>
      </c>
      <c r="F80" s="67">
        <f>'PVC-A7'!F80*0.5</f>
        <v>2415</v>
      </c>
      <c r="G80" s="67">
        <f>'PVC-A7'!G80*0.5</f>
        <v>2400.5</v>
      </c>
      <c r="H80" s="182">
        <f>'PVC-A7'!H80*0.5</f>
        <v>2401.5331839999999</v>
      </c>
      <c r="I80" s="182">
        <f>'PVC-A7'!I80*0.5</f>
        <v>2377.54</v>
      </c>
      <c r="J80" s="182">
        <f>'PVC-A7'!J80*0.5</f>
        <v>2412.4670944999998</v>
      </c>
      <c r="K80" s="183">
        <f>'PVC-A7'!K80*0.5</f>
        <v>2456.5</v>
      </c>
      <c r="L80" s="184">
        <f>'PVC-A7'!L80*0.5</f>
        <v>2501.3183449999997</v>
      </c>
      <c r="M80" s="182">
        <f>'PVC-A7'!M80*0.5</f>
        <v>2543.9985069999998</v>
      </c>
      <c r="N80" s="182">
        <f>'PVC-A7'!N80*0.5</f>
        <v>2582.083024</v>
      </c>
      <c r="O80" s="182">
        <f>'PVC-A7'!O80*0.5</f>
        <v>2620.254328</v>
      </c>
      <c r="P80" s="182">
        <f>'PVC-A7'!P80*0.5</f>
        <v>2659.2636615000001</v>
      </c>
      <c r="Q80" s="185">
        <f>'PVC-A7'!Q80*0.5</f>
        <v>2699.4778470000001</v>
      </c>
      <c r="R80" s="299">
        <f t="shared" si="8"/>
        <v>-3</v>
      </c>
      <c r="S80" s="300">
        <f t="shared" si="9"/>
        <v>1.5</v>
      </c>
    </row>
    <row r="81" spans="1:19" ht="15" customHeight="1">
      <c r="A81" s="16"/>
      <c r="B81" s="105"/>
      <c r="C81" s="615" t="s">
        <v>311</v>
      </c>
      <c r="D81" s="194">
        <f>'PVC-A7'!D81*0.5</f>
        <v>2672.5</v>
      </c>
      <c r="E81" s="195">
        <f>'PVC-A7'!E81*0.5</f>
        <v>2171</v>
      </c>
      <c r="F81" s="195">
        <f>'PVC-A7'!F81*0.5</f>
        <v>2040.5</v>
      </c>
      <c r="G81" s="195">
        <f>'PVC-A7'!G81*0.5</f>
        <v>2010</v>
      </c>
      <c r="H81" s="190">
        <f>'PVC-A7'!H81*0.5</f>
        <v>2030.5</v>
      </c>
      <c r="I81" s="190">
        <f>'PVC-A7'!I81*0.5</f>
        <v>2025</v>
      </c>
      <c r="J81" s="190">
        <f>'PVC-A7'!J81*0.5</f>
        <v>2045.5</v>
      </c>
      <c r="K81" s="191">
        <f>'PVC-A7'!K81*0.5</f>
        <v>2079.5</v>
      </c>
      <c r="L81" s="192">
        <f>'PVC-A7'!L81*0.5</f>
        <v>2109.1842649999999</v>
      </c>
      <c r="M81" s="190">
        <f>'PVC-A7'!M81*0.5</f>
        <v>2133.0607839999998</v>
      </c>
      <c r="N81" s="190">
        <f>'PVC-A7'!N81*0.5</f>
        <v>2157.080203</v>
      </c>
      <c r="O81" s="190">
        <f>'PVC-A7'!O81*0.5</f>
        <v>2181.8779365</v>
      </c>
      <c r="P81" s="190">
        <f>'PVC-A7'!P81*0.5</f>
        <v>2207.599725</v>
      </c>
      <c r="Q81" s="193">
        <f>'PVC-A7'!Q81*0.5</f>
        <v>2234.879786</v>
      </c>
      <c r="R81" s="303">
        <f t="shared" si="8"/>
        <v>-3.5</v>
      </c>
      <c r="S81" s="304">
        <f t="shared" si="9"/>
        <v>1.2</v>
      </c>
    </row>
    <row r="82" spans="1:19" ht="15.75" customHeight="1">
      <c r="A82" s="16"/>
      <c r="B82" s="672" t="s">
        <v>312</v>
      </c>
      <c r="C82" s="673"/>
      <c r="D82" s="181">
        <f>'PVC-A7'!D82*0.5</f>
        <v>655</v>
      </c>
      <c r="E82" s="67">
        <f>'PVC-A7'!E82*0.5</f>
        <v>665</v>
      </c>
      <c r="F82" s="67">
        <f>'PVC-A7'!F82*0.5</f>
        <v>680</v>
      </c>
      <c r="G82" s="67">
        <f>'PVC-A7'!G82*0.5</f>
        <v>715</v>
      </c>
      <c r="H82" s="182">
        <f>'PVC-A7'!H82*0.5</f>
        <v>765</v>
      </c>
      <c r="I82" s="182">
        <f>'PVC-A7'!I82*0.5</f>
        <v>806.5</v>
      </c>
      <c r="J82" s="182">
        <f>'PVC-A7'!J82*0.5</f>
        <v>828</v>
      </c>
      <c r="K82" s="183">
        <f>'PVC-A7'!K82*0.5</f>
        <v>857</v>
      </c>
      <c r="L82" s="184">
        <f>'PVC-A7'!L82*0.5</f>
        <v>890</v>
      </c>
      <c r="M82" s="182">
        <f>'PVC-A7'!M82*0.5</f>
        <v>925.5</v>
      </c>
      <c r="N82" s="182">
        <f>'PVC-A7'!N82*0.5</f>
        <v>964.5</v>
      </c>
      <c r="O82" s="182">
        <f>'PVC-A7'!O82*0.5</f>
        <v>1003.5</v>
      </c>
      <c r="P82" s="182">
        <f>'PVC-A7'!P82*0.5</f>
        <v>1044</v>
      </c>
      <c r="Q82" s="185">
        <f>'PVC-A7'!Q82*0.5</f>
        <v>1079</v>
      </c>
      <c r="R82" s="299">
        <f t="shared" si="8"/>
        <v>3.9</v>
      </c>
      <c r="S82" s="300">
        <f t="shared" si="9"/>
        <v>3.9</v>
      </c>
    </row>
    <row r="83" spans="1:19" ht="15" customHeight="1">
      <c r="A83" s="16"/>
      <c r="B83" s="16"/>
      <c r="C83" s="615" t="s">
        <v>313</v>
      </c>
      <c r="D83" s="194">
        <f>'PVC-A7'!D83*0.5</f>
        <v>200</v>
      </c>
      <c r="E83" s="195">
        <f>'PVC-A7'!E83*0.5</f>
        <v>200</v>
      </c>
      <c r="F83" s="195">
        <f>'PVC-A7'!F83*0.5</f>
        <v>200</v>
      </c>
      <c r="G83" s="195">
        <f>'PVC-A7'!G83*0.5</f>
        <v>200</v>
      </c>
      <c r="H83" s="190">
        <f>'PVC-A7'!H83*0.5</f>
        <v>220</v>
      </c>
      <c r="I83" s="190">
        <f>'PVC-A7'!I83*0.5</f>
        <v>245</v>
      </c>
      <c r="J83" s="190">
        <f>'PVC-A7'!J83*0.5</f>
        <v>242.5</v>
      </c>
      <c r="K83" s="191">
        <f>'PVC-A7'!K83*0.5</f>
        <v>245</v>
      </c>
      <c r="L83" s="192">
        <f>'PVC-A7'!L83*0.5</f>
        <v>250</v>
      </c>
      <c r="M83" s="190">
        <f>'PVC-A7'!M83*0.5</f>
        <v>257.5</v>
      </c>
      <c r="N83" s="190">
        <f>'PVC-A7'!N83*0.5</f>
        <v>267.5</v>
      </c>
      <c r="O83" s="190">
        <f>'PVC-A7'!O83*0.5</f>
        <v>277.5</v>
      </c>
      <c r="P83" s="190">
        <f>'PVC-A7'!P83*0.5</f>
        <v>288</v>
      </c>
      <c r="Q83" s="193">
        <f>'PVC-A7'!Q83*0.5</f>
        <v>299</v>
      </c>
      <c r="R83" s="303">
        <f t="shared" si="8"/>
        <v>2.9</v>
      </c>
      <c r="S83" s="304">
        <f t="shared" si="9"/>
        <v>3.6</v>
      </c>
    </row>
    <row r="84" spans="1:19" ht="15.75" customHeight="1">
      <c r="A84" s="16"/>
      <c r="B84" s="674" t="s">
        <v>314</v>
      </c>
      <c r="C84" s="675"/>
      <c r="D84" s="194">
        <f>'PVC-A7'!D84*0.5</f>
        <v>463.5</v>
      </c>
      <c r="E84" s="195">
        <f>'PVC-A7'!E84*0.5</f>
        <v>461.5</v>
      </c>
      <c r="F84" s="195">
        <f>'PVC-A7'!F84*0.5</f>
        <v>482.5</v>
      </c>
      <c r="G84" s="195">
        <f>'PVC-A7'!G84*0.5</f>
        <v>535.5</v>
      </c>
      <c r="H84" s="190">
        <f>'PVC-A7'!H84*0.5</f>
        <v>561.54972799999996</v>
      </c>
      <c r="I84" s="190">
        <f>'PVC-A7'!I84*0.5</f>
        <v>604</v>
      </c>
      <c r="J84" s="190">
        <f>'PVC-A7'!J84*0.5</f>
        <v>617</v>
      </c>
      <c r="K84" s="191">
        <f>'PVC-A7'!K84*0.5</f>
        <v>622.5</v>
      </c>
      <c r="L84" s="192">
        <f>'PVC-A7'!L84*0.5</f>
        <v>684</v>
      </c>
      <c r="M84" s="190">
        <f>'PVC-A7'!M84*0.5</f>
        <v>726.5</v>
      </c>
      <c r="N84" s="190">
        <f>'PVC-A7'!N84*0.5</f>
        <v>772</v>
      </c>
      <c r="O84" s="190">
        <f>'PVC-A7'!O84*0.5</f>
        <v>821</v>
      </c>
      <c r="P84" s="190">
        <f>'PVC-A7'!P84*0.5</f>
        <v>871</v>
      </c>
      <c r="Q84" s="193">
        <f>'PVC-A7'!Q84*0.5</f>
        <v>925</v>
      </c>
      <c r="R84" s="303">
        <f t="shared" si="8"/>
        <v>4.3</v>
      </c>
      <c r="S84" s="304">
        <f t="shared" si="9"/>
        <v>6.2</v>
      </c>
    </row>
    <row r="85" spans="1:19" ht="15.75" customHeight="1">
      <c r="A85" s="16"/>
      <c r="B85" s="674" t="s">
        <v>315</v>
      </c>
      <c r="C85" s="675"/>
      <c r="D85" s="189">
        <f>'PVC-A7'!D85*0.5</f>
        <v>601</v>
      </c>
      <c r="E85" s="190">
        <f>'PVC-A7'!E85*0.5</f>
        <v>678.5</v>
      </c>
      <c r="F85" s="190">
        <f>'PVC-A7'!F85*0.5</f>
        <v>676.55</v>
      </c>
      <c r="G85" s="190">
        <f>'PVC-A7'!G85*0.5</f>
        <v>651.79999999999995</v>
      </c>
      <c r="H85" s="190">
        <f>'PVC-A7'!H85*0.5</f>
        <v>649.5</v>
      </c>
      <c r="I85" s="190">
        <f>'PVC-A7'!I85*0.5</f>
        <v>566.5</v>
      </c>
      <c r="J85" s="190">
        <f>'PVC-A7'!J85*0.5</f>
        <v>574.15</v>
      </c>
      <c r="K85" s="191">
        <f>'PVC-A7'!K85*0.5</f>
        <v>539</v>
      </c>
      <c r="L85" s="192">
        <f>'PVC-A7'!L85*0.5</f>
        <v>547.62400000000002</v>
      </c>
      <c r="M85" s="190">
        <f>'PVC-A7'!M85*0.5</f>
        <v>554.743112</v>
      </c>
      <c r="N85" s="190">
        <f>'PVC-A7'!N85*0.5</f>
        <v>563.06425867999997</v>
      </c>
      <c r="O85" s="190">
        <f>'PVC-A7'!O85*0.5</f>
        <v>571.51022256019996</v>
      </c>
      <c r="P85" s="190">
        <f>'PVC-A7'!P85*0.5</f>
        <v>580.08287589860288</v>
      </c>
      <c r="Q85" s="193">
        <f>'PVC-A7'!Q85*0.5</f>
        <v>580.5</v>
      </c>
      <c r="R85" s="303">
        <f t="shared" si="8"/>
        <v>-1.5</v>
      </c>
      <c r="S85" s="304">
        <f t="shared" si="9"/>
        <v>1.2</v>
      </c>
    </row>
    <row r="86" spans="1:19" ht="15" customHeight="1">
      <c r="A86" s="16"/>
      <c r="B86" s="672" t="s">
        <v>316</v>
      </c>
      <c r="C86" s="673"/>
      <c r="D86" s="181">
        <f>'PVC-A7'!D86*0.5</f>
        <v>2236</v>
      </c>
      <c r="E86" s="67">
        <f>'PVC-A7'!E86*0.5</f>
        <v>2259</v>
      </c>
      <c r="F86" s="67">
        <f>'PVC-A7'!F86*0.5</f>
        <v>2282</v>
      </c>
      <c r="G86" s="67">
        <f>'PVC-A7'!G86*0.5</f>
        <v>2305</v>
      </c>
      <c r="H86" s="67">
        <f>'PVC-A7'!H86*0.5</f>
        <v>2328.5</v>
      </c>
      <c r="I86" s="182">
        <f>'PVC-A7'!I86*0.5</f>
        <v>2385</v>
      </c>
      <c r="J86" s="182">
        <f>'PVC-A7'!J86*0.5</f>
        <v>2422.5</v>
      </c>
      <c r="K86" s="183">
        <f>'PVC-A7'!K86*0.5</f>
        <v>2478</v>
      </c>
      <c r="L86" s="184">
        <f>'PVC-A7'!L86*0.5</f>
        <v>2549.5</v>
      </c>
      <c r="M86" s="182">
        <f>'PVC-A7'!M86*0.5</f>
        <v>2614</v>
      </c>
      <c r="N86" s="182">
        <f>'PVC-A7'!N86*0.5</f>
        <v>2661.5</v>
      </c>
      <c r="O86" s="182">
        <f>'PVC-A7'!O86*0.5</f>
        <v>2707.5</v>
      </c>
      <c r="P86" s="182">
        <f>'PVC-A7'!P86*0.5</f>
        <v>2747.5</v>
      </c>
      <c r="Q86" s="185">
        <f>'PVC-A7'!Q86*0.5</f>
        <v>2785.5</v>
      </c>
      <c r="R86" s="299">
        <f t="shared" si="8"/>
        <v>1.5</v>
      </c>
      <c r="S86" s="300">
        <f t="shared" si="9"/>
        <v>1.8</v>
      </c>
    </row>
    <row r="87" spans="1:19" ht="15" customHeight="1">
      <c r="A87" s="16"/>
      <c r="B87" s="670" t="s">
        <v>317</v>
      </c>
      <c r="C87" s="671"/>
      <c r="D87" s="181">
        <f>'PVC-A7'!D87*0.5</f>
        <v>232</v>
      </c>
      <c r="E87" s="67">
        <f>'PVC-A7'!E87*0.5</f>
        <v>236.5</v>
      </c>
      <c r="F87" s="67">
        <f>'PVC-A7'!F87*0.5</f>
        <v>241.5</v>
      </c>
      <c r="G87" s="67">
        <f>'PVC-A7'!G87*0.5</f>
        <v>246.5</v>
      </c>
      <c r="H87" s="67">
        <f>'PVC-A7'!H87*0.5</f>
        <v>252.5</v>
      </c>
      <c r="I87" s="182">
        <f>'PVC-A7'!I87*0.5</f>
        <v>255</v>
      </c>
      <c r="J87" s="182">
        <f>'PVC-A7'!J87*0.5</f>
        <v>258</v>
      </c>
      <c r="K87" s="183">
        <f>'PVC-A7'!K87*0.5</f>
        <v>265.5</v>
      </c>
      <c r="L87" s="184">
        <f>'PVC-A7'!L87*0.5</f>
        <v>271</v>
      </c>
      <c r="M87" s="182">
        <f>'PVC-A7'!M87*0.5</f>
        <v>276.5</v>
      </c>
      <c r="N87" s="182">
        <f>'PVC-A7'!N87*0.5</f>
        <v>281.5</v>
      </c>
      <c r="O87" s="182">
        <f>'PVC-A7'!O87*0.5</f>
        <v>286.5</v>
      </c>
      <c r="P87" s="182">
        <f>'PVC-A7'!P87*0.5</f>
        <v>291</v>
      </c>
      <c r="Q87" s="185">
        <f>'PVC-A7'!Q87*0.5</f>
        <v>295.5</v>
      </c>
      <c r="R87" s="299">
        <f t="shared" si="8"/>
        <v>1.9</v>
      </c>
      <c r="S87" s="300">
        <f t="shared" si="9"/>
        <v>1.7</v>
      </c>
    </row>
    <row r="88" spans="1:19" ht="15.75" customHeight="1">
      <c r="A88" s="16"/>
      <c r="B88" s="674" t="s">
        <v>318</v>
      </c>
      <c r="C88" s="675"/>
      <c r="D88" s="189">
        <f>'PVC-A7'!D88*0.5</f>
        <v>2468</v>
      </c>
      <c r="E88" s="190">
        <f>'PVC-A7'!E88*0.5</f>
        <v>2495.5</v>
      </c>
      <c r="F88" s="190">
        <f>'PVC-A7'!F88*0.5</f>
        <v>2523.5</v>
      </c>
      <c r="G88" s="190">
        <f>'PVC-A7'!G88*0.5</f>
        <v>2551.5</v>
      </c>
      <c r="H88" s="190">
        <f>'PVC-A7'!H88*0.5</f>
        <v>2581</v>
      </c>
      <c r="I88" s="190">
        <f>'PVC-A7'!I88*0.5</f>
        <v>2640</v>
      </c>
      <c r="J88" s="190">
        <f>'PVC-A7'!J88*0.5</f>
        <v>2680.5</v>
      </c>
      <c r="K88" s="191">
        <f>'PVC-A7'!K88*0.5</f>
        <v>2743.5</v>
      </c>
      <c r="L88" s="192">
        <f>'PVC-A7'!L88*0.5</f>
        <v>2820.5</v>
      </c>
      <c r="M88" s="190">
        <f>'PVC-A7'!M88*0.5</f>
        <v>2890.5</v>
      </c>
      <c r="N88" s="190">
        <f>'PVC-A7'!N88*0.5</f>
        <v>2943</v>
      </c>
      <c r="O88" s="190">
        <f>'PVC-A7'!O88*0.5</f>
        <v>2994</v>
      </c>
      <c r="P88" s="190">
        <f>'PVC-A7'!P88*0.5</f>
        <v>3038.5</v>
      </c>
      <c r="Q88" s="193">
        <f>'PVC-A7'!Q88*0.5</f>
        <v>3081</v>
      </c>
      <c r="R88" s="303">
        <f t="shared" si="8"/>
        <v>1.5</v>
      </c>
      <c r="S88" s="304">
        <f t="shared" si="9"/>
        <v>1.8</v>
      </c>
    </row>
    <row r="89" spans="1:19" ht="15" customHeight="1">
      <c r="A89" s="16"/>
      <c r="B89" s="672" t="s">
        <v>319</v>
      </c>
      <c r="C89" s="673"/>
      <c r="D89" s="181">
        <f>'PVC-A7'!D89*0.5</f>
        <v>347.5</v>
      </c>
      <c r="E89" s="67">
        <f>'PVC-A7'!E89*0.5</f>
        <v>354.5</v>
      </c>
      <c r="F89" s="67">
        <f>'PVC-A7'!F89*0.5</f>
        <v>361.5</v>
      </c>
      <c r="G89" s="67">
        <f>'PVC-A7'!G89*0.5</f>
        <v>369</v>
      </c>
      <c r="H89" s="67">
        <f>'PVC-A7'!H89*0.5</f>
        <v>376.5</v>
      </c>
      <c r="I89" s="182">
        <f>'PVC-A7'!I89*0.5</f>
        <v>345</v>
      </c>
      <c r="J89" s="182">
        <f>'PVC-A7'!J89*0.5</f>
        <v>352</v>
      </c>
      <c r="K89" s="183">
        <f>'PVC-A7'!K89*0.5</f>
        <v>359</v>
      </c>
      <c r="L89" s="184">
        <f>'PVC-A7'!L89*0.5</f>
        <v>367</v>
      </c>
      <c r="M89" s="182">
        <f>'PVC-A7'!M89*0.5</f>
        <v>376.5</v>
      </c>
      <c r="N89" s="182">
        <f>'PVC-A7'!N89*0.5</f>
        <v>387</v>
      </c>
      <c r="O89" s="182">
        <f>'PVC-A7'!O89*0.5</f>
        <v>398</v>
      </c>
      <c r="P89" s="182">
        <f>'PVC-A7'!P89*0.5</f>
        <v>410</v>
      </c>
      <c r="Q89" s="185">
        <f>'PVC-A7'!Q89*0.5</f>
        <v>422</v>
      </c>
      <c r="R89" s="299">
        <f t="shared" si="8"/>
        <v>0.5</v>
      </c>
      <c r="S89" s="300">
        <f t="shared" si="9"/>
        <v>2.8</v>
      </c>
    </row>
    <row r="90" spans="1:19" ht="15" customHeight="1">
      <c r="A90" s="16"/>
      <c r="B90" s="668" t="s">
        <v>320</v>
      </c>
      <c r="C90" s="669"/>
      <c r="D90" s="181">
        <f>'PVC-A7'!D90*0.5</f>
        <v>466</v>
      </c>
      <c r="E90" s="67">
        <f>'PVC-A7'!E90*0.5</f>
        <v>466</v>
      </c>
      <c r="F90" s="67">
        <f>'PVC-A7'!F90*0.5</f>
        <v>466</v>
      </c>
      <c r="G90" s="67">
        <f>'PVC-A7'!G90*0.5</f>
        <v>510</v>
      </c>
      <c r="H90" s="67">
        <f>'PVC-A7'!H90*0.5</f>
        <v>510</v>
      </c>
      <c r="I90" s="182">
        <f>'PVC-A7'!I90*0.5</f>
        <v>510</v>
      </c>
      <c r="J90" s="182">
        <f>'PVC-A7'!J90*0.5</f>
        <v>493.5</v>
      </c>
      <c r="K90" s="183">
        <f>'PVC-A7'!K90*0.5</f>
        <v>499</v>
      </c>
      <c r="L90" s="184">
        <f>'PVC-A7'!L90*0.5</f>
        <v>506</v>
      </c>
      <c r="M90" s="182">
        <f>'PVC-A7'!M90*0.5</f>
        <v>518</v>
      </c>
      <c r="N90" s="182">
        <f>'PVC-A7'!N90*0.5</f>
        <v>530</v>
      </c>
      <c r="O90" s="182">
        <f>'PVC-A7'!O90*0.5</f>
        <v>542</v>
      </c>
      <c r="P90" s="182">
        <f>'PVC-A7'!P90*0.5</f>
        <v>554</v>
      </c>
      <c r="Q90" s="185">
        <f>'PVC-A7'!Q90*0.5</f>
        <v>566.5</v>
      </c>
      <c r="R90" s="299">
        <f t="shared" si="8"/>
        <v>1</v>
      </c>
      <c r="S90" s="300">
        <f t="shared" si="9"/>
        <v>2.2999999999999998</v>
      </c>
    </row>
    <row r="91" spans="1:19" ht="15" customHeight="1">
      <c r="A91" s="16"/>
      <c r="B91" s="670" t="s">
        <v>321</v>
      </c>
      <c r="C91" s="671"/>
      <c r="D91" s="181">
        <f>'PVC-A7'!D91*0.5</f>
        <v>420.5</v>
      </c>
      <c r="E91" s="67">
        <f>'PVC-A7'!E91*0.5</f>
        <v>420.5</v>
      </c>
      <c r="F91" s="67">
        <f>'PVC-A7'!F91*0.5</f>
        <v>420.5</v>
      </c>
      <c r="G91" s="67">
        <f>'PVC-A7'!G91*0.5</f>
        <v>420.5</v>
      </c>
      <c r="H91" s="67">
        <f>'PVC-A7'!H91*0.5</f>
        <v>420.5</v>
      </c>
      <c r="I91" s="182">
        <f>'PVC-A7'!I91*0.5</f>
        <v>420.5</v>
      </c>
      <c r="J91" s="182">
        <f>'PVC-A7'!J91*0.5</f>
        <v>418</v>
      </c>
      <c r="K91" s="183">
        <f>'PVC-A7'!K91*0.5</f>
        <v>423</v>
      </c>
      <c r="L91" s="184">
        <f>'PVC-A7'!L91*0.5</f>
        <v>428</v>
      </c>
      <c r="M91" s="182">
        <f>'PVC-A7'!M91*0.5</f>
        <v>437.5</v>
      </c>
      <c r="N91" s="182">
        <f>'PVC-A7'!N91*0.5</f>
        <v>449</v>
      </c>
      <c r="O91" s="182">
        <f>'PVC-A7'!O91*0.5</f>
        <v>461</v>
      </c>
      <c r="P91" s="182">
        <f>'PVC-A7'!P91*0.5</f>
        <v>474</v>
      </c>
      <c r="Q91" s="185">
        <f>'PVC-A7'!Q91*0.5</f>
        <v>487.5</v>
      </c>
      <c r="R91" s="299">
        <f t="shared" si="8"/>
        <v>0.1</v>
      </c>
      <c r="S91" s="300">
        <f t="shared" si="9"/>
        <v>2.6</v>
      </c>
    </row>
    <row r="92" spans="1:19" ht="15.75" customHeight="1" thickBot="1">
      <c r="A92" s="16"/>
      <c r="B92" s="678" t="s">
        <v>322</v>
      </c>
      <c r="C92" s="679"/>
      <c r="D92" s="199">
        <f>'PVC-A7'!D92*0.5</f>
        <v>1234</v>
      </c>
      <c r="E92" s="200">
        <f>'PVC-A7'!E92*0.5</f>
        <v>1241</v>
      </c>
      <c r="F92" s="200">
        <f>'PVC-A7'!F92*0.5</f>
        <v>1248</v>
      </c>
      <c r="G92" s="200">
        <f>'PVC-A7'!G92*0.5</f>
        <v>1299.5</v>
      </c>
      <c r="H92" s="200">
        <f>'PVC-A7'!H92*0.5</f>
        <v>1307</v>
      </c>
      <c r="I92" s="200">
        <f>'PVC-A7'!I92*0.5</f>
        <v>1275.5</v>
      </c>
      <c r="J92" s="200">
        <f>'PVC-A7'!J92*0.5</f>
        <v>1263.5</v>
      </c>
      <c r="K92" s="201">
        <f>'PVC-A7'!K92*0.5</f>
        <v>1281</v>
      </c>
      <c r="L92" s="202">
        <f>'PVC-A7'!L92*0.5</f>
        <v>1301</v>
      </c>
      <c r="M92" s="200">
        <f>'PVC-A7'!M92*0.5</f>
        <v>1332</v>
      </c>
      <c r="N92" s="200">
        <f>'PVC-A7'!N92*0.5</f>
        <v>1366</v>
      </c>
      <c r="O92" s="200">
        <f>'PVC-A7'!O92*0.5</f>
        <v>1401</v>
      </c>
      <c r="P92" s="200">
        <f>'PVC-A7'!P92*0.5</f>
        <v>1438</v>
      </c>
      <c r="Q92" s="203">
        <f>'PVC-A7'!Q92*0.5</f>
        <v>1476</v>
      </c>
      <c r="R92" s="306">
        <f t="shared" si="8"/>
        <v>0.5</v>
      </c>
      <c r="S92" s="307">
        <f t="shared" si="9"/>
        <v>2.6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12">D92+D88+D85+D84+D82+D80+D78+D77</f>
        <v>13204.1</v>
      </c>
      <c r="E93" s="205">
        <f t="shared" si="12"/>
        <v>12958.678500000002</v>
      </c>
      <c r="F93" s="205">
        <f t="shared" si="12"/>
        <v>13026.664499999999</v>
      </c>
      <c r="G93" s="205">
        <f t="shared" si="12"/>
        <v>13257.396499999999</v>
      </c>
      <c r="H93" s="205">
        <f t="shared" si="12"/>
        <v>13183.0307925</v>
      </c>
      <c r="I93" s="205">
        <f t="shared" si="12"/>
        <v>13501.067500000001</v>
      </c>
      <c r="J93" s="205">
        <f t="shared" si="12"/>
        <v>13823.7170945</v>
      </c>
      <c r="K93" s="206">
        <f t="shared" si="12"/>
        <v>14154.7935</v>
      </c>
      <c r="L93" s="207">
        <f t="shared" si="12"/>
        <v>14554.194545499999</v>
      </c>
      <c r="M93" s="205">
        <f t="shared" si="12"/>
        <v>14923.54370426965</v>
      </c>
      <c r="N93" s="205">
        <f t="shared" si="12"/>
        <v>15264.649170134575</v>
      </c>
      <c r="O93" s="205">
        <f t="shared" si="12"/>
        <v>15721.510729556663</v>
      </c>
      <c r="P93" s="205">
        <f t="shared" si="12"/>
        <v>16170.392430827924</v>
      </c>
      <c r="Q93" s="208">
        <f t="shared" si="12"/>
        <v>16510.024821087376</v>
      </c>
      <c r="R93" s="308">
        <f t="shared" si="8"/>
        <v>1</v>
      </c>
      <c r="S93" s="309">
        <f t="shared" si="9"/>
        <v>2.6</v>
      </c>
    </row>
    <row r="94" spans="1:19" ht="9" customHeight="1"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26"/>
      <c r="S94" s="26"/>
    </row>
    <row r="95" spans="1:19" ht="13.5" customHeight="1">
      <c r="C95" t="s">
        <v>330</v>
      </c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83" priority="5">
      <formula>CELL("protect",C97)=0</formula>
    </cfRule>
    <cfRule type="expression" dxfId="82" priority="6">
      <formula>CELL("protect",C97)=0</formula>
    </cfRule>
  </conditionalFormatting>
  <conditionalFormatting sqref="C95">
    <cfRule type="expression" dxfId="81" priority="3">
      <formula>CELL("protect",C95)=0</formula>
    </cfRule>
    <cfRule type="expression" dxfId="80" priority="4">
      <formula>CELL("protect",C95)=0</formula>
    </cfRule>
  </conditionalFormatting>
  <conditionalFormatting sqref="C97">
    <cfRule type="expression" dxfId="79" priority="1">
      <formula>CELL("protect",C97)=0</formula>
    </cfRule>
    <cfRule type="expression" dxfId="78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&amp;C189</oddFooter>
  </headerFooter>
  <ignoredErrors>
    <ignoredError sqref="E36:Q38 D85:Q91 D41:Q49 D7:Q9 D36:D38 D27:D34 E27:Q34 D55:Q63 D65:Q67 D81:Q82 D84:Q84 D78:Q78 D69:Q77 D68:K68 D79:Q80 D83:Q83 D52:Q53 D50:Q51 D54:Q54 D40:Q40 D39 E26:Q26 D26 D23:Q24 D21:Q22 D25:Q25 D11:Q20 D10 F10:Q10 F39:Q39 M68:Q68" unlockedFormula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R1" s="26"/>
      <c r="S1" s="26"/>
    </row>
    <row r="2" spans="1:19" s="2" customFormat="1" ht="17.25">
      <c r="G2" s="398" t="s">
        <v>24</v>
      </c>
      <c r="H2" s="397" t="s">
        <v>20</v>
      </c>
      <c r="R2" s="3"/>
      <c r="S2" s="3"/>
    </row>
    <row r="3" spans="1:19" ht="27.6" customHeight="1" thickBot="1">
      <c r="H3" s="624" t="s">
        <v>344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'EG-A10'!D7*0.66</f>
        <v>892.32</v>
      </c>
      <c r="E7" s="176">
        <f>'EG-A10'!E7*0.66</f>
        <v>889.0200000000001</v>
      </c>
      <c r="F7" s="176">
        <f>'EG-A10'!F7*0.66</f>
        <v>894.30000000000007</v>
      </c>
      <c r="G7" s="176">
        <f>'EG-A10'!G7*0.66</f>
        <v>894.30000000000007</v>
      </c>
      <c r="H7" s="177">
        <f>'EG-A10'!H7*0.66</f>
        <v>1059.3</v>
      </c>
      <c r="I7" s="177">
        <f>'EG-A10'!I7*0.66</f>
        <v>1059.3</v>
      </c>
      <c r="J7" s="177">
        <f>'EG-A10'!J7*0.66</f>
        <v>1059.3</v>
      </c>
      <c r="K7" s="183">
        <f>'EG-A10'!K7*0.66</f>
        <v>1059.3</v>
      </c>
      <c r="L7" s="184">
        <f>'EG-A10'!L7*0.66</f>
        <v>1059.3</v>
      </c>
      <c r="M7" s="182">
        <f>'EG-A10'!M7*0.66</f>
        <v>1059.3</v>
      </c>
      <c r="N7" s="182">
        <f>'EG-A10'!N7*0.66</f>
        <v>1059.3</v>
      </c>
      <c r="O7" s="182">
        <f>'EG-A10'!O7*0.66</f>
        <v>1059.3</v>
      </c>
      <c r="P7" s="182">
        <f>'EG-A10'!P7*0.66</f>
        <v>1059.3</v>
      </c>
      <c r="Q7" s="185">
        <f>'EG-A10'!Q7*0.66</f>
        <v>1059.3</v>
      </c>
      <c r="R7" s="276">
        <f>IF(D7=0,"     -",IF(K7=0,"     -",ROUND(((K7/D7)^(1/7)-1)*100,1)))</f>
        <v>2.5</v>
      </c>
      <c r="S7" s="298">
        <f>IF(L7=0,"     -",IF(Q7=0,"     -",ROUND(((Q7/L7)^(1/5)-1)*100,1)))</f>
        <v>0</v>
      </c>
    </row>
    <row r="8" spans="1:19" ht="15" customHeight="1">
      <c r="A8" s="614" t="s">
        <v>305</v>
      </c>
      <c r="B8" s="605" t="s">
        <v>434</v>
      </c>
      <c r="C8" s="606"/>
      <c r="D8" s="181">
        <f>'EG-A10'!D8*0.66</f>
        <v>1518</v>
      </c>
      <c r="E8" s="67">
        <f>'EG-A10'!E8*0.66</f>
        <v>1518</v>
      </c>
      <c r="F8" s="67">
        <f>'EG-A10'!F8*0.66</f>
        <v>1518</v>
      </c>
      <c r="G8" s="67">
        <f>'EG-A10'!G8*0.66</f>
        <v>1518</v>
      </c>
      <c r="H8" s="182">
        <f>'EG-A10'!H8*0.66</f>
        <v>1716</v>
      </c>
      <c r="I8" s="182">
        <f>'EG-A10'!I8*0.66</f>
        <v>1716</v>
      </c>
      <c r="J8" s="182">
        <f>'EG-A10'!J8*0.66</f>
        <v>1716</v>
      </c>
      <c r="K8" s="183">
        <f>'EG-A10'!K8*0.66</f>
        <v>1716</v>
      </c>
      <c r="L8" s="184">
        <f>'EG-A10'!L8*0.66</f>
        <v>1716</v>
      </c>
      <c r="M8" s="182">
        <f>'EG-A10'!M8*0.66</f>
        <v>1716</v>
      </c>
      <c r="N8" s="182">
        <f>'EG-A10'!N8*0.66</f>
        <v>1716</v>
      </c>
      <c r="O8" s="182">
        <f>'EG-A10'!O8*0.66</f>
        <v>1716</v>
      </c>
      <c r="P8" s="182">
        <f>'EG-A10'!P8*0.66</f>
        <v>1716</v>
      </c>
      <c r="Q8" s="185">
        <f>'EG-A10'!Q8*0.66</f>
        <v>1716</v>
      </c>
      <c r="R8" s="299">
        <f t="shared" ref="R8:R71" si="0">IF(D8=0,"     -",IF(K8=0,"     -",ROUND(((K8/D8)^(1/7)-1)*100,1)))</f>
        <v>1.8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'EG-A10'!D9*0.66</f>
        <v>575.52</v>
      </c>
      <c r="E9" s="67">
        <f>'EG-A10'!E9*0.66</f>
        <v>575.52</v>
      </c>
      <c r="F9" s="67">
        <f>'EG-A10'!F9*0.66</f>
        <v>575.52</v>
      </c>
      <c r="G9" s="67">
        <f>'EG-A10'!G9*0.66</f>
        <v>575.52</v>
      </c>
      <c r="H9" s="67">
        <f>'EG-A10'!H9*0.66</f>
        <v>575.52</v>
      </c>
      <c r="I9" s="62">
        <f>'EG-A10'!I9*0.66</f>
        <v>575.52</v>
      </c>
      <c r="J9" s="62">
        <f>'EG-A10'!J9*0.66</f>
        <v>575.52</v>
      </c>
      <c r="K9" s="63">
        <f>'EG-A10'!K9*0.66</f>
        <v>575.52</v>
      </c>
      <c r="L9" s="64">
        <f>'EG-A10'!L9*0.66</f>
        <v>575.52</v>
      </c>
      <c r="M9" s="62">
        <f>'EG-A10'!M9*0.66</f>
        <v>575.52</v>
      </c>
      <c r="N9" s="62">
        <f>'EG-A10'!N9*0.66</f>
        <v>575.52</v>
      </c>
      <c r="O9" s="62">
        <f>'EG-A10'!O9*0.66</f>
        <v>575.52</v>
      </c>
      <c r="P9" s="62">
        <f>'EG-A10'!P9*0.66</f>
        <v>575.52</v>
      </c>
      <c r="Q9" s="65">
        <f>'EG-A10'!Q9*0.66</f>
        <v>575.52</v>
      </c>
      <c r="R9" s="301">
        <f t="shared" si="0"/>
        <v>0</v>
      </c>
      <c r="S9" s="300">
        <f t="shared" si="1"/>
        <v>0</v>
      </c>
    </row>
    <row r="10" spans="1:19" ht="15" customHeight="1">
      <c r="A10" s="16"/>
      <c r="B10" s="605" t="s">
        <v>436</v>
      </c>
      <c r="C10" s="606"/>
      <c r="D10" s="181">
        <f>'EG-A10'!D10*0.66</f>
        <v>2112</v>
      </c>
      <c r="E10" s="67">
        <f>'EG-A10'!E10*0.66</f>
        <v>2352.9</v>
      </c>
      <c r="F10" s="67">
        <f>'EG-A10'!F10*0.66</f>
        <v>2438.7000000000003</v>
      </c>
      <c r="G10" s="67">
        <f>'EG-A10'!G10*0.66</f>
        <v>3276.9</v>
      </c>
      <c r="H10" s="67">
        <f>'EG-A10'!H10*0.66</f>
        <v>3606.9</v>
      </c>
      <c r="I10" s="182">
        <f>'EG-A10'!I10*0.66</f>
        <v>4299.9000000000005</v>
      </c>
      <c r="J10" s="182">
        <f>'EG-A10'!J10*0.66</f>
        <v>5087.2800000000007</v>
      </c>
      <c r="K10" s="183">
        <f>'EG-A10'!K10*0.66</f>
        <v>5336.1</v>
      </c>
      <c r="L10" s="184">
        <f>'EG-A10'!L10*0.66</f>
        <v>7070.58</v>
      </c>
      <c r="M10" s="182">
        <f>'EG-A10'!M10*0.66</f>
        <v>9043.98</v>
      </c>
      <c r="N10" s="182">
        <f>'EG-A10'!N10*0.66</f>
        <v>10575.18</v>
      </c>
      <c r="O10" s="182">
        <f>'EG-A10'!O10*0.66</f>
        <v>11301.18</v>
      </c>
      <c r="P10" s="182">
        <f>'EG-A10'!P10*0.66</f>
        <v>12027.18</v>
      </c>
      <c r="Q10" s="185">
        <f>'EG-A10'!Q10*0.66</f>
        <v>12746.58</v>
      </c>
      <c r="R10" s="299">
        <f t="shared" si="0"/>
        <v>14.2</v>
      </c>
      <c r="S10" s="300">
        <f t="shared" si="1"/>
        <v>12.5</v>
      </c>
    </row>
    <row r="11" spans="1:19" ht="15" customHeight="1">
      <c r="A11" s="16"/>
      <c r="B11" s="605" t="s">
        <v>437</v>
      </c>
      <c r="C11" s="606"/>
      <c r="D11" s="181">
        <f>'EG-A10'!D11*0.66</f>
        <v>260.7</v>
      </c>
      <c r="E11" s="67">
        <f>'EG-A10'!E11*0.66</f>
        <v>277.2</v>
      </c>
      <c r="F11" s="67">
        <f>'EG-A10'!F11*0.66</f>
        <v>277.2</v>
      </c>
      <c r="G11" s="67">
        <f>'EG-A10'!G11*0.66</f>
        <v>277.2</v>
      </c>
      <c r="H11" s="67">
        <f>'EG-A10'!H11*0.66</f>
        <v>277.2</v>
      </c>
      <c r="I11" s="67">
        <f>'EG-A10'!I11*0.66</f>
        <v>277.2</v>
      </c>
      <c r="J11" s="67">
        <f>'EG-A10'!J11*0.66</f>
        <v>277.2</v>
      </c>
      <c r="K11" s="186">
        <f>'EG-A10'!K11*0.66</f>
        <v>277.2</v>
      </c>
      <c r="L11" s="187">
        <f>'EG-A10'!L11*0.66</f>
        <v>277.2</v>
      </c>
      <c r="M11" s="67">
        <f>'EG-A10'!M11*0.66</f>
        <v>277.2</v>
      </c>
      <c r="N11" s="67">
        <f>'EG-A10'!N11*0.66</f>
        <v>277.2</v>
      </c>
      <c r="O11" s="67">
        <f>'EG-A10'!O11*0.66</f>
        <v>277.2</v>
      </c>
      <c r="P11" s="67">
        <f>'EG-A10'!P11*0.66</f>
        <v>277.2</v>
      </c>
      <c r="Q11" s="68">
        <f>'EG-A10'!Q11*0.66</f>
        <v>277.2</v>
      </c>
      <c r="R11" s="302">
        <f t="shared" si="0"/>
        <v>0.9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'EG-A10'!D12*0.66</f>
        <v>145.20000000000002</v>
      </c>
      <c r="E12" s="67">
        <f>'EG-A10'!E12*0.66</f>
        <v>145.20000000000002</v>
      </c>
      <c r="F12" s="67">
        <f>'EG-A10'!F12*0.66</f>
        <v>145.20000000000002</v>
      </c>
      <c r="G12" s="67">
        <f>'EG-A10'!G12*0.66</f>
        <v>145.20000000000002</v>
      </c>
      <c r="H12" s="67">
        <f>'EG-A10'!H12*0.66</f>
        <v>145.20000000000002</v>
      </c>
      <c r="I12" s="67">
        <f>'EG-A10'!I12*0.66</f>
        <v>145.20000000000002</v>
      </c>
      <c r="J12" s="67">
        <f>'EG-A10'!J12*0.66</f>
        <v>145.20000000000002</v>
      </c>
      <c r="K12" s="186">
        <f>'EG-A10'!K12*0.66</f>
        <v>145.20000000000002</v>
      </c>
      <c r="L12" s="187">
        <f>'EG-A10'!L12*0.66</f>
        <v>145.20000000000002</v>
      </c>
      <c r="M12" s="67">
        <f>'EG-A10'!M12*0.66</f>
        <v>145.20000000000002</v>
      </c>
      <c r="N12" s="67">
        <f>'EG-A10'!N12*0.66</f>
        <v>145.20000000000002</v>
      </c>
      <c r="O12" s="67">
        <f>'EG-A10'!O12*0.66</f>
        <v>145.20000000000002</v>
      </c>
      <c r="P12" s="67">
        <f>'EG-A10'!P12*0.66</f>
        <v>145.20000000000002</v>
      </c>
      <c r="Q12" s="68">
        <f>'EG-A10'!Q12*0.66</f>
        <v>376.20000000000005</v>
      </c>
      <c r="R12" s="302">
        <f t="shared" si="0"/>
        <v>0</v>
      </c>
      <c r="S12" s="300">
        <f t="shared" si="1"/>
        <v>21</v>
      </c>
    </row>
    <row r="13" spans="1:19" ht="15" customHeight="1">
      <c r="A13" s="16"/>
      <c r="B13" s="605" t="s">
        <v>439</v>
      </c>
      <c r="C13" s="606"/>
      <c r="D13" s="181">
        <f>'EG-A10'!D13*0.66</f>
        <v>1102.2</v>
      </c>
      <c r="E13" s="67">
        <f>'EG-A10'!E13*0.66</f>
        <v>1102.2</v>
      </c>
      <c r="F13" s="67">
        <f>'EG-A10'!F13*0.66</f>
        <v>1102.2</v>
      </c>
      <c r="G13" s="67">
        <f>'EG-A10'!G13*0.66</f>
        <v>1102.2</v>
      </c>
      <c r="H13" s="67">
        <f>'EG-A10'!H13*0.66</f>
        <v>1069.2</v>
      </c>
      <c r="I13" s="67">
        <f>'EG-A10'!I13*0.66</f>
        <v>1069.2</v>
      </c>
      <c r="J13" s="182">
        <f>'EG-A10'!J13*0.66</f>
        <v>1663.2</v>
      </c>
      <c r="K13" s="183">
        <f>'EG-A10'!K13*0.66</f>
        <v>1663.2</v>
      </c>
      <c r="L13" s="184">
        <f>'EG-A10'!L13*0.66</f>
        <v>1663.2</v>
      </c>
      <c r="M13" s="182">
        <f>'EG-A10'!M13*0.66</f>
        <v>1663.2</v>
      </c>
      <c r="N13" s="182">
        <f>'EG-A10'!N13*0.66</f>
        <v>1663.2</v>
      </c>
      <c r="O13" s="182">
        <f>'EG-A10'!O13*0.66</f>
        <v>1663.2</v>
      </c>
      <c r="P13" s="182">
        <f>'EG-A10'!P13*0.66</f>
        <v>1663.2</v>
      </c>
      <c r="Q13" s="185">
        <f>'EG-A10'!Q13*0.66</f>
        <v>1663.2</v>
      </c>
      <c r="R13" s="302">
        <f t="shared" si="0"/>
        <v>6.1</v>
      </c>
      <c r="S13" s="300">
        <f t="shared" si="1"/>
        <v>0</v>
      </c>
    </row>
    <row r="14" spans="1:19" ht="15.75" hidden="1" customHeight="1">
      <c r="A14" s="16"/>
      <c r="B14" s="16"/>
      <c r="C14" s="90" t="s">
        <v>306</v>
      </c>
      <c r="D14" s="181">
        <f>'EG-A10'!D14*0.66</f>
        <v>0</v>
      </c>
      <c r="E14" s="67">
        <f>'EG-A10'!E14*0.66</f>
        <v>0</v>
      </c>
      <c r="F14" s="67">
        <f>'EG-A10'!F14*0.66</f>
        <v>0</v>
      </c>
      <c r="G14" s="67">
        <f>'EG-A10'!G14*0.66</f>
        <v>0</v>
      </c>
      <c r="H14" s="67">
        <f>'EG-A10'!H14*0.66</f>
        <v>0</v>
      </c>
      <c r="I14" s="67">
        <f>'EG-A10'!I14*0.66</f>
        <v>0</v>
      </c>
      <c r="J14" s="67">
        <f>'EG-A10'!J14*0.66</f>
        <v>0</v>
      </c>
      <c r="K14" s="186">
        <f>'EG-A10'!K14*0.66</f>
        <v>0</v>
      </c>
      <c r="L14" s="187">
        <f>'EG-A10'!L14*0.66</f>
        <v>0</v>
      </c>
      <c r="M14" s="67">
        <f>'EG-A10'!M14*0.66</f>
        <v>0</v>
      </c>
      <c r="N14" s="67">
        <f>'EG-A10'!N14*0.66</f>
        <v>0</v>
      </c>
      <c r="O14" s="67">
        <f>'EG-A10'!O14*0.66</f>
        <v>0</v>
      </c>
      <c r="P14" s="67">
        <f>'EG-A10'!P14*0.66</f>
        <v>0</v>
      </c>
      <c r="Q14" s="68">
        <f>'EG-A10'!Q14*0.66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'EG-A10'!D15*0.66</f>
        <v>0</v>
      </c>
      <c r="E15" s="67">
        <f>'EG-A10'!E15*0.66</f>
        <v>0</v>
      </c>
      <c r="F15" s="67">
        <f>'EG-A10'!F15*0.66</f>
        <v>0</v>
      </c>
      <c r="G15" s="67">
        <f>'EG-A10'!G15*0.66</f>
        <v>0</v>
      </c>
      <c r="H15" s="67">
        <f>'EG-A10'!H15*0.66</f>
        <v>0</v>
      </c>
      <c r="I15" s="67">
        <f>'EG-A10'!I15*0.66</f>
        <v>0</v>
      </c>
      <c r="J15" s="67">
        <f>'EG-A10'!J15*0.66</f>
        <v>0</v>
      </c>
      <c r="K15" s="186">
        <f>'EG-A10'!K15*0.66</f>
        <v>0</v>
      </c>
      <c r="L15" s="187">
        <f>'EG-A10'!L15*0.66</f>
        <v>0</v>
      </c>
      <c r="M15" s="67">
        <f>'EG-A10'!M15*0.66</f>
        <v>0</v>
      </c>
      <c r="N15" s="67">
        <f>'EG-A10'!N15*0.66</f>
        <v>0</v>
      </c>
      <c r="O15" s="67">
        <f>'EG-A10'!O15*0.66</f>
        <v>0</v>
      </c>
      <c r="P15" s="67">
        <f>'EG-A10'!P15*0.66</f>
        <v>0</v>
      </c>
      <c r="Q15" s="68">
        <f>'EG-A10'!Q15*0.66</f>
        <v>0</v>
      </c>
      <c r="R15" s="302" t="str">
        <f t="shared" si="0"/>
        <v xml:space="preserve">     -</v>
      </c>
      <c r="S15" s="300" t="str">
        <f t="shared" si="1"/>
        <v xml:space="preserve">     -</v>
      </c>
    </row>
    <row r="16" spans="1:19" ht="15" customHeight="1">
      <c r="A16" s="16"/>
      <c r="B16" s="605" t="s">
        <v>441</v>
      </c>
      <c r="C16" s="606"/>
      <c r="D16" s="181">
        <f>'EG-A10'!D16*0.66</f>
        <v>240.9</v>
      </c>
      <c r="E16" s="67">
        <f>'EG-A10'!E16*0.66</f>
        <v>240.9</v>
      </c>
      <c r="F16" s="67">
        <f>'EG-A10'!F16*0.66</f>
        <v>240.9</v>
      </c>
      <c r="G16" s="67">
        <f>'EG-A10'!G16*0.66</f>
        <v>240.9</v>
      </c>
      <c r="H16" s="67">
        <f>'EG-A10'!H16*0.66</f>
        <v>240.9</v>
      </c>
      <c r="I16" s="67">
        <f>'EG-A10'!I16*0.66</f>
        <v>240.9</v>
      </c>
      <c r="J16" s="67">
        <f>'EG-A10'!J16*0.66</f>
        <v>240.9</v>
      </c>
      <c r="K16" s="186">
        <f>'EG-A10'!K16*0.66</f>
        <v>240.9</v>
      </c>
      <c r="L16" s="187">
        <f>'EG-A10'!L16*0.66</f>
        <v>240.9</v>
      </c>
      <c r="M16" s="67">
        <f>'EG-A10'!M16*0.66</f>
        <v>240.9</v>
      </c>
      <c r="N16" s="67">
        <f>'EG-A10'!N16*0.66</f>
        <v>735.90000000000009</v>
      </c>
      <c r="O16" s="67">
        <f>'EG-A10'!O16*0.66</f>
        <v>735.90000000000009</v>
      </c>
      <c r="P16" s="67">
        <f>'EG-A10'!P16*0.66</f>
        <v>735.90000000000009</v>
      </c>
      <c r="Q16" s="68">
        <f>'EG-A10'!Q16*0.66</f>
        <v>735.90000000000009</v>
      </c>
      <c r="R16" s="302">
        <f t="shared" si="0"/>
        <v>0</v>
      </c>
      <c r="S16" s="300">
        <f t="shared" si="1"/>
        <v>25</v>
      </c>
    </row>
    <row r="17" spans="1:19" ht="15" customHeight="1">
      <c r="A17" s="16"/>
      <c r="B17" s="605" t="s">
        <v>442</v>
      </c>
      <c r="C17" s="606"/>
      <c r="D17" s="181">
        <f>'EG-A10'!D17*0.66</f>
        <v>0</v>
      </c>
      <c r="E17" s="67">
        <f>'EG-A10'!E17*0.66</f>
        <v>0</v>
      </c>
      <c r="F17" s="67">
        <f>'EG-A10'!F17*0.66</f>
        <v>0</v>
      </c>
      <c r="G17" s="67">
        <f>'EG-A10'!G17*0.66</f>
        <v>0</v>
      </c>
      <c r="H17" s="67">
        <f>'EG-A10'!H17*0.66</f>
        <v>0</v>
      </c>
      <c r="I17" s="67">
        <f>'EG-A10'!I17*0.66</f>
        <v>0</v>
      </c>
      <c r="J17" s="67">
        <f>'EG-A10'!J17*0.66</f>
        <v>0</v>
      </c>
      <c r="K17" s="186">
        <f>'EG-A10'!K17*0.66</f>
        <v>0</v>
      </c>
      <c r="L17" s="187">
        <f>'EG-A10'!L17*0.66</f>
        <v>0</v>
      </c>
      <c r="M17" s="67">
        <f>'EG-A10'!M17*0.66</f>
        <v>0</v>
      </c>
      <c r="N17" s="67">
        <f>'EG-A10'!N17*0.66</f>
        <v>0</v>
      </c>
      <c r="O17" s="67">
        <f>'EG-A10'!O17*0.66</f>
        <v>0</v>
      </c>
      <c r="P17" s="67">
        <f>'EG-A10'!P17*0.66</f>
        <v>0</v>
      </c>
      <c r="Q17" s="68">
        <f>'EG-A10'!Q17*0.66</f>
        <v>0</v>
      </c>
      <c r="R17" s="302" t="str">
        <f t="shared" si="0"/>
        <v xml:space="preserve">     -</v>
      </c>
      <c r="S17" s="300" t="str">
        <f t="shared" si="1"/>
        <v xml:space="preserve">     -</v>
      </c>
    </row>
    <row r="18" spans="1:19" ht="15" customHeight="1">
      <c r="A18" s="16"/>
      <c r="B18" s="607" t="s">
        <v>443</v>
      </c>
      <c r="C18" s="608"/>
      <c r="D18" s="188">
        <f>'EG-A10'!D18*0.66</f>
        <v>577.5</v>
      </c>
      <c r="E18" s="182">
        <f>'EG-A10'!E18*0.66</f>
        <v>577.5</v>
      </c>
      <c r="F18" s="182">
        <f>'EG-A10'!F18*0.66</f>
        <v>577.5</v>
      </c>
      <c r="G18" s="182">
        <f>'EG-A10'!G18*0.66</f>
        <v>577.5</v>
      </c>
      <c r="H18" s="182">
        <f>'EG-A10'!H18*0.66</f>
        <v>584.62800000000004</v>
      </c>
      <c r="I18" s="182">
        <f>'EG-A10'!I18*0.66</f>
        <v>539.74800000000005</v>
      </c>
      <c r="J18" s="182">
        <f>'EG-A10'!J18*0.66</f>
        <v>539.74800000000005</v>
      </c>
      <c r="K18" s="183">
        <f>'EG-A10'!K18*0.66</f>
        <v>556.11599999999999</v>
      </c>
      <c r="L18" s="184">
        <f>'EG-A10'!L18*0.66</f>
        <v>556.11599999999999</v>
      </c>
      <c r="M18" s="182">
        <f>'EG-A10'!M18*0.66</f>
        <v>556.11599999999999</v>
      </c>
      <c r="N18" s="182">
        <f>'EG-A10'!N18*0.66</f>
        <v>556.11599999999999</v>
      </c>
      <c r="O18" s="182">
        <f>'EG-A10'!O18*0.66</f>
        <v>556.11599999999999</v>
      </c>
      <c r="P18" s="182">
        <f>'EG-A10'!P18*0.66</f>
        <v>556.11599999999999</v>
      </c>
      <c r="Q18" s="185">
        <f>'EG-A10'!Q18*0.66</f>
        <v>556.11599999999999</v>
      </c>
      <c r="R18" s="299">
        <f t="shared" si="0"/>
        <v>-0.5</v>
      </c>
      <c r="S18" s="300">
        <f t="shared" si="1"/>
        <v>0</v>
      </c>
    </row>
    <row r="19" spans="1:19" ht="15.75" customHeight="1">
      <c r="A19" s="16"/>
      <c r="B19" s="674" t="s">
        <v>307</v>
      </c>
      <c r="C19" s="675"/>
      <c r="D19" s="189">
        <f>'EG-A10'!D19*0.66</f>
        <v>7424.34</v>
      </c>
      <c r="E19" s="190">
        <f>'EG-A10'!E19*0.66</f>
        <v>7678.4400000000005</v>
      </c>
      <c r="F19" s="190">
        <f>'EG-A10'!F19*0.66</f>
        <v>7769.52</v>
      </c>
      <c r="G19" s="190">
        <f>'EG-A10'!G19*0.66</f>
        <v>8607.7200000000012</v>
      </c>
      <c r="H19" s="190">
        <f>'EG-A10'!H19*0.66</f>
        <v>9274.848</v>
      </c>
      <c r="I19" s="190">
        <f>'EG-A10'!I19*0.66</f>
        <v>9922.9680000000008</v>
      </c>
      <c r="J19" s="190">
        <f>'EG-A10'!J19*0.66</f>
        <v>11304.348</v>
      </c>
      <c r="K19" s="191">
        <f>'EG-A10'!K19*0.66</f>
        <v>11569.536</v>
      </c>
      <c r="L19" s="192">
        <f>'EG-A10'!L19*0.66</f>
        <v>13304.016</v>
      </c>
      <c r="M19" s="190">
        <f>'EG-A10'!M19*0.66</f>
        <v>15277.415999999999</v>
      </c>
      <c r="N19" s="190">
        <f>'EG-A10'!N19*0.66</f>
        <v>17303.615999999998</v>
      </c>
      <c r="O19" s="190">
        <f>'EG-A10'!O19*0.66</f>
        <v>18029.615999999998</v>
      </c>
      <c r="P19" s="190">
        <f>'EG-A10'!P19*0.66</f>
        <v>18755.615999999998</v>
      </c>
      <c r="Q19" s="193">
        <f>'EG-A10'!Q19*0.66</f>
        <v>19706.016</v>
      </c>
      <c r="R19" s="303">
        <f t="shared" si="0"/>
        <v>6.5</v>
      </c>
      <c r="S19" s="304">
        <f t="shared" si="1"/>
        <v>8.1999999999999993</v>
      </c>
    </row>
    <row r="20" spans="1:19" ht="15.75" customHeight="1">
      <c r="A20" s="16"/>
      <c r="B20" s="672" t="s">
        <v>308</v>
      </c>
      <c r="C20" s="673"/>
      <c r="D20" s="194">
        <f>'EG-A10'!D20*0.66</f>
        <v>2.64</v>
      </c>
      <c r="E20" s="195">
        <f>'EG-A10'!E20*0.66</f>
        <v>2.64</v>
      </c>
      <c r="F20" s="195">
        <f>'EG-A10'!F20*0.66</f>
        <v>2.64</v>
      </c>
      <c r="G20" s="195">
        <f>'EG-A10'!G20*0.66</f>
        <v>3.96</v>
      </c>
      <c r="H20" s="195">
        <f>'EG-A10'!H20*0.66</f>
        <v>3.96</v>
      </c>
      <c r="I20" s="195">
        <f>'EG-A10'!I20*0.66</f>
        <v>3.96</v>
      </c>
      <c r="J20" s="195">
        <f>'EG-A10'!J20*0.66</f>
        <v>3.96</v>
      </c>
      <c r="K20" s="196">
        <f>'EG-A10'!K20*0.66</f>
        <v>3.96</v>
      </c>
      <c r="L20" s="197">
        <f>'EG-A10'!L20*0.66</f>
        <v>3.96</v>
      </c>
      <c r="M20" s="195">
        <f>'EG-A10'!M20*0.66</f>
        <v>3.96</v>
      </c>
      <c r="N20" s="195">
        <f>'EG-A10'!N20*0.66</f>
        <v>3.96</v>
      </c>
      <c r="O20" s="195">
        <f>'EG-A10'!O20*0.66</f>
        <v>3.96</v>
      </c>
      <c r="P20" s="195">
        <f>'EG-A10'!P20*0.66</f>
        <v>3.96</v>
      </c>
      <c r="Q20" s="198">
        <f>'EG-A10'!Q20*0.66</f>
        <v>3.96</v>
      </c>
      <c r="R20" s="303">
        <f t="shared" si="0"/>
        <v>6</v>
      </c>
      <c r="S20" s="304">
        <f t="shared" si="1"/>
        <v>0</v>
      </c>
    </row>
    <row r="21" spans="1:19" ht="15" customHeight="1">
      <c r="A21" s="16"/>
      <c r="B21" s="105"/>
      <c r="C21" s="97" t="s">
        <v>309</v>
      </c>
      <c r="D21" s="194">
        <f>'EG-A10'!D21*0.66</f>
        <v>2.64</v>
      </c>
      <c r="E21" s="195">
        <f>'EG-A10'!E21*0.66</f>
        <v>2.64</v>
      </c>
      <c r="F21" s="195">
        <f>'EG-A10'!F21*0.66</f>
        <v>2.64</v>
      </c>
      <c r="G21" s="195">
        <f>'EG-A10'!G21*0.66</f>
        <v>3.96</v>
      </c>
      <c r="H21" s="195">
        <f>'EG-A10'!H21*0.66</f>
        <v>3.96</v>
      </c>
      <c r="I21" s="195">
        <f>'EG-A10'!I21*0.66</f>
        <v>3.96</v>
      </c>
      <c r="J21" s="195">
        <f>'EG-A10'!J21*0.66</f>
        <v>3.96</v>
      </c>
      <c r="K21" s="196">
        <f>'EG-A10'!K21*0.66</f>
        <v>3.96</v>
      </c>
      <c r="L21" s="197">
        <f>'EG-A10'!L21*0.66</f>
        <v>3.96</v>
      </c>
      <c r="M21" s="195">
        <f>'EG-A10'!M21*0.66</f>
        <v>3.96</v>
      </c>
      <c r="N21" s="195">
        <f>'EG-A10'!N21*0.66</f>
        <v>3.96</v>
      </c>
      <c r="O21" s="195">
        <f>'EG-A10'!O21*0.66</f>
        <v>3.96</v>
      </c>
      <c r="P21" s="195">
        <f>'EG-A10'!P21*0.66</f>
        <v>3.96</v>
      </c>
      <c r="Q21" s="198">
        <f>'EG-A10'!Q21*0.66</f>
        <v>3.96</v>
      </c>
      <c r="R21" s="303">
        <f t="shared" si="0"/>
        <v>6</v>
      </c>
      <c r="S21" s="304">
        <f t="shared" si="1"/>
        <v>0</v>
      </c>
    </row>
    <row r="22" spans="1:19" ht="15.75" customHeight="1">
      <c r="A22" s="16"/>
      <c r="B22" s="672" t="s">
        <v>310</v>
      </c>
      <c r="C22" s="673"/>
      <c r="D22" s="181">
        <f>'EG-A10'!D22*0.66</f>
        <v>932.58</v>
      </c>
      <c r="E22" s="67">
        <f>'EG-A10'!E22*0.66</f>
        <v>875.16000000000008</v>
      </c>
      <c r="F22" s="67">
        <f>'EG-A10'!F22*0.66</f>
        <v>893.64</v>
      </c>
      <c r="G22" s="67">
        <f>'EG-A10'!G22*0.66</f>
        <v>893.64</v>
      </c>
      <c r="H22" s="182">
        <f>'EG-A10'!H22*0.66</f>
        <v>893.64</v>
      </c>
      <c r="I22" s="182">
        <f>'EG-A10'!I22*0.66</f>
        <v>916.74</v>
      </c>
      <c r="J22" s="182">
        <f>'EG-A10'!J22*0.66</f>
        <v>916.74</v>
      </c>
      <c r="K22" s="183">
        <f>'EG-A10'!K22*0.66</f>
        <v>916.74</v>
      </c>
      <c r="L22" s="184">
        <f>'EG-A10'!L22*0.66</f>
        <v>916.74</v>
      </c>
      <c r="M22" s="182">
        <f>'EG-A10'!M22*0.66</f>
        <v>916.74</v>
      </c>
      <c r="N22" s="182">
        <f>'EG-A10'!N22*0.66</f>
        <v>916.74</v>
      </c>
      <c r="O22" s="182">
        <f>'EG-A10'!O22*0.66</f>
        <v>916.74</v>
      </c>
      <c r="P22" s="182">
        <f>'EG-A10'!P22*0.66</f>
        <v>916.74</v>
      </c>
      <c r="Q22" s="185">
        <f>'EG-A10'!Q22*0.66</f>
        <v>916.74</v>
      </c>
      <c r="R22" s="299">
        <f t="shared" si="0"/>
        <v>-0.2</v>
      </c>
      <c r="S22" s="300">
        <f t="shared" si="1"/>
        <v>0</v>
      </c>
    </row>
    <row r="23" spans="1:19" ht="15" customHeight="1">
      <c r="A23" s="16"/>
      <c r="B23" s="105"/>
      <c r="C23" s="615" t="s">
        <v>311</v>
      </c>
      <c r="D23" s="194">
        <f>'EG-A10'!D23*0.66</f>
        <v>880.44</v>
      </c>
      <c r="E23" s="195">
        <f>'EG-A10'!E23*0.66</f>
        <v>823.0200000000001</v>
      </c>
      <c r="F23" s="195">
        <f>'EG-A10'!F23*0.66</f>
        <v>821.04000000000008</v>
      </c>
      <c r="G23" s="195">
        <f>'EG-A10'!G23*0.66</f>
        <v>854.04000000000008</v>
      </c>
      <c r="H23" s="190">
        <f>'EG-A10'!H23*0.66</f>
        <v>854.04000000000008</v>
      </c>
      <c r="I23" s="190">
        <f>'EG-A10'!I23*0.66</f>
        <v>877.14</v>
      </c>
      <c r="J23" s="190">
        <f>'EG-A10'!J23*0.66</f>
        <v>877.14</v>
      </c>
      <c r="K23" s="191">
        <f>'EG-A10'!K23*0.66</f>
        <v>877.14</v>
      </c>
      <c r="L23" s="192">
        <f>'EG-A10'!L23*0.66</f>
        <v>877.14</v>
      </c>
      <c r="M23" s="190">
        <f>'EG-A10'!M23*0.66</f>
        <v>877.14</v>
      </c>
      <c r="N23" s="190">
        <f>'EG-A10'!N23*0.66</f>
        <v>877.14</v>
      </c>
      <c r="O23" s="190">
        <f>'EG-A10'!O23*0.66</f>
        <v>877.14</v>
      </c>
      <c r="P23" s="190">
        <f>'EG-A10'!P23*0.66</f>
        <v>877.14</v>
      </c>
      <c r="Q23" s="193">
        <f>'EG-A10'!Q23*0.66</f>
        <v>877.14</v>
      </c>
      <c r="R23" s="303">
        <f t="shared" si="0"/>
        <v>-0.1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'EG-A10'!D24*0.66</f>
        <v>5833.7400000000007</v>
      </c>
      <c r="E24" s="67">
        <f>'EG-A10'!E24*0.66</f>
        <v>6135.3600000000006</v>
      </c>
      <c r="F24" s="67">
        <f>'EG-A10'!F24*0.66</f>
        <v>6118.2000000000007</v>
      </c>
      <c r="G24" s="67">
        <f>'EG-A10'!G24*0.66</f>
        <v>6003.3600000000006</v>
      </c>
      <c r="H24" s="67">
        <f>'EG-A10'!H24*0.66</f>
        <v>6135.3600000000006</v>
      </c>
      <c r="I24" s="67">
        <f>'EG-A10'!I24*0.66</f>
        <v>6135.3600000000006</v>
      </c>
      <c r="J24" s="67">
        <f>'EG-A10'!J24*0.66</f>
        <v>6399.3600000000006</v>
      </c>
      <c r="K24" s="186">
        <f>'EG-A10'!K24*0.66</f>
        <v>6399.3600000000006</v>
      </c>
      <c r="L24" s="187">
        <f>'EG-A10'!L24*0.66</f>
        <v>6399.3600000000006</v>
      </c>
      <c r="M24" s="67">
        <f>'EG-A10'!M24*0.66</f>
        <v>6452.16</v>
      </c>
      <c r="N24" s="67">
        <f>'EG-A10'!N24*0.66</f>
        <v>6452.16</v>
      </c>
      <c r="O24" s="67">
        <f>'EG-A10'!O24*0.66</f>
        <v>6452.16</v>
      </c>
      <c r="P24" s="67">
        <f>'EG-A10'!P24*0.66</f>
        <v>6782.1600000000008</v>
      </c>
      <c r="Q24" s="68">
        <f>'EG-A10'!Q24*0.66</f>
        <v>6782.1600000000008</v>
      </c>
      <c r="R24" s="302">
        <f t="shared" si="0"/>
        <v>1.3</v>
      </c>
      <c r="S24" s="300">
        <f t="shared" si="1"/>
        <v>1.2</v>
      </c>
    </row>
    <row r="25" spans="1:19" ht="15" customHeight="1">
      <c r="A25" s="16"/>
      <c r="B25" s="16"/>
      <c r="C25" s="615" t="s">
        <v>313</v>
      </c>
      <c r="D25" s="194">
        <f>'EG-A10'!D25*0.66</f>
        <v>0</v>
      </c>
      <c r="E25" s="195">
        <f>'EG-A10'!E25*0.66</f>
        <v>4639.8</v>
      </c>
      <c r="F25" s="195">
        <f>'EG-A10'!F25*0.66</f>
        <v>4639.8</v>
      </c>
      <c r="G25" s="195">
        <f>'EG-A10'!G25*0.66</f>
        <v>4639.8</v>
      </c>
      <c r="H25" s="190">
        <f>'EG-A10'!H25*0.66</f>
        <v>4771.8</v>
      </c>
      <c r="I25" s="190">
        <f>'EG-A10'!I25*0.66</f>
        <v>4771.8</v>
      </c>
      <c r="J25" s="190">
        <f>'EG-A10'!J25*0.66</f>
        <v>5035.8</v>
      </c>
      <c r="K25" s="191">
        <f>'EG-A10'!K25*0.66</f>
        <v>5035.8</v>
      </c>
      <c r="L25" s="192">
        <f>'EG-A10'!L25*0.66</f>
        <v>5035.8</v>
      </c>
      <c r="M25" s="190">
        <f>'EG-A10'!M25*0.66</f>
        <v>5088.6000000000004</v>
      </c>
      <c r="N25" s="190">
        <f>'EG-A10'!N25*0.66</f>
        <v>5088.6000000000004</v>
      </c>
      <c r="O25" s="190">
        <f>'EG-A10'!O25*0.66</f>
        <v>5088.6000000000004</v>
      </c>
      <c r="P25" s="190">
        <f>'EG-A10'!P25*0.66</f>
        <v>5418.6</v>
      </c>
      <c r="Q25" s="193">
        <f>'EG-A10'!Q25*0.66</f>
        <v>5418.6</v>
      </c>
      <c r="R25" s="303" t="str">
        <f t="shared" si="0"/>
        <v xml:space="preserve">     -</v>
      </c>
      <c r="S25" s="304">
        <f t="shared" si="1"/>
        <v>1.5</v>
      </c>
    </row>
    <row r="26" spans="1:19" ht="15.75" customHeight="1">
      <c r="A26" s="16"/>
      <c r="B26" s="674" t="s">
        <v>314</v>
      </c>
      <c r="C26" s="675"/>
      <c r="D26" s="194">
        <f>'EG-A10'!D26*0.66</f>
        <v>0</v>
      </c>
      <c r="E26" s="195">
        <f>'EG-A10'!E26*0.66</f>
        <v>0</v>
      </c>
      <c r="F26" s="195">
        <f>'EG-A10'!F26*0.66</f>
        <v>0</v>
      </c>
      <c r="G26" s="195">
        <f>'EG-A10'!G26*0.66</f>
        <v>0</v>
      </c>
      <c r="H26" s="195">
        <f>'EG-A10'!H26*0.66</f>
        <v>0</v>
      </c>
      <c r="I26" s="195">
        <f>'EG-A10'!I26*0.66</f>
        <v>0</v>
      </c>
      <c r="J26" s="195">
        <f>'EG-A10'!J26*0.66</f>
        <v>0</v>
      </c>
      <c r="K26" s="196">
        <f>'EG-A10'!K26*0.66</f>
        <v>0</v>
      </c>
      <c r="L26" s="197">
        <f>'EG-A10'!L26*0.66</f>
        <v>0</v>
      </c>
      <c r="M26" s="195">
        <f>'EG-A10'!M26*0.66</f>
        <v>0</v>
      </c>
      <c r="N26" s="195">
        <f>'EG-A10'!N26*0.66</f>
        <v>0</v>
      </c>
      <c r="O26" s="195">
        <f>'EG-A10'!O26*0.66</f>
        <v>0</v>
      </c>
      <c r="P26" s="195">
        <f>'EG-A10'!P26*0.66</f>
        <v>0</v>
      </c>
      <c r="Q26" s="198">
        <f>'EG-A10'!Q26*0.66</f>
        <v>0</v>
      </c>
      <c r="R26" s="305" t="str">
        <f t="shared" si="0"/>
        <v xml:space="preserve">     -</v>
      </c>
      <c r="S26" s="304" t="str">
        <f t="shared" si="1"/>
        <v xml:space="preserve">     -</v>
      </c>
    </row>
    <row r="27" spans="1:19" ht="15.75" customHeight="1">
      <c r="A27" s="16"/>
      <c r="B27" s="674" t="s">
        <v>315</v>
      </c>
      <c r="C27" s="675"/>
      <c r="D27" s="189">
        <f>'EG-A10'!D27*0.66</f>
        <v>337.26</v>
      </c>
      <c r="E27" s="190">
        <f>'EG-A10'!E27*0.66</f>
        <v>337.26</v>
      </c>
      <c r="F27" s="190">
        <f>'EG-A10'!F27*0.66</f>
        <v>337.26</v>
      </c>
      <c r="G27" s="190">
        <f>'EG-A10'!G27*0.66</f>
        <v>337.26</v>
      </c>
      <c r="H27" s="190">
        <f>'EG-A10'!H27*0.66</f>
        <v>337.26</v>
      </c>
      <c r="I27" s="190">
        <f>'EG-A10'!I27*0.66</f>
        <v>337.26</v>
      </c>
      <c r="J27" s="190">
        <f>'EG-A10'!J27*0.66</f>
        <v>462</v>
      </c>
      <c r="K27" s="191">
        <f>'EG-A10'!K27*0.66</f>
        <v>462</v>
      </c>
      <c r="L27" s="192">
        <f>'EG-A10'!L27*0.66</f>
        <v>462</v>
      </c>
      <c r="M27" s="190">
        <f>'EG-A10'!M27*0.66</f>
        <v>462</v>
      </c>
      <c r="N27" s="190">
        <f>'EG-A10'!N27*0.66</f>
        <v>462</v>
      </c>
      <c r="O27" s="190">
        <f>'EG-A10'!O27*0.66</f>
        <v>462</v>
      </c>
      <c r="P27" s="190">
        <f>'EG-A10'!P27*0.66</f>
        <v>462</v>
      </c>
      <c r="Q27" s="193">
        <f>'EG-A10'!Q27*0.66</f>
        <v>462</v>
      </c>
      <c r="R27" s="303">
        <f t="shared" si="0"/>
        <v>4.5999999999999996</v>
      </c>
      <c r="S27" s="304">
        <f t="shared" si="1"/>
        <v>0</v>
      </c>
    </row>
    <row r="28" spans="1:19" ht="15" customHeight="1">
      <c r="A28" s="16"/>
      <c r="B28" s="672" t="s">
        <v>316</v>
      </c>
      <c r="C28" s="673"/>
      <c r="D28" s="181">
        <f>'EG-A10'!D28*0.66</f>
        <v>1459.26</v>
      </c>
      <c r="E28" s="67">
        <f>'EG-A10'!E28*0.66</f>
        <v>1459.26</v>
      </c>
      <c r="F28" s="67">
        <f>'EG-A10'!F28*0.66</f>
        <v>1430.22</v>
      </c>
      <c r="G28" s="67">
        <f>'EG-A10'!G28*0.66</f>
        <v>1430.22</v>
      </c>
      <c r="H28" s="67">
        <f>'EG-A10'!H28*0.66</f>
        <v>1430.22</v>
      </c>
      <c r="I28" s="182">
        <f>'EG-A10'!I28*0.66</f>
        <v>1448.04</v>
      </c>
      <c r="J28" s="182">
        <f>'EG-A10'!J28*0.66</f>
        <v>1448.04</v>
      </c>
      <c r="K28" s="183">
        <f>'EG-A10'!K28*0.66</f>
        <v>1498.2</v>
      </c>
      <c r="L28" s="184">
        <f>'EG-A10'!L28*0.66</f>
        <v>1498.2</v>
      </c>
      <c r="M28" s="182">
        <f>'EG-A10'!M28*0.66</f>
        <v>1900.8000000000002</v>
      </c>
      <c r="N28" s="182">
        <f>'EG-A10'!N28*0.66</f>
        <v>2857.8</v>
      </c>
      <c r="O28" s="182">
        <f>'EG-A10'!O28*0.66</f>
        <v>2943.6000000000004</v>
      </c>
      <c r="P28" s="182">
        <f>'EG-A10'!P28*0.66</f>
        <v>2943.6000000000004</v>
      </c>
      <c r="Q28" s="185">
        <f>'EG-A10'!Q28*0.66</f>
        <v>2943.6000000000004</v>
      </c>
      <c r="R28" s="299">
        <f t="shared" si="0"/>
        <v>0.4</v>
      </c>
      <c r="S28" s="300">
        <f t="shared" si="1"/>
        <v>14.5</v>
      </c>
    </row>
    <row r="29" spans="1:19" ht="15" customHeight="1">
      <c r="A29" s="16"/>
      <c r="B29" s="670" t="s">
        <v>317</v>
      </c>
      <c r="C29" s="671"/>
      <c r="D29" s="181">
        <f>'EG-A10'!D29*0.66</f>
        <v>966.90000000000009</v>
      </c>
      <c r="E29" s="67">
        <f>'EG-A10'!E29*0.66</f>
        <v>966.90000000000009</v>
      </c>
      <c r="F29" s="67">
        <f>'EG-A10'!F29*0.66</f>
        <v>957</v>
      </c>
      <c r="G29" s="67">
        <f>'EG-A10'!G29*0.66</f>
        <v>990</v>
      </c>
      <c r="H29" s="67">
        <f>'EG-A10'!H29*0.66</f>
        <v>990</v>
      </c>
      <c r="I29" s="182">
        <f>'EG-A10'!I29*0.66</f>
        <v>990</v>
      </c>
      <c r="J29" s="182">
        <f>'EG-A10'!J29*0.66</f>
        <v>1009.8000000000001</v>
      </c>
      <c r="K29" s="183">
        <f>'EG-A10'!K29*0.66</f>
        <v>1168.2</v>
      </c>
      <c r="L29" s="184">
        <f>'EG-A10'!L29*0.66</f>
        <v>1168.2</v>
      </c>
      <c r="M29" s="182">
        <f>'EG-A10'!M29*0.66</f>
        <v>1168.2</v>
      </c>
      <c r="N29" s="182">
        <f>'EG-A10'!N29*0.66</f>
        <v>1168.2</v>
      </c>
      <c r="O29" s="182">
        <f>'EG-A10'!O29*0.66</f>
        <v>1168.2</v>
      </c>
      <c r="P29" s="182">
        <f>'EG-A10'!P29*0.66</f>
        <v>1168.2</v>
      </c>
      <c r="Q29" s="185">
        <f>'EG-A10'!Q29*0.66</f>
        <v>1168.2</v>
      </c>
      <c r="R29" s="299">
        <f t="shared" si="0"/>
        <v>2.7</v>
      </c>
      <c r="S29" s="300">
        <f t="shared" si="1"/>
        <v>0</v>
      </c>
    </row>
    <row r="30" spans="1:19" ht="15.75" customHeight="1">
      <c r="A30" s="16"/>
      <c r="B30" s="674" t="s">
        <v>318</v>
      </c>
      <c r="C30" s="675"/>
      <c r="D30" s="189">
        <f>'EG-A10'!D30*0.66</f>
        <v>2426.1600000000003</v>
      </c>
      <c r="E30" s="190">
        <f>'EG-A10'!E30*0.66</f>
        <v>2426.1600000000003</v>
      </c>
      <c r="F30" s="190">
        <f>'EG-A10'!F30*0.66</f>
        <v>2387.2200000000003</v>
      </c>
      <c r="G30" s="190">
        <f>'EG-A10'!G30*0.66</f>
        <v>2420.2200000000003</v>
      </c>
      <c r="H30" s="190">
        <f>'EG-A10'!H30*0.66</f>
        <v>2420.2200000000003</v>
      </c>
      <c r="I30" s="190">
        <f>'EG-A10'!I30*0.66</f>
        <v>2438.04</v>
      </c>
      <c r="J30" s="190">
        <f>'EG-A10'!J30*0.66</f>
        <v>2457.84</v>
      </c>
      <c r="K30" s="191">
        <f>'EG-A10'!K30*0.66</f>
        <v>2666.4</v>
      </c>
      <c r="L30" s="192">
        <f>'EG-A10'!L30*0.66</f>
        <v>2666.4</v>
      </c>
      <c r="M30" s="190">
        <f>'EG-A10'!M30*0.66</f>
        <v>3069</v>
      </c>
      <c r="N30" s="190">
        <f>'EG-A10'!N30*0.66</f>
        <v>4026</v>
      </c>
      <c r="O30" s="190">
        <f>'EG-A10'!O30*0.66</f>
        <v>4111.8</v>
      </c>
      <c r="P30" s="190">
        <f>'EG-A10'!P30*0.66</f>
        <v>4111.8</v>
      </c>
      <c r="Q30" s="193">
        <f>'EG-A10'!Q30*0.66</f>
        <v>4111.8</v>
      </c>
      <c r="R30" s="303">
        <f t="shared" si="0"/>
        <v>1.4</v>
      </c>
      <c r="S30" s="304">
        <f t="shared" si="1"/>
        <v>9</v>
      </c>
    </row>
    <row r="31" spans="1:19" ht="15" customHeight="1">
      <c r="A31" s="16"/>
      <c r="B31" s="672" t="s">
        <v>319</v>
      </c>
      <c r="C31" s="673"/>
      <c r="D31" s="181">
        <f>'EG-A10'!D31*0.66</f>
        <v>247.5</v>
      </c>
      <c r="E31" s="67">
        <f>'EG-A10'!E31*0.66</f>
        <v>247.5</v>
      </c>
      <c r="F31" s="67">
        <f>'EG-A10'!F31*0.66</f>
        <v>247.5</v>
      </c>
      <c r="G31" s="67">
        <f>'EG-A10'!G31*0.66</f>
        <v>247.5</v>
      </c>
      <c r="H31" s="67">
        <f>'EG-A10'!H31*0.66</f>
        <v>247.5</v>
      </c>
      <c r="I31" s="62">
        <f>'EG-A10'!I31*0.66</f>
        <v>247.5</v>
      </c>
      <c r="J31" s="182">
        <f>'EG-A10'!J31*0.66</f>
        <v>247.5</v>
      </c>
      <c r="K31" s="183">
        <f>'EG-A10'!K31*0.66</f>
        <v>326.7</v>
      </c>
      <c r="L31" s="184">
        <f>'EG-A10'!L31*0.66</f>
        <v>326.7</v>
      </c>
      <c r="M31" s="182">
        <f>'EG-A10'!M31*0.66</f>
        <v>326.7</v>
      </c>
      <c r="N31" s="182">
        <f>'EG-A10'!N31*0.66</f>
        <v>326.7</v>
      </c>
      <c r="O31" s="182">
        <f>'EG-A10'!O31*0.66</f>
        <v>326.7</v>
      </c>
      <c r="P31" s="182">
        <f>'EG-A10'!P31*0.66</f>
        <v>326.7</v>
      </c>
      <c r="Q31" s="185">
        <f>'EG-A10'!Q31*0.66</f>
        <v>326.7</v>
      </c>
      <c r="R31" s="299">
        <f t="shared" si="0"/>
        <v>4</v>
      </c>
      <c r="S31" s="300">
        <f t="shared" si="1"/>
        <v>0</v>
      </c>
    </row>
    <row r="32" spans="1:19" ht="15" customHeight="1">
      <c r="A32" s="16"/>
      <c r="B32" s="668" t="s">
        <v>320</v>
      </c>
      <c r="C32" s="669"/>
      <c r="D32" s="181">
        <f>'EG-A10'!D32*0.66</f>
        <v>194.70000000000002</v>
      </c>
      <c r="E32" s="67">
        <f>'EG-A10'!E32*0.66</f>
        <v>194.70000000000002</v>
      </c>
      <c r="F32" s="67">
        <f>'EG-A10'!F32*0.66</f>
        <v>194.70000000000002</v>
      </c>
      <c r="G32" s="67">
        <f>'EG-A10'!G32*0.66</f>
        <v>194.70000000000002</v>
      </c>
      <c r="H32" s="67">
        <f>'EG-A10'!H32*0.66</f>
        <v>194.70000000000002</v>
      </c>
      <c r="I32" s="182">
        <f>'EG-A10'!I32*0.66</f>
        <v>194.70000000000002</v>
      </c>
      <c r="J32" s="182">
        <f>'EG-A10'!J32*0.66</f>
        <v>194.70000000000002</v>
      </c>
      <c r="K32" s="183">
        <f>'EG-A10'!K32*0.66</f>
        <v>194.70000000000002</v>
      </c>
      <c r="L32" s="184">
        <f>'EG-A10'!L32*0.66</f>
        <v>194.70000000000002</v>
      </c>
      <c r="M32" s="182">
        <f>'EG-A10'!M32*0.66</f>
        <v>194.70000000000002</v>
      </c>
      <c r="N32" s="182">
        <f>'EG-A10'!N32*0.66</f>
        <v>194.70000000000002</v>
      </c>
      <c r="O32" s="182">
        <f>'EG-A10'!O32*0.66</f>
        <v>194.70000000000002</v>
      </c>
      <c r="P32" s="182">
        <f>'EG-A10'!P32*0.66</f>
        <v>194.70000000000002</v>
      </c>
      <c r="Q32" s="185">
        <f>'EG-A10'!Q32*0.66</f>
        <v>194.70000000000002</v>
      </c>
      <c r="R32" s="299">
        <f t="shared" si="0"/>
        <v>0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81">
        <f>'EG-A10'!D33*0.66</f>
        <v>55.440000000000005</v>
      </c>
      <c r="E33" s="67">
        <f>'EG-A10'!E33*0.66</f>
        <v>55.440000000000005</v>
      </c>
      <c r="F33" s="67">
        <f>'EG-A10'!F33*0.66</f>
        <v>55.440000000000005</v>
      </c>
      <c r="G33" s="67">
        <f>'EG-A10'!G33*0.66</f>
        <v>55.440000000000005</v>
      </c>
      <c r="H33" s="67">
        <f>'EG-A10'!H33*0.66</f>
        <v>55.440000000000005</v>
      </c>
      <c r="I33" s="182">
        <f>'EG-A10'!I33*0.66</f>
        <v>55.440000000000005</v>
      </c>
      <c r="J33" s="182">
        <f>'EG-A10'!J33*0.66</f>
        <v>55.440000000000005</v>
      </c>
      <c r="K33" s="183">
        <f>'EG-A10'!K33*0.66</f>
        <v>55.440000000000005</v>
      </c>
      <c r="L33" s="184">
        <f>'EG-A10'!L33*0.66</f>
        <v>55.440000000000005</v>
      </c>
      <c r="M33" s="182">
        <f>'EG-A10'!M33*0.66</f>
        <v>55.440000000000005</v>
      </c>
      <c r="N33" s="182">
        <f>'EG-A10'!N33*0.66</f>
        <v>55.440000000000005</v>
      </c>
      <c r="O33" s="182">
        <f>'EG-A10'!O33*0.66</f>
        <v>55.440000000000005</v>
      </c>
      <c r="P33" s="182">
        <f>'EG-A10'!P33*0.66</f>
        <v>55.440000000000005</v>
      </c>
      <c r="Q33" s="185">
        <f>'EG-A10'!Q33*0.66</f>
        <v>55.440000000000005</v>
      </c>
      <c r="R33" s="299">
        <f t="shared" si="0"/>
        <v>0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99">
        <f>'EG-A10'!D34*0.66</f>
        <v>497.64000000000004</v>
      </c>
      <c r="E34" s="200">
        <f>'EG-A10'!E34*0.66</f>
        <v>497.64000000000004</v>
      </c>
      <c r="F34" s="200">
        <f>'EG-A10'!F34*0.66</f>
        <v>497.64000000000004</v>
      </c>
      <c r="G34" s="200">
        <f>'EG-A10'!G34*0.66</f>
        <v>497.64000000000004</v>
      </c>
      <c r="H34" s="200">
        <f>'EG-A10'!H34*0.66</f>
        <v>497.64000000000004</v>
      </c>
      <c r="I34" s="200">
        <f>'EG-A10'!I34*0.66</f>
        <v>497.64000000000004</v>
      </c>
      <c r="J34" s="200">
        <f>'EG-A10'!J34*0.66</f>
        <v>497.64000000000004</v>
      </c>
      <c r="K34" s="201">
        <f>'EG-A10'!K34*0.66</f>
        <v>576.84</v>
      </c>
      <c r="L34" s="202">
        <f>'EG-A10'!L34*0.66</f>
        <v>576.84</v>
      </c>
      <c r="M34" s="200">
        <f>'EG-A10'!M34*0.66</f>
        <v>576.84</v>
      </c>
      <c r="N34" s="200">
        <f>'EG-A10'!N34*0.66</f>
        <v>576.84</v>
      </c>
      <c r="O34" s="200">
        <f>'EG-A10'!O34*0.66</f>
        <v>576.84</v>
      </c>
      <c r="P34" s="200">
        <f>'EG-A10'!P34*0.66</f>
        <v>576.84</v>
      </c>
      <c r="Q34" s="203">
        <f>'EG-A10'!Q34*0.66</f>
        <v>576.84</v>
      </c>
      <c r="R34" s="306">
        <f t="shared" si="0"/>
        <v>2.1</v>
      </c>
      <c r="S34" s="307">
        <f t="shared" si="1"/>
        <v>0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17454.36</v>
      </c>
      <c r="E35" s="205">
        <f t="shared" ref="E35:Q35" si="2">E34+E30+E27+E26+E24+E22+E20+E19</f>
        <v>17952.660000000003</v>
      </c>
      <c r="F35" s="205">
        <f t="shared" si="2"/>
        <v>18006.12</v>
      </c>
      <c r="G35" s="205">
        <f t="shared" si="2"/>
        <v>18763.8</v>
      </c>
      <c r="H35" s="205">
        <f t="shared" si="2"/>
        <v>19562.928</v>
      </c>
      <c r="I35" s="205">
        <f t="shared" si="2"/>
        <v>20251.968000000001</v>
      </c>
      <c r="J35" s="205">
        <f t="shared" si="2"/>
        <v>22041.887999999999</v>
      </c>
      <c r="K35" s="206">
        <f t="shared" si="2"/>
        <v>22594.835999999999</v>
      </c>
      <c r="L35" s="207">
        <f t="shared" si="2"/>
        <v>24329.315999999999</v>
      </c>
      <c r="M35" s="205">
        <f t="shared" si="2"/>
        <v>26758.115999999998</v>
      </c>
      <c r="N35" s="205">
        <f t="shared" si="2"/>
        <v>29741.315999999999</v>
      </c>
      <c r="O35" s="205">
        <f t="shared" si="2"/>
        <v>30553.115999999995</v>
      </c>
      <c r="P35" s="205">
        <f t="shared" si="2"/>
        <v>31609.115999999998</v>
      </c>
      <c r="Q35" s="208">
        <f t="shared" si="2"/>
        <v>32559.516</v>
      </c>
      <c r="R35" s="308">
        <f t="shared" si="0"/>
        <v>3.8</v>
      </c>
      <c r="S35" s="309">
        <f t="shared" si="1"/>
        <v>6</v>
      </c>
    </row>
    <row r="36" spans="1:19" ht="15" customHeight="1">
      <c r="A36" s="613" t="s">
        <v>324</v>
      </c>
      <c r="B36" s="644" t="s">
        <v>433</v>
      </c>
      <c r="C36" s="645"/>
      <c r="D36" s="181">
        <f>'EG-A10'!D36*0.66</f>
        <v>760.98</v>
      </c>
      <c r="E36" s="67">
        <f>'EG-A10'!E36*0.66</f>
        <v>759.66000000000008</v>
      </c>
      <c r="F36" s="67">
        <f>'EG-A10'!F36*0.66</f>
        <v>770.22</v>
      </c>
      <c r="G36" s="67">
        <f>'EG-A10'!G36*0.66</f>
        <v>770.88</v>
      </c>
      <c r="H36" s="182">
        <f>'EG-A10'!H36*0.66</f>
        <v>778.80000000000007</v>
      </c>
      <c r="I36" s="182">
        <f>'EG-A10'!I36*0.66</f>
        <v>778.14</v>
      </c>
      <c r="J36" s="182">
        <f>'EG-A10'!J36*0.66</f>
        <v>806.52</v>
      </c>
      <c r="K36" s="183">
        <f>'EG-A10'!K36*0.66</f>
        <v>821.04000000000008</v>
      </c>
      <c r="L36" s="184">
        <f>'EG-A10'!L36*0.66</f>
        <v>818.40000000000009</v>
      </c>
      <c r="M36" s="182">
        <f>'EG-A10'!M36*0.66</f>
        <v>818.40000000000009</v>
      </c>
      <c r="N36" s="182">
        <f>'EG-A10'!N36*0.66</f>
        <v>818.40000000000009</v>
      </c>
      <c r="O36" s="182">
        <f>'EG-A10'!O36*0.66</f>
        <v>825</v>
      </c>
      <c r="P36" s="182">
        <f>'EG-A10'!P36*0.66</f>
        <v>825</v>
      </c>
      <c r="Q36" s="185">
        <f>'EG-A10'!Q36*0.66</f>
        <v>825</v>
      </c>
      <c r="R36" s="299">
        <f t="shared" si="0"/>
        <v>1.1000000000000001</v>
      </c>
      <c r="S36" s="300">
        <f t="shared" si="1"/>
        <v>0.2</v>
      </c>
    </row>
    <row r="37" spans="1:19" ht="15" customHeight="1">
      <c r="A37" s="614" t="s">
        <v>325</v>
      </c>
      <c r="B37" s="605" t="s">
        <v>434</v>
      </c>
      <c r="C37" s="606"/>
      <c r="D37" s="181">
        <f>'EG-A10'!D37*0.66</f>
        <v>1411.74</v>
      </c>
      <c r="E37" s="67">
        <f>'EG-A10'!E37*0.66</f>
        <v>1316.04</v>
      </c>
      <c r="F37" s="67">
        <f>'EG-A10'!F37*0.66</f>
        <v>1313.4</v>
      </c>
      <c r="G37" s="67">
        <f>'EG-A10'!G37*0.66</f>
        <v>1393.92</v>
      </c>
      <c r="H37" s="182">
        <f>'EG-A10'!H37*0.66</f>
        <v>1516.68</v>
      </c>
      <c r="I37" s="182">
        <f>'EG-A10'!I37*0.66</f>
        <v>1550.3400000000001</v>
      </c>
      <c r="J37" s="182">
        <f>'EG-A10'!J37*0.66</f>
        <v>1556.28</v>
      </c>
      <c r="K37" s="183">
        <f>'EG-A10'!K37*0.66</f>
        <v>1562.22</v>
      </c>
      <c r="L37" s="184">
        <f>'EG-A10'!L37*0.66</f>
        <v>1551</v>
      </c>
      <c r="M37" s="182">
        <f>'EG-A10'!M37*0.66</f>
        <v>1551</v>
      </c>
      <c r="N37" s="182">
        <f>'EG-A10'!N37*0.66</f>
        <v>1551</v>
      </c>
      <c r="O37" s="182">
        <f>'EG-A10'!O37*0.66</f>
        <v>1584</v>
      </c>
      <c r="P37" s="182">
        <f>'EG-A10'!P37*0.66</f>
        <v>1584</v>
      </c>
      <c r="Q37" s="185">
        <f>'EG-A10'!Q37*0.66</f>
        <v>1584</v>
      </c>
      <c r="R37" s="299">
        <f t="shared" si="0"/>
        <v>1.5</v>
      </c>
      <c r="S37" s="300">
        <f t="shared" si="1"/>
        <v>0.4</v>
      </c>
    </row>
    <row r="38" spans="1:19" ht="15" customHeight="1">
      <c r="A38" s="16"/>
      <c r="B38" s="605" t="s">
        <v>435</v>
      </c>
      <c r="C38" s="606"/>
      <c r="D38" s="181">
        <f>'EG-A10'!D38*0.66</f>
        <v>546.48</v>
      </c>
      <c r="E38" s="67">
        <f>'EG-A10'!E38*0.66</f>
        <v>546.74400000000003</v>
      </c>
      <c r="F38" s="67">
        <f>'EG-A10'!F38*0.66</f>
        <v>522.32399999999996</v>
      </c>
      <c r="G38" s="67">
        <f>'EG-A10'!G38*0.66</f>
        <v>564.00959999999998</v>
      </c>
      <c r="H38" s="67">
        <f>'EG-A10'!H38*0.66</f>
        <v>445.0316712328767</v>
      </c>
      <c r="I38" s="62">
        <f>'EG-A10'!I38*0.66</f>
        <v>507.55650000000003</v>
      </c>
      <c r="J38" s="62">
        <f>'EG-A10'!J38*0.66</f>
        <v>305.58000000000004</v>
      </c>
      <c r="K38" s="63">
        <f>'EG-A10'!K38*0.66</f>
        <v>575.52</v>
      </c>
      <c r="L38" s="64">
        <f>'EG-A10'!L38*0.66</f>
        <v>539.22</v>
      </c>
      <c r="M38" s="62">
        <f>'EG-A10'!M38*0.66</f>
        <v>501.6</v>
      </c>
      <c r="N38" s="62">
        <f>'EG-A10'!N38*0.66</f>
        <v>546.48</v>
      </c>
      <c r="O38" s="62">
        <f>'EG-A10'!O38*0.66</f>
        <v>546.48</v>
      </c>
      <c r="P38" s="62">
        <f>'EG-A10'!P38*0.66</f>
        <v>546.48</v>
      </c>
      <c r="Q38" s="65">
        <f>'EG-A10'!Q38*0.66</f>
        <v>539.22</v>
      </c>
      <c r="R38" s="301">
        <f t="shared" si="0"/>
        <v>0.7</v>
      </c>
      <c r="S38" s="300">
        <f t="shared" si="1"/>
        <v>0</v>
      </c>
    </row>
    <row r="39" spans="1:19" ht="15" customHeight="1">
      <c r="A39" s="16"/>
      <c r="B39" s="605" t="s">
        <v>436</v>
      </c>
      <c r="C39" s="606"/>
      <c r="D39" s="181">
        <f>'EG-A10'!D39*0.66</f>
        <v>1694.88</v>
      </c>
      <c r="E39" s="67">
        <f>'EG-A10'!E39*0.66</f>
        <v>1931.8200000000002</v>
      </c>
      <c r="F39" s="67">
        <f>'EG-A10'!F39*0.66</f>
        <v>1912.68</v>
      </c>
      <c r="G39" s="67">
        <f>'EG-A10'!G39*0.66</f>
        <v>2302.08</v>
      </c>
      <c r="H39" s="67">
        <f>'EG-A10'!H39*0.66</f>
        <v>2316.6</v>
      </c>
      <c r="I39" s="182">
        <f>'EG-A10'!I39*0.66</f>
        <v>2857.8</v>
      </c>
      <c r="J39" s="182">
        <f>'EG-A10'!J39*0.66</f>
        <v>3385.8</v>
      </c>
      <c r="K39" s="183">
        <f>'EG-A10'!K39*0.66</f>
        <v>4143.4800000000005</v>
      </c>
      <c r="L39" s="184">
        <f>'EG-A10'!L39*0.66</f>
        <v>5280</v>
      </c>
      <c r="M39" s="182">
        <f>'EG-A10'!M39*0.66</f>
        <v>6111.6</v>
      </c>
      <c r="N39" s="182">
        <f>'EG-A10'!N39*0.66</f>
        <v>6639.6</v>
      </c>
      <c r="O39" s="182">
        <f>'EG-A10'!O39*0.66</f>
        <v>7431.6</v>
      </c>
      <c r="P39" s="182">
        <f>'EG-A10'!P39*0.66</f>
        <v>8372.1</v>
      </c>
      <c r="Q39" s="185">
        <f>'EG-A10'!Q39*0.66</f>
        <v>9127.8000000000011</v>
      </c>
      <c r="R39" s="299">
        <f t="shared" si="0"/>
        <v>13.6</v>
      </c>
      <c r="S39" s="300">
        <f t="shared" si="1"/>
        <v>11.6</v>
      </c>
    </row>
    <row r="40" spans="1:19" ht="15" customHeight="1">
      <c r="A40" s="16"/>
      <c r="B40" s="605" t="s">
        <v>437</v>
      </c>
      <c r="C40" s="606"/>
      <c r="D40" s="181">
        <f>'EG-A10'!D40*0.66</f>
        <v>204.60000000000002</v>
      </c>
      <c r="E40" s="67">
        <f>'EG-A10'!E40*0.66</f>
        <v>188.10000000000002</v>
      </c>
      <c r="F40" s="67">
        <f>'EG-A10'!F40*0.66</f>
        <v>235.62</v>
      </c>
      <c r="G40" s="67">
        <f>'EG-A10'!G40*0.66</f>
        <v>235.62</v>
      </c>
      <c r="H40" s="67">
        <f>'EG-A10'!H40*0.66</f>
        <v>235.62</v>
      </c>
      <c r="I40" s="67">
        <f>'EG-A10'!I40*0.66</f>
        <v>241.73567708400006</v>
      </c>
      <c r="J40" s="67">
        <f>'EG-A10'!J40*0.66</f>
        <v>245.95823999999999</v>
      </c>
      <c r="K40" s="186">
        <f>'EG-A10'!K40*0.66</f>
        <v>259.38</v>
      </c>
      <c r="L40" s="187">
        <f>'EG-A10'!L40*0.66</f>
        <v>270.60000000000002</v>
      </c>
      <c r="M40" s="67">
        <f>'EG-A10'!M40*0.66</f>
        <v>270.60000000000002</v>
      </c>
      <c r="N40" s="67">
        <f>'EG-A10'!N40*0.66</f>
        <v>270.60000000000002</v>
      </c>
      <c r="O40" s="67">
        <f>'EG-A10'!O40*0.66</f>
        <v>270.60000000000002</v>
      </c>
      <c r="P40" s="67">
        <f>'EG-A10'!P40*0.66</f>
        <v>270.60000000000002</v>
      </c>
      <c r="Q40" s="68">
        <f>'EG-A10'!Q40*0.66</f>
        <v>270.60000000000002</v>
      </c>
      <c r="R40" s="302">
        <f t="shared" si="0"/>
        <v>3.4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'EG-A10'!D41*0.66</f>
        <v>69.260400000000004</v>
      </c>
      <c r="E41" s="67">
        <f>'EG-A10'!E41*0.66</f>
        <v>90.42</v>
      </c>
      <c r="F41" s="67">
        <f>'EG-A10'!F41*0.66</f>
        <v>130.68</v>
      </c>
      <c r="G41" s="67">
        <f>'EG-A10'!G41*0.66</f>
        <v>130.68</v>
      </c>
      <c r="H41" s="67">
        <f>'EG-A10'!H41*0.66</f>
        <v>72.600000000000009</v>
      </c>
      <c r="I41" s="67">
        <f>'EG-A10'!I41*0.66</f>
        <v>130.68</v>
      </c>
      <c r="J41" s="67">
        <f>'EG-A10'!J41*0.66</f>
        <v>130.68</v>
      </c>
      <c r="K41" s="186">
        <f>'EG-A10'!K41*0.66</f>
        <v>130.68</v>
      </c>
      <c r="L41" s="187">
        <f>'EG-A10'!L41*0.66</f>
        <v>130.68</v>
      </c>
      <c r="M41" s="67">
        <f>'EG-A10'!M41*0.66</f>
        <v>130.68</v>
      </c>
      <c r="N41" s="67">
        <f>'EG-A10'!N41*0.66</f>
        <v>130.68</v>
      </c>
      <c r="O41" s="67">
        <f>'EG-A10'!O41*0.66</f>
        <v>264</v>
      </c>
      <c r="P41" s="67">
        <f>'EG-A10'!P41*0.66</f>
        <v>264</v>
      </c>
      <c r="Q41" s="68">
        <f>'EG-A10'!Q41*0.66</f>
        <v>264</v>
      </c>
      <c r="R41" s="302">
        <f t="shared" si="0"/>
        <v>9.5</v>
      </c>
      <c r="S41" s="300">
        <f t="shared" si="1"/>
        <v>15.1</v>
      </c>
    </row>
    <row r="42" spans="1:19" ht="15" customHeight="1">
      <c r="A42" s="16"/>
      <c r="B42" s="605" t="s">
        <v>439</v>
      </c>
      <c r="C42" s="606"/>
      <c r="D42" s="181">
        <f>'EG-A10'!D42*0.66</f>
        <v>554.4</v>
      </c>
      <c r="E42" s="67">
        <f>'EG-A10'!E42*0.66</f>
        <v>652.74</v>
      </c>
      <c r="F42" s="67">
        <f>'EG-A10'!F42*0.66</f>
        <v>681.78000000000009</v>
      </c>
      <c r="G42" s="67">
        <f>'EG-A10'!G42*0.66</f>
        <v>686.4</v>
      </c>
      <c r="H42" s="67">
        <f>'EG-A10'!H42*0.66</f>
        <v>751.08</v>
      </c>
      <c r="I42" s="67">
        <f>'EG-A10'!I42*0.66</f>
        <v>1069.2</v>
      </c>
      <c r="J42" s="182">
        <f>'EG-A10'!J42*0.66</f>
        <v>764.94</v>
      </c>
      <c r="K42" s="183">
        <f>'EG-A10'!K42*0.66</f>
        <v>858</v>
      </c>
      <c r="L42" s="184">
        <f>'EG-A10'!L42*0.66</f>
        <v>1188</v>
      </c>
      <c r="M42" s="182">
        <f>'EG-A10'!M42*0.66</f>
        <v>1320</v>
      </c>
      <c r="N42" s="182">
        <f>'EG-A10'!N42*0.66</f>
        <v>1452</v>
      </c>
      <c r="O42" s="182">
        <f>'EG-A10'!O42*0.66</f>
        <v>1452</v>
      </c>
      <c r="P42" s="182">
        <f>'EG-A10'!P42*0.66</f>
        <v>1518</v>
      </c>
      <c r="Q42" s="185">
        <f>'EG-A10'!Q42*0.66</f>
        <v>1518</v>
      </c>
      <c r="R42" s="299">
        <f t="shared" si="0"/>
        <v>6.4</v>
      </c>
      <c r="S42" s="300">
        <f t="shared" si="1"/>
        <v>5</v>
      </c>
    </row>
    <row r="43" spans="1:19" ht="15" hidden="1" customHeight="1">
      <c r="A43" s="16"/>
      <c r="B43" s="16"/>
      <c r="C43" s="90" t="s">
        <v>306</v>
      </c>
      <c r="D43" s="181">
        <f>'EG-A10'!D43*0.66</f>
        <v>0</v>
      </c>
      <c r="E43" s="67">
        <f>'EG-A10'!E43*0.66</f>
        <v>0</v>
      </c>
      <c r="F43" s="67">
        <f>'EG-A10'!F43*0.66</f>
        <v>0</v>
      </c>
      <c r="G43" s="67">
        <f>'EG-A10'!G43*0.66</f>
        <v>0</v>
      </c>
      <c r="H43" s="67">
        <f>'EG-A10'!H43*0.66</f>
        <v>0</v>
      </c>
      <c r="I43" s="67">
        <f>'EG-A10'!I43*0.66</f>
        <v>0</v>
      </c>
      <c r="J43" s="67">
        <f>'EG-A10'!J43*0.66</f>
        <v>0</v>
      </c>
      <c r="K43" s="186">
        <f>'EG-A10'!K43*0.66</f>
        <v>0</v>
      </c>
      <c r="L43" s="187">
        <f>'EG-A10'!L43*0.66</f>
        <v>0</v>
      </c>
      <c r="M43" s="67">
        <f>'EG-A10'!M43*0.66</f>
        <v>0</v>
      </c>
      <c r="N43" s="67">
        <f>'EG-A10'!N43*0.66</f>
        <v>0</v>
      </c>
      <c r="O43" s="67">
        <f>'EG-A10'!O43*0.66</f>
        <v>0</v>
      </c>
      <c r="P43" s="67">
        <f>'EG-A10'!P43*0.66</f>
        <v>0</v>
      </c>
      <c r="Q43" s="68">
        <f>'EG-A10'!Q43*0.66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'EG-A10'!D44*0.66</f>
        <v>0</v>
      </c>
      <c r="E44" s="67">
        <f>'EG-A10'!E44*0.66</f>
        <v>0</v>
      </c>
      <c r="F44" s="67">
        <f>'EG-A10'!F44*0.66</f>
        <v>0</v>
      </c>
      <c r="G44" s="67">
        <f>'EG-A10'!G44*0.66</f>
        <v>0</v>
      </c>
      <c r="H44" s="67">
        <f>'EG-A10'!H44*0.66</f>
        <v>0</v>
      </c>
      <c r="I44" s="67">
        <f>'EG-A10'!I44*0.66</f>
        <v>0</v>
      </c>
      <c r="J44" s="67">
        <f>'EG-A10'!J44*0.66</f>
        <v>0</v>
      </c>
      <c r="K44" s="186">
        <f>'EG-A10'!K44*0.66</f>
        <v>0</v>
      </c>
      <c r="L44" s="187">
        <f>'EG-A10'!L44*0.66</f>
        <v>0</v>
      </c>
      <c r="M44" s="67">
        <f>'EG-A10'!M44*0.66</f>
        <v>0</v>
      </c>
      <c r="N44" s="67">
        <f>'EG-A10'!N44*0.66</f>
        <v>0</v>
      </c>
      <c r="O44" s="67">
        <f>'EG-A10'!O44*0.66</f>
        <v>0</v>
      </c>
      <c r="P44" s="67">
        <f>'EG-A10'!P44*0.66</f>
        <v>0</v>
      </c>
      <c r="Q44" s="68">
        <f>'EG-A10'!Q44*0.66</f>
        <v>0</v>
      </c>
      <c r="R44" s="302" t="str">
        <f t="shared" si="0"/>
        <v xml:space="preserve">     -</v>
      </c>
      <c r="S44" s="300" t="str">
        <f t="shared" si="1"/>
        <v xml:space="preserve">     -</v>
      </c>
    </row>
    <row r="45" spans="1:19" ht="15" customHeight="1">
      <c r="A45" s="16"/>
      <c r="B45" s="605" t="s">
        <v>441</v>
      </c>
      <c r="C45" s="606"/>
      <c r="D45" s="181">
        <f>'EG-A10'!D45*0.66</f>
        <v>222.42000000000002</v>
      </c>
      <c r="E45" s="67">
        <f>'EG-A10'!E45*0.66</f>
        <v>230.95361984141786</v>
      </c>
      <c r="F45" s="67">
        <f>'EG-A10'!F45*0.66</f>
        <v>231</v>
      </c>
      <c r="G45" s="67">
        <f>'EG-A10'!G45*0.66</f>
        <v>231</v>
      </c>
      <c r="H45" s="67">
        <f>'EG-A10'!H45*0.66</f>
        <v>231</v>
      </c>
      <c r="I45" s="67">
        <f>'EG-A10'!I45*0.66</f>
        <v>231</v>
      </c>
      <c r="J45" s="67">
        <f>'EG-A10'!J45*0.66</f>
        <v>231</v>
      </c>
      <c r="K45" s="186">
        <f>'EG-A10'!K45*0.66</f>
        <v>231</v>
      </c>
      <c r="L45" s="187">
        <f>'EG-A10'!L45*0.66</f>
        <v>231</v>
      </c>
      <c r="M45" s="67">
        <f>'EG-A10'!M45*0.66</f>
        <v>231</v>
      </c>
      <c r="N45" s="67">
        <f>'EG-A10'!N45*0.66</f>
        <v>585.31000000000006</v>
      </c>
      <c r="O45" s="67">
        <f>'EG-A10'!O45*0.66</f>
        <v>633.92999999999995</v>
      </c>
      <c r="P45" s="67">
        <f>'EG-A10'!P45*0.66</f>
        <v>662.91499999999996</v>
      </c>
      <c r="Q45" s="68">
        <f>'EG-A10'!Q45*0.66</f>
        <v>704.05499999999984</v>
      </c>
      <c r="R45" s="302">
        <f t="shared" si="0"/>
        <v>0.5</v>
      </c>
      <c r="S45" s="300">
        <f t="shared" si="1"/>
        <v>25</v>
      </c>
    </row>
    <row r="46" spans="1:19" ht="15" customHeight="1">
      <c r="A46" s="16"/>
      <c r="B46" s="605" t="s">
        <v>442</v>
      </c>
      <c r="C46" s="606"/>
      <c r="D46" s="181">
        <f>'EG-A10'!D46*0.66</f>
        <v>0</v>
      </c>
      <c r="E46" s="67">
        <f>'EG-A10'!E46*0.66</f>
        <v>0</v>
      </c>
      <c r="F46" s="67">
        <f>'EG-A10'!F46*0.66</f>
        <v>0</v>
      </c>
      <c r="G46" s="67">
        <f>'EG-A10'!G46*0.66</f>
        <v>0</v>
      </c>
      <c r="H46" s="67">
        <f>'EG-A10'!H46*0.66</f>
        <v>0</v>
      </c>
      <c r="I46" s="67">
        <f>'EG-A10'!I46*0.66</f>
        <v>0</v>
      </c>
      <c r="J46" s="67">
        <f>'EG-A10'!J46*0.66</f>
        <v>0</v>
      </c>
      <c r="K46" s="186">
        <f>'EG-A10'!K46*0.66</f>
        <v>0</v>
      </c>
      <c r="L46" s="187">
        <f>'EG-A10'!L46*0.66</f>
        <v>0</v>
      </c>
      <c r="M46" s="67">
        <f>'EG-A10'!M46*0.66</f>
        <v>0</v>
      </c>
      <c r="N46" s="67">
        <f>'EG-A10'!N46*0.66</f>
        <v>0</v>
      </c>
      <c r="O46" s="67">
        <f>'EG-A10'!O46*0.66</f>
        <v>0</v>
      </c>
      <c r="P46" s="67">
        <f>'EG-A10'!P46*0.66</f>
        <v>0</v>
      </c>
      <c r="Q46" s="68">
        <f>'EG-A10'!Q46*0.66</f>
        <v>0</v>
      </c>
      <c r="R46" s="302" t="str">
        <f t="shared" si="0"/>
        <v xml:space="preserve">     -</v>
      </c>
      <c r="S46" s="300" t="str">
        <f t="shared" si="1"/>
        <v xml:space="preserve">     -</v>
      </c>
    </row>
    <row r="47" spans="1:19" ht="15" customHeight="1">
      <c r="A47" s="16"/>
      <c r="B47" s="607" t="s">
        <v>443</v>
      </c>
      <c r="C47" s="608"/>
      <c r="D47" s="188">
        <f>'EG-A10'!D47*0.66</f>
        <v>393.29399999999998</v>
      </c>
      <c r="E47" s="182">
        <f>'EG-A10'!E47*0.66</f>
        <v>383.65800000000002</v>
      </c>
      <c r="F47" s="182">
        <f>'EG-A10'!F47*0.66</f>
        <v>421.80600000000004</v>
      </c>
      <c r="G47" s="182">
        <f>'EG-A10'!G47*0.66</f>
        <v>475.39799999999997</v>
      </c>
      <c r="H47" s="182">
        <f>'EG-A10'!H47*0.66</f>
        <v>438.37200000000007</v>
      </c>
      <c r="I47" s="182">
        <f>'EG-A10'!I47*0.66</f>
        <v>480.01799999999997</v>
      </c>
      <c r="J47" s="182">
        <f>'EG-A10'!J47*0.66</f>
        <v>417.31799999999998</v>
      </c>
      <c r="K47" s="183">
        <f>'EG-A10'!K47*0.66</f>
        <v>472.16399999999999</v>
      </c>
      <c r="L47" s="184">
        <f>'EG-A10'!L47*0.66</f>
        <v>423.654</v>
      </c>
      <c r="M47" s="182">
        <f>'EG-A10'!M47*0.66</f>
        <v>449.46000000000004</v>
      </c>
      <c r="N47" s="182">
        <f>'EG-A10'!N47*0.66</f>
        <v>411.84000000000003</v>
      </c>
      <c r="O47" s="182">
        <f>'EG-A10'!O47*0.66</f>
        <v>447.48</v>
      </c>
      <c r="P47" s="182">
        <f>'EG-A10'!P47*0.66</f>
        <v>410.52000000000004</v>
      </c>
      <c r="Q47" s="185">
        <f>'EG-A10'!Q47*0.66</f>
        <v>445.5</v>
      </c>
      <c r="R47" s="299">
        <f t="shared" si="0"/>
        <v>2.6</v>
      </c>
      <c r="S47" s="300">
        <f t="shared" si="1"/>
        <v>1</v>
      </c>
    </row>
    <row r="48" spans="1:19" ht="15.75" customHeight="1">
      <c r="A48" s="16"/>
      <c r="B48" s="674" t="s">
        <v>307</v>
      </c>
      <c r="C48" s="675"/>
      <c r="D48" s="189">
        <f>SUM(D36:D47)</f>
        <v>5858.0544</v>
      </c>
      <c r="E48" s="190">
        <f t="shared" ref="E48:K48" si="3">SUM(E36:E47)</f>
        <v>6100.1356198414187</v>
      </c>
      <c r="F48" s="190">
        <f t="shared" si="3"/>
        <v>6219.51</v>
      </c>
      <c r="G48" s="190">
        <f t="shared" si="3"/>
        <v>6789.9876000000004</v>
      </c>
      <c r="H48" s="190">
        <f t="shared" si="3"/>
        <v>6785.7836712328772</v>
      </c>
      <c r="I48" s="190">
        <f t="shared" si="3"/>
        <v>7846.4701770840002</v>
      </c>
      <c r="J48" s="190">
        <f t="shared" si="3"/>
        <v>7844.0762400000012</v>
      </c>
      <c r="K48" s="191">
        <f t="shared" si="3"/>
        <v>9053.4840000000004</v>
      </c>
      <c r="L48" s="192">
        <f t="shared" ref="L48:Q48" si="4">SUM(L36:L47)</f>
        <v>10432.554</v>
      </c>
      <c r="M48" s="190">
        <f t="shared" si="4"/>
        <v>11384.34</v>
      </c>
      <c r="N48" s="190">
        <f t="shared" si="4"/>
        <v>12405.91</v>
      </c>
      <c r="O48" s="190">
        <f t="shared" si="4"/>
        <v>13455.09</v>
      </c>
      <c r="P48" s="190">
        <f t="shared" si="4"/>
        <v>14453.615000000002</v>
      </c>
      <c r="Q48" s="193">
        <f t="shared" si="4"/>
        <v>15278.175000000001</v>
      </c>
      <c r="R48" s="303">
        <f t="shared" si="0"/>
        <v>6.4</v>
      </c>
      <c r="S48" s="304">
        <f t="shared" si="1"/>
        <v>7.9</v>
      </c>
    </row>
    <row r="49" spans="1:19" ht="15.75" customHeight="1">
      <c r="A49" s="16"/>
      <c r="B49" s="672" t="s">
        <v>308</v>
      </c>
      <c r="C49" s="673"/>
      <c r="D49" s="194">
        <f>'EG-A10'!D49*0.66</f>
        <v>1.2031799999999999</v>
      </c>
      <c r="E49" s="195">
        <f>'EG-A10'!E49*0.66</f>
        <v>0.39006000000000002</v>
      </c>
      <c r="F49" s="195">
        <f>'EG-A10'!F49*0.66</f>
        <v>0</v>
      </c>
      <c r="G49" s="195">
        <f>'EG-A10'!G49*0.66</f>
        <v>3.3000000000000003</v>
      </c>
      <c r="H49" s="195">
        <f>'EG-A10'!H49*0.66</f>
        <v>3.96</v>
      </c>
      <c r="I49" s="195">
        <f>'EG-A10'!I49*0.66</f>
        <v>3.96</v>
      </c>
      <c r="J49" s="195">
        <f>'EG-A10'!J49*0.66</f>
        <v>3.96</v>
      </c>
      <c r="K49" s="196">
        <f>'EG-A10'!K49*0.66</f>
        <v>3.96</v>
      </c>
      <c r="L49" s="197">
        <f>'EG-A10'!L49*0.66</f>
        <v>3.96</v>
      </c>
      <c r="M49" s="195">
        <f>'EG-A10'!M49*0.66</f>
        <v>3.96</v>
      </c>
      <c r="N49" s="195">
        <f>'EG-A10'!N49*0.66</f>
        <v>3.96</v>
      </c>
      <c r="O49" s="195">
        <f>'EG-A10'!O49*0.66</f>
        <v>3.96</v>
      </c>
      <c r="P49" s="195">
        <f>'EG-A10'!P49*0.66</f>
        <v>3.96</v>
      </c>
      <c r="Q49" s="198">
        <f>'EG-A10'!Q49*0.66</f>
        <v>3.96</v>
      </c>
      <c r="R49" s="305">
        <f t="shared" si="0"/>
        <v>18.600000000000001</v>
      </c>
      <c r="S49" s="304">
        <f t="shared" si="1"/>
        <v>0</v>
      </c>
    </row>
    <row r="50" spans="1:19" ht="15" customHeight="1">
      <c r="A50" s="16"/>
      <c r="B50" s="105"/>
      <c r="C50" s="97" t="s">
        <v>309</v>
      </c>
      <c r="D50" s="194">
        <f>'EG-A10'!D50*0.66</f>
        <v>1.2031799999999999</v>
      </c>
      <c r="E50" s="195">
        <f>'EG-A10'!E50*0.66</f>
        <v>0.39006000000000002</v>
      </c>
      <c r="F50" s="195">
        <f>'EG-A10'!F50*0.66</f>
        <v>0</v>
      </c>
      <c r="G50" s="195">
        <f>'EG-A10'!G50*0.66</f>
        <v>3.3000000000000003</v>
      </c>
      <c r="H50" s="195">
        <f>'EG-A10'!H50*0.66</f>
        <v>3.96</v>
      </c>
      <c r="I50" s="195">
        <f>'EG-A10'!I50*0.66</f>
        <v>3.96</v>
      </c>
      <c r="J50" s="195">
        <f>'EG-A10'!J50*0.66</f>
        <v>3.96</v>
      </c>
      <c r="K50" s="196">
        <f>'EG-A10'!K50*0.66</f>
        <v>3.96</v>
      </c>
      <c r="L50" s="197">
        <f>'EG-A10'!L50*0.66</f>
        <v>3.96</v>
      </c>
      <c r="M50" s="195">
        <f>'EG-A10'!M50*0.66</f>
        <v>3.96</v>
      </c>
      <c r="N50" s="195">
        <f>'EG-A10'!N50*0.66</f>
        <v>3.96</v>
      </c>
      <c r="O50" s="195">
        <f>'EG-A10'!O50*0.66</f>
        <v>3.96</v>
      </c>
      <c r="P50" s="195">
        <f>'EG-A10'!P50*0.66</f>
        <v>3.96</v>
      </c>
      <c r="Q50" s="198">
        <f>'EG-A10'!Q50*0.66</f>
        <v>3.96</v>
      </c>
      <c r="R50" s="305">
        <f t="shared" si="0"/>
        <v>18.600000000000001</v>
      </c>
      <c r="S50" s="304">
        <f t="shared" si="1"/>
        <v>0</v>
      </c>
    </row>
    <row r="51" spans="1:19" ht="15.75" customHeight="1">
      <c r="A51" s="16"/>
      <c r="B51" s="672" t="s">
        <v>310</v>
      </c>
      <c r="C51" s="673"/>
      <c r="D51" s="181">
        <f>'EG-A10'!D51*0.66</f>
        <v>664.42926</v>
      </c>
      <c r="E51" s="67">
        <f>'EG-A10'!E51*0.66</f>
        <v>620.6046</v>
      </c>
      <c r="F51" s="67">
        <f>'EG-A10'!F51*0.66</f>
        <v>640.77552000000003</v>
      </c>
      <c r="G51" s="67">
        <f>'EG-A10'!G51*0.66</f>
        <v>700.31676000000004</v>
      </c>
      <c r="H51" s="182">
        <f>'EG-A10'!H51*0.66</f>
        <v>662.21430000000009</v>
      </c>
      <c r="I51" s="182">
        <f>'EG-A10'!I51*0.66</f>
        <v>716.58840000000009</v>
      </c>
      <c r="J51" s="182">
        <f>'EG-A10'!J51*0.66</f>
        <v>789.52302000000009</v>
      </c>
      <c r="K51" s="183">
        <f>'EG-A10'!K51*0.66</f>
        <v>783.14940000000001</v>
      </c>
      <c r="L51" s="184">
        <f>'EG-A10'!L51*0.66</f>
        <v>788.39904000000013</v>
      </c>
      <c r="M51" s="182">
        <f>'EG-A10'!M51*0.66</f>
        <v>742.74618000000009</v>
      </c>
      <c r="N51" s="182">
        <f>'EG-A10'!N51*0.66</f>
        <v>755.71583999999996</v>
      </c>
      <c r="O51" s="182">
        <f>'EG-A10'!O51*0.66</f>
        <v>779.23626000000013</v>
      </c>
      <c r="P51" s="182">
        <f>'EG-A10'!P51*0.66</f>
        <v>762.36270000000002</v>
      </c>
      <c r="Q51" s="185">
        <f>'EG-A10'!Q51*0.66</f>
        <v>753.0837600000001</v>
      </c>
      <c r="R51" s="299">
        <f t="shared" si="0"/>
        <v>2.4</v>
      </c>
      <c r="S51" s="300">
        <f t="shared" si="1"/>
        <v>-0.9</v>
      </c>
    </row>
    <row r="52" spans="1:19" ht="15" customHeight="1">
      <c r="A52" s="16"/>
      <c r="B52" s="105"/>
      <c r="C52" s="615" t="s">
        <v>311</v>
      </c>
      <c r="D52" s="194">
        <f>'EG-A10'!D52*0.66</f>
        <v>606.45024000000001</v>
      </c>
      <c r="E52" s="195">
        <f>'EG-A10'!E52*0.66</f>
        <v>578.3184</v>
      </c>
      <c r="F52" s="195">
        <f>'EG-A10'!F52*0.66</f>
        <v>599.78819999999996</v>
      </c>
      <c r="G52" s="195">
        <f>'EG-A10'!G52*0.66</f>
        <v>660.91146000000003</v>
      </c>
      <c r="H52" s="190">
        <f>'EG-A10'!H52*0.66</f>
        <v>631.70580000000007</v>
      </c>
      <c r="I52" s="190">
        <f>'EG-A10'!I52*0.66</f>
        <v>683.39502000000016</v>
      </c>
      <c r="J52" s="190">
        <f>'EG-A10'!J52*0.66</f>
        <v>756.70716000000004</v>
      </c>
      <c r="K52" s="191">
        <f>'EG-A10'!K52*0.66</f>
        <v>732.27791999999999</v>
      </c>
      <c r="L52" s="192">
        <f>'EG-A10'!L52*0.66</f>
        <v>744.76182000000017</v>
      </c>
      <c r="M52" s="190">
        <f>'EG-A10'!M52*0.66</f>
        <v>694.92324000000008</v>
      </c>
      <c r="N52" s="190">
        <f>'EG-A10'!N52*0.66</f>
        <v>699.48845999999992</v>
      </c>
      <c r="O52" s="190">
        <f>'EG-A10'!O52*0.66</f>
        <v>719.28714000000014</v>
      </c>
      <c r="P52" s="190">
        <f>'EG-A10'!P52*0.66</f>
        <v>703.87878000000001</v>
      </c>
      <c r="Q52" s="193">
        <f>'EG-A10'!Q52*0.66</f>
        <v>693.05346000000009</v>
      </c>
      <c r="R52" s="303">
        <f t="shared" si="0"/>
        <v>2.7</v>
      </c>
      <c r="S52" s="304">
        <f t="shared" si="1"/>
        <v>-1.4</v>
      </c>
    </row>
    <row r="53" spans="1:19" ht="15.75" customHeight="1">
      <c r="A53" s="16"/>
      <c r="B53" s="672" t="s">
        <v>312</v>
      </c>
      <c r="C53" s="673"/>
      <c r="D53" s="181">
        <f>'EG-A10'!D53*0.66</f>
        <v>4592.2800000000007</v>
      </c>
      <c r="E53" s="67">
        <f>'EG-A10'!E53*0.66</f>
        <v>4787.6400000000003</v>
      </c>
      <c r="F53" s="67">
        <f>'EG-A10'!F53*0.66</f>
        <v>5270.1</v>
      </c>
      <c r="G53" s="67">
        <f>'EG-A10'!G53*0.66</f>
        <v>5283.3</v>
      </c>
      <c r="H53" s="67">
        <f>'EG-A10'!H53*0.66</f>
        <v>5407.875</v>
      </c>
      <c r="I53" s="67">
        <f>'EG-A10'!I53*0.66</f>
        <v>5643</v>
      </c>
      <c r="J53" s="67">
        <f>'EG-A10'!J53*0.66</f>
        <v>5775</v>
      </c>
      <c r="K53" s="186">
        <f>'EG-A10'!K53*0.66</f>
        <v>5781.6</v>
      </c>
      <c r="L53" s="187">
        <f>'EG-A10'!L53*0.66</f>
        <v>5788.2000000000007</v>
      </c>
      <c r="M53" s="67">
        <f>'EG-A10'!M53*0.66</f>
        <v>5887.2000000000007</v>
      </c>
      <c r="N53" s="67">
        <f>'EG-A10'!N53*0.66</f>
        <v>5926.8</v>
      </c>
      <c r="O53" s="67">
        <f>'EG-A10'!O53*0.66</f>
        <v>6009.3</v>
      </c>
      <c r="P53" s="67">
        <f>'EG-A10'!P53*0.66</f>
        <v>6217.2000000000007</v>
      </c>
      <c r="Q53" s="68">
        <f>'EG-A10'!Q53*0.66</f>
        <v>6322.8</v>
      </c>
      <c r="R53" s="302">
        <f t="shared" si="0"/>
        <v>3.3</v>
      </c>
      <c r="S53" s="300">
        <f t="shared" si="1"/>
        <v>1.8</v>
      </c>
    </row>
    <row r="54" spans="1:19" ht="15" customHeight="1">
      <c r="A54" s="16"/>
      <c r="B54" s="16"/>
      <c r="C54" s="615" t="s">
        <v>313</v>
      </c>
      <c r="D54" s="194">
        <f>'EG-A10'!D54*0.66</f>
        <v>0</v>
      </c>
      <c r="E54" s="195">
        <f>'EG-A10'!E54*0.66</f>
        <v>4163.28</v>
      </c>
      <c r="F54" s="195">
        <f>'EG-A10'!F54*0.66</f>
        <v>4174.5</v>
      </c>
      <c r="G54" s="195">
        <f>'EG-A10'!G54*0.66</f>
        <v>4216.08</v>
      </c>
      <c r="H54" s="190">
        <f>'EG-A10'!H54*0.66</f>
        <v>4230.6000000000004</v>
      </c>
      <c r="I54" s="190">
        <f>'EG-A10'!I54*0.66</f>
        <v>4158</v>
      </c>
      <c r="J54" s="190">
        <f>'EG-A10'!J54*0.66</f>
        <v>4455</v>
      </c>
      <c r="K54" s="191">
        <f>'EG-A10'!K54*0.66</f>
        <v>4464.9000000000005</v>
      </c>
      <c r="L54" s="192">
        <f>'EG-A10'!L54*0.66</f>
        <v>4468.2</v>
      </c>
      <c r="M54" s="190">
        <f>'EG-A10'!M54*0.66</f>
        <v>4501.2</v>
      </c>
      <c r="N54" s="190">
        <f>'EG-A10'!N54*0.66</f>
        <v>4514.4000000000005</v>
      </c>
      <c r="O54" s="190">
        <f>'EG-A10'!O54*0.66</f>
        <v>4527.6000000000004</v>
      </c>
      <c r="P54" s="190">
        <f>'EG-A10'!P54*0.66</f>
        <v>4725.6000000000004</v>
      </c>
      <c r="Q54" s="193">
        <f>'EG-A10'!Q54*0.66</f>
        <v>4791.6000000000004</v>
      </c>
      <c r="R54" s="303" t="str">
        <f t="shared" si="0"/>
        <v xml:space="preserve">     -</v>
      </c>
      <c r="S54" s="304">
        <f t="shared" si="1"/>
        <v>1.4</v>
      </c>
    </row>
    <row r="55" spans="1:19" ht="15.75" customHeight="1">
      <c r="A55" s="16"/>
      <c r="B55" s="674" t="s">
        <v>314</v>
      </c>
      <c r="C55" s="675"/>
      <c r="D55" s="194">
        <f>'EG-A10'!D55*0.66</f>
        <v>0</v>
      </c>
      <c r="E55" s="195">
        <f>'EG-A10'!E55*0.66</f>
        <v>0</v>
      </c>
      <c r="F55" s="195">
        <f>'EG-A10'!F55*0.66</f>
        <v>0</v>
      </c>
      <c r="G55" s="195">
        <f>'EG-A10'!G55*0.66</f>
        <v>0</v>
      </c>
      <c r="H55" s="190">
        <f>'EG-A10'!H55*0.66</f>
        <v>0</v>
      </c>
      <c r="I55" s="190">
        <f>'EG-A10'!I55*0.66</f>
        <v>0</v>
      </c>
      <c r="J55" s="190">
        <f>'EG-A10'!J55*0.66</f>
        <v>0</v>
      </c>
      <c r="K55" s="191">
        <f>'EG-A10'!K55*0.66</f>
        <v>0</v>
      </c>
      <c r="L55" s="192">
        <f>'EG-A10'!L55*0.66</f>
        <v>0</v>
      </c>
      <c r="M55" s="190">
        <f>'EG-A10'!M55*0.66</f>
        <v>0</v>
      </c>
      <c r="N55" s="190">
        <f>'EG-A10'!N55*0.66</f>
        <v>0</v>
      </c>
      <c r="O55" s="190">
        <f>'EG-A10'!O55*0.66</f>
        <v>0</v>
      </c>
      <c r="P55" s="190">
        <f>'EG-A10'!P55*0.66</f>
        <v>0</v>
      </c>
      <c r="Q55" s="193">
        <f>'EG-A10'!Q55*0.66</f>
        <v>0</v>
      </c>
      <c r="R55" s="303" t="str">
        <f t="shared" si="0"/>
        <v xml:space="preserve">     -</v>
      </c>
      <c r="S55" s="304" t="str">
        <f t="shared" si="1"/>
        <v xml:space="preserve">     -</v>
      </c>
    </row>
    <row r="56" spans="1:19" ht="15.75" customHeight="1">
      <c r="A56" s="16"/>
      <c r="B56" s="674" t="s">
        <v>315</v>
      </c>
      <c r="C56" s="675"/>
      <c r="D56" s="189">
        <f>'EG-A10'!D56*0.66</f>
        <v>225.06</v>
      </c>
      <c r="E56" s="190">
        <f>'EG-A10'!E56*0.66</f>
        <v>126.06</v>
      </c>
      <c r="F56" s="190">
        <f>'EG-A10'!F56*0.66</f>
        <v>130.34604000000002</v>
      </c>
      <c r="G56" s="190">
        <f>'EG-A10'!G56*0.66</f>
        <v>132.04053852000001</v>
      </c>
      <c r="H56" s="190">
        <f>'EG-A10'!H56*0.66</f>
        <v>203.94</v>
      </c>
      <c r="I56" s="190">
        <f>'EG-A10'!I56*0.66</f>
        <v>199.98000000000002</v>
      </c>
      <c r="J56" s="190">
        <f>'EG-A10'!J56*0.66</f>
        <v>198.58014000000003</v>
      </c>
      <c r="K56" s="191">
        <f>'EG-A10'!K56*0.66</f>
        <v>202.55174280000003</v>
      </c>
      <c r="L56" s="192">
        <f>'EG-A10'!L56*0.66</f>
        <v>205.79257068480004</v>
      </c>
      <c r="M56" s="190">
        <f>'EG-A10'!M56*0.66</f>
        <v>208.4678741037024</v>
      </c>
      <c r="N56" s="190">
        <f>'EG-A10'!N56*0.66</f>
        <v>211.59489221525791</v>
      </c>
      <c r="O56" s="190">
        <f>'EG-A10'!O56*0.66</f>
        <v>214.76881559848678</v>
      </c>
      <c r="P56" s="190">
        <f>'EG-A10'!P56*0.66</f>
        <v>217.99034783246407</v>
      </c>
      <c r="Q56" s="193">
        <f>'EG-A10'!Q56*0.66</f>
        <v>221.260203049951</v>
      </c>
      <c r="R56" s="303">
        <f t="shared" si="0"/>
        <v>-1.5</v>
      </c>
      <c r="S56" s="304">
        <f t="shared" si="1"/>
        <v>1.5</v>
      </c>
    </row>
    <row r="57" spans="1:19" ht="15" customHeight="1">
      <c r="A57" s="16"/>
      <c r="B57" s="672" t="s">
        <v>316</v>
      </c>
      <c r="C57" s="673"/>
      <c r="D57" s="181">
        <f>'EG-A10'!D57*0.66</f>
        <v>1056</v>
      </c>
      <c r="E57" s="67">
        <f>'EG-A10'!E57*0.66</f>
        <v>1313.4</v>
      </c>
      <c r="F57" s="67">
        <f>'EG-A10'!F57*0.66</f>
        <v>1287</v>
      </c>
      <c r="G57" s="67">
        <f>'EG-A10'!G57*0.66</f>
        <v>1287</v>
      </c>
      <c r="H57" s="67">
        <f>'EG-A10'!H57*0.66</f>
        <v>1287</v>
      </c>
      <c r="I57" s="182">
        <f>'EG-A10'!I57*0.66</f>
        <v>1303.5</v>
      </c>
      <c r="J57" s="182">
        <f>'EG-A10'!J57*0.66</f>
        <v>1303.5</v>
      </c>
      <c r="K57" s="183">
        <f>'EG-A10'!K57*0.66</f>
        <v>1348.38</v>
      </c>
      <c r="L57" s="184">
        <f>'EG-A10'!L57*0.66</f>
        <v>1348.38</v>
      </c>
      <c r="M57" s="182">
        <f>'EG-A10'!M57*0.66</f>
        <v>1710.72</v>
      </c>
      <c r="N57" s="182">
        <f>'EG-A10'!N57*0.66</f>
        <v>2572.02</v>
      </c>
      <c r="O57" s="182">
        <f>'EG-A10'!O57*0.66</f>
        <v>2649.2400000000002</v>
      </c>
      <c r="P57" s="182">
        <f>'EG-A10'!P57*0.66</f>
        <v>2649.2400000000002</v>
      </c>
      <c r="Q57" s="185">
        <f>'EG-A10'!Q57*0.66</f>
        <v>2649.2400000000002</v>
      </c>
      <c r="R57" s="299">
        <f t="shared" si="0"/>
        <v>3.6</v>
      </c>
      <c r="S57" s="300">
        <f t="shared" si="1"/>
        <v>14.5</v>
      </c>
    </row>
    <row r="58" spans="1:19" ht="15" customHeight="1">
      <c r="A58" s="16"/>
      <c r="B58" s="670" t="s">
        <v>317</v>
      </c>
      <c r="C58" s="671"/>
      <c r="D58" s="181">
        <f>'EG-A10'!D58*0.66</f>
        <v>707.52</v>
      </c>
      <c r="E58" s="67">
        <f>'EG-A10'!E58*0.66</f>
        <v>729.96</v>
      </c>
      <c r="F58" s="67">
        <f>'EG-A10'!F58*0.66</f>
        <v>877.80000000000007</v>
      </c>
      <c r="G58" s="67">
        <f>'EG-A10'!G58*0.66</f>
        <v>891</v>
      </c>
      <c r="H58" s="67">
        <f>'EG-A10'!H58*0.66</f>
        <v>891</v>
      </c>
      <c r="I58" s="182">
        <f>'EG-A10'!I58*0.66</f>
        <v>891</v>
      </c>
      <c r="J58" s="182">
        <f>'EG-A10'!J58*0.66</f>
        <v>891</v>
      </c>
      <c r="K58" s="183">
        <f>'EG-A10'!K58*0.66</f>
        <v>993.30000000000007</v>
      </c>
      <c r="L58" s="184">
        <f>'EG-A10'!L58*0.66</f>
        <v>993.30000000000007</v>
      </c>
      <c r="M58" s="182">
        <f>'EG-A10'!M58*0.66</f>
        <v>993.30000000000007</v>
      </c>
      <c r="N58" s="182">
        <f>'EG-A10'!N58*0.66</f>
        <v>993.30000000000007</v>
      </c>
      <c r="O58" s="182">
        <f>'EG-A10'!O58*0.66</f>
        <v>993.30000000000007</v>
      </c>
      <c r="P58" s="182">
        <f>'EG-A10'!P58*0.66</f>
        <v>993.30000000000007</v>
      </c>
      <c r="Q58" s="185">
        <f>'EG-A10'!Q58*0.66</f>
        <v>993.30000000000007</v>
      </c>
      <c r="R58" s="299">
        <f t="shared" si="0"/>
        <v>5</v>
      </c>
      <c r="S58" s="300">
        <f t="shared" si="1"/>
        <v>0</v>
      </c>
    </row>
    <row r="59" spans="1:19" ht="15.75" customHeight="1">
      <c r="A59" s="16"/>
      <c r="B59" s="674" t="s">
        <v>318</v>
      </c>
      <c r="C59" s="675"/>
      <c r="D59" s="189">
        <f>'EG-A10'!D59*0.66</f>
        <v>1763.52</v>
      </c>
      <c r="E59" s="190">
        <f>'EG-A10'!E59*0.66</f>
        <v>2043.3600000000001</v>
      </c>
      <c r="F59" s="190">
        <f>'EG-A10'!F59*0.66</f>
        <v>2164.8000000000002</v>
      </c>
      <c r="G59" s="190">
        <f>'EG-A10'!G59*0.66</f>
        <v>2178</v>
      </c>
      <c r="H59" s="190">
        <f>'EG-A10'!H59*0.66</f>
        <v>2178</v>
      </c>
      <c r="I59" s="190">
        <f>'EG-A10'!I59*0.66</f>
        <v>2194.5</v>
      </c>
      <c r="J59" s="190">
        <f>'EG-A10'!J59*0.66</f>
        <v>2194.5</v>
      </c>
      <c r="K59" s="191">
        <f>'EG-A10'!K59*0.66</f>
        <v>2341.6800000000003</v>
      </c>
      <c r="L59" s="192">
        <f>'EG-A10'!L59*0.66</f>
        <v>2341.6800000000003</v>
      </c>
      <c r="M59" s="190">
        <f>'EG-A10'!M59*0.66</f>
        <v>2704.02</v>
      </c>
      <c r="N59" s="190">
        <f>'EG-A10'!N59*0.66</f>
        <v>3565.32</v>
      </c>
      <c r="O59" s="190">
        <f>'EG-A10'!O59*0.66</f>
        <v>3642.54</v>
      </c>
      <c r="P59" s="190">
        <f>'EG-A10'!P59*0.66</f>
        <v>3642.54</v>
      </c>
      <c r="Q59" s="193">
        <f>'EG-A10'!Q59*0.66</f>
        <v>3642.54</v>
      </c>
      <c r="R59" s="303">
        <f t="shared" si="0"/>
        <v>4.0999999999999996</v>
      </c>
      <c r="S59" s="304">
        <f t="shared" si="1"/>
        <v>9.1999999999999993</v>
      </c>
    </row>
    <row r="60" spans="1:19" ht="15" customHeight="1">
      <c r="A60" s="16"/>
      <c r="B60" s="672" t="s">
        <v>319</v>
      </c>
      <c r="C60" s="673"/>
      <c r="D60" s="181">
        <f>'EG-A10'!D60*0.66</f>
        <v>181.5</v>
      </c>
      <c r="E60" s="67">
        <f>'EG-A10'!E60*0.66</f>
        <v>118.80000000000001</v>
      </c>
      <c r="F60" s="67">
        <f>'EG-A10'!F60*0.66</f>
        <v>138.6</v>
      </c>
      <c r="G60" s="67">
        <f>'EG-A10'!G60*0.66</f>
        <v>138.6</v>
      </c>
      <c r="H60" s="67">
        <f>'EG-A10'!H60*0.66</f>
        <v>210.54000000000002</v>
      </c>
      <c r="I60" s="182">
        <f>'EG-A10'!I60*0.66</f>
        <v>210.54000000000002</v>
      </c>
      <c r="J60" s="182">
        <f>'EG-A10'!J60*0.66</f>
        <v>210.54000000000002</v>
      </c>
      <c r="K60" s="183">
        <f>'EG-A10'!K60*0.66</f>
        <v>210.54000000000002</v>
      </c>
      <c r="L60" s="184">
        <f>'EG-A10'!L60*0.66</f>
        <v>210.54000000000002</v>
      </c>
      <c r="M60" s="182">
        <f>'EG-A10'!M60*0.66</f>
        <v>210.54000000000002</v>
      </c>
      <c r="N60" s="182">
        <f>'EG-A10'!N60*0.66</f>
        <v>210.54000000000002</v>
      </c>
      <c r="O60" s="182">
        <f>'EG-A10'!O60*0.66</f>
        <v>210.54000000000002</v>
      </c>
      <c r="P60" s="182">
        <f>'EG-A10'!P60*0.66</f>
        <v>210.54000000000002</v>
      </c>
      <c r="Q60" s="185">
        <f>'EG-A10'!Q60*0.66</f>
        <v>210.54000000000002</v>
      </c>
      <c r="R60" s="299">
        <f t="shared" si="0"/>
        <v>2.1</v>
      </c>
      <c r="S60" s="300">
        <f t="shared" si="1"/>
        <v>0</v>
      </c>
    </row>
    <row r="61" spans="1:19" ht="15" customHeight="1">
      <c r="A61" s="16"/>
      <c r="B61" s="668" t="s">
        <v>320</v>
      </c>
      <c r="C61" s="669"/>
      <c r="D61" s="181">
        <f>'EG-A10'!D61*0.66</f>
        <v>141.9</v>
      </c>
      <c r="E61" s="67">
        <f>'EG-A10'!E61*0.66</f>
        <v>135.96</v>
      </c>
      <c r="F61" s="67">
        <f>'EG-A10'!F61*0.66</f>
        <v>184.8</v>
      </c>
      <c r="G61" s="67">
        <f>'EG-A10'!G61*0.66</f>
        <v>167.64000000000001</v>
      </c>
      <c r="H61" s="67">
        <f>'EG-A10'!H61*0.66</f>
        <v>174.9</v>
      </c>
      <c r="I61" s="182">
        <f>'EG-A10'!I61*0.66</f>
        <v>201.96</v>
      </c>
      <c r="J61" s="182">
        <f>'EG-A10'!J61*0.66</f>
        <v>201.96</v>
      </c>
      <c r="K61" s="183">
        <f>'EG-A10'!K61*0.66</f>
        <v>201.96</v>
      </c>
      <c r="L61" s="184">
        <f>'EG-A10'!L61*0.66</f>
        <v>201.96</v>
      </c>
      <c r="M61" s="182">
        <f>'EG-A10'!M61*0.66</f>
        <v>201.96</v>
      </c>
      <c r="N61" s="182">
        <f>'EG-A10'!N61*0.66</f>
        <v>201.96</v>
      </c>
      <c r="O61" s="182">
        <f>'EG-A10'!O61*0.66</f>
        <v>201.96</v>
      </c>
      <c r="P61" s="182">
        <f>'EG-A10'!P61*0.66</f>
        <v>201.96</v>
      </c>
      <c r="Q61" s="185">
        <f>'EG-A10'!Q61*0.66</f>
        <v>201.96</v>
      </c>
      <c r="R61" s="299">
        <f t="shared" si="0"/>
        <v>5.2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'EG-A10'!D62*0.66</f>
        <v>38.28</v>
      </c>
      <c r="E62" s="67">
        <f>'EG-A10'!E62*0.66</f>
        <v>37.620000000000005</v>
      </c>
      <c r="F62" s="67">
        <f>'EG-A10'!F62*0.66</f>
        <v>39.6</v>
      </c>
      <c r="G62" s="67">
        <f>'EG-A10'!G62*0.66</f>
        <v>40.92</v>
      </c>
      <c r="H62" s="67">
        <f>'EG-A10'!H62*0.66</f>
        <v>46.86</v>
      </c>
      <c r="I62" s="182">
        <f>'EG-A10'!I62*0.66</f>
        <v>46.86</v>
      </c>
      <c r="J62" s="182">
        <f>'EG-A10'!J62*0.66</f>
        <v>46.86</v>
      </c>
      <c r="K62" s="183">
        <f>'EG-A10'!K62*0.66</f>
        <v>46.86</v>
      </c>
      <c r="L62" s="184">
        <f>'EG-A10'!L62*0.66</f>
        <v>46.86</v>
      </c>
      <c r="M62" s="182">
        <f>'EG-A10'!M62*0.66</f>
        <v>46.86</v>
      </c>
      <c r="N62" s="182">
        <f>'EG-A10'!N62*0.66</f>
        <v>46.86</v>
      </c>
      <c r="O62" s="182">
        <f>'EG-A10'!O62*0.66</f>
        <v>46.86</v>
      </c>
      <c r="P62" s="182">
        <f>'EG-A10'!P62*0.66</f>
        <v>46.86</v>
      </c>
      <c r="Q62" s="185">
        <f>'EG-A10'!Q62*0.66</f>
        <v>46.86</v>
      </c>
      <c r="R62" s="299">
        <f t="shared" si="0"/>
        <v>2.9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99">
        <f>'EG-A10'!D63*0.66</f>
        <v>361.68</v>
      </c>
      <c r="E63" s="200">
        <f>'EG-A10'!E63*0.66</f>
        <v>292.38</v>
      </c>
      <c r="F63" s="200">
        <f>'EG-A10'!F63*0.66</f>
        <v>363</v>
      </c>
      <c r="G63" s="200">
        <f>'EG-A10'!G63*0.66</f>
        <v>347.16</v>
      </c>
      <c r="H63" s="200">
        <f>'EG-A10'!H63*0.66</f>
        <v>432.3</v>
      </c>
      <c r="I63" s="200">
        <f>'EG-A10'!I63*0.66</f>
        <v>459.36</v>
      </c>
      <c r="J63" s="200">
        <f>'EG-A10'!J63*0.66</f>
        <v>459.36</v>
      </c>
      <c r="K63" s="201">
        <f>'EG-A10'!K63*0.66</f>
        <v>459.36</v>
      </c>
      <c r="L63" s="202">
        <f>'EG-A10'!L63*0.66</f>
        <v>459.36</v>
      </c>
      <c r="M63" s="200">
        <f>'EG-A10'!M63*0.66</f>
        <v>459.36</v>
      </c>
      <c r="N63" s="200">
        <f>'EG-A10'!N63*0.66</f>
        <v>459.36</v>
      </c>
      <c r="O63" s="200">
        <f>'EG-A10'!O63*0.66</f>
        <v>459.36</v>
      </c>
      <c r="P63" s="200">
        <f>'EG-A10'!P63*0.66</f>
        <v>459.36</v>
      </c>
      <c r="Q63" s="203">
        <f>'EG-A10'!Q63*0.66</f>
        <v>459.36</v>
      </c>
      <c r="R63" s="306">
        <f t="shared" si="0"/>
        <v>3.5</v>
      </c>
      <c r="S63" s="307">
        <f t="shared" si="1"/>
        <v>0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5">D63+D59+D56+D55+D53+D51+D49+D48</f>
        <v>13466.226840000001</v>
      </c>
      <c r="E64" s="210">
        <f t="shared" si="5"/>
        <v>13970.570279841419</v>
      </c>
      <c r="F64" s="210">
        <f t="shared" si="5"/>
        <v>14788.531559999999</v>
      </c>
      <c r="G64" s="210">
        <f t="shared" si="5"/>
        <v>15434.10489852</v>
      </c>
      <c r="H64" s="210">
        <f t="shared" si="5"/>
        <v>15674.072971232876</v>
      </c>
      <c r="I64" s="210">
        <f t="shared" si="5"/>
        <v>17063.858577084</v>
      </c>
      <c r="J64" s="210">
        <f t="shared" si="5"/>
        <v>17264.999400000001</v>
      </c>
      <c r="K64" s="211">
        <f t="shared" si="5"/>
        <v>18625.785142799999</v>
      </c>
      <c r="L64" s="212">
        <f t="shared" si="5"/>
        <v>20019.945610684801</v>
      </c>
      <c r="M64" s="210">
        <f t="shared" si="5"/>
        <v>21390.094054103705</v>
      </c>
      <c r="N64" s="210">
        <f t="shared" si="5"/>
        <v>23328.660732215259</v>
      </c>
      <c r="O64" s="210">
        <f t="shared" si="5"/>
        <v>24564.255075598485</v>
      </c>
      <c r="P64" s="210">
        <f t="shared" si="5"/>
        <v>25757.028047832464</v>
      </c>
      <c r="Q64" s="213">
        <f t="shared" si="5"/>
        <v>26681.178963049952</v>
      </c>
      <c r="R64" s="310">
        <f t="shared" si="0"/>
        <v>4.7</v>
      </c>
      <c r="S64" s="311">
        <f t="shared" si="1"/>
        <v>5.9</v>
      </c>
    </row>
    <row r="65" spans="1:19" ht="15" customHeight="1">
      <c r="A65" s="616" t="s">
        <v>327</v>
      </c>
      <c r="B65" s="644" t="s">
        <v>433</v>
      </c>
      <c r="C65" s="645"/>
      <c r="D65" s="175">
        <f>'EG-A10'!D65*0.66</f>
        <v>764.28000000000009</v>
      </c>
      <c r="E65" s="176">
        <f>'EG-A10'!E65*0.66</f>
        <v>795.96</v>
      </c>
      <c r="F65" s="176">
        <f>'EG-A10'!F65*0.66</f>
        <v>779.46</v>
      </c>
      <c r="G65" s="176">
        <f>'EG-A10'!G65*0.66</f>
        <v>769.56000000000006</v>
      </c>
      <c r="H65" s="177">
        <f>'EG-A10'!H65*0.66</f>
        <v>693</v>
      </c>
      <c r="I65" s="177">
        <f>'EG-A10'!I65*0.66</f>
        <v>669.9</v>
      </c>
      <c r="J65" s="177">
        <f>'EG-A10'!J65*0.66</f>
        <v>671.22</v>
      </c>
      <c r="K65" s="178">
        <f>'EG-A10'!K65*0.66</f>
        <v>687.72</v>
      </c>
      <c r="L65" s="179">
        <f>'EG-A10'!L65*0.66</f>
        <v>693</v>
      </c>
      <c r="M65" s="177">
        <f>'EG-A10'!M65*0.66</f>
        <v>693</v>
      </c>
      <c r="N65" s="177">
        <f>'EG-A10'!N65*0.66</f>
        <v>693</v>
      </c>
      <c r="O65" s="177">
        <f>'EG-A10'!O65*0.66</f>
        <v>693</v>
      </c>
      <c r="P65" s="177">
        <f>'EG-A10'!P65*0.66</f>
        <v>693</v>
      </c>
      <c r="Q65" s="180">
        <f>'EG-A10'!Q65*0.66</f>
        <v>693</v>
      </c>
      <c r="R65" s="276">
        <f t="shared" si="0"/>
        <v>-1.5</v>
      </c>
      <c r="S65" s="298">
        <f t="shared" si="1"/>
        <v>0</v>
      </c>
    </row>
    <row r="66" spans="1:19" ht="15" customHeight="1">
      <c r="A66" s="614" t="s">
        <v>328</v>
      </c>
      <c r="B66" s="605" t="s">
        <v>434</v>
      </c>
      <c r="C66" s="606"/>
      <c r="D66" s="181">
        <f>'EG-A10'!D66*0.66</f>
        <v>745.80000000000007</v>
      </c>
      <c r="E66" s="67">
        <f>'EG-A10'!E66*0.66</f>
        <v>685.74</v>
      </c>
      <c r="F66" s="67">
        <f>'EG-A10'!F66*0.66</f>
        <v>646.80000000000007</v>
      </c>
      <c r="G66" s="67">
        <f>'EG-A10'!G66*0.66</f>
        <v>726</v>
      </c>
      <c r="H66" s="182">
        <f>'EG-A10'!H66*0.66</f>
        <v>679.80000000000007</v>
      </c>
      <c r="I66" s="182">
        <f>'EG-A10'!I66*0.66</f>
        <v>727.98</v>
      </c>
      <c r="J66" s="182">
        <f>'EG-A10'!J66*0.66</f>
        <v>795.30000000000007</v>
      </c>
      <c r="K66" s="183">
        <f>'EG-A10'!K66*0.66</f>
        <v>662.64</v>
      </c>
      <c r="L66" s="184">
        <f>'EG-A10'!L66*0.66</f>
        <v>759</v>
      </c>
      <c r="M66" s="182">
        <f>'EG-A10'!M66*0.66</f>
        <v>759</v>
      </c>
      <c r="N66" s="182">
        <f>'EG-A10'!N66*0.66</f>
        <v>792</v>
      </c>
      <c r="O66" s="182">
        <f>'EG-A10'!O66*0.66</f>
        <v>825</v>
      </c>
      <c r="P66" s="182">
        <f>'EG-A10'!P66*0.66</f>
        <v>825</v>
      </c>
      <c r="Q66" s="185">
        <f>'EG-A10'!Q66*0.66</f>
        <v>825</v>
      </c>
      <c r="R66" s="299">
        <f t="shared" si="0"/>
        <v>-1.7</v>
      </c>
      <c r="S66" s="300">
        <f t="shared" si="1"/>
        <v>1.7</v>
      </c>
    </row>
    <row r="67" spans="1:19" ht="15" customHeight="1">
      <c r="A67" s="16"/>
      <c r="B67" s="605" t="s">
        <v>435</v>
      </c>
      <c r="C67" s="606"/>
      <c r="D67" s="181">
        <f>'EG-A10'!D67*0.66</f>
        <v>13.860000000000001</v>
      </c>
      <c r="E67" s="67">
        <f>'EG-A10'!E67*0.66</f>
        <v>11.371140000000029</v>
      </c>
      <c r="F67" s="67">
        <f>'EG-A10'!F67*0.66</f>
        <v>11.518964820000029</v>
      </c>
      <c r="G67" s="67">
        <f>'EG-A10'!G67*0.66</f>
        <v>11.956685483160031</v>
      </c>
      <c r="H67" s="67">
        <f>'EG-A10'!H67*0.66</f>
        <v>12.303429362171672</v>
      </c>
      <c r="I67" s="62">
        <f>'EG-A10'!I67*0.66</f>
        <v>12.549497949415107</v>
      </c>
      <c r="J67" s="62">
        <f>'EG-A10'!J67*0.66</f>
        <v>12.540000000000001</v>
      </c>
      <c r="K67" s="63">
        <f>'EG-A10'!K67*0.66</f>
        <v>13.200000000000001</v>
      </c>
      <c r="L67" s="64">
        <f>'EG-A10'!L67*0.66</f>
        <v>13.860000000000001</v>
      </c>
      <c r="M67" s="62">
        <f>'EG-A10'!M67*0.66</f>
        <v>13.860000000000001</v>
      </c>
      <c r="N67" s="62">
        <f>'EG-A10'!N67*0.66</f>
        <v>14.520000000000001</v>
      </c>
      <c r="O67" s="62">
        <f>'EG-A10'!O67*0.66</f>
        <v>14.520000000000001</v>
      </c>
      <c r="P67" s="62">
        <f>'EG-A10'!P67*0.66</f>
        <v>15.180000000000001</v>
      </c>
      <c r="Q67" s="65">
        <f>'EG-A10'!Q67*0.66</f>
        <v>15.180000000000001</v>
      </c>
      <c r="R67" s="301">
        <f t="shared" si="0"/>
        <v>-0.7</v>
      </c>
      <c r="S67" s="300">
        <f t="shared" si="1"/>
        <v>1.8</v>
      </c>
    </row>
    <row r="68" spans="1:19" ht="15" customHeight="1">
      <c r="A68" s="16"/>
      <c r="B68" s="605" t="s">
        <v>436</v>
      </c>
      <c r="C68" s="606"/>
      <c r="D68" s="181">
        <f>'EG-A10'!D68*0.66</f>
        <v>6017.22</v>
      </c>
      <c r="E68" s="67">
        <f>'EG-A10'!E68*0.66</f>
        <v>6690.42</v>
      </c>
      <c r="F68" s="67">
        <f>'EG-A10'!F68*0.66</f>
        <v>7054.7400000000007</v>
      </c>
      <c r="G68" s="67">
        <f>'EG-A10'!G68*0.66</f>
        <v>7690.9800000000005</v>
      </c>
      <c r="H68" s="67">
        <f>'EG-A10'!H68*0.66</f>
        <v>7975.4400000000005</v>
      </c>
      <c r="I68" s="182">
        <f>'EG-A10'!I68*0.66</f>
        <v>8482.32</v>
      </c>
      <c r="J68" s="182">
        <f>'EG-A10'!J68*0.66</f>
        <v>8616.9600000000009</v>
      </c>
      <c r="K68" s="183">
        <f>'EG-A10'!K68*0.66</f>
        <v>9903.3000000000011</v>
      </c>
      <c r="L68" s="184">
        <f>'EG-A10'!L68*0.66</f>
        <v>10744.800000000001</v>
      </c>
      <c r="M68" s="182">
        <f>'EG-A10'!M68*0.66</f>
        <v>11528.880000000001</v>
      </c>
      <c r="N68" s="182">
        <f>'EG-A10'!N68*0.66</f>
        <v>12239.7</v>
      </c>
      <c r="O68" s="182">
        <f>'EG-A10'!O68*0.66</f>
        <v>12944.58</v>
      </c>
      <c r="P68" s="182">
        <f>'EG-A10'!P68*0.66</f>
        <v>13735.92</v>
      </c>
      <c r="Q68" s="185">
        <f>'EG-A10'!Q68*0.66</f>
        <v>14325.960000000001</v>
      </c>
      <c r="R68" s="299">
        <f t="shared" si="0"/>
        <v>7.4</v>
      </c>
      <c r="S68" s="300">
        <f t="shared" si="1"/>
        <v>5.9</v>
      </c>
    </row>
    <row r="69" spans="1:19" ht="15" customHeight="1">
      <c r="A69" s="16"/>
      <c r="B69" s="605" t="s">
        <v>437</v>
      </c>
      <c r="C69" s="606"/>
      <c r="D69" s="181">
        <f>'EG-A10'!D69*0.66</f>
        <v>352.44</v>
      </c>
      <c r="E69" s="67">
        <f>'EG-A10'!E69*0.66</f>
        <v>340.56</v>
      </c>
      <c r="F69" s="67">
        <f>'EG-A10'!F69*0.66</f>
        <v>295.02000000000004</v>
      </c>
      <c r="G69" s="67">
        <f>'EG-A10'!G69*0.66</f>
        <v>295.02000000000004</v>
      </c>
      <c r="H69" s="67">
        <f>'EG-A10'!H69*0.66</f>
        <v>315.35724000000005</v>
      </c>
      <c r="I69" s="182">
        <f>'EG-A10'!I69*0.66</f>
        <v>319.80377708400005</v>
      </c>
      <c r="J69" s="182">
        <f>'EG-A10'!J69*0.66</f>
        <v>323.40000000000003</v>
      </c>
      <c r="K69" s="183">
        <f>'EG-A10'!K69*0.66</f>
        <v>333.3</v>
      </c>
      <c r="L69" s="184">
        <f>'EG-A10'!L69*0.66</f>
        <v>339.24</v>
      </c>
      <c r="M69" s="182">
        <f>'EG-A10'!M69*0.66</f>
        <v>352.33466399999998</v>
      </c>
      <c r="N69" s="182">
        <f>'EG-A10'!N69*0.66</f>
        <v>365.33581310159991</v>
      </c>
      <c r="O69" s="182">
        <f>'EG-A10'!O69*0.66</f>
        <v>378.30523446670674</v>
      </c>
      <c r="P69" s="182">
        <f>'EG-A10'!P69*0.66</f>
        <v>391.54591767304146</v>
      </c>
      <c r="Q69" s="185">
        <f>'EG-A10'!Q69*0.66</f>
        <v>405.48495234220178</v>
      </c>
      <c r="R69" s="299">
        <f t="shared" si="0"/>
        <v>-0.8</v>
      </c>
      <c r="S69" s="300">
        <f t="shared" si="1"/>
        <v>3.6</v>
      </c>
    </row>
    <row r="70" spans="1:19" ht="15" customHeight="1">
      <c r="A70" s="16"/>
      <c r="B70" s="605" t="s">
        <v>438</v>
      </c>
      <c r="C70" s="606"/>
      <c r="D70" s="181">
        <f>'EG-A10'!D70*0.66</f>
        <v>310.64894785484955</v>
      </c>
      <c r="E70" s="67">
        <f>'EG-A10'!E70*0.66</f>
        <v>330.53048051755997</v>
      </c>
      <c r="F70" s="67">
        <f>'EG-A10'!F70*0.66</f>
        <v>376.20000000000005</v>
      </c>
      <c r="G70" s="67">
        <f>'EG-A10'!G70*0.66</f>
        <v>380.82</v>
      </c>
      <c r="H70" s="67">
        <f>'EG-A10'!H70*0.66</f>
        <v>383.46000000000004</v>
      </c>
      <c r="I70" s="67">
        <f>'EG-A10'!I70*0.66</f>
        <v>383.46000000000004</v>
      </c>
      <c r="J70" s="67">
        <f>'EG-A10'!J70*0.66</f>
        <v>383.46000000000004</v>
      </c>
      <c r="K70" s="186">
        <f>'EG-A10'!K70*0.66</f>
        <v>363</v>
      </c>
      <c r="L70" s="187">
        <f>'EG-A10'!L70*0.66</f>
        <v>422.40000000000003</v>
      </c>
      <c r="M70" s="67">
        <f>'EG-A10'!M70*0.66</f>
        <v>442.20000000000005</v>
      </c>
      <c r="N70" s="67">
        <f>'EG-A10'!N70*0.66</f>
        <v>462</v>
      </c>
      <c r="O70" s="67">
        <f>'EG-A10'!O70*0.66</f>
        <v>485.1</v>
      </c>
      <c r="P70" s="67">
        <f>'EG-A10'!P70*0.66</f>
        <v>508.20000000000005</v>
      </c>
      <c r="Q70" s="68">
        <f>'EG-A10'!Q70*0.66</f>
        <v>531.30000000000007</v>
      </c>
      <c r="R70" s="299">
        <f t="shared" si="0"/>
        <v>2.2000000000000002</v>
      </c>
      <c r="S70" s="300">
        <f t="shared" si="1"/>
        <v>4.7</v>
      </c>
    </row>
    <row r="71" spans="1:19" ht="15" customHeight="1">
      <c r="A71" s="16"/>
      <c r="B71" s="605" t="s">
        <v>439</v>
      </c>
      <c r="C71" s="606"/>
      <c r="D71" s="181">
        <f>'EG-A10'!D71*0.66</f>
        <v>1030.92</v>
      </c>
      <c r="E71" s="67">
        <f>'EG-A10'!E71*0.66</f>
        <v>1030.26</v>
      </c>
      <c r="F71" s="67">
        <f>'EG-A10'!F71*0.66</f>
        <v>1075.8</v>
      </c>
      <c r="G71" s="67">
        <f>'EG-A10'!G71*0.66</f>
        <v>1214.4000000000001</v>
      </c>
      <c r="H71" s="67">
        <f>'EG-A10'!H71*0.66</f>
        <v>1213.0800000000002</v>
      </c>
      <c r="I71" s="182">
        <f>'EG-A10'!I71*0.66</f>
        <v>1747.68</v>
      </c>
      <c r="J71" s="182">
        <f>'EG-A10'!J71*0.66</f>
        <v>1450.68</v>
      </c>
      <c r="K71" s="183">
        <f>'EG-A10'!K71*0.66</f>
        <v>1518</v>
      </c>
      <c r="L71" s="184">
        <f>'EG-A10'!L71*0.66</f>
        <v>1947</v>
      </c>
      <c r="M71" s="182">
        <f>'EG-A10'!M71*0.66</f>
        <v>1980</v>
      </c>
      <c r="N71" s="182">
        <f>'EG-A10'!N71*0.66</f>
        <v>2046</v>
      </c>
      <c r="O71" s="182">
        <f>'EG-A10'!O71*0.66</f>
        <v>2112</v>
      </c>
      <c r="P71" s="182">
        <f>'EG-A10'!P71*0.66</f>
        <v>2178</v>
      </c>
      <c r="Q71" s="185">
        <f>'EG-A10'!Q71*0.66</f>
        <v>2178</v>
      </c>
      <c r="R71" s="299">
        <f t="shared" si="0"/>
        <v>5.7</v>
      </c>
      <c r="S71" s="300">
        <f t="shared" si="1"/>
        <v>2.2999999999999998</v>
      </c>
    </row>
    <row r="72" spans="1:19" ht="15.75" hidden="1" customHeight="1">
      <c r="A72" s="16"/>
      <c r="B72" s="16"/>
      <c r="C72" s="90" t="s">
        <v>306</v>
      </c>
      <c r="D72" s="181">
        <f>'EG-A10'!D72*0.66</f>
        <v>0</v>
      </c>
      <c r="E72" s="67">
        <f>'EG-A10'!E72*0.66</f>
        <v>0</v>
      </c>
      <c r="F72" s="67">
        <f>'EG-A10'!F72*0.66</f>
        <v>0</v>
      </c>
      <c r="G72" s="67">
        <f>'EG-A10'!G72*0.66</f>
        <v>0</v>
      </c>
      <c r="H72" s="67">
        <f>'EG-A10'!H72*0.66</f>
        <v>0</v>
      </c>
      <c r="I72" s="67">
        <f>'EG-A10'!I72*0.66</f>
        <v>0</v>
      </c>
      <c r="J72" s="67">
        <f>'EG-A10'!J72*0.66</f>
        <v>0</v>
      </c>
      <c r="K72" s="183">
        <f>'EG-A10'!K72*0.66</f>
        <v>0</v>
      </c>
      <c r="L72" s="184">
        <f>'EG-A10'!L72*0.66</f>
        <v>0</v>
      </c>
      <c r="M72" s="182">
        <f>'EG-A10'!M72*0.66</f>
        <v>0</v>
      </c>
      <c r="N72" s="182">
        <f>'EG-A10'!N72*0.66</f>
        <v>0</v>
      </c>
      <c r="O72" s="182">
        <f>'EG-A10'!O72*0.66</f>
        <v>0</v>
      </c>
      <c r="P72" s="182">
        <f>'EG-A10'!P72*0.66</f>
        <v>0</v>
      </c>
      <c r="Q72" s="185">
        <f>'EG-A10'!Q72*0.66</f>
        <v>0</v>
      </c>
      <c r="R72" s="299" t="str">
        <f t="shared" ref="R72:R93" si="6">IF(D72=0,"     -",IF(K72=0,"     -",ROUND(((K72/D72)^(1/7)-1)*100,1)))</f>
        <v xml:space="preserve">     -</v>
      </c>
      <c r="S72" s="300" t="str">
        <f t="shared" ref="S72:S93" si="7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'EG-A10'!D73*0.66</f>
        <v>1.32</v>
      </c>
      <c r="E73" s="67">
        <f>'EG-A10'!E73*0.66</f>
        <v>1.32</v>
      </c>
      <c r="F73" s="67">
        <f>'EG-A10'!F73*0.66</f>
        <v>1.32</v>
      </c>
      <c r="G73" s="67">
        <f>'EG-A10'!G73*0.66</f>
        <v>1.32</v>
      </c>
      <c r="H73" s="67">
        <f>'EG-A10'!H73*0.66</f>
        <v>1.32</v>
      </c>
      <c r="I73" s="67">
        <f>'EG-A10'!I73*0.66</f>
        <v>1.32</v>
      </c>
      <c r="J73" s="67">
        <f>'EG-A10'!J73*0.66</f>
        <v>1.32</v>
      </c>
      <c r="K73" s="186">
        <f>'EG-A10'!K73*0.66</f>
        <v>1.32</v>
      </c>
      <c r="L73" s="187">
        <f>'EG-A10'!L73*0.66</f>
        <v>1.32</v>
      </c>
      <c r="M73" s="67">
        <f>'EG-A10'!M73*0.66</f>
        <v>1.32</v>
      </c>
      <c r="N73" s="67">
        <f>'EG-A10'!N73*0.66</f>
        <v>1.32</v>
      </c>
      <c r="O73" s="67">
        <f>'EG-A10'!O73*0.66</f>
        <v>1.32</v>
      </c>
      <c r="P73" s="67">
        <f>'EG-A10'!P73*0.66</f>
        <v>1.32</v>
      </c>
      <c r="Q73" s="68">
        <f>'EG-A10'!Q73*0.66</f>
        <v>1.32</v>
      </c>
      <c r="R73" s="302">
        <f t="shared" si="6"/>
        <v>0</v>
      </c>
      <c r="S73" s="300">
        <f t="shared" si="7"/>
        <v>0</v>
      </c>
    </row>
    <row r="74" spans="1:19" ht="15" customHeight="1">
      <c r="A74" s="16"/>
      <c r="B74" s="605" t="s">
        <v>441</v>
      </c>
      <c r="C74" s="606"/>
      <c r="D74" s="181">
        <f>'EG-A10'!D74*0.66</f>
        <v>162.54513983653064</v>
      </c>
      <c r="E74" s="67">
        <f>'EG-A10'!E74*0.66</f>
        <v>132</v>
      </c>
      <c r="F74" s="67">
        <f>'EG-A10'!F74*0.66</f>
        <v>132</v>
      </c>
      <c r="G74" s="67">
        <f>'EG-A10'!G74*0.66</f>
        <v>145.20000000000002</v>
      </c>
      <c r="H74" s="67">
        <f>'EG-A10'!H74*0.66</f>
        <v>143.18964</v>
      </c>
      <c r="I74" s="182">
        <f>'EG-A10'!I74*0.66</f>
        <v>140.96940000000001</v>
      </c>
      <c r="J74" s="182">
        <f>'EG-A10'!J74*0.66</f>
        <v>92.196060000000003</v>
      </c>
      <c r="K74" s="183">
        <f>'EG-A10'!K74*0.66</f>
        <v>161.98050000000001</v>
      </c>
      <c r="L74" s="184">
        <f>'EG-A10'!L74*0.66</f>
        <v>161.98050000000001</v>
      </c>
      <c r="M74" s="182">
        <f>'EG-A10'!M74*0.66</f>
        <v>161.98050000000001</v>
      </c>
      <c r="N74" s="182">
        <f>'EG-A10'!N74*0.66</f>
        <v>161.98050000000001</v>
      </c>
      <c r="O74" s="182">
        <f>'EG-A10'!O74*0.66</f>
        <v>161.98050000000001</v>
      </c>
      <c r="P74" s="182">
        <f>'EG-A10'!P74*0.66</f>
        <v>161.98050000000001</v>
      </c>
      <c r="Q74" s="185">
        <f>'EG-A10'!Q74*0.66</f>
        <v>161.98050000000001</v>
      </c>
      <c r="R74" s="299">
        <f t="shared" si="6"/>
        <v>0</v>
      </c>
      <c r="S74" s="300">
        <f t="shared" si="7"/>
        <v>0</v>
      </c>
    </row>
    <row r="75" spans="1:19" ht="15" customHeight="1">
      <c r="A75" s="16"/>
      <c r="B75" s="605" t="s">
        <v>442</v>
      </c>
      <c r="C75" s="606"/>
      <c r="D75" s="181">
        <f>'EG-A10'!D75*0.66</f>
        <v>77.22</v>
      </c>
      <c r="E75" s="67">
        <f>'EG-A10'!E75*0.66</f>
        <v>82.5</v>
      </c>
      <c r="F75" s="67">
        <f>'EG-A10'!F75*0.66</f>
        <v>122.10000000000001</v>
      </c>
      <c r="G75" s="67">
        <f>'EG-A10'!G75*0.66</f>
        <v>130.68</v>
      </c>
      <c r="H75" s="67">
        <f>'EG-A10'!H75*0.66</f>
        <v>139.26000000000002</v>
      </c>
      <c r="I75" s="67">
        <f>'EG-A10'!I75*0.66</f>
        <v>148.5</v>
      </c>
      <c r="J75" s="67">
        <f>'EG-A10'!J75*0.66</f>
        <v>67.98</v>
      </c>
      <c r="K75" s="186">
        <f>'EG-A10'!K75*0.66</f>
        <v>123.42</v>
      </c>
      <c r="L75" s="187">
        <f>'EG-A10'!L75*0.66</f>
        <v>130.68</v>
      </c>
      <c r="M75" s="67">
        <f>'EG-A10'!M75*0.66</f>
        <v>138.6</v>
      </c>
      <c r="N75" s="67">
        <f>'EG-A10'!N75*0.66</f>
        <v>147.18</v>
      </c>
      <c r="O75" s="67">
        <f>'EG-A10'!O75*0.66</f>
        <v>155.76000000000002</v>
      </c>
      <c r="P75" s="67">
        <f>'EG-A10'!P75*0.66</f>
        <v>165</v>
      </c>
      <c r="Q75" s="68">
        <f>'EG-A10'!Q75*0.66</f>
        <v>174.9</v>
      </c>
      <c r="R75" s="302">
        <f t="shared" si="6"/>
        <v>6.9</v>
      </c>
      <c r="S75" s="300">
        <f t="shared" si="7"/>
        <v>6</v>
      </c>
    </row>
    <row r="76" spans="1:19" ht="15" customHeight="1">
      <c r="A76" s="16"/>
      <c r="B76" s="607" t="s">
        <v>443</v>
      </c>
      <c r="C76" s="608"/>
      <c r="D76" s="222">
        <f>'EG-A10'!D76*0.66</f>
        <v>349.79999999999995</v>
      </c>
      <c r="E76" s="67">
        <f>'EG-A10'!E76*0.66</f>
        <v>317.52600000000001</v>
      </c>
      <c r="F76" s="67">
        <f>'EG-A10'!F76*0.66</f>
        <v>295.87800000000004</v>
      </c>
      <c r="G76" s="67">
        <f>'EG-A10'!G76*0.66</f>
        <v>297.65999999999997</v>
      </c>
      <c r="H76" s="67">
        <f>'EG-A10'!H76*0.66</f>
        <v>279.77400000000006</v>
      </c>
      <c r="I76" s="67">
        <f>'EG-A10'!I76*0.66</f>
        <v>259.51199999999994</v>
      </c>
      <c r="J76" s="67">
        <f>'EG-A10'!J76*0.66</f>
        <v>245.51999999999998</v>
      </c>
      <c r="K76" s="402">
        <f>'EG-A10'!K76*0.66</f>
        <v>264.39600000000002</v>
      </c>
      <c r="L76" s="224">
        <f>'EG-A10'!L76*0.66</f>
        <v>249.81</v>
      </c>
      <c r="M76" s="67">
        <f>'EG-A10'!M76*0.66</f>
        <v>259.38</v>
      </c>
      <c r="N76" s="67">
        <f>'EG-A10'!N76*0.66</f>
        <v>260.04000000000002</v>
      </c>
      <c r="O76" s="67">
        <f>'EG-A10'!O76*0.66</f>
        <v>260.7</v>
      </c>
      <c r="P76" s="67">
        <f>'EG-A10'!P76*0.66</f>
        <v>261.36</v>
      </c>
      <c r="Q76" s="223">
        <f>'EG-A10'!Q76*0.66</f>
        <v>262.02000000000004</v>
      </c>
      <c r="R76" s="299">
        <f t="shared" si="6"/>
        <v>-3.9</v>
      </c>
      <c r="S76" s="300">
        <f t="shared" si="7"/>
        <v>1</v>
      </c>
    </row>
    <row r="77" spans="1:19" ht="15.75" customHeight="1">
      <c r="A77" s="16"/>
      <c r="B77" s="674" t="s">
        <v>307</v>
      </c>
      <c r="C77" s="675"/>
      <c r="D77" s="189">
        <f>SUM(D65:D76)</f>
        <v>9826.0540876913783</v>
      </c>
      <c r="E77" s="190">
        <f t="shared" ref="E77:K77" si="8">SUM(E65:E76)</f>
        <v>10418.187620517559</v>
      </c>
      <c r="F77" s="190">
        <f t="shared" si="8"/>
        <v>10790.836964820002</v>
      </c>
      <c r="G77" s="190">
        <f t="shared" si="8"/>
        <v>11663.59668548316</v>
      </c>
      <c r="H77" s="190">
        <f t="shared" si="8"/>
        <v>11835.984309362173</v>
      </c>
      <c r="I77" s="190">
        <f t="shared" si="8"/>
        <v>12893.994675033417</v>
      </c>
      <c r="J77" s="190">
        <f t="shared" si="8"/>
        <v>12660.576060000001</v>
      </c>
      <c r="K77" s="191">
        <f t="shared" si="8"/>
        <v>14032.2765</v>
      </c>
      <c r="L77" s="192">
        <f t="shared" ref="L77:Q77" si="9">SUM(L65:L76)</f>
        <v>15463.0905</v>
      </c>
      <c r="M77" s="190">
        <f t="shared" si="9"/>
        <v>16330.555164000001</v>
      </c>
      <c r="N77" s="190">
        <f t="shared" si="9"/>
        <v>17183.076313101603</v>
      </c>
      <c r="O77" s="190">
        <f t="shared" si="9"/>
        <v>18032.265734466706</v>
      </c>
      <c r="P77" s="190">
        <f t="shared" si="9"/>
        <v>18936.506417673045</v>
      </c>
      <c r="Q77" s="193">
        <f t="shared" si="9"/>
        <v>19574.145452342207</v>
      </c>
      <c r="R77" s="303">
        <f t="shared" si="6"/>
        <v>5.2</v>
      </c>
      <c r="S77" s="304">
        <f t="shared" si="7"/>
        <v>4.8</v>
      </c>
    </row>
    <row r="78" spans="1:19" ht="15" customHeight="1">
      <c r="A78" s="16"/>
      <c r="B78" s="672" t="s">
        <v>308</v>
      </c>
      <c r="C78" s="673"/>
      <c r="D78" s="194">
        <f>'EG-A10'!D78*0.66</f>
        <v>23.546160000000004</v>
      </c>
      <c r="E78" s="195">
        <f>'EG-A10'!E78*0.66</f>
        <v>22.68816</v>
      </c>
      <c r="F78" s="195">
        <f>'EG-A10'!F78*0.66</f>
        <v>2.64</v>
      </c>
      <c r="G78" s="195">
        <f>'EG-A10'!G78*0.66</f>
        <v>4.62</v>
      </c>
      <c r="H78" s="195">
        <f>'EG-A10'!H78*0.66</f>
        <v>9.24</v>
      </c>
      <c r="I78" s="195">
        <f>'EG-A10'!I78*0.66</f>
        <v>17.16</v>
      </c>
      <c r="J78" s="195">
        <f>'EG-A10'!J78*0.66</f>
        <v>20.46</v>
      </c>
      <c r="K78" s="196">
        <f>'EG-A10'!K78*0.66</f>
        <v>13.200000000000001</v>
      </c>
      <c r="L78" s="197">
        <f>'EG-A10'!L78*0.66</f>
        <v>13.200000000000001</v>
      </c>
      <c r="M78" s="195">
        <f>'EG-A10'!M78*0.66</f>
        <v>13.200000000000001</v>
      </c>
      <c r="N78" s="195">
        <f>'EG-A10'!N78*0.66</f>
        <v>13.860000000000001</v>
      </c>
      <c r="O78" s="195">
        <f>'EG-A10'!O78*0.66</f>
        <v>13.860000000000001</v>
      </c>
      <c r="P78" s="195">
        <f>'EG-A10'!P78*0.66</f>
        <v>13.860000000000001</v>
      </c>
      <c r="Q78" s="198">
        <f>'EG-A10'!Q78*0.66</f>
        <v>13.860000000000001</v>
      </c>
      <c r="R78" s="305">
        <f t="shared" si="6"/>
        <v>-7.9</v>
      </c>
      <c r="S78" s="304">
        <f t="shared" si="7"/>
        <v>1</v>
      </c>
    </row>
    <row r="79" spans="1:19" ht="15" customHeight="1">
      <c r="A79" s="16"/>
      <c r="B79" s="105"/>
      <c r="C79" s="97" t="s">
        <v>309</v>
      </c>
      <c r="D79" s="194">
        <f>'EG-A10'!D79*0.66</f>
        <v>23.546160000000004</v>
      </c>
      <c r="E79" s="195">
        <f>'EG-A10'!E79*0.66</f>
        <v>22.68816</v>
      </c>
      <c r="F79" s="195">
        <f>'EG-A10'!F79*0.66</f>
        <v>2.64</v>
      </c>
      <c r="G79" s="195">
        <f>'EG-A10'!G79*0.66</f>
        <v>4.62</v>
      </c>
      <c r="H79" s="195">
        <f>'EG-A10'!H79*0.66</f>
        <v>9.24</v>
      </c>
      <c r="I79" s="195">
        <f>'EG-A10'!I79*0.66</f>
        <v>17.16</v>
      </c>
      <c r="J79" s="195">
        <f>'EG-A10'!J79*0.66</f>
        <v>20.46</v>
      </c>
      <c r="K79" s="196">
        <f>'EG-A10'!K79*0.66</f>
        <v>13.200000000000001</v>
      </c>
      <c r="L79" s="197">
        <f>'EG-A10'!L79*0.66</f>
        <v>13.200000000000001</v>
      </c>
      <c r="M79" s="195">
        <f>'EG-A10'!M79*0.66</f>
        <v>13.200000000000001</v>
      </c>
      <c r="N79" s="195">
        <f>'EG-A10'!N79*0.66</f>
        <v>13.860000000000001</v>
      </c>
      <c r="O79" s="195">
        <f>'EG-A10'!O79*0.66</f>
        <v>13.860000000000001</v>
      </c>
      <c r="P79" s="195">
        <f>'EG-A10'!P79*0.66</f>
        <v>13.860000000000001</v>
      </c>
      <c r="Q79" s="198">
        <f>'EG-A10'!Q79*0.66</f>
        <v>13.860000000000001</v>
      </c>
      <c r="R79" s="305">
        <f t="shared" si="6"/>
        <v>-7.9</v>
      </c>
      <c r="S79" s="304">
        <f t="shared" si="7"/>
        <v>1</v>
      </c>
    </row>
    <row r="80" spans="1:19" ht="15.75" customHeight="1">
      <c r="A80" s="16"/>
      <c r="B80" s="672" t="s">
        <v>310</v>
      </c>
      <c r="C80" s="673"/>
      <c r="D80" s="181">
        <f>'EG-A10'!D80*0.66</f>
        <v>1154.3967600000003</v>
      </c>
      <c r="E80" s="67">
        <f>'EG-A10'!E80*0.66</f>
        <v>1172.4464400000002</v>
      </c>
      <c r="F80" s="67">
        <f>'EG-A10'!F80*0.66</f>
        <v>1139.81538</v>
      </c>
      <c r="G80" s="67">
        <f>'EG-A10'!G80*0.66</f>
        <v>1094.2087200000001</v>
      </c>
      <c r="H80" s="182">
        <f>'EG-A10'!H80*0.66</f>
        <v>1107.8106600000001</v>
      </c>
      <c r="I80" s="182">
        <f>'EG-A10'!I80*0.66</f>
        <v>1202.5926000000002</v>
      </c>
      <c r="J80" s="182">
        <f>'EG-A10'!J80*0.66</f>
        <v>1244.7929999999999</v>
      </c>
      <c r="K80" s="183">
        <f>'EG-A10'!K80*0.66</f>
        <v>1258.98828</v>
      </c>
      <c r="L80" s="184">
        <f>'EG-A10'!L80*0.66</f>
        <v>1268.8262400000001</v>
      </c>
      <c r="M80" s="182">
        <f>'EG-A10'!M80*0.66</f>
        <v>1308.53052</v>
      </c>
      <c r="N80" s="182">
        <f>'EG-A10'!N80*0.66</f>
        <v>1321.34574</v>
      </c>
      <c r="O80" s="182">
        <f>'EG-A10'!O80*0.66</f>
        <v>1319.6403</v>
      </c>
      <c r="P80" s="182">
        <f>'EG-A10'!P80*0.66</f>
        <v>1322.3825999999999</v>
      </c>
      <c r="Q80" s="185">
        <f>'EG-A10'!Q80*0.66</f>
        <v>1390.4602800000002</v>
      </c>
      <c r="R80" s="299">
        <f t="shared" si="6"/>
        <v>1.2</v>
      </c>
      <c r="S80" s="300">
        <f t="shared" si="7"/>
        <v>1.8</v>
      </c>
    </row>
    <row r="81" spans="1:19" ht="15" customHeight="1">
      <c r="A81" s="16"/>
      <c r="B81" s="105"/>
      <c r="C81" s="615" t="s">
        <v>311</v>
      </c>
      <c r="D81" s="194">
        <f>'EG-A10'!D81*0.66</f>
        <v>1086.1329600000001</v>
      </c>
      <c r="E81" s="195">
        <f>'EG-A10'!E81*0.66</f>
        <v>1099.4992800000002</v>
      </c>
      <c r="F81" s="195">
        <f>'EG-A10'!F81*0.66</f>
        <v>1062.6237600000002</v>
      </c>
      <c r="G81" s="195">
        <f>'EG-A10'!G81*0.66</f>
        <v>1013.7091800000002</v>
      </c>
      <c r="H81" s="190">
        <f>'EG-A10'!H81*0.66</f>
        <v>1025.5311000000002</v>
      </c>
      <c r="I81" s="190">
        <f>'EG-A10'!I81*0.66</f>
        <v>1114.8858599999999</v>
      </c>
      <c r="J81" s="190">
        <f>'EG-A10'!J81*0.66</f>
        <v>1147.3222199999998</v>
      </c>
      <c r="K81" s="191">
        <f>'EG-A10'!K81*0.66</f>
        <v>1150.1199600000004</v>
      </c>
      <c r="L81" s="192">
        <f>'EG-A10'!L81*0.66</f>
        <v>1163.4183</v>
      </c>
      <c r="M81" s="190">
        <f>'EG-A10'!M81*0.66</f>
        <v>1200.9927600000003</v>
      </c>
      <c r="N81" s="190">
        <f>'EG-A10'!N81*0.66</f>
        <v>1206.9096600000003</v>
      </c>
      <c r="O81" s="190">
        <f>'EG-A10'!O81*0.66</f>
        <v>1206.546</v>
      </c>
      <c r="P81" s="190">
        <f>'EG-A10'!P81*0.66</f>
        <v>1207.8851400000001</v>
      </c>
      <c r="Q81" s="193">
        <f>'EG-A10'!Q81*0.66</f>
        <v>1276.3944600000002</v>
      </c>
      <c r="R81" s="303">
        <f t="shared" si="6"/>
        <v>0.8</v>
      </c>
      <c r="S81" s="304">
        <f t="shared" si="7"/>
        <v>1.9</v>
      </c>
    </row>
    <row r="82" spans="1:19" ht="15.75" customHeight="1">
      <c r="A82" s="16"/>
      <c r="B82" s="672" t="s">
        <v>312</v>
      </c>
      <c r="C82" s="673"/>
      <c r="D82" s="181">
        <f>'EG-A10'!D82*0.66</f>
        <v>343.2</v>
      </c>
      <c r="E82" s="67">
        <f>'EG-A10'!E82*0.66</f>
        <v>459.36</v>
      </c>
      <c r="F82" s="67">
        <f>'EG-A10'!F82*0.66</f>
        <v>505.29600000000005</v>
      </c>
      <c r="G82" s="67">
        <f>'EG-A10'!G82*0.66</f>
        <v>555.82560000000012</v>
      </c>
      <c r="H82" s="182">
        <f>'EG-A10'!H82*0.66</f>
        <v>590.21688000000006</v>
      </c>
      <c r="I82" s="182">
        <f>'EG-A10'!I82*0.66</f>
        <v>423.72</v>
      </c>
      <c r="J82" s="182">
        <f>'EG-A10'!J82*0.66</f>
        <v>415.8</v>
      </c>
      <c r="K82" s="183">
        <f>'EG-A10'!K82*0.66</f>
        <v>458.04</v>
      </c>
      <c r="L82" s="184">
        <f>'EG-A10'!L82*0.66</f>
        <v>473.88</v>
      </c>
      <c r="M82" s="182">
        <f>'EG-A10'!M82*0.66</f>
        <v>489.72</v>
      </c>
      <c r="N82" s="182">
        <f>'EG-A10'!N82*0.66</f>
        <v>505.56</v>
      </c>
      <c r="O82" s="182">
        <f>'EG-A10'!O82*0.66</f>
        <v>545.16000000000008</v>
      </c>
      <c r="P82" s="182">
        <f>'EG-A10'!P82*0.66</f>
        <v>562.32000000000005</v>
      </c>
      <c r="Q82" s="185">
        <f>'EG-A10'!Q82*0.66</f>
        <v>566.28</v>
      </c>
      <c r="R82" s="299">
        <f t="shared" si="6"/>
        <v>4.2</v>
      </c>
      <c r="S82" s="300">
        <f t="shared" si="7"/>
        <v>3.6</v>
      </c>
    </row>
    <row r="83" spans="1:19" ht="15" customHeight="1">
      <c r="A83" s="16"/>
      <c r="B83" s="16"/>
      <c r="C83" s="615" t="s">
        <v>313</v>
      </c>
      <c r="D83" s="194">
        <f>'EG-A10'!D83*0.66</f>
        <v>0</v>
      </c>
      <c r="E83" s="195">
        <f>'EG-A10'!E83*0.66</f>
        <v>69.960000000000008</v>
      </c>
      <c r="F83" s="195">
        <f>'EG-A10'!F83*0.66</f>
        <v>80.453999999999994</v>
      </c>
      <c r="G83" s="195">
        <f>'EG-A10'!G83*0.66</f>
        <v>87.12</v>
      </c>
      <c r="H83" s="190">
        <f>'EG-A10'!H83*0.66</f>
        <v>92.52209999999998</v>
      </c>
      <c r="I83" s="190">
        <f>'EG-A10'!I83*0.66</f>
        <v>67.16200936843795</v>
      </c>
      <c r="J83" s="190">
        <f>'EG-A10'!J83*0.66</f>
        <v>64.496850266515921</v>
      </c>
      <c r="K83" s="191">
        <f>'EG-A10'!K83*0.66</f>
        <v>64.190186016677359</v>
      </c>
      <c r="L83" s="192">
        <f>'EG-A10'!L83*0.66</f>
        <v>63.752387014640348</v>
      </c>
      <c r="M83" s="190">
        <f>'EG-A10'!M83*0.66</f>
        <v>63.752387014640348</v>
      </c>
      <c r="N83" s="190">
        <f>'EG-A10'!N83*0.66</f>
        <v>63.909929980903911</v>
      </c>
      <c r="O83" s="190">
        <f>'EG-A10'!O83*0.66</f>
        <v>64.697644812221526</v>
      </c>
      <c r="P83" s="190">
        <f>'EG-A10'!P83*0.66</f>
        <v>65.11775938892427</v>
      </c>
      <c r="Q83" s="193">
        <f>'EG-A10'!Q83*0.66</f>
        <v>66</v>
      </c>
      <c r="R83" s="303" t="str">
        <f t="shared" si="6"/>
        <v xml:space="preserve">     -</v>
      </c>
      <c r="S83" s="304">
        <f t="shared" si="7"/>
        <v>0.7</v>
      </c>
    </row>
    <row r="84" spans="1:19" ht="15.75" customHeight="1">
      <c r="A84" s="16"/>
      <c r="B84" s="674" t="s">
        <v>314</v>
      </c>
      <c r="C84" s="675"/>
      <c r="D84" s="194">
        <f>'EG-A10'!D84*0.66</f>
        <v>62.7</v>
      </c>
      <c r="E84" s="195">
        <f>'EG-A10'!E84*0.66</f>
        <v>67.320000000000007</v>
      </c>
      <c r="F84" s="195">
        <f>'EG-A10'!F84*0.66</f>
        <v>76.071600000000004</v>
      </c>
      <c r="G84" s="195">
        <f>'EG-A10'!G84*0.66</f>
        <v>76.071600000000004</v>
      </c>
      <c r="H84" s="190">
        <f>'EG-A10'!H84*0.66</f>
        <v>85.960907999999975</v>
      </c>
      <c r="I84" s="190">
        <f>'EG-A10'!I84*0.66</f>
        <v>52.800000000000004</v>
      </c>
      <c r="J84" s="190">
        <f>'EG-A10'!J84*0.66</f>
        <v>44.88</v>
      </c>
      <c r="K84" s="191">
        <f>'EG-A10'!K84*0.66</f>
        <v>80.52000000000001</v>
      </c>
      <c r="L84" s="192">
        <f>'EG-A10'!L84*0.66</f>
        <v>114.18</v>
      </c>
      <c r="M84" s="190">
        <f>'EG-A10'!M84*0.66</f>
        <v>136.62</v>
      </c>
      <c r="N84" s="190">
        <f>'EG-A10'!N84*0.66</f>
        <v>147.18</v>
      </c>
      <c r="O84" s="190">
        <f>'EG-A10'!O84*0.66</f>
        <v>150.48000000000002</v>
      </c>
      <c r="P84" s="190">
        <f>'EG-A10'!P84*0.66</f>
        <v>155.1</v>
      </c>
      <c r="Q84" s="193">
        <f>'EG-A10'!Q84*0.66</f>
        <v>157.74</v>
      </c>
      <c r="R84" s="303">
        <f t="shared" si="6"/>
        <v>3.6</v>
      </c>
      <c r="S84" s="304">
        <f t="shared" si="7"/>
        <v>6.7</v>
      </c>
    </row>
    <row r="85" spans="1:19" ht="15.75" customHeight="1">
      <c r="A85" s="16"/>
      <c r="B85" s="674" t="s">
        <v>315</v>
      </c>
      <c r="C85" s="675"/>
      <c r="D85" s="189">
        <f>'EG-A10'!D85*0.66</f>
        <v>190.74</v>
      </c>
      <c r="E85" s="190">
        <f>'EG-A10'!E85*0.66</f>
        <v>157.74</v>
      </c>
      <c r="F85" s="190">
        <f>'EG-A10'!F85*0.66</f>
        <v>155.298</v>
      </c>
      <c r="G85" s="190">
        <f>'EG-A10'!G85*0.66</f>
        <v>153.29253851999999</v>
      </c>
      <c r="H85" s="190">
        <f>'EG-A10'!H85*0.66</f>
        <v>216.48000000000002</v>
      </c>
      <c r="I85" s="190">
        <f>'EG-A10'!I85*0.66</f>
        <v>186.78</v>
      </c>
      <c r="J85" s="190">
        <f>'EG-A10'!J85*0.66</f>
        <v>185.47254000000001</v>
      </c>
      <c r="K85" s="191">
        <f>'EG-A10'!K85*0.66</f>
        <v>209.88000000000002</v>
      </c>
      <c r="L85" s="192">
        <f>'EG-A10'!L85*0.66</f>
        <v>211.20000000000002</v>
      </c>
      <c r="M85" s="190">
        <f>'EG-A10'!M85*0.66</f>
        <v>212.52</v>
      </c>
      <c r="N85" s="190">
        <f>'EG-A10'!N85*0.66</f>
        <v>214.5</v>
      </c>
      <c r="O85" s="190">
        <f>'EG-A10'!O85*0.66</f>
        <v>215.82000000000002</v>
      </c>
      <c r="P85" s="190">
        <f>'EG-A10'!P85*0.66</f>
        <v>217.14000000000001</v>
      </c>
      <c r="Q85" s="193">
        <f>'EG-A10'!Q85*0.66</f>
        <v>217.8</v>
      </c>
      <c r="R85" s="303">
        <f t="shared" si="6"/>
        <v>1.4</v>
      </c>
      <c r="S85" s="304">
        <f t="shared" si="7"/>
        <v>0.6</v>
      </c>
    </row>
    <row r="86" spans="1:19" ht="15" customHeight="1">
      <c r="A86" s="16"/>
      <c r="B86" s="672" t="s">
        <v>316</v>
      </c>
      <c r="C86" s="673"/>
      <c r="D86" s="181">
        <f>'EG-A10'!D86*0.66</f>
        <v>1298.8800000000001</v>
      </c>
      <c r="E86" s="67">
        <f>'EG-A10'!E86*0.66</f>
        <v>1537.8000000000002</v>
      </c>
      <c r="F86" s="67">
        <f>'EG-A10'!F86*0.66</f>
        <v>1553.64</v>
      </c>
      <c r="G86" s="67">
        <f>'EG-A10'!G86*0.66</f>
        <v>1569.48</v>
      </c>
      <c r="H86" s="67">
        <f>'EG-A10'!H86*0.66</f>
        <v>1585.3200000000002</v>
      </c>
      <c r="I86" s="182">
        <f>'EG-A10'!I86*0.66</f>
        <v>1623.6000000000001</v>
      </c>
      <c r="J86" s="182">
        <f>'EG-A10'!J86*0.66</f>
        <v>1649.3400000000001</v>
      </c>
      <c r="K86" s="183">
        <f>'EG-A10'!K86*0.66</f>
        <v>1686.96</v>
      </c>
      <c r="L86" s="184">
        <f>'EG-A10'!L86*0.66</f>
        <v>1735.8000000000002</v>
      </c>
      <c r="M86" s="182">
        <f>'EG-A10'!M86*0.66</f>
        <v>1780.02</v>
      </c>
      <c r="N86" s="182">
        <f>'EG-A10'!N86*0.66</f>
        <v>1812.3600000000001</v>
      </c>
      <c r="O86" s="182">
        <f>'EG-A10'!O86*0.66</f>
        <v>1843.38</v>
      </c>
      <c r="P86" s="182">
        <f>'EG-A10'!P86*0.66</f>
        <v>1870.44</v>
      </c>
      <c r="Q86" s="185">
        <f>'EG-A10'!Q86*0.66</f>
        <v>1896.18</v>
      </c>
      <c r="R86" s="299">
        <f t="shared" si="6"/>
        <v>3.8</v>
      </c>
      <c r="S86" s="300">
        <f t="shared" si="7"/>
        <v>1.8</v>
      </c>
    </row>
    <row r="87" spans="1:19" ht="15" customHeight="1">
      <c r="A87" s="16"/>
      <c r="B87" s="670" t="s">
        <v>317</v>
      </c>
      <c r="C87" s="671"/>
      <c r="D87" s="181">
        <f>'EG-A10'!D87*0.66</f>
        <v>0</v>
      </c>
      <c r="E87" s="67">
        <f>'EG-A10'!E87*0.66</f>
        <v>0</v>
      </c>
      <c r="F87" s="67">
        <f>'EG-A10'!F87*0.66</f>
        <v>0</v>
      </c>
      <c r="G87" s="67">
        <f>'EG-A10'!G87*0.66</f>
        <v>0</v>
      </c>
      <c r="H87" s="67">
        <f>'EG-A10'!H87*0.66</f>
        <v>0</v>
      </c>
      <c r="I87" s="182">
        <f>'EG-A10'!I87*0.66</f>
        <v>0</v>
      </c>
      <c r="J87" s="182">
        <f>'EG-A10'!J87*0.66</f>
        <v>0</v>
      </c>
      <c r="K87" s="183">
        <f>'EG-A10'!K87*0.66</f>
        <v>0</v>
      </c>
      <c r="L87" s="184">
        <f>'EG-A10'!L87*0.66</f>
        <v>0</v>
      </c>
      <c r="M87" s="182">
        <f>'EG-A10'!M87*0.66</f>
        <v>0</v>
      </c>
      <c r="N87" s="182">
        <f>'EG-A10'!N87*0.66</f>
        <v>0</v>
      </c>
      <c r="O87" s="182">
        <f>'EG-A10'!O87*0.66</f>
        <v>0</v>
      </c>
      <c r="P87" s="182">
        <f>'EG-A10'!P87*0.66</f>
        <v>0</v>
      </c>
      <c r="Q87" s="185">
        <f>'EG-A10'!Q87*0.66</f>
        <v>0</v>
      </c>
      <c r="R87" s="299" t="str">
        <f t="shared" si="6"/>
        <v xml:space="preserve">     -</v>
      </c>
      <c r="S87" s="300" t="str">
        <f t="shared" si="7"/>
        <v xml:space="preserve">     -</v>
      </c>
    </row>
    <row r="88" spans="1:19" ht="15.75" customHeight="1">
      <c r="A88" s="16"/>
      <c r="B88" s="674" t="s">
        <v>318</v>
      </c>
      <c r="C88" s="675"/>
      <c r="D88" s="189">
        <f>'EG-A10'!D88*0.66</f>
        <v>1298.8800000000001</v>
      </c>
      <c r="E88" s="190">
        <f>'EG-A10'!E88*0.66</f>
        <v>1537.8000000000002</v>
      </c>
      <c r="F88" s="190">
        <f>'EG-A10'!F88*0.66</f>
        <v>1553.64</v>
      </c>
      <c r="G88" s="190">
        <f>'EG-A10'!G88*0.66</f>
        <v>1569.48</v>
      </c>
      <c r="H88" s="190">
        <f>'EG-A10'!H88*0.66</f>
        <v>1585.3200000000002</v>
      </c>
      <c r="I88" s="190">
        <f>'EG-A10'!I88*0.66</f>
        <v>1623.6000000000001</v>
      </c>
      <c r="J88" s="190">
        <f>'EG-A10'!J88*0.66</f>
        <v>1649.3400000000001</v>
      </c>
      <c r="K88" s="191">
        <f>'EG-A10'!K88*0.66</f>
        <v>1686.96</v>
      </c>
      <c r="L88" s="192">
        <f>'EG-A10'!L88*0.66</f>
        <v>1735.8000000000002</v>
      </c>
      <c r="M88" s="190">
        <f>'EG-A10'!M88*0.66</f>
        <v>1780.02</v>
      </c>
      <c r="N88" s="190">
        <f>'EG-A10'!N88*0.66</f>
        <v>1812.3600000000001</v>
      </c>
      <c r="O88" s="190">
        <f>'EG-A10'!O88*0.66</f>
        <v>1843.38</v>
      </c>
      <c r="P88" s="190">
        <f>'EG-A10'!P88*0.66</f>
        <v>1870.44</v>
      </c>
      <c r="Q88" s="193">
        <f>'EG-A10'!Q88*0.66</f>
        <v>1896.18</v>
      </c>
      <c r="R88" s="303">
        <f t="shared" si="6"/>
        <v>3.8</v>
      </c>
      <c r="S88" s="304">
        <f t="shared" si="7"/>
        <v>1.8</v>
      </c>
    </row>
    <row r="89" spans="1:19" ht="15" customHeight="1">
      <c r="A89" s="16"/>
      <c r="B89" s="672" t="s">
        <v>319</v>
      </c>
      <c r="C89" s="673"/>
      <c r="D89" s="181">
        <f>'EG-A10'!D89*0.66</f>
        <v>298.32</v>
      </c>
      <c r="E89" s="67">
        <f>'EG-A10'!E89*0.66</f>
        <v>301.62</v>
      </c>
      <c r="F89" s="67">
        <f>'EG-A10'!F89*0.66</f>
        <v>304.92</v>
      </c>
      <c r="G89" s="67">
        <f>'EG-A10'!G89*0.66</f>
        <v>308.22000000000003</v>
      </c>
      <c r="H89" s="67">
        <f>'EG-A10'!H89*0.66</f>
        <v>315.48</v>
      </c>
      <c r="I89" s="182">
        <f>'EG-A10'!I89*0.66</f>
        <v>323.40000000000003</v>
      </c>
      <c r="J89" s="182">
        <f>'EG-A10'!J89*0.66</f>
        <v>330</v>
      </c>
      <c r="K89" s="183">
        <f>'EG-A10'!K89*0.66</f>
        <v>336.6</v>
      </c>
      <c r="L89" s="184">
        <f>'EG-A10'!L89*0.66</f>
        <v>343.86</v>
      </c>
      <c r="M89" s="182">
        <f>'EG-A10'!M89*0.66</f>
        <v>352.44</v>
      </c>
      <c r="N89" s="182">
        <f>'EG-A10'!N89*0.66</f>
        <v>362.34000000000003</v>
      </c>
      <c r="O89" s="182">
        <f>'EG-A10'!O89*0.66</f>
        <v>372.90000000000003</v>
      </c>
      <c r="P89" s="182">
        <f>'EG-A10'!P89*0.66</f>
        <v>384.12</v>
      </c>
      <c r="Q89" s="185">
        <f>'EG-A10'!Q89*0.66</f>
        <v>395.34000000000003</v>
      </c>
      <c r="R89" s="299">
        <f t="shared" si="6"/>
        <v>1.7</v>
      </c>
      <c r="S89" s="300">
        <f t="shared" si="7"/>
        <v>2.8</v>
      </c>
    </row>
    <row r="90" spans="1:19" ht="15" customHeight="1">
      <c r="A90" s="16"/>
      <c r="B90" s="668" t="s">
        <v>320</v>
      </c>
      <c r="C90" s="669"/>
      <c r="D90" s="181">
        <f>'EG-A10'!D90*0.66</f>
        <v>279.84000000000003</v>
      </c>
      <c r="E90" s="67">
        <f>'EG-A10'!E90*0.66</f>
        <v>282.48</v>
      </c>
      <c r="F90" s="67">
        <f>'EG-A10'!F90*0.66</f>
        <v>285.12</v>
      </c>
      <c r="G90" s="67">
        <f>'EG-A10'!G90*0.66</f>
        <v>287.76</v>
      </c>
      <c r="H90" s="67">
        <f>'EG-A10'!H90*0.66</f>
        <v>290.40000000000003</v>
      </c>
      <c r="I90" s="182">
        <f>'EG-A10'!I90*0.66</f>
        <v>290.40000000000003</v>
      </c>
      <c r="J90" s="182">
        <f>'EG-A10'!J90*0.66</f>
        <v>281.16000000000003</v>
      </c>
      <c r="K90" s="183">
        <f>'EG-A10'!K90*0.66</f>
        <v>284.46000000000004</v>
      </c>
      <c r="L90" s="184">
        <f>'EG-A10'!L90*0.66</f>
        <v>288.42</v>
      </c>
      <c r="M90" s="182">
        <f>'EG-A10'!M90*0.66</f>
        <v>295.02000000000004</v>
      </c>
      <c r="N90" s="182">
        <f>'EG-A10'!N90*0.66</f>
        <v>301.62</v>
      </c>
      <c r="O90" s="182">
        <f>'EG-A10'!O90*0.66</f>
        <v>308.22000000000003</v>
      </c>
      <c r="P90" s="182">
        <f>'EG-A10'!P90*0.66</f>
        <v>314.82</v>
      </c>
      <c r="Q90" s="185">
        <f>'EG-A10'!Q90*0.66</f>
        <v>321.42</v>
      </c>
      <c r="R90" s="299">
        <f t="shared" si="6"/>
        <v>0.2</v>
      </c>
      <c r="S90" s="300">
        <f t="shared" si="7"/>
        <v>2.2000000000000002</v>
      </c>
    </row>
    <row r="91" spans="1:19" ht="15" customHeight="1">
      <c r="A91" s="16"/>
      <c r="B91" s="670" t="s">
        <v>321</v>
      </c>
      <c r="C91" s="671"/>
      <c r="D91" s="181">
        <f>'EG-A10'!D91*0.66</f>
        <v>92.4</v>
      </c>
      <c r="E91" s="67">
        <f>'EG-A10'!E91*0.66</f>
        <v>93.06</v>
      </c>
      <c r="F91" s="67">
        <f>'EG-A10'!F91*0.66</f>
        <v>95.7</v>
      </c>
      <c r="G91" s="67">
        <f>'EG-A10'!G91*0.66</f>
        <v>98.34</v>
      </c>
      <c r="H91" s="67">
        <f>'EG-A10'!H91*0.66</f>
        <v>100.98</v>
      </c>
      <c r="I91" s="182">
        <f>'EG-A10'!I91*0.66</f>
        <v>100.98</v>
      </c>
      <c r="J91" s="182">
        <f>'EG-A10'!J91*0.66</f>
        <v>100.32000000000001</v>
      </c>
      <c r="K91" s="183">
        <f>'EG-A10'!K91*0.66</f>
        <v>101.64</v>
      </c>
      <c r="L91" s="184">
        <f>'EG-A10'!L91*0.66</f>
        <v>102.96000000000001</v>
      </c>
      <c r="M91" s="182">
        <f>'EG-A10'!M91*0.66</f>
        <v>104.94000000000001</v>
      </c>
      <c r="N91" s="182">
        <f>'EG-A10'!N91*0.66</f>
        <v>107.58</v>
      </c>
      <c r="O91" s="182">
        <f>'EG-A10'!O91*0.66</f>
        <v>110.22</v>
      </c>
      <c r="P91" s="182">
        <f>'EG-A10'!P91*0.66</f>
        <v>113.52000000000001</v>
      </c>
      <c r="Q91" s="185">
        <f>'EG-A10'!Q91*0.66</f>
        <v>116.82000000000001</v>
      </c>
      <c r="R91" s="299">
        <f t="shared" si="6"/>
        <v>1.4</v>
      </c>
      <c r="S91" s="300">
        <f t="shared" si="7"/>
        <v>2.6</v>
      </c>
    </row>
    <row r="92" spans="1:19" ht="15.75" customHeight="1" thickBot="1">
      <c r="A92" s="16"/>
      <c r="B92" s="678" t="s">
        <v>322</v>
      </c>
      <c r="C92" s="679"/>
      <c r="D92" s="199">
        <f>'EG-A10'!D92*0.66</f>
        <v>670.56000000000006</v>
      </c>
      <c r="E92" s="200">
        <f>'EG-A10'!E92*0.66</f>
        <v>677.16000000000008</v>
      </c>
      <c r="F92" s="200">
        <f>'EG-A10'!F92*0.66</f>
        <v>685.74</v>
      </c>
      <c r="G92" s="200">
        <f>'EG-A10'!G92*0.66</f>
        <v>694.32</v>
      </c>
      <c r="H92" s="200">
        <f>'EG-A10'!H92*0.66</f>
        <v>706.86</v>
      </c>
      <c r="I92" s="200">
        <f>'EG-A10'!I92*0.66</f>
        <v>714.78000000000009</v>
      </c>
      <c r="J92" s="200">
        <f>'EG-A10'!J92*0.66</f>
        <v>711.48</v>
      </c>
      <c r="K92" s="201">
        <f>'EG-A10'!K92*0.66</f>
        <v>722.7</v>
      </c>
      <c r="L92" s="202">
        <f>'EG-A10'!L92*0.66</f>
        <v>735.24</v>
      </c>
      <c r="M92" s="200">
        <f>'EG-A10'!M92*0.66</f>
        <v>752.40000000000009</v>
      </c>
      <c r="N92" s="200">
        <f>'EG-A10'!N92*0.66</f>
        <v>771.54000000000008</v>
      </c>
      <c r="O92" s="200">
        <f>'EG-A10'!O92*0.66</f>
        <v>791.34</v>
      </c>
      <c r="P92" s="200">
        <f>'EG-A10'!P92*0.66</f>
        <v>812.46</v>
      </c>
      <c r="Q92" s="203">
        <f>'EG-A10'!Q92*0.66</f>
        <v>833.58</v>
      </c>
      <c r="R92" s="306">
        <f t="shared" si="6"/>
        <v>1.1000000000000001</v>
      </c>
      <c r="S92" s="307">
        <f t="shared" si="7"/>
        <v>2.5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10">D92+D88+D85+D84+D82+D80+D78+D77</f>
        <v>13570.07700769138</v>
      </c>
      <c r="E93" s="205">
        <f t="shared" si="10"/>
        <v>14512.70222051756</v>
      </c>
      <c r="F93" s="205">
        <f t="shared" si="10"/>
        <v>14909.337944820003</v>
      </c>
      <c r="G93" s="205">
        <f t="shared" si="10"/>
        <v>15811.41514400316</v>
      </c>
      <c r="H93" s="205">
        <f t="shared" si="10"/>
        <v>16137.872757362173</v>
      </c>
      <c r="I93" s="205">
        <f t="shared" si="10"/>
        <v>17115.427275033417</v>
      </c>
      <c r="J93" s="205">
        <f t="shared" si="10"/>
        <v>16932.801600000003</v>
      </c>
      <c r="K93" s="206">
        <f t="shared" si="10"/>
        <v>18462.564780000001</v>
      </c>
      <c r="L93" s="207">
        <f t="shared" si="10"/>
        <v>20015.416740000001</v>
      </c>
      <c r="M93" s="205">
        <f t="shared" si="10"/>
        <v>21023.565684000001</v>
      </c>
      <c r="N93" s="205">
        <f t="shared" si="10"/>
        <v>21969.422053101604</v>
      </c>
      <c r="O93" s="205">
        <f t="shared" si="10"/>
        <v>22911.946034466706</v>
      </c>
      <c r="P93" s="205">
        <f t="shared" si="10"/>
        <v>23890.209017673045</v>
      </c>
      <c r="Q93" s="208">
        <f t="shared" si="10"/>
        <v>24650.045732342209</v>
      </c>
      <c r="R93" s="308">
        <f t="shared" si="6"/>
        <v>4.5</v>
      </c>
      <c r="S93" s="309">
        <f t="shared" si="7"/>
        <v>4.3</v>
      </c>
    </row>
    <row r="94" spans="1:19" ht="9" customHeight="1">
      <c r="D94" s="66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26"/>
      <c r="S94" s="26"/>
    </row>
    <row r="95" spans="1:19" ht="13.5" customHeight="1">
      <c r="C95" t="s">
        <v>330</v>
      </c>
      <c r="D95" s="66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77" priority="5">
      <formula>CELL("protect",C97)=0</formula>
    </cfRule>
    <cfRule type="expression" dxfId="76" priority="6">
      <formula>CELL("protect",C97)=0</formula>
    </cfRule>
  </conditionalFormatting>
  <conditionalFormatting sqref="C95">
    <cfRule type="expression" dxfId="75" priority="3">
      <formula>CELL("protect",C95)=0</formula>
    </cfRule>
    <cfRule type="expression" dxfId="74" priority="4">
      <formula>CELL("protect",C95)=0</formula>
    </cfRule>
  </conditionalFormatting>
  <conditionalFormatting sqref="C97">
    <cfRule type="expression" dxfId="73" priority="1">
      <formula>CELL("protect",C97)=0</formula>
    </cfRule>
    <cfRule type="expression" dxfId="72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&amp;C190</oddFooter>
  </headerFooter>
  <ignoredErrors>
    <ignoredError sqref="D65:Q78 D7:Q16 D55:Q63 D85:Q92 D84:Q84 D81:Q82 D79:Q80 D83:Q83 E26:Q34 D26:D34 D36:D49 D23:Q24 D17:Q20 D52:Q53 E36:Q49 D21:Q22 D50:Q51 D54:Q54 D25:Q25 D35:Q35" unlockedFormula="1"/>
  </ignoredError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>
    <tabColor rgb="FFFFC000"/>
    <pageSetUpPr fitToPage="1"/>
  </sheetPr>
  <dimension ref="A1:W153"/>
  <sheetViews>
    <sheetView showGridLines="0" view="pageBreakPreview" zoomScaleNormal="100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23" ht="13.5" customHeight="1">
      <c r="R1" s="26"/>
      <c r="S1" s="26"/>
    </row>
    <row r="2" spans="1:23" s="2" customFormat="1" ht="17.25">
      <c r="G2" s="2" t="s">
        <v>25</v>
      </c>
      <c r="H2" s="397"/>
      <c r="R2" s="3"/>
      <c r="S2" s="3"/>
    </row>
    <row r="3" spans="1:23" ht="27.6" customHeight="1" thickBot="1">
      <c r="G3" s="624" t="s">
        <v>345</v>
      </c>
      <c r="R3" s="686" t="s">
        <v>297</v>
      </c>
      <c r="S3" s="686"/>
    </row>
    <row r="4" spans="1:23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23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23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23" ht="15" customHeight="1">
      <c r="A7" s="613" t="s">
        <v>304</v>
      </c>
      <c r="B7" s="644" t="s">
        <v>433</v>
      </c>
      <c r="C7" s="645"/>
      <c r="D7" s="175">
        <f>SUM('PP-C8:AN-C9'!D7)+'OTHER(C3)-A15'!D7</f>
        <v>5686.5</v>
      </c>
      <c r="E7" s="176">
        <f>SUM('PP-C8:AN-C9'!E7)+'OTHER(C3)-A15'!E7</f>
        <v>5766.84</v>
      </c>
      <c r="F7" s="176">
        <f>SUM('PP-C8:AN-C9'!F7)+'OTHER(C3)-A15'!F7</f>
        <v>6085.15</v>
      </c>
      <c r="G7" s="176">
        <f>SUM('PP-C8:AN-C9'!G7)+'OTHER(C3)-A15'!G7</f>
        <v>6452.11</v>
      </c>
      <c r="H7" s="176">
        <f>SUM('PP-C8:AN-C9'!H7)+'OTHER(C3)-A15'!H7</f>
        <v>6452.11</v>
      </c>
      <c r="I7" s="176">
        <f>SUM('PP-C8:AN-C9'!I7)+'OTHER(C3)-A15'!I7</f>
        <v>6452.11</v>
      </c>
      <c r="J7" s="176">
        <f>SUM('PP-C8:AN-C9'!J7)+'OTHER(C3)-A15'!J7</f>
        <v>6742.11</v>
      </c>
      <c r="K7" s="186">
        <f>SUM('PP-C8:AN-C9'!K7)+'OTHER(C3)-A15'!K7</f>
        <v>7048.11</v>
      </c>
      <c r="L7" s="187">
        <f>SUM('PP-C8:AN-C9'!L7)+'OTHER(C3)-A15'!L7</f>
        <v>7765.26</v>
      </c>
      <c r="M7" s="67">
        <f>SUM('PP-C8:AN-C9'!M7)+'OTHER(C3)-A15'!M7</f>
        <v>8245.26</v>
      </c>
      <c r="N7" s="67">
        <f>SUM('PP-C8:AN-C9'!N7)+'OTHER(C3)-A15'!N7</f>
        <v>8711.76</v>
      </c>
      <c r="O7" s="67">
        <f>SUM('PP-C8:AN-C9'!O7)+'OTHER(C3)-A15'!O7</f>
        <v>9535.76</v>
      </c>
      <c r="P7" s="67">
        <f>SUM('PP-C8:AN-C9'!P7)+'OTHER(C3)-A15'!P7</f>
        <v>9535.76</v>
      </c>
      <c r="Q7" s="68">
        <f>SUM('PP-C8:AN-C9'!Q7)+'OTHER(C3)-A15'!Q7</f>
        <v>10050.76</v>
      </c>
      <c r="R7" s="276">
        <f>IF(D7=0,"     -",IF(K7=0,"     -",ROUND(((K7/D7)^(1/7)-1)*100,1)))</f>
        <v>3.1</v>
      </c>
      <c r="S7" s="298">
        <f>IF(L7=0,"     -",IF(Q7=0,"     -",ROUND(((Q7/L7)^(1/5)-1)*100,1)))</f>
        <v>5.3</v>
      </c>
      <c r="T7" s="66"/>
      <c r="V7" s="425"/>
      <c r="W7" s="425"/>
    </row>
    <row r="8" spans="1:23" ht="15" customHeight="1">
      <c r="A8" s="614" t="s">
        <v>305</v>
      </c>
      <c r="B8" s="605" t="s">
        <v>434</v>
      </c>
      <c r="C8" s="606"/>
      <c r="D8" s="181">
        <f>SUM('PP-C8:AN-C9'!D8)+'OTHER(C3)-A15'!D8</f>
        <v>3082.6</v>
      </c>
      <c r="E8" s="67">
        <f>SUM('PP-C8:AN-C9'!E8)+'OTHER(C3)-A15'!E8</f>
        <v>3137.1</v>
      </c>
      <c r="F8" s="67">
        <f>SUM('PP-C8:AN-C9'!F8)+'OTHER(C3)-A15'!F8</f>
        <v>3137.1</v>
      </c>
      <c r="G8" s="67">
        <f>SUM('PP-C8:AN-C9'!G8)+'OTHER(C3)-A15'!G8</f>
        <v>3137.1</v>
      </c>
      <c r="H8" s="67">
        <f>SUM('PP-C8:AN-C9'!H8)+'OTHER(C3)-A15'!H8</f>
        <v>3137.1</v>
      </c>
      <c r="I8" s="67">
        <f>SUM('PP-C8:AN-C9'!I8)+'OTHER(C3)-A15'!I8</f>
        <v>3137.1</v>
      </c>
      <c r="J8" s="67">
        <f>SUM('PP-C8:AN-C9'!J8)+'OTHER(C3)-A15'!J8</f>
        <v>3229.8</v>
      </c>
      <c r="K8" s="186">
        <f>SUM('PP-C8:AN-C9'!K8)+'OTHER(C3)-A15'!K8</f>
        <v>3229.8</v>
      </c>
      <c r="L8" s="187">
        <f>SUM('PP-C8:AN-C9'!L8)+'OTHER(C3)-A15'!L8</f>
        <v>3229.8</v>
      </c>
      <c r="M8" s="67">
        <f>SUM('PP-C8:AN-C9'!M8)+'OTHER(C3)-A15'!M8</f>
        <v>3229.8</v>
      </c>
      <c r="N8" s="67">
        <f>SUM('PP-C8:AN-C9'!N8)+'OTHER(C3)-A15'!N8</f>
        <v>3229.8</v>
      </c>
      <c r="O8" s="67">
        <f>SUM('PP-C8:AN-C9'!O8)+'OTHER(C3)-A15'!O8</f>
        <v>3229.8</v>
      </c>
      <c r="P8" s="67">
        <f>SUM('PP-C8:AN-C9'!P8)+'OTHER(C3)-A15'!P8</f>
        <v>3229.8</v>
      </c>
      <c r="Q8" s="68">
        <f>SUM('PP-C8:AN-C9'!Q8)+'OTHER(C3)-A15'!Q8</f>
        <v>3229.8</v>
      </c>
      <c r="R8" s="299">
        <f t="shared" ref="R8:R71" si="0">IF(D8=0,"     -",IF(K8=0,"     -",ROUND(((K8/D8)^(1/7)-1)*100,1)))</f>
        <v>0.7</v>
      </c>
      <c r="S8" s="300">
        <f t="shared" ref="S8:S71" si="1">IF(L8=0,"     -",IF(Q8=0,"     -",ROUND(((Q8/L8)^(1/5)-1)*100,1)))</f>
        <v>0</v>
      </c>
      <c r="T8" s="66"/>
      <c r="V8" s="425"/>
      <c r="W8" s="425"/>
    </row>
    <row r="9" spans="1:23" ht="15" customHeight="1">
      <c r="A9" s="16"/>
      <c r="B9" s="605" t="s">
        <v>435</v>
      </c>
      <c r="C9" s="606"/>
      <c r="D9" s="181">
        <f>SUM('PP-C8:AN-C9'!D9)+'OTHER(C3)-A15'!D9</f>
        <v>1759.4</v>
      </c>
      <c r="E9" s="67">
        <f>SUM('PP-C8:AN-C9'!E9)+'OTHER(C3)-A15'!E9</f>
        <v>1785.5</v>
      </c>
      <c r="F9" s="67">
        <f>SUM('PP-C8:AN-C9'!F9)+'OTHER(C3)-A15'!F9</f>
        <v>2300.5</v>
      </c>
      <c r="G9" s="67">
        <f>SUM('PP-C8:AN-C9'!G9)+'OTHER(C3)-A15'!G9</f>
        <v>2640.5</v>
      </c>
      <c r="H9" s="67">
        <f>SUM('PP-C8:AN-C9'!H9)+'OTHER(C3)-A15'!H9</f>
        <v>2690.5</v>
      </c>
      <c r="I9" s="67">
        <f>SUM('PP-C8:AN-C9'!I9)+'OTHER(C3)-A15'!I9</f>
        <v>2690.5</v>
      </c>
      <c r="J9" s="67">
        <f>SUM('PP-C8:AN-C9'!J9)+'OTHER(C3)-A15'!J9</f>
        <v>2690.4</v>
      </c>
      <c r="K9" s="186">
        <f>SUM('PP-C8:AN-C9'!K9)+'OTHER(C3)-A15'!K9</f>
        <v>2690.4</v>
      </c>
      <c r="L9" s="187">
        <f>SUM('PP-C8:AN-C9'!L9)+'OTHER(C3)-A15'!L9</f>
        <v>2690.4</v>
      </c>
      <c r="M9" s="67">
        <f>SUM('PP-C8:AN-C9'!M9)+'OTHER(C3)-A15'!M9</f>
        <v>2740.4</v>
      </c>
      <c r="N9" s="67">
        <f>SUM('PP-C8:AN-C9'!N9)+'OTHER(C3)-A15'!N9</f>
        <v>2740.4</v>
      </c>
      <c r="O9" s="67">
        <f>SUM('PP-C8:AN-C9'!O9)+'OTHER(C3)-A15'!O9</f>
        <v>2743.4</v>
      </c>
      <c r="P9" s="67">
        <f>SUM('PP-C8:AN-C9'!P9)+'OTHER(C3)-A15'!P9</f>
        <v>2743.4</v>
      </c>
      <c r="Q9" s="68">
        <f>SUM('PP-C8:AN-C9'!Q9)+'OTHER(C3)-A15'!Q9</f>
        <v>2743.4</v>
      </c>
      <c r="R9" s="301">
        <f t="shared" si="0"/>
        <v>6.3</v>
      </c>
      <c r="S9" s="300">
        <f t="shared" si="1"/>
        <v>0.4</v>
      </c>
      <c r="T9" s="66"/>
      <c r="V9" s="425"/>
      <c r="W9" s="425"/>
    </row>
    <row r="10" spans="1:23" ht="15" customHeight="1">
      <c r="A10" s="16"/>
      <c r="B10" s="605" t="s">
        <v>436</v>
      </c>
      <c r="C10" s="606"/>
      <c r="D10" s="181">
        <f>SUM('PP-C8:AN-C9'!D10)+'OTHER(C3)-A15'!D10</f>
        <v>15887.9725</v>
      </c>
      <c r="E10" s="67">
        <f>SUM('PP-C8:AN-C9'!E10)+'OTHER(C3)-A15'!E10</f>
        <v>18580.9575</v>
      </c>
      <c r="F10" s="67">
        <f>SUM('PP-C8:AN-C9'!F10)+'OTHER(C3)-A15'!F10</f>
        <v>20562.47</v>
      </c>
      <c r="G10" s="67">
        <f>SUM('PP-C8:AN-C9'!G10)+'OTHER(C3)-A15'!G10</f>
        <v>23078.154999999999</v>
      </c>
      <c r="H10" s="67">
        <f>SUM('PP-C8:AN-C9'!H10)+'OTHER(C3)-A15'!H10</f>
        <v>26370.037499999999</v>
      </c>
      <c r="I10" s="67">
        <f>SUM('PP-C8:AN-C9'!I10)+'OTHER(C3)-A15'!I10</f>
        <v>29951.08</v>
      </c>
      <c r="J10" s="67">
        <f>SUM('PP-C8:AN-C9'!J10)+'OTHER(C3)-A15'!J10</f>
        <v>32660.267499999998</v>
      </c>
      <c r="K10" s="186">
        <f>SUM('PP-C8:AN-C9'!K10)+'OTHER(C3)-A15'!K10</f>
        <v>34197.544999999998</v>
      </c>
      <c r="L10" s="187">
        <f>SUM('PP-C8:AN-C9'!L10)+'OTHER(C3)-A15'!L10</f>
        <v>35724.485000000001</v>
      </c>
      <c r="M10" s="67">
        <f>SUM('PP-C8:AN-C9'!M10)+'OTHER(C3)-A15'!M10</f>
        <v>38232.31</v>
      </c>
      <c r="N10" s="67">
        <f>SUM('PP-C8:AN-C9'!N10)+'OTHER(C3)-A15'!N10</f>
        <v>43830.969999999994</v>
      </c>
      <c r="O10" s="67">
        <f>SUM('PP-C8:AN-C9'!O10)+'OTHER(C3)-A15'!O10</f>
        <v>47271.207499999997</v>
      </c>
      <c r="P10" s="67">
        <f>SUM('PP-C8:AN-C9'!P10)+'OTHER(C3)-A15'!P10</f>
        <v>48863.982499999998</v>
      </c>
      <c r="Q10" s="68">
        <f>SUM('PP-C8:AN-C9'!Q10)+'OTHER(C3)-A15'!Q10</f>
        <v>50823.195</v>
      </c>
      <c r="R10" s="299">
        <f t="shared" si="0"/>
        <v>11.6</v>
      </c>
      <c r="S10" s="300">
        <f t="shared" si="1"/>
        <v>7.3</v>
      </c>
      <c r="T10" s="66"/>
      <c r="V10" s="425"/>
      <c r="W10" s="425"/>
    </row>
    <row r="11" spans="1:23" ht="15" customHeight="1">
      <c r="A11" s="16"/>
      <c r="B11" s="605" t="s">
        <v>437</v>
      </c>
      <c r="C11" s="606"/>
      <c r="D11" s="181">
        <f>SUM('PP-C8:AN-C9'!D11)+'OTHER(C3)-A15'!D11</f>
        <v>2476.5</v>
      </c>
      <c r="E11" s="67">
        <f>SUM('PP-C8:AN-C9'!E11)+'OTHER(C3)-A15'!E11</f>
        <v>2476.5</v>
      </c>
      <c r="F11" s="67">
        <f>SUM('PP-C8:AN-C9'!F11)+'OTHER(C3)-A15'!F11</f>
        <v>2476.5</v>
      </c>
      <c r="G11" s="67">
        <f>SUM('PP-C8:AN-C9'!G11)+'OTHER(C3)-A15'!G11</f>
        <v>2676.5</v>
      </c>
      <c r="H11" s="67">
        <f>SUM('PP-C8:AN-C9'!H11)+'OTHER(C3)-A15'!H11</f>
        <v>2676.5</v>
      </c>
      <c r="I11" s="67">
        <f>SUM('PP-C8:AN-C9'!I11)+'OTHER(C3)-A15'!I11</f>
        <v>2676.5</v>
      </c>
      <c r="J11" s="67">
        <f>SUM('PP-C8:AN-C9'!J11)+'OTHER(C3)-A15'!J11</f>
        <v>2776.5</v>
      </c>
      <c r="K11" s="186">
        <f>SUM('PP-C8:AN-C9'!K11)+'OTHER(C3)-A15'!K11</f>
        <v>2853.75</v>
      </c>
      <c r="L11" s="187">
        <f>SUM('PP-C8:AN-C9'!L11)+'OTHER(C3)-A15'!L11</f>
        <v>3085.5</v>
      </c>
      <c r="M11" s="67">
        <f>SUM('PP-C8:AN-C9'!M11)+'OTHER(C3)-A15'!M11</f>
        <v>3085.5</v>
      </c>
      <c r="N11" s="67">
        <f>SUM('PP-C8:AN-C9'!N11)+'OTHER(C3)-A15'!N11</f>
        <v>3155.5</v>
      </c>
      <c r="O11" s="67">
        <f>SUM('PP-C8:AN-C9'!O11)+'OTHER(C3)-A15'!O11</f>
        <v>3225.5</v>
      </c>
      <c r="P11" s="67">
        <f>SUM('PP-C8:AN-C9'!P11)+'OTHER(C3)-A15'!P11</f>
        <v>3225.5</v>
      </c>
      <c r="Q11" s="68">
        <f>SUM('PP-C8:AN-C9'!Q11)+'OTHER(C3)-A15'!Q11</f>
        <v>3225.5</v>
      </c>
      <c r="R11" s="302">
        <f t="shared" si="0"/>
        <v>2</v>
      </c>
      <c r="S11" s="300">
        <f t="shared" si="1"/>
        <v>0.9</v>
      </c>
      <c r="T11" s="66"/>
      <c r="V11" s="425"/>
      <c r="W11" s="425"/>
    </row>
    <row r="12" spans="1:23" ht="15" customHeight="1">
      <c r="A12" s="16"/>
      <c r="B12" s="605" t="s">
        <v>438</v>
      </c>
      <c r="C12" s="606"/>
      <c r="D12" s="181">
        <f>SUM('PP-C8:AN-C9'!D12)+'OTHER(C3)-A15'!D12</f>
        <v>556.75</v>
      </c>
      <c r="E12" s="67">
        <f>SUM('PP-C8:AN-C9'!E12)+'OTHER(C3)-A15'!E12</f>
        <v>1051.1500000000001</v>
      </c>
      <c r="F12" s="67">
        <f>SUM('PP-C8:AN-C9'!F12)+'OTHER(C3)-A15'!F12</f>
        <v>1051.1500000000001</v>
      </c>
      <c r="G12" s="67">
        <f>SUM('PP-C8:AN-C9'!G12)+'OTHER(C3)-A15'!G12</f>
        <v>1107.1500000000001</v>
      </c>
      <c r="H12" s="67">
        <f>SUM('PP-C8:AN-C9'!H12)+'OTHER(C3)-A15'!H12</f>
        <v>1107.1500000000001</v>
      </c>
      <c r="I12" s="67">
        <f>SUM('PP-C8:AN-C9'!I12)+'OTHER(C3)-A15'!I12</f>
        <v>1107.1500000000001</v>
      </c>
      <c r="J12" s="67">
        <f>SUM('PP-C8:AN-C9'!J12)+'OTHER(C3)-A15'!J12</f>
        <v>1107.1500000000001</v>
      </c>
      <c r="K12" s="186">
        <f>SUM('PP-C8:AN-C9'!K12)+'OTHER(C3)-A15'!K12</f>
        <v>1107.1500000000001</v>
      </c>
      <c r="L12" s="187">
        <f>SUM('PP-C8:AN-C9'!L12)+'OTHER(C3)-A15'!L12</f>
        <v>1107.1500000000001</v>
      </c>
      <c r="M12" s="67">
        <f>SUM('PP-C8:AN-C9'!M12)+'OTHER(C3)-A15'!M12</f>
        <v>1220.45</v>
      </c>
      <c r="N12" s="67">
        <f>SUM('PP-C8:AN-C9'!N12)+'OTHER(C3)-A15'!N12</f>
        <v>1220.45</v>
      </c>
      <c r="O12" s="67">
        <f>SUM('PP-C8:AN-C9'!O12)+'OTHER(C3)-A15'!O12</f>
        <v>1220.45</v>
      </c>
      <c r="P12" s="67">
        <f>SUM('PP-C8:AN-C9'!P12)+'OTHER(C3)-A15'!P12</f>
        <v>1385.25</v>
      </c>
      <c r="Q12" s="68">
        <f>SUM('PP-C8:AN-C9'!Q12)+'OTHER(C3)-A15'!Q12</f>
        <v>1447.05</v>
      </c>
      <c r="R12" s="302">
        <f t="shared" si="0"/>
        <v>10.3</v>
      </c>
      <c r="S12" s="300">
        <f t="shared" si="1"/>
        <v>5.5</v>
      </c>
      <c r="T12" s="66"/>
      <c r="V12" s="425"/>
      <c r="W12" s="425"/>
    </row>
    <row r="13" spans="1:23" ht="15" customHeight="1">
      <c r="A13" s="16"/>
      <c r="B13" s="605" t="s">
        <v>439</v>
      </c>
      <c r="C13" s="606"/>
      <c r="D13" s="181">
        <f>SUM('PP-C8:AN-C9'!D13)+'OTHER(C3)-A15'!D13</f>
        <v>3852.42</v>
      </c>
      <c r="E13" s="67">
        <f>SUM('PP-C8:AN-C9'!E13)+'OTHER(C3)-A15'!E13</f>
        <v>3852.42</v>
      </c>
      <c r="F13" s="67">
        <f>SUM('PP-C8:AN-C9'!F13)+'OTHER(C3)-A15'!F13</f>
        <v>4470.42</v>
      </c>
      <c r="G13" s="67">
        <f>SUM('PP-C8:AN-C9'!G13)+'OTHER(C3)-A15'!G13</f>
        <v>4518.9500000000007</v>
      </c>
      <c r="H13" s="67">
        <f>SUM('PP-C8:AN-C9'!H13)+'OTHER(C3)-A15'!H13</f>
        <v>4462.3</v>
      </c>
      <c r="I13" s="67">
        <f>SUM('PP-C8:AN-C9'!I13)+'OTHER(C3)-A15'!I13</f>
        <v>4812.5000000000009</v>
      </c>
      <c r="J13" s="67">
        <f>SUM('PP-C8:AN-C9'!J13)+'OTHER(C3)-A15'!J13</f>
        <v>4812.5000000000009</v>
      </c>
      <c r="K13" s="186">
        <f>SUM('PP-C8:AN-C9'!K13)+'OTHER(C3)-A15'!K13</f>
        <v>5059.7000000000007</v>
      </c>
      <c r="L13" s="187">
        <f>SUM('PP-C8:AN-C9'!L13)+'OTHER(C3)-A15'!L13</f>
        <v>5059.7000000000007</v>
      </c>
      <c r="M13" s="67">
        <f>SUM('PP-C8:AN-C9'!M13)+'OTHER(C3)-A15'!M13</f>
        <v>5780.7000000000007</v>
      </c>
      <c r="N13" s="67">
        <f>SUM('PP-C8:AN-C9'!N13)+'OTHER(C3)-A15'!N13</f>
        <v>6017.6</v>
      </c>
      <c r="O13" s="67">
        <f>SUM('PP-C8:AN-C9'!O13)+'OTHER(C3)-A15'!O13</f>
        <v>6017.6</v>
      </c>
      <c r="P13" s="67">
        <f>SUM('PP-C8:AN-C9'!P13)+'OTHER(C3)-A15'!P13</f>
        <v>6017.6</v>
      </c>
      <c r="Q13" s="68">
        <f>SUM('PP-C8:AN-C9'!Q13)+'OTHER(C3)-A15'!Q13</f>
        <v>6017.6</v>
      </c>
      <c r="R13" s="302">
        <f t="shared" si="0"/>
        <v>4</v>
      </c>
      <c r="S13" s="300">
        <f t="shared" si="1"/>
        <v>3.5</v>
      </c>
      <c r="T13" s="66"/>
      <c r="V13" s="425"/>
      <c r="W13" s="425"/>
    </row>
    <row r="14" spans="1:23" ht="15.75" hidden="1" customHeight="1">
      <c r="A14" s="16"/>
      <c r="B14" s="16"/>
      <c r="C14" s="90" t="s">
        <v>306</v>
      </c>
      <c r="D14" s="181">
        <f>SUM('PP-C8:AN-C9'!D14)+'OTHER(C3)-A15'!D14</f>
        <v>0</v>
      </c>
      <c r="E14" s="67">
        <f>SUM('PP-C8:AN-C9'!E14)+'OTHER(C3)-A15'!E14</f>
        <v>0</v>
      </c>
      <c r="F14" s="67">
        <f>SUM('PP-C8:AN-C9'!F14)+'OTHER(C3)-A15'!F14</f>
        <v>0</v>
      </c>
      <c r="G14" s="67">
        <f>SUM('PP-C8:AN-C9'!G14)+'OTHER(C3)-A15'!G14</f>
        <v>0</v>
      </c>
      <c r="H14" s="67">
        <f>SUM('PP-C8:AN-C9'!H14)+'OTHER(C3)-A15'!H14</f>
        <v>0</v>
      </c>
      <c r="I14" s="67">
        <f>SUM('PP-C8:AN-C9'!I14)+'OTHER(C3)-A15'!I14</f>
        <v>0</v>
      </c>
      <c r="J14" s="67">
        <f>SUM('PP-C8:AN-C9'!J14)+'OTHER(C3)-A15'!J14</f>
        <v>0</v>
      </c>
      <c r="K14" s="186">
        <f>SUM('PP-C8:AN-C9'!K14)+'OTHER(C3)-A15'!K14</f>
        <v>0</v>
      </c>
      <c r="L14" s="187">
        <f>SUM('PP-C8:AN-C9'!L14)+'OTHER(C3)-A15'!L14</f>
        <v>0</v>
      </c>
      <c r="M14" s="67">
        <f>SUM('PP-C8:AN-C9'!M14)+'OTHER(C3)-A15'!M14</f>
        <v>0</v>
      </c>
      <c r="N14" s="67">
        <f>SUM('PP-C8:AN-C9'!N14)+'OTHER(C3)-A15'!N14</f>
        <v>0</v>
      </c>
      <c r="O14" s="67">
        <f>SUM('PP-C8:AN-C9'!O14)+'OTHER(C3)-A15'!O14</f>
        <v>0</v>
      </c>
      <c r="P14" s="67">
        <f>SUM('PP-C8:AN-C9'!P14)+'OTHER(C3)-A15'!P14</f>
        <v>0</v>
      </c>
      <c r="Q14" s="68">
        <f>SUM('PP-C8:AN-C9'!Q14)+'OTHER(C3)-A15'!Q14</f>
        <v>0</v>
      </c>
      <c r="R14" s="302" t="str">
        <f t="shared" si="0"/>
        <v xml:space="preserve">     -</v>
      </c>
      <c r="S14" s="300" t="str">
        <f t="shared" si="1"/>
        <v xml:space="preserve">     -</v>
      </c>
      <c r="T14" s="66"/>
      <c r="V14" s="425"/>
      <c r="W14" s="425"/>
    </row>
    <row r="15" spans="1:23" ht="15" customHeight="1">
      <c r="A15" s="16"/>
      <c r="B15" s="605" t="s">
        <v>440</v>
      </c>
      <c r="C15" s="606"/>
      <c r="D15" s="181">
        <f>SUM('PP-C8:AN-C9'!D15)+'OTHER(C3)-A15'!D15</f>
        <v>350.2</v>
      </c>
      <c r="E15" s="67">
        <f>SUM('PP-C8:AN-C9'!E15)+'OTHER(C3)-A15'!E15</f>
        <v>360.5</v>
      </c>
      <c r="F15" s="67">
        <f>SUM('PP-C8:AN-C9'!F15)+'OTHER(C3)-A15'!F15</f>
        <v>360.5</v>
      </c>
      <c r="G15" s="67">
        <f>SUM('PP-C8:AN-C9'!G15)+'OTHER(C3)-A15'!G15</f>
        <v>360.5</v>
      </c>
      <c r="H15" s="67">
        <f>SUM('PP-C8:AN-C9'!H15)+'OTHER(C3)-A15'!H15</f>
        <v>540.75</v>
      </c>
      <c r="I15" s="67">
        <f>SUM('PP-C8:AN-C9'!I15)+'OTHER(C3)-A15'!I15</f>
        <v>540.75</v>
      </c>
      <c r="J15" s="67">
        <f>SUM('PP-C8:AN-C9'!J15)+'OTHER(C3)-A15'!J15</f>
        <v>540.75</v>
      </c>
      <c r="K15" s="186">
        <f>SUM('PP-C8:AN-C9'!K15)+'OTHER(C3)-A15'!K15</f>
        <v>540.75</v>
      </c>
      <c r="L15" s="187">
        <f>SUM('PP-C8:AN-C9'!L15)+'OTHER(C3)-A15'!L15</f>
        <v>540.75</v>
      </c>
      <c r="M15" s="67">
        <f>SUM('PP-C8:AN-C9'!M15)+'OTHER(C3)-A15'!M15</f>
        <v>540.75</v>
      </c>
      <c r="N15" s="67">
        <f>SUM('PP-C8:AN-C9'!N15)+'OTHER(C3)-A15'!N15</f>
        <v>540.75</v>
      </c>
      <c r="O15" s="67">
        <f>SUM('PP-C8:AN-C9'!O15)+'OTHER(C3)-A15'!O15</f>
        <v>592.25</v>
      </c>
      <c r="P15" s="67">
        <f>SUM('PP-C8:AN-C9'!P15)+'OTHER(C3)-A15'!P15</f>
        <v>592.25</v>
      </c>
      <c r="Q15" s="68">
        <f>SUM('PP-C8:AN-C9'!Q15)+'OTHER(C3)-A15'!Q15</f>
        <v>592.25</v>
      </c>
      <c r="R15" s="302">
        <f t="shared" si="0"/>
        <v>6.4</v>
      </c>
      <c r="S15" s="300">
        <f t="shared" si="1"/>
        <v>1.8</v>
      </c>
      <c r="T15" s="66"/>
      <c r="V15" s="425"/>
      <c r="W15" s="425"/>
    </row>
    <row r="16" spans="1:23" ht="15" customHeight="1">
      <c r="A16" s="16"/>
      <c r="B16" s="605" t="s">
        <v>441</v>
      </c>
      <c r="C16" s="606"/>
      <c r="D16" s="181">
        <f>SUM('PP-C8:AN-C9'!D16)+'OTHER(C3)-A15'!D16</f>
        <v>987.5</v>
      </c>
      <c r="E16" s="67">
        <f>SUM('PP-C8:AN-C9'!E16)+'OTHER(C3)-A15'!E16</f>
        <v>987.5</v>
      </c>
      <c r="F16" s="67">
        <f>SUM('PP-C8:AN-C9'!F16)+'OTHER(C3)-A15'!F16</f>
        <v>987.5</v>
      </c>
      <c r="G16" s="67">
        <f>SUM('PP-C8:AN-C9'!G16)+'OTHER(C3)-A15'!G16</f>
        <v>905.1</v>
      </c>
      <c r="H16" s="67">
        <f>SUM('PP-C8:AN-C9'!H16)+'OTHER(C3)-A15'!H16</f>
        <v>905.1</v>
      </c>
      <c r="I16" s="67">
        <f>SUM('PP-C8:AN-C9'!I16)+'OTHER(C3)-A15'!I16</f>
        <v>905.1</v>
      </c>
      <c r="J16" s="67">
        <f>SUM('PP-C8:AN-C9'!J16)+'OTHER(C3)-A15'!J16</f>
        <v>905.1</v>
      </c>
      <c r="K16" s="186">
        <f>SUM('PP-C8:AN-C9'!K16)+'OTHER(C3)-A15'!K16</f>
        <v>905.1</v>
      </c>
      <c r="L16" s="187">
        <f>SUM('PP-C8:AN-C9'!L16)+'OTHER(C3)-A15'!L16</f>
        <v>956.6</v>
      </c>
      <c r="M16" s="67">
        <f>SUM('PP-C8:AN-C9'!M16)+'OTHER(C3)-A15'!M16</f>
        <v>1214.0999999999999</v>
      </c>
      <c r="N16" s="67">
        <f>SUM('PP-C8:AN-C9'!N16)+'OTHER(C3)-A15'!N16</f>
        <v>2038.1000000000001</v>
      </c>
      <c r="O16" s="67">
        <f>SUM('PP-C8:AN-C9'!O16)+'OTHER(C3)-A15'!O16</f>
        <v>2038.1000000000001</v>
      </c>
      <c r="P16" s="67">
        <f>SUM('PP-C8:AN-C9'!P16)+'OTHER(C3)-A15'!P16</f>
        <v>2038.1000000000001</v>
      </c>
      <c r="Q16" s="68">
        <f>SUM('PP-C8:AN-C9'!Q16)+'OTHER(C3)-A15'!Q16</f>
        <v>2038.1000000000001</v>
      </c>
      <c r="R16" s="302">
        <f t="shared" si="0"/>
        <v>-1.2</v>
      </c>
      <c r="S16" s="300">
        <f t="shared" si="1"/>
        <v>16.3</v>
      </c>
      <c r="T16" s="66"/>
      <c r="V16" s="425"/>
      <c r="W16" s="425"/>
    </row>
    <row r="17" spans="1:23" ht="15" customHeight="1">
      <c r="A17" s="16"/>
      <c r="B17" s="605" t="s">
        <v>442</v>
      </c>
      <c r="C17" s="606"/>
      <c r="D17" s="181">
        <f>SUM('PP-C8:AN-C9'!D17)+'OTHER(C3)-A15'!D17</f>
        <v>154.5</v>
      </c>
      <c r="E17" s="67">
        <f>SUM('PP-C8:AN-C9'!E17)+'OTHER(C3)-A15'!E17</f>
        <v>154.5</v>
      </c>
      <c r="F17" s="67">
        <f>SUM('PP-C8:AN-C9'!F17)+'OTHER(C3)-A15'!F17</f>
        <v>154.5</v>
      </c>
      <c r="G17" s="67">
        <f>SUM('PP-C8:AN-C9'!G17)+'OTHER(C3)-A15'!G17</f>
        <v>154.5</v>
      </c>
      <c r="H17" s="67">
        <f>SUM('PP-C8:AN-C9'!H17)+'OTHER(C3)-A15'!H17</f>
        <v>154.5</v>
      </c>
      <c r="I17" s="67">
        <f>SUM('PP-C8:AN-C9'!I17)+'OTHER(C3)-A15'!I17</f>
        <v>154.5</v>
      </c>
      <c r="J17" s="67">
        <f>SUM('PP-C8:AN-C9'!J17)+'OTHER(C3)-A15'!J17</f>
        <v>154.5</v>
      </c>
      <c r="K17" s="186">
        <f>SUM('PP-C8:AN-C9'!K17)+'OTHER(C3)-A15'!K17</f>
        <v>154.5</v>
      </c>
      <c r="L17" s="187">
        <f>SUM('PP-C8:AN-C9'!L17)+'OTHER(C3)-A15'!L17</f>
        <v>535.6</v>
      </c>
      <c r="M17" s="67">
        <f>SUM('PP-C8:AN-C9'!M17)+'OTHER(C3)-A15'!M17</f>
        <v>535.6</v>
      </c>
      <c r="N17" s="67">
        <f>SUM('PP-C8:AN-C9'!N17)+'OTHER(C3)-A15'!N17</f>
        <v>844.6</v>
      </c>
      <c r="O17" s="67">
        <f>SUM('PP-C8:AN-C9'!O17)+'OTHER(C3)-A15'!O17</f>
        <v>844.6</v>
      </c>
      <c r="P17" s="67">
        <f>SUM('PP-C8:AN-C9'!P17)+'OTHER(C3)-A15'!P17</f>
        <v>844.6</v>
      </c>
      <c r="Q17" s="68">
        <f>SUM('PP-C8:AN-C9'!Q17)+'OTHER(C3)-A15'!Q17</f>
        <v>1308.1000000000001</v>
      </c>
      <c r="R17" s="302">
        <f t="shared" si="0"/>
        <v>0</v>
      </c>
      <c r="S17" s="300">
        <f t="shared" si="1"/>
        <v>19.600000000000001</v>
      </c>
      <c r="T17" s="66"/>
      <c r="V17" s="425"/>
      <c r="W17" s="425"/>
    </row>
    <row r="18" spans="1:23" ht="15" customHeight="1">
      <c r="A18" s="16"/>
      <c r="B18" s="607" t="s">
        <v>443</v>
      </c>
      <c r="C18" s="608"/>
      <c r="D18" s="181">
        <f>SUM('PP-C8:AN-C9'!D18)+'OTHER(C3)-A15'!D18</f>
        <v>5883.92</v>
      </c>
      <c r="E18" s="67">
        <f>SUM('PP-C8:AN-C9'!E18)+'OTHER(C3)-A15'!E18</f>
        <v>5762.6200000000008</v>
      </c>
      <c r="F18" s="67">
        <f>SUM('PP-C8:AN-C9'!F18)+'OTHER(C3)-A15'!F18</f>
        <v>5650.17</v>
      </c>
      <c r="G18" s="67">
        <f>SUM('PP-C8:AN-C9'!G18)+'OTHER(C3)-A15'!G18</f>
        <v>5550.32</v>
      </c>
      <c r="H18" s="67">
        <f>SUM('PP-C8:AN-C9'!H18)+'OTHER(C3)-A15'!H18</f>
        <v>5210.13</v>
      </c>
      <c r="I18" s="67">
        <f>SUM('PP-C8:AN-C9'!I18)+'OTHER(C3)-A15'!I18</f>
        <v>5201.8899999999994</v>
      </c>
      <c r="J18" s="67">
        <f>SUM('PP-C8:AN-C9'!J18)+'OTHER(C3)-A15'!J18</f>
        <v>5200.8600000000006</v>
      </c>
      <c r="K18" s="186">
        <f>SUM('PP-C8:AN-C9'!K18)+'OTHER(C3)-A15'!K18</f>
        <v>5084.59</v>
      </c>
      <c r="L18" s="187">
        <f>SUM('PP-C8:AN-C9'!L18)+'OTHER(C3)-A15'!L18</f>
        <v>5092.22</v>
      </c>
      <c r="M18" s="67">
        <f>SUM('PP-C8:AN-C9'!M18)+'OTHER(C3)-A15'!M18</f>
        <v>5096.34</v>
      </c>
      <c r="N18" s="67">
        <f>SUM('PP-C8:AN-C9'!N18)+'OTHER(C3)-A15'!N18</f>
        <v>5246.72</v>
      </c>
      <c r="O18" s="67">
        <f>SUM('PP-C8:AN-C9'!O18)+'OTHER(C3)-A15'!O18</f>
        <v>5246.72</v>
      </c>
      <c r="P18" s="67">
        <f>SUM('PP-C8:AN-C9'!P18)+'OTHER(C3)-A15'!P18</f>
        <v>5246.72</v>
      </c>
      <c r="Q18" s="68">
        <f>SUM('PP-C8:AN-C9'!Q18)+'OTHER(C3)-A15'!Q18</f>
        <v>5246.72</v>
      </c>
      <c r="R18" s="299">
        <f t="shared" si="0"/>
        <v>-2.1</v>
      </c>
      <c r="S18" s="300">
        <f t="shared" si="1"/>
        <v>0.6</v>
      </c>
      <c r="T18" s="66"/>
      <c r="V18" s="425"/>
      <c r="W18" s="425"/>
    </row>
    <row r="19" spans="1:23" ht="15.75" customHeight="1">
      <c r="A19" s="16"/>
      <c r="B19" s="674" t="s">
        <v>307</v>
      </c>
      <c r="C19" s="675"/>
      <c r="D19" s="194">
        <f>SUM('PP-C8:AN-C9'!D19)+'OTHER(C3)-A15'!D19</f>
        <v>40678.262500000004</v>
      </c>
      <c r="E19" s="195">
        <f>SUM('PP-C8:AN-C9'!E19)+'OTHER(C3)-A15'!E19</f>
        <v>43915.587500000001</v>
      </c>
      <c r="F19" s="195">
        <f>SUM('PP-C8:AN-C9'!F19)+'OTHER(C3)-A15'!F19</f>
        <v>47235.96</v>
      </c>
      <c r="G19" s="195">
        <f>SUM('PP-C8:AN-C9'!G19)+'OTHER(C3)-A15'!G19</f>
        <v>50580.884999999995</v>
      </c>
      <c r="H19" s="195">
        <f>SUM('PP-C8:AN-C9'!H19)+'OTHER(C3)-A15'!H19</f>
        <v>53706.177500000005</v>
      </c>
      <c r="I19" s="195">
        <f>SUM('PP-C8:AN-C9'!I19)+'OTHER(C3)-A15'!I19</f>
        <v>57629.18</v>
      </c>
      <c r="J19" s="195">
        <f>SUM('PP-C8:AN-C9'!J19)+'OTHER(C3)-A15'!J19</f>
        <v>60819.9375</v>
      </c>
      <c r="K19" s="196">
        <f>SUM('PP-C8:AN-C9'!K19)+'OTHER(C3)-A15'!K19</f>
        <v>62871.394999999997</v>
      </c>
      <c r="L19" s="197">
        <f>SUM('PP-C8:AN-C9'!L19)+'OTHER(C3)-A15'!L19</f>
        <v>65787.464999999997</v>
      </c>
      <c r="M19" s="195">
        <f>SUM('PP-C8:AN-C9'!M19)+'OTHER(C3)-A15'!M19</f>
        <v>69921.209999999992</v>
      </c>
      <c r="N19" s="195">
        <f>SUM('PP-C8:AN-C9'!N19)+'OTHER(C3)-A15'!N19</f>
        <v>77576.649999999994</v>
      </c>
      <c r="O19" s="195">
        <f>SUM('PP-C8:AN-C9'!O19)+'OTHER(C3)-A15'!O19</f>
        <v>81965.387499999997</v>
      </c>
      <c r="P19" s="195">
        <f>SUM('PP-C8:AN-C9'!P19)+'OTHER(C3)-A15'!P19</f>
        <v>83722.962500000009</v>
      </c>
      <c r="Q19" s="198">
        <f>SUM('PP-C8:AN-C9'!Q19)+'OTHER(C3)-A15'!Q19</f>
        <v>86722.475000000006</v>
      </c>
      <c r="R19" s="303">
        <f t="shared" si="0"/>
        <v>6.4</v>
      </c>
      <c r="S19" s="304">
        <f t="shared" si="1"/>
        <v>5.7</v>
      </c>
      <c r="T19" s="66"/>
      <c r="V19" s="425"/>
      <c r="W19" s="425"/>
    </row>
    <row r="20" spans="1:23" ht="15.75" customHeight="1">
      <c r="A20" s="16"/>
      <c r="B20" s="672" t="s">
        <v>308</v>
      </c>
      <c r="C20" s="673"/>
      <c r="D20" s="194">
        <f>SUM('PP-C8:AN-C9'!D20)+'OTHER(C3)-A15'!D20</f>
        <v>355.35</v>
      </c>
      <c r="E20" s="195">
        <f>SUM('PP-C8:AN-C9'!E20)+'OTHER(C3)-A15'!E20</f>
        <v>355.35</v>
      </c>
      <c r="F20" s="195">
        <f>SUM('PP-C8:AN-C9'!F20)+'OTHER(C3)-A15'!F20</f>
        <v>319.3</v>
      </c>
      <c r="G20" s="195">
        <f>SUM('PP-C8:AN-C9'!G20)+'OTHER(C3)-A15'!G20</f>
        <v>309</v>
      </c>
      <c r="H20" s="195">
        <f>SUM('PP-C8:AN-C9'!H20)+'OTHER(C3)-A15'!H20</f>
        <v>133.9</v>
      </c>
      <c r="I20" s="195">
        <f>SUM('PP-C8:AN-C9'!I20)+'OTHER(C3)-A15'!I20</f>
        <v>133.9</v>
      </c>
      <c r="J20" s="195">
        <f>SUM('PP-C8:AN-C9'!J20)+'OTHER(C3)-A15'!J20</f>
        <v>133.9</v>
      </c>
      <c r="K20" s="196">
        <f>SUM('PP-C8:AN-C9'!K20)+'OTHER(C3)-A15'!K20</f>
        <v>133.9</v>
      </c>
      <c r="L20" s="197">
        <f>SUM('PP-C8:AN-C9'!L20)+'OTHER(C3)-A15'!L20</f>
        <v>133.9</v>
      </c>
      <c r="M20" s="195">
        <f>SUM('PP-C8:AN-C9'!M20)+'OTHER(C3)-A15'!M20</f>
        <v>133.9</v>
      </c>
      <c r="N20" s="195">
        <f>SUM('PP-C8:AN-C9'!N20)+'OTHER(C3)-A15'!N20</f>
        <v>133.9</v>
      </c>
      <c r="O20" s="195">
        <f>SUM('PP-C8:AN-C9'!O20)+'OTHER(C3)-A15'!O20</f>
        <v>133.9</v>
      </c>
      <c r="P20" s="195">
        <f>SUM('PP-C8:AN-C9'!P20)+'OTHER(C3)-A15'!P20</f>
        <v>134.3905</v>
      </c>
      <c r="Q20" s="198">
        <f>SUM('PP-C8:AN-C9'!Q20)+'OTHER(C3)-A15'!Q20</f>
        <v>133.9</v>
      </c>
      <c r="R20" s="303">
        <f t="shared" si="0"/>
        <v>-13</v>
      </c>
      <c r="S20" s="304">
        <f t="shared" si="1"/>
        <v>0</v>
      </c>
      <c r="T20" s="66"/>
      <c r="V20" s="425"/>
      <c r="W20" s="425"/>
    </row>
    <row r="21" spans="1:23" ht="15" customHeight="1">
      <c r="A21" s="16"/>
      <c r="B21" s="105"/>
      <c r="C21" s="97" t="s">
        <v>309</v>
      </c>
      <c r="D21" s="194">
        <f>SUM('PP-C8:AN-C9'!D21)+'OTHER(C3)-A15'!D21</f>
        <v>355.35</v>
      </c>
      <c r="E21" s="195">
        <f>SUM('PP-C8:AN-C9'!E21)+'OTHER(C3)-A15'!E21</f>
        <v>355.35</v>
      </c>
      <c r="F21" s="195">
        <f>SUM('PP-C8:AN-C9'!F21)+'OTHER(C3)-A15'!F21</f>
        <v>319.3</v>
      </c>
      <c r="G21" s="195">
        <f>SUM('PP-C8:AN-C9'!G21)+'OTHER(C3)-A15'!G21</f>
        <v>309</v>
      </c>
      <c r="H21" s="195">
        <f>SUM('PP-C8:AN-C9'!H21)+'OTHER(C3)-A15'!H21</f>
        <v>133.9</v>
      </c>
      <c r="I21" s="195">
        <f>SUM('PP-C8:AN-C9'!I21)+'OTHER(C3)-A15'!I21</f>
        <v>133.9</v>
      </c>
      <c r="J21" s="195">
        <f>SUM('PP-C8:AN-C9'!J21)+'OTHER(C3)-A15'!J21</f>
        <v>133.9</v>
      </c>
      <c r="K21" s="196">
        <f>SUM('PP-C8:AN-C9'!K21)+'OTHER(C3)-A15'!K21</f>
        <v>133.9</v>
      </c>
      <c r="L21" s="197">
        <f>SUM('PP-C8:AN-C9'!L21)+'OTHER(C3)-A15'!L21</f>
        <v>133.9</v>
      </c>
      <c r="M21" s="195">
        <f>SUM('PP-C8:AN-C9'!M21)+'OTHER(C3)-A15'!M21</f>
        <v>133.9</v>
      </c>
      <c r="N21" s="195">
        <f>SUM('PP-C8:AN-C9'!N21)+'OTHER(C3)-A15'!N21</f>
        <v>133.9</v>
      </c>
      <c r="O21" s="195">
        <f>SUM('PP-C8:AN-C9'!O21)+'OTHER(C3)-A15'!O21</f>
        <v>133.9</v>
      </c>
      <c r="P21" s="195">
        <f>SUM('PP-C8:AN-C9'!P21)+'OTHER(C3)-A15'!P21</f>
        <v>134.3905</v>
      </c>
      <c r="Q21" s="198">
        <f>SUM('PP-C8:AN-C9'!Q21)+'OTHER(C3)-A15'!Q21</f>
        <v>133.9</v>
      </c>
      <c r="R21" s="303">
        <f t="shared" si="0"/>
        <v>-13</v>
      </c>
      <c r="S21" s="304">
        <f t="shared" si="1"/>
        <v>0</v>
      </c>
      <c r="T21" s="66"/>
      <c r="V21" s="425"/>
      <c r="W21" s="425"/>
    </row>
    <row r="22" spans="1:23" ht="15.75" customHeight="1">
      <c r="A22" s="16"/>
      <c r="B22" s="672" t="s">
        <v>310</v>
      </c>
      <c r="C22" s="673"/>
      <c r="D22" s="181">
        <f>SUM('PP-C8:AN-C9'!D22)+'OTHER(C3)-A15'!D22</f>
        <v>17227.13</v>
      </c>
      <c r="E22" s="67">
        <f>SUM('PP-C8:AN-C9'!E22)+'OTHER(C3)-A15'!E22</f>
        <v>18181.510000000002</v>
      </c>
      <c r="F22" s="67">
        <f>SUM('PP-C8:AN-C9'!F22)+'OTHER(C3)-A15'!F22</f>
        <v>17133.849999999999</v>
      </c>
      <c r="G22" s="67">
        <f>SUM('PP-C8:AN-C9'!G22)+'OTHER(C3)-A15'!G22</f>
        <v>17133.849999999999</v>
      </c>
      <c r="H22" s="67">
        <f>SUM('PP-C8:AN-C9'!H22)+'OTHER(C3)-A15'!H22</f>
        <v>17133.849999999999</v>
      </c>
      <c r="I22" s="67">
        <f>SUM('PP-C8:AN-C9'!I22)+'OTHER(C3)-A15'!I22</f>
        <v>17321.099999999999</v>
      </c>
      <c r="J22" s="67">
        <f>SUM('PP-C8:AN-C9'!J22)+'OTHER(C3)-A15'!J22</f>
        <v>17377.75</v>
      </c>
      <c r="K22" s="186">
        <f>SUM('PP-C8:AN-C9'!K22)+'OTHER(C3)-A15'!K22</f>
        <v>17377.75</v>
      </c>
      <c r="L22" s="187">
        <f>SUM('PP-C8:AN-C9'!L22)+'OTHER(C3)-A15'!L22</f>
        <v>17377.75</v>
      </c>
      <c r="M22" s="67">
        <f>SUM('PP-C8:AN-C9'!M22)+'OTHER(C3)-A15'!M22</f>
        <v>17480.75</v>
      </c>
      <c r="N22" s="67">
        <f>SUM('PP-C8:AN-C9'!N22)+'OTHER(C3)-A15'!N22</f>
        <v>17480.75</v>
      </c>
      <c r="O22" s="67">
        <f>SUM('PP-C8:AN-C9'!O22)+'OTHER(C3)-A15'!O22</f>
        <v>17480.75</v>
      </c>
      <c r="P22" s="67">
        <f>SUM('PP-C8:AN-C9'!P22)+'OTHER(C3)-A15'!P22</f>
        <v>17480.75</v>
      </c>
      <c r="Q22" s="68">
        <f>SUM('PP-C8:AN-C9'!Q22)+'OTHER(C3)-A15'!Q22</f>
        <v>17480.75</v>
      </c>
      <c r="R22" s="299">
        <f t="shared" si="0"/>
        <v>0.1</v>
      </c>
      <c r="S22" s="300">
        <f t="shared" si="1"/>
        <v>0.1</v>
      </c>
      <c r="T22" s="66"/>
      <c r="V22" s="425"/>
      <c r="W22" s="425"/>
    </row>
    <row r="23" spans="1:23" ht="15" customHeight="1">
      <c r="A23" s="16"/>
      <c r="B23" s="105"/>
      <c r="C23" s="615" t="s">
        <v>311</v>
      </c>
      <c r="D23" s="194">
        <f>SUM('PP-C8:AN-C9'!D23)+'OTHER(C3)-A15'!D23</f>
        <v>14679.980000000001</v>
      </c>
      <c r="E23" s="195">
        <f>SUM('PP-C8:AN-C9'!E23)+'OTHER(C3)-A15'!E23</f>
        <v>15528.91</v>
      </c>
      <c r="F23" s="195">
        <f>SUM('PP-C8:AN-C9'!F23)+'OTHER(C3)-A15'!F23</f>
        <v>15454.45</v>
      </c>
      <c r="G23" s="195">
        <f>SUM('PP-C8:AN-C9'!G23)+'OTHER(C3)-A15'!G23</f>
        <v>15454.45</v>
      </c>
      <c r="H23" s="195">
        <f>SUM('PP-C8:AN-C9'!H23)+'OTHER(C3)-A15'!H23</f>
        <v>15454.45</v>
      </c>
      <c r="I23" s="195">
        <f>SUM('PP-C8:AN-C9'!I23)+'OTHER(C3)-A15'!I23</f>
        <v>15641.7</v>
      </c>
      <c r="J23" s="195">
        <f>SUM('PP-C8:AN-C9'!J23)+'OTHER(C3)-A15'!J23</f>
        <v>15698.350000000002</v>
      </c>
      <c r="K23" s="196">
        <f>SUM('PP-C8:AN-C9'!K23)+'OTHER(C3)-A15'!K23</f>
        <v>15698.350000000002</v>
      </c>
      <c r="L23" s="197">
        <f>SUM('PP-C8:AN-C9'!L23)+'OTHER(C3)-A15'!L23</f>
        <v>15698.350000000002</v>
      </c>
      <c r="M23" s="195">
        <f>SUM('PP-C8:AN-C9'!M23)+'OTHER(C3)-A15'!M23</f>
        <v>15698.350000000002</v>
      </c>
      <c r="N23" s="195">
        <f>SUM('PP-C8:AN-C9'!N23)+'OTHER(C3)-A15'!N23</f>
        <v>15698.350000000002</v>
      </c>
      <c r="O23" s="195">
        <f>SUM('PP-C8:AN-C9'!O23)+'OTHER(C3)-A15'!O23</f>
        <v>15698.350000000002</v>
      </c>
      <c r="P23" s="195">
        <f>SUM('PP-C8:AN-C9'!P23)+'OTHER(C3)-A15'!P23</f>
        <v>15698.350000000002</v>
      </c>
      <c r="Q23" s="198">
        <f>SUM('PP-C8:AN-C9'!Q23)+'OTHER(C3)-A15'!Q23</f>
        <v>15698.350000000002</v>
      </c>
      <c r="R23" s="303">
        <f t="shared" si="0"/>
        <v>1</v>
      </c>
      <c r="S23" s="304">
        <f t="shared" si="1"/>
        <v>0</v>
      </c>
      <c r="T23" s="66"/>
      <c r="V23" s="425"/>
      <c r="W23" s="425"/>
    </row>
    <row r="24" spans="1:23" ht="15.75" customHeight="1">
      <c r="A24" s="16"/>
      <c r="B24" s="672" t="s">
        <v>312</v>
      </c>
      <c r="C24" s="673"/>
      <c r="D24" s="181">
        <f>SUM('PP-C8:AN-C9'!D24)+'OTHER(C3)-A15'!D24</f>
        <v>7101.16</v>
      </c>
      <c r="E24" s="67">
        <f>SUM('PP-C8:AN-C9'!E24)+'OTHER(C3)-A15'!E24</f>
        <v>8033.66</v>
      </c>
      <c r="F24" s="67">
        <f>SUM('PP-C8:AN-C9'!F24)+'OTHER(C3)-A15'!F24</f>
        <v>9184.6</v>
      </c>
      <c r="G24" s="67">
        <f>SUM('PP-C8:AN-C9'!G24)+'OTHER(C3)-A15'!G24</f>
        <v>9184.6</v>
      </c>
      <c r="H24" s="67">
        <f>SUM('PP-C8:AN-C9'!H24)+'OTHER(C3)-A15'!H24</f>
        <v>9740.8000000000011</v>
      </c>
      <c r="I24" s="67">
        <f>SUM('PP-C8:AN-C9'!I24)+'OTHER(C3)-A15'!I24</f>
        <v>9740.8000000000011</v>
      </c>
      <c r="J24" s="67">
        <f>SUM('PP-C8:AN-C9'!J24)+'OTHER(C3)-A15'!J24</f>
        <v>10101.300000000001</v>
      </c>
      <c r="K24" s="186">
        <f>SUM('PP-C8:AN-C9'!K24)+'OTHER(C3)-A15'!K24</f>
        <v>10286.700000000001</v>
      </c>
      <c r="L24" s="187">
        <f>SUM('PP-C8:AN-C9'!L24)+'OTHER(C3)-A15'!L24</f>
        <v>10984.1</v>
      </c>
      <c r="M24" s="67">
        <f>SUM('PP-C8:AN-C9'!M24)+'OTHER(C3)-A15'!M24</f>
        <v>11211.82</v>
      </c>
      <c r="N24" s="67">
        <f>SUM('PP-C8:AN-C9'!N24)+'OTHER(C3)-A15'!N24</f>
        <v>11620.82</v>
      </c>
      <c r="O24" s="67">
        <f>SUM('PP-C8:AN-C9'!O24)+'OTHER(C3)-A15'!O24</f>
        <v>11720.82</v>
      </c>
      <c r="P24" s="67">
        <f>SUM('PP-C8:AN-C9'!P24)+'OTHER(C3)-A15'!P24</f>
        <v>11870.82</v>
      </c>
      <c r="Q24" s="68">
        <f>SUM('PP-C8:AN-C9'!Q24)+'OTHER(C3)-A15'!Q24</f>
        <v>12020.82</v>
      </c>
      <c r="R24" s="302">
        <f t="shared" si="0"/>
        <v>5.4</v>
      </c>
      <c r="S24" s="300">
        <f t="shared" si="1"/>
        <v>1.8</v>
      </c>
      <c r="T24" s="66"/>
      <c r="V24" s="425"/>
      <c r="W24" s="425"/>
    </row>
    <row r="25" spans="1:23" ht="15" customHeight="1">
      <c r="A25" s="16"/>
      <c r="B25" s="16"/>
      <c r="C25" s="615" t="s">
        <v>313</v>
      </c>
      <c r="D25" s="194">
        <f>SUM('PP-C8:AN-C9'!D25)+'OTHER(C3)-A15'!D25</f>
        <v>0</v>
      </c>
      <c r="E25" s="195">
        <f>SUM('PP-C8:AN-C9'!E25)+'OTHER(C3)-A15'!E25</f>
        <v>4161.2</v>
      </c>
      <c r="F25" s="195">
        <f>SUM('PP-C8:AN-C9'!F25)+'OTHER(C3)-A15'!F25</f>
        <v>5294.2</v>
      </c>
      <c r="G25" s="195">
        <f>SUM('PP-C8:AN-C9'!G25)+'OTHER(C3)-A15'!G25</f>
        <v>5294.2</v>
      </c>
      <c r="H25" s="195">
        <f>SUM('PP-C8:AN-C9'!H25)+'OTHER(C3)-A15'!H25</f>
        <v>5294.2</v>
      </c>
      <c r="I25" s="195">
        <f>SUM('PP-C8:AN-C9'!I25)+'OTHER(C3)-A15'!I25</f>
        <v>5294.2</v>
      </c>
      <c r="J25" s="195">
        <f>SUM('PP-C8:AN-C9'!J25)+'OTHER(C3)-A15'!J25</f>
        <v>5654.7</v>
      </c>
      <c r="K25" s="196">
        <f>SUM('PP-C8:AN-C9'!K25)+'OTHER(C3)-A15'!K25</f>
        <v>5654.7</v>
      </c>
      <c r="L25" s="197">
        <f>SUM('PP-C8:AN-C9'!L25)+'OTHER(C3)-A15'!L25</f>
        <v>5654.7</v>
      </c>
      <c r="M25" s="195">
        <f>SUM('PP-C8:AN-C9'!M25)+'OTHER(C3)-A15'!M25</f>
        <v>5654.7</v>
      </c>
      <c r="N25" s="195">
        <f>SUM('PP-C8:AN-C9'!N25)+'OTHER(C3)-A15'!N25</f>
        <v>5654.7</v>
      </c>
      <c r="O25" s="195">
        <f>SUM('PP-C8:AN-C9'!O25)+'OTHER(C3)-A15'!O25</f>
        <v>5654.7</v>
      </c>
      <c r="P25" s="195">
        <f>SUM('PP-C8:AN-C9'!P25)+'OTHER(C3)-A15'!P25</f>
        <v>5654.7</v>
      </c>
      <c r="Q25" s="198">
        <f>SUM('PP-C8:AN-C9'!Q25)+'OTHER(C3)-A15'!Q25</f>
        <v>5654.7</v>
      </c>
      <c r="R25" s="303" t="str">
        <f t="shared" si="0"/>
        <v xml:space="preserve">     -</v>
      </c>
      <c r="S25" s="304">
        <f t="shared" si="1"/>
        <v>0</v>
      </c>
      <c r="T25" s="66"/>
      <c r="V25" s="425"/>
      <c r="W25" s="425"/>
    </row>
    <row r="26" spans="1:23" ht="15.75" customHeight="1">
      <c r="A26" s="16"/>
      <c r="B26" s="674" t="s">
        <v>314</v>
      </c>
      <c r="C26" s="675"/>
      <c r="D26" s="194">
        <f>SUM('PP-C8:AN-C9'!D26)+'OTHER(C3)-A15'!D26</f>
        <v>1563.31</v>
      </c>
      <c r="E26" s="195">
        <f>SUM('PP-C8:AN-C9'!E26)+'OTHER(C3)-A15'!E26</f>
        <v>1568.31</v>
      </c>
      <c r="F26" s="195">
        <f>SUM('PP-C8:AN-C9'!F26)+'OTHER(C3)-A15'!F26</f>
        <v>1568.31</v>
      </c>
      <c r="G26" s="195">
        <f>SUM('PP-C8:AN-C9'!G26)+'OTHER(C3)-A15'!G26</f>
        <v>1538.31</v>
      </c>
      <c r="H26" s="195">
        <f>SUM('PP-C8:AN-C9'!H26)+'OTHER(C3)-A15'!H26</f>
        <v>1528.31</v>
      </c>
      <c r="I26" s="195">
        <f>SUM('PP-C8:AN-C9'!I26)+'OTHER(C3)-A15'!I26</f>
        <v>1518.31</v>
      </c>
      <c r="J26" s="195">
        <f>SUM('PP-C8:AN-C9'!J26)+'OTHER(C3)-A15'!J26</f>
        <v>1518.31</v>
      </c>
      <c r="K26" s="196">
        <f>SUM('PP-C8:AN-C9'!K26)+'OTHER(C3)-A15'!K26</f>
        <v>1568.31</v>
      </c>
      <c r="L26" s="197">
        <f>SUM('PP-C8:AN-C9'!L26)+'OTHER(C3)-A15'!L26</f>
        <v>1568.31</v>
      </c>
      <c r="M26" s="195">
        <f>SUM('PP-C8:AN-C9'!M26)+'OTHER(C3)-A15'!M26</f>
        <v>1568.31</v>
      </c>
      <c r="N26" s="195">
        <f>SUM('PP-C8:AN-C9'!N26)+'OTHER(C3)-A15'!N26</f>
        <v>1568.31</v>
      </c>
      <c r="O26" s="195">
        <f>SUM('PP-C8:AN-C9'!O26)+'OTHER(C3)-A15'!O26</f>
        <v>1568.31</v>
      </c>
      <c r="P26" s="195">
        <f>SUM('PP-C8:AN-C9'!P26)+'OTHER(C3)-A15'!P26</f>
        <v>1568.31</v>
      </c>
      <c r="Q26" s="198">
        <f>SUM('PP-C8:AN-C9'!Q26)+'OTHER(C3)-A15'!Q26</f>
        <v>1568.31</v>
      </c>
      <c r="R26" s="305">
        <f t="shared" si="0"/>
        <v>0</v>
      </c>
      <c r="S26" s="304">
        <f t="shared" si="1"/>
        <v>0</v>
      </c>
      <c r="T26" s="66"/>
      <c r="V26" s="425"/>
      <c r="W26" s="425"/>
    </row>
    <row r="27" spans="1:23" ht="15.75" customHeight="1">
      <c r="A27" s="16"/>
      <c r="B27" s="674" t="s">
        <v>315</v>
      </c>
      <c r="C27" s="675"/>
      <c r="D27" s="194">
        <f>SUM('PP-C8:AN-C9'!D27)+'OTHER(C3)-A15'!D27</f>
        <v>1751.5500000000002</v>
      </c>
      <c r="E27" s="195">
        <f>SUM('PP-C8:AN-C9'!E27)+'OTHER(C3)-A15'!E27</f>
        <v>1834.0500000000002</v>
      </c>
      <c r="F27" s="195">
        <f>SUM('PP-C8:AN-C9'!F27)+'OTHER(C3)-A15'!F27</f>
        <v>1834.0500000000002</v>
      </c>
      <c r="G27" s="195">
        <f>SUM('PP-C8:AN-C9'!G27)+'OTHER(C3)-A15'!G27</f>
        <v>2652.3500000000004</v>
      </c>
      <c r="H27" s="195">
        <f>SUM('PP-C8:AN-C9'!H27)+'OTHER(C3)-A15'!H27</f>
        <v>2693.8500000000004</v>
      </c>
      <c r="I27" s="195">
        <f>SUM('PP-C8:AN-C9'!I27)+'OTHER(C3)-A15'!I27</f>
        <v>2994.75</v>
      </c>
      <c r="J27" s="195">
        <f>SUM('PP-C8:AN-C9'!J27)+'OTHER(C3)-A15'!J27</f>
        <v>2503.65</v>
      </c>
      <c r="K27" s="196">
        <f>SUM('PP-C8:AN-C9'!K27)+'OTHER(C3)-A15'!K27</f>
        <v>2558.15</v>
      </c>
      <c r="L27" s="197">
        <f>SUM('PP-C8:AN-C9'!L27)+'OTHER(C3)-A15'!L27</f>
        <v>3302.15</v>
      </c>
      <c r="M27" s="195">
        <f>SUM('PP-C8:AN-C9'!M27)+'OTHER(C3)-A15'!M27</f>
        <v>3642.05</v>
      </c>
      <c r="N27" s="195">
        <f>SUM('PP-C8:AN-C9'!N27)+'OTHER(C3)-A15'!N27</f>
        <v>3642.05</v>
      </c>
      <c r="O27" s="195">
        <f>SUM('PP-C8:AN-C9'!O27)+'OTHER(C3)-A15'!O27</f>
        <v>4157.05</v>
      </c>
      <c r="P27" s="195">
        <f>SUM('PP-C8:AN-C9'!P27)+'OTHER(C3)-A15'!P27</f>
        <v>4878.05</v>
      </c>
      <c r="Q27" s="198">
        <f>SUM('PP-C8:AN-C9'!Q27)+'OTHER(C3)-A15'!Q27</f>
        <v>4878.05</v>
      </c>
      <c r="R27" s="303">
        <f t="shared" si="0"/>
        <v>5.6</v>
      </c>
      <c r="S27" s="304">
        <f t="shared" si="1"/>
        <v>8.1</v>
      </c>
      <c r="T27" s="66"/>
      <c r="V27" s="425"/>
      <c r="W27" s="425"/>
    </row>
    <row r="28" spans="1:23" ht="15" customHeight="1">
      <c r="A28" s="16"/>
      <c r="B28" s="672" t="s">
        <v>316</v>
      </c>
      <c r="C28" s="673"/>
      <c r="D28" s="181">
        <f>SUM('PP-C8:AN-C9'!D28)+'OTHER(C3)-A15'!D28</f>
        <v>16593.879999999997</v>
      </c>
      <c r="E28" s="67">
        <f>SUM('PP-C8:AN-C9'!E28)+'OTHER(C3)-A15'!E28</f>
        <v>16593.879999999997</v>
      </c>
      <c r="F28" s="67">
        <f>SUM('PP-C8:AN-C9'!F28)+'OTHER(C3)-A15'!F28</f>
        <v>16474.46</v>
      </c>
      <c r="G28" s="67">
        <f>SUM('PP-C8:AN-C9'!G28)+'OTHER(C3)-A15'!G28</f>
        <v>16474.46</v>
      </c>
      <c r="H28" s="67">
        <f>SUM('PP-C8:AN-C9'!H28)+'OTHER(C3)-A15'!H28</f>
        <v>16612.48</v>
      </c>
      <c r="I28" s="67">
        <f>SUM('PP-C8:AN-C9'!I28)+'OTHER(C3)-A15'!I28</f>
        <v>16570.25</v>
      </c>
      <c r="J28" s="67">
        <f>SUM('PP-C8:AN-C9'!J28)+'OTHER(C3)-A15'!J28</f>
        <v>16680.46</v>
      </c>
      <c r="K28" s="186">
        <f>SUM('PP-C8:AN-C9'!K28)+'OTHER(C3)-A15'!K28</f>
        <v>16971.95</v>
      </c>
      <c r="L28" s="187">
        <f>SUM('PP-C8:AN-C9'!L28)+'OTHER(C3)-A15'!L28</f>
        <v>17129.54</v>
      </c>
      <c r="M28" s="67">
        <f>SUM('PP-C8:AN-C9'!M28)+'OTHER(C3)-A15'!M28</f>
        <v>17129.54</v>
      </c>
      <c r="N28" s="67">
        <f>SUM('PP-C8:AN-C9'!N28)+'OTHER(C3)-A15'!N28</f>
        <v>17850.54</v>
      </c>
      <c r="O28" s="67">
        <f>SUM('PP-C8:AN-C9'!O28)+'OTHER(C3)-A15'!O28</f>
        <v>17850.54</v>
      </c>
      <c r="P28" s="67">
        <f>SUM('PP-C8:AN-C9'!P28)+'OTHER(C3)-A15'!P28</f>
        <v>18314.04</v>
      </c>
      <c r="Q28" s="68">
        <f>SUM('PP-C8:AN-C9'!Q28)+'OTHER(C3)-A15'!Q28</f>
        <v>18314.04</v>
      </c>
      <c r="R28" s="299">
        <f t="shared" si="0"/>
        <v>0.3</v>
      </c>
      <c r="S28" s="300">
        <f t="shared" si="1"/>
        <v>1.3</v>
      </c>
      <c r="T28" s="66"/>
      <c r="V28" s="425"/>
      <c r="W28" s="425"/>
    </row>
    <row r="29" spans="1:23" ht="15" customHeight="1">
      <c r="A29" s="16"/>
      <c r="B29" s="670" t="s">
        <v>317</v>
      </c>
      <c r="C29" s="671"/>
      <c r="D29" s="181">
        <f>SUM('PP-C8:AN-C9'!D29)+'OTHER(C3)-A15'!D29</f>
        <v>442</v>
      </c>
      <c r="E29" s="67">
        <f>SUM('PP-C8:AN-C9'!E29)+'OTHER(C3)-A15'!E29</f>
        <v>442</v>
      </c>
      <c r="F29" s="67">
        <f>SUM('PP-C8:AN-C9'!F29)+'OTHER(C3)-A15'!F29</f>
        <v>442</v>
      </c>
      <c r="G29" s="67">
        <f>SUM('PP-C8:AN-C9'!G29)+'OTHER(C3)-A15'!G29</f>
        <v>442</v>
      </c>
      <c r="H29" s="67">
        <f>SUM('PP-C8:AN-C9'!H29)+'OTHER(C3)-A15'!H29</f>
        <v>442</v>
      </c>
      <c r="I29" s="67">
        <f>SUM('PP-C8:AN-C9'!I29)+'OTHER(C3)-A15'!I29</f>
        <v>442</v>
      </c>
      <c r="J29" s="67">
        <f>SUM('PP-C8:AN-C9'!J29)+'OTHER(C3)-A15'!J29</f>
        <v>442</v>
      </c>
      <c r="K29" s="186">
        <f>SUM('PP-C8:AN-C9'!K29)+'OTHER(C3)-A15'!K29</f>
        <v>442</v>
      </c>
      <c r="L29" s="187">
        <f>SUM('PP-C8:AN-C9'!L29)+'OTHER(C3)-A15'!L29</f>
        <v>442</v>
      </c>
      <c r="M29" s="67">
        <f>SUM('PP-C8:AN-C9'!M29)+'OTHER(C3)-A15'!M29</f>
        <v>442</v>
      </c>
      <c r="N29" s="67">
        <f>SUM('PP-C8:AN-C9'!N29)+'OTHER(C3)-A15'!N29</f>
        <v>442</v>
      </c>
      <c r="O29" s="67">
        <f>SUM('PP-C8:AN-C9'!O29)+'OTHER(C3)-A15'!O29</f>
        <v>982.75</v>
      </c>
      <c r="P29" s="67">
        <f>SUM('PP-C8:AN-C9'!P29)+'OTHER(C3)-A15'!P29</f>
        <v>1523.5</v>
      </c>
      <c r="Q29" s="68">
        <f>SUM('PP-C8:AN-C9'!Q29)+'OTHER(C3)-A15'!Q29</f>
        <v>1523.5</v>
      </c>
      <c r="R29" s="299">
        <f t="shared" si="0"/>
        <v>0</v>
      </c>
      <c r="S29" s="300">
        <f t="shared" si="1"/>
        <v>28.1</v>
      </c>
      <c r="T29" s="66"/>
      <c r="V29" s="425"/>
      <c r="W29" s="425"/>
    </row>
    <row r="30" spans="1:23" ht="15.75" customHeight="1">
      <c r="A30" s="16"/>
      <c r="B30" s="674" t="s">
        <v>318</v>
      </c>
      <c r="C30" s="675"/>
      <c r="D30" s="194">
        <f>SUM('PP-C8:AN-C9'!D30)+'OTHER(C3)-A15'!D30</f>
        <v>17035.879999999997</v>
      </c>
      <c r="E30" s="195">
        <f>SUM('PP-C8:AN-C9'!E30)+'OTHER(C3)-A15'!E30</f>
        <v>17035.879999999997</v>
      </c>
      <c r="F30" s="195">
        <f>SUM('PP-C8:AN-C9'!F30)+'OTHER(C3)-A15'!F30</f>
        <v>16916.46</v>
      </c>
      <c r="G30" s="195">
        <f>SUM('PP-C8:AN-C9'!G30)+'OTHER(C3)-A15'!G30</f>
        <v>16916.46</v>
      </c>
      <c r="H30" s="195">
        <f>SUM('PP-C8:AN-C9'!H30)+'OTHER(C3)-A15'!H30</f>
        <v>17054.48</v>
      </c>
      <c r="I30" s="195">
        <f>SUM('PP-C8:AN-C9'!I30)+'OTHER(C3)-A15'!I30</f>
        <v>17012.25</v>
      </c>
      <c r="J30" s="195">
        <f>SUM('PP-C8:AN-C9'!J30)+'OTHER(C3)-A15'!J30</f>
        <v>17122.46</v>
      </c>
      <c r="K30" s="196">
        <f>SUM('PP-C8:AN-C9'!K30)+'OTHER(C3)-A15'!K30</f>
        <v>17413.95</v>
      </c>
      <c r="L30" s="197">
        <f>SUM('PP-C8:AN-C9'!L30)+'OTHER(C3)-A15'!L30</f>
        <v>17571.54</v>
      </c>
      <c r="M30" s="195">
        <f>SUM('PP-C8:AN-C9'!M30)+'OTHER(C3)-A15'!M30</f>
        <v>17571.54</v>
      </c>
      <c r="N30" s="195">
        <f>SUM('PP-C8:AN-C9'!N30)+'OTHER(C3)-A15'!N30</f>
        <v>18292.54</v>
      </c>
      <c r="O30" s="195">
        <f>SUM('PP-C8:AN-C9'!O30)+'OTHER(C3)-A15'!O30</f>
        <v>18833.29</v>
      </c>
      <c r="P30" s="195">
        <f>SUM('PP-C8:AN-C9'!P30)+'OTHER(C3)-A15'!P30</f>
        <v>19837.54</v>
      </c>
      <c r="Q30" s="198">
        <f>SUM('PP-C8:AN-C9'!Q30)+'OTHER(C3)-A15'!Q30</f>
        <v>19837.54</v>
      </c>
      <c r="R30" s="303">
        <f t="shared" si="0"/>
        <v>0.3</v>
      </c>
      <c r="S30" s="304">
        <f t="shared" si="1"/>
        <v>2.5</v>
      </c>
      <c r="T30" s="66"/>
      <c r="V30" s="425"/>
      <c r="W30" s="425"/>
    </row>
    <row r="31" spans="1:23" ht="15" customHeight="1">
      <c r="A31" s="16"/>
      <c r="B31" s="672" t="s">
        <v>319</v>
      </c>
      <c r="C31" s="673"/>
      <c r="D31" s="181">
        <f>SUM('PP-C8:AN-C9'!D31)+'OTHER(C3)-A15'!D31</f>
        <v>994.88092266666672</v>
      </c>
      <c r="E31" s="67">
        <f>SUM('PP-C8:AN-C9'!E31)+'OTHER(C3)-A15'!E31</f>
        <v>1002.7891957333334</v>
      </c>
      <c r="F31" s="67">
        <f>SUM('PP-C8:AN-C9'!F31)+'OTHER(C3)-A15'!F31</f>
        <v>1118.5500000000002</v>
      </c>
      <c r="G31" s="67">
        <f>SUM('PP-C8:AN-C9'!G31)+'OTHER(C3)-A15'!G31</f>
        <v>1019.5361501929599</v>
      </c>
      <c r="H31" s="67">
        <f>SUM('PP-C8:AN-C9'!H31)+'OTHER(C3)-A15'!H31</f>
        <v>1028.5500000000002</v>
      </c>
      <c r="I31" s="67">
        <f>SUM('PP-C8:AN-C9'!I31)+'OTHER(C3)-A15'!I31</f>
        <v>1028.5500000000002</v>
      </c>
      <c r="J31" s="67">
        <f>SUM('PP-C8:AN-C9'!J31)+'OTHER(C3)-A15'!J31</f>
        <v>1001.3000000000001</v>
      </c>
      <c r="K31" s="186">
        <f>SUM('PP-C8:AN-C9'!K31)+'OTHER(C3)-A15'!K31</f>
        <v>957.7</v>
      </c>
      <c r="L31" s="187">
        <f>SUM('PP-C8:AN-C9'!L31)+'OTHER(C3)-A15'!L31</f>
        <v>1034.95</v>
      </c>
      <c r="M31" s="67">
        <f>SUM('PP-C8:AN-C9'!M31)+'OTHER(C3)-A15'!M31</f>
        <v>1060.7</v>
      </c>
      <c r="N31" s="67">
        <f>SUM('PP-C8:AN-C9'!N31)+'OTHER(C3)-A15'!N31</f>
        <v>1060.7</v>
      </c>
      <c r="O31" s="67">
        <f>SUM('PP-C8:AN-C9'!O31)+'OTHER(C3)-A15'!O31</f>
        <v>1060.7</v>
      </c>
      <c r="P31" s="67">
        <f>SUM('PP-C8:AN-C9'!P31)+'OTHER(C3)-A15'!P31</f>
        <v>1060.7</v>
      </c>
      <c r="Q31" s="68">
        <f>SUM('PP-C8:AN-C9'!Q31)+'OTHER(C3)-A15'!Q31</f>
        <v>1060.7</v>
      </c>
      <c r="R31" s="299">
        <f t="shared" si="0"/>
        <v>-0.5</v>
      </c>
      <c r="S31" s="300">
        <f t="shared" si="1"/>
        <v>0.5</v>
      </c>
      <c r="T31" s="66"/>
      <c r="V31" s="425"/>
      <c r="W31" s="425"/>
    </row>
    <row r="32" spans="1:23" ht="15" customHeight="1">
      <c r="A32" s="16"/>
      <c r="B32" s="668" t="s">
        <v>320</v>
      </c>
      <c r="C32" s="669"/>
      <c r="D32" s="181">
        <f>SUM('PP-C8:AN-C9'!D32)+'OTHER(C3)-A15'!D32</f>
        <v>2454.5</v>
      </c>
      <c r="E32" s="67">
        <f>SUM('PP-C8:AN-C9'!E32)+'OTHER(C3)-A15'!E32</f>
        <v>2454.5</v>
      </c>
      <c r="F32" s="67">
        <f>SUM('PP-C8:AN-C9'!F32)+'OTHER(C3)-A15'!F32</f>
        <v>2454.5</v>
      </c>
      <c r="G32" s="67">
        <f>SUM('PP-C8:AN-C9'!G32)+'OTHER(C3)-A15'!G32</f>
        <v>2534.5</v>
      </c>
      <c r="H32" s="67">
        <f>SUM('PP-C8:AN-C9'!H32)+'OTHER(C3)-A15'!H32</f>
        <v>2534.5</v>
      </c>
      <c r="I32" s="67">
        <f>SUM('PP-C8:AN-C9'!I32)+'OTHER(C3)-A15'!I32</f>
        <v>2584.5</v>
      </c>
      <c r="J32" s="67">
        <f>SUM('PP-C8:AN-C9'!J32)+'OTHER(C3)-A15'!J32</f>
        <v>2584.5</v>
      </c>
      <c r="K32" s="186">
        <f>SUM('PP-C8:AN-C9'!K32)+'OTHER(C3)-A15'!K32</f>
        <v>2584.5</v>
      </c>
      <c r="L32" s="187">
        <f>SUM('PP-C8:AN-C9'!L32)+'OTHER(C3)-A15'!L32</f>
        <v>2584.5</v>
      </c>
      <c r="M32" s="67">
        <f>SUM('PP-C8:AN-C9'!M32)+'OTHER(C3)-A15'!M32</f>
        <v>2584.5</v>
      </c>
      <c r="N32" s="67">
        <f>SUM('PP-C8:AN-C9'!N32)+'OTHER(C3)-A15'!N32</f>
        <v>2584.5</v>
      </c>
      <c r="O32" s="67">
        <f>SUM('PP-C8:AN-C9'!O32)+'OTHER(C3)-A15'!O32</f>
        <v>2584.5</v>
      </c>
      <c r="P32" s="67">
        <f>SUM('PP-C8:AN-C9'!P32)+'OTHER(C3)-A15'!P32</f>
        <v>2584.5</v>
      </c>
      <c r="Q32" s="68">
        <f>SUM('PP-C8:AN-C9'!Q32)+'OTHER(C3)-A15'!Q32</f>
        <v>2584.5</v>
      </c>
      <c r="R32" s="299">
        <f t="shared" si="0"/>
        <v>0.7</v>
      </c>
      <c r="S32" s="300">
        <f t="shared" si="1"/>
        <v>0</v>
      </c>
      <c r="T32" s="66"/>
      <c r="V32" s="425"/>
      <c r="W32" s="425"/>
    </row>
    <row r="33" spans="1:23" ht="15" customHeight="1">
      <c r="A33" s="16"/>
      <c r="B33" s="670" t="s">
        <v>321</v>
      </c>
      <c r="C33" s="671"/>
      <c r="D33" s="181">
        <f>SUM('PP-C8:AN-C9'!D33)+'OTHER(C3)-A15'!D33</f>
        <v>1168.0700000000002</v>
      </c>
      <c r="E33" s="67">
        <f>SUM('PP-C8:AN-C9'!E33)+'OTHER(C3)-A15'!E33</f>
        <v>1287.4000000000001</v>
      </c>
      <c r="F33" s="67">
        <f>SUM('PP-C8:AN-C9'!F33)+'OTHER(C3)-A15'!F33</f>
        <v>1290.49</v>
      </c>
      <c r="G33" s="67">
        <f>SUM('PP-C8:AN-C9'!G33)+'OTHER(C3)-A15'!G33</f>
        <v>1286.22</v>
      </c>
      <c r="H33" s="67">
        <f>SUM('PP-C8:AN-C9'!H33)+'OTHER(C3)-A15'!H33</f>
        <v>1286.22</v>
      </c>
      <c r="I33" s="67">
        <f>SUM('PP-C8:AN-C9'!I33)+'OTHER(C3)-A15'!I33</f>
        <v>1286.22</v>
      </c>
      <c r="J33" s="67">
        <f>SUM('PP-C8:AN-C9'!J33)+'OTHER(C3)-A15'!J33</f>
        <v>1286.22</v>
      </c>
      <c r="K33" s="186">
        <f>SUM('PP-C8:AN-C9'!K33)+'OTHER(C3)-A15'!K33</f>
        <v>1286.22</v>
      </c>
      <c r="L33" s="187">
        <f>SUM('PP-C8:AN-C9'!L33)+'OTHER(C3)-A15'!L33</f>
        <v>1286.22</v>
      </c>
      <c r="M33" s="67">
        <f>SUM('PP-C8:AN-C9'!M33)+'OTHER(C3)-A15'!M33</f>
        <v>1286.22</v>
      </c>
      <c r="N33" s="67">
        <f>SUM('PP-C8:AN-C9'!N33)+'OTHER(C3)-A15'!N33</f>
        <v>1286.22</v>
      </c>
      <c r="O33" s="67">
        <f>SUM('PP-C8:AN-C9'!O33)+'OTHER(C3)-A15'!O33</f>
        <v>1286.22</v>
      </c>
      <c r="P33" s="67">
        <f>SUM('PP-C8:AN-C9'!P33)+'OTHER(C3)-A15'!P33</f>
        <v>1286.22</v>
      </c>
      <c r="Q33" s="68">
        <f>SUM('PP-C8:AN-C9'!Q33)+'OTHER(C3)-A15'!Q33</f>
        <v>1286.22</v>
      </c>
      <c r="R33" s="299">
        <f t="shared" si="0"/>
        <v>1.4</v>
      </c>
      <c r="S33" s="300">
        <f t="shared" si="1"/>
        <v>0</v>
      </c>
      <c r="T33" s="66"/>
      <c r="V33" s="425"/>
      <c r="W33" s="425"/>
    </row>
    <row r="34" spans="1:23" ht="15.75" customHeight="1" thickBot="1">
      <c r="A34" s="16"/>
      <c r="B34" s="678" t="s">
        <v>322</v>
      </c>
      <c r="C34" s="679"/>
      <c r="D34" s="214">
        <f>SUM('PP-C8:AN-C9'!D34)+'OTHER(C3)-A15'!D34</f>
        <v>4617.4509226666669</v>
      </c>
      <c r="E34" s="215">
        <f>SUM('PP-C8:AN-C9'!E34)+'OTHER(C3)-A15'!E34</f>
        <v>4744.6891957333328</v>
      </c>
      <c r="F34" s="215">
        <f>SUM('PP-C8:AN-C9'!F34)+'OTHER(C3)-A15'!F34</f>
        <v>4863.54</v>
      </c>
      <c r="G34" s="215">
        <f>SUM('PP-C8:AN-C9'!G34)+'OTHER(C3)-A15'!G34</f>
        <v>4840.2561501929595</v>
      </c>
      <c r="H34" s="215">
        <f>SUM('PP-C8:AN-C9'!H34)+'OTHER(C3)-A15'!H34</f>
        <v>4849.2700000000004</v>
      </c>
      <c r="I34" s="215">
        <f>SUM('PP-C8:AN-C9'!I34)+'OTHER(C3)-A15'!I34</f>
        <v>4899.2700000000004</v>
      </c>
      <c r="J34" s="215">
        <f>SUM('PP-C8:AN-C9'!J34)+'OTHER(C3)-A15'!J34</f>
        <v>4872.0200000000004</v>
      </c>
      <c r="K34" s="216">
        <f>SUM('PP-C8:AN-C9'!K34)+'OTHER(C3)-A15'!K34</f>
        <v>4828.42</v>
      </c>
      <c r="L34" s="217">
        <f>SUM('PP-C8:AN-C9'!L34)+'OTHER(C3)-A15'!L34</f>
        <v>4905.67</v>
      </c>
      <c r="M34" s="215">
        <f>SUM('PP-C8:AN-C9'!M34)+'OTHER(C3)-A15'!M34</f>
        <v>4931.42</v>
      </c>
      <c r="N34" s="215">
        <f>SUM('PP-C8:AN-C9'!N34)+'OTHER(C3)-A15'!N34</f>
        <v>4931.42</v>
      </c>
      <c r="O34" s="215">
        <f>SUM('PP-C8:AN-C9'!O34)+'OTHER(C3)-A15'!O34</f>
        <v>4931.42</v>
      </c>
      <c r="P34" s="215">
        <f>SUM('PP-C8:AN-C9'!P34)+'OTHER(C3)-A15'!P34</f>
        <v>4931.42</v>
      </c>
      <c r="Q34" s="218">
        <f>SUM('PP-C8:AN-C9'!Q34)+'OTHER(C3)-A15'!Q34</f>
        <v>4931.42</v>
      </c>
      <c r="R34" s="306">
        <f t="shared" si="0"/>
        <v>0.6</v>
      </c>
      <c r="S34" s="307">
        <f t="shared" si="1"/>
        <v>0.1</v>
      </c>
      <c r="T34" s="66"/>
      <c r="V34" s="425"/>
      <c r="W34" s="425"/>
    </row>
    <row r="35" spans="1:23" ht="18" customHeight="1" thickTop="1" thickBot="1">
      <c r="A35" s="21"/>
      <c r="B35" s="625"/>
      <c r="C35" s="626" t="s">
        <v>323</v>
      </c>
      <c r="D35" s="204">
        <f>D34+D30+D27+D26+D24+D22+D20+D19</f>
        <v>90330.093422666672</v>
      </c>
      <c r="E35" s="205">
        <f t="shared" ref="E35:Q35" si="2">E34+E30+E27+E26+E24+E22+E20+E19</f>
        <v>95669.036695733332</v>
      </c>
      <c r="F35" s="205">
        <f t="shared" si="2"/>
        <v>99056.07</v>
      </c>
      <c r="G35" s="205">
        <f t="shared" si="2"/>
        <v>103155.71115019295</v>
      </c>
      <c r="H35" s="205">
        <f t="shared" si="2"/>
        <v>106840.63750000001</v>
      </c>
      <c r="I35" s="205">
        <f t="shared" si="2"/>
        <v>111249.56</v>
      </c>
      <c r="J35" s="205">
        <f t="shared" si="2"/>
        <v>114449.32750000001</v>
      </c>
      <c r="K35" s="206">
        <f t="shared" si="2"/>
        <v>117038.57500000001</v>
      </c>
      <c r="L35" s="207">
        <f t="shared" si="2"/>
        <v>121630.88500000001</v>
      </c>
      <c r="M35" s="205">
        <f t="shared" si="2"/>
        <v>126461</v>
      </c>
      <c r="N35" s="205">
        <f t="shared" si="2"/>
        <v>135246.44</v>
      </c>
      <c r="O35" s="205">
        <f t="shared" si="2"/>
        <v>140790.92749999999</v>
      </c>
      <c r="P35" s="205">
        <f t="shared" si="2"/>
        <v>144424.24300000002</v>
      </c>
      <c r="Q35" s="208">
        <f t="shared" si="2"/>
        <v>147573.26500000001</v>
      </c>
      <c r="R35" s="308">
        <f t="shared" si="0"/>
        <v>3.8</v>
      </c>
      <c r="S35" s="309">
        <f t="shared" si="1"/>
        <v>3.9</v>
      </c>
      <c r="T35" s="66"/>
      <c r="U35" s="66"/>
      <c r="V35" s="425"/>
      <c r="W35" s="425"/>
    </row>
    <row r="36" spans="1:23" ht="15" customHeight="1">
      <c r="A36" s="613" t="s">
        <v>324</v>
      </c>
      <c r="B36" s="644" t="s">
        <v>433</v>
      </c>
      <c r="C36" s="645"/>
      <c r="D36" s="181">
        <f>SUM('PP-C8:AN-C9'!D36)+'OTHER(C3)-A15'!D36</f>
        <v>5368.7300000000005</v>
      </c>
      <c r="E36" s="67">
        <f>SUM('PP-C8:AN-C9'!E36)+'OTHER(C3)-A15'!E36</f>
        <v>5274.65</v>
      </c>
      <c r="F36" s="67">
        <f>SUM('PP-C8:AN-C9'!F36)+'OTHER(C3)-A15'!F36</f>
        <v>5383.53</v>
      </c>
      <c r="G36" s="67">
        <f>SUM('PP-C8:AN-C9'!G36)+'OTHER(C3)-A15'!G36</f>
        <v>5725.4100000000008</v>
      </c>
      <c r="H36" s="67">
        <f>SUM('PP-C8:AN-C9'!H36)+'OTHER(C3)-A15'!H36</f>
        <v>6015.87</v>
      </c>
      <c r="I36" s="67">
        <f>SUM('PP-C8:AN-C9'!I36)+'OTHER(C3)-A15'!I36</f>
        <v>5955.28</v>
      </c>
      <c r="J36" s="67">
        <f>SUM('PP-C8:AN-C9'!J36)+'OTHER(C3)-A15'!J36</f>
        <v>6355.1100000000006</v>
      </c>
      <c r="K36" s="186">
        <f>SUM('PP-C8:AN-C9'!K36)+'OTHER(C3)-A15'!K36</f>
        <v>6677.93</v>
      </c>
      <c r="L36" s="187">
        <f>SUM('PP-C8:AN-C9'!L36)+'OTHER(C3)-A15'!L36</f>
        <v>7007.6</v>
      </c>
      <c r="M36" s="67">
        <f>SUM('PP-C8:AN-C9'!M36)+'OTHER(C3)-A15'!M36</f>
        <v>7339.7</v>
      </c>
      <c r="N36" s="67">
        <f>SUM('PP-C8:AN-C9'!N36)+'OTHER(C3)-A15'!N36</f>
        <v>7752.9000000000005</v>
      </c>
      <c r="O36" s="67">
        <f>SUM('PP-C8:AN-C9'!O36)+'OTHER(C3)-A15'!O36</f>
        <v>8975.4000000000015</v>
      </c>
      <c r="P36" s="67">
        <f>SUM('PP-C8:AN-C9'!P36)+'OTHER(C3)-A15'!P36</f>
        <v>8975.4000000000015</v>
      </c>
      <c r="Q36" s="68">
        <f>SUM('PP-C8:AN-C9'!Q36)+'OTHER(C3)-A15'!Q36</f>
        <v>9202</v>
      </c>
      <c r="R36" s="299">
        <f t="shared" si="0"/>
        <v>3.2</v>
      </c>
      <c r="S36" s="300">
        <f t="shared" si="1"/>
        <v>5.6</v>
      </c>
    </row>
    <row r="37" spans="1:23" ht="15" customHeight="1">
      <c r="A37" s="614" t="s">
        <v>325</v>
      </c>
      <c r="B37" s="605" t="s">
        <v>434</v>
      </c>
      <c r="C37" s="606"/>
      <c r="D37" s="181">
        <f>SUM('PP-C8:AN-C9'!D37)+'OTHER(C3)-A15'!D37</f>
        <v>2830.67</v>
      </c>
      <c r="E37" s="67">
        <f>SUM('PP-C8:AN-C9'!E37)+'OTHER(C3)-A15'!E37</f>
        <v>2583.84</v>
      </c>
      <c r="F37" s="67">
        <f>SUM('PP-C8:AN-C9'!F37)+'OTHER(C3)-A15'!F37</f>
        <v>2634.4</v>
      </c>
      <c r="G37" s="67">
        <f>SUM('PP-C8:AN-C9'!G37)+'OTHER(C3)-A15'!G37</f>
        <v>2870.49</v>
      </c>
      <c r="H37" s="67">
        <f>SUM('PP-C8:AN-C9'!H37)+'OTHER(C3)-A15'!H37</f>
        <v>2650.11</v>
      </c>
      <c r="I37" s="67">
        <f>SUM('PP-C8:AN-C9'!I37)+'OTHER(C3)-A15'!I37</f>
        <v>2800.14</v>
      </c>
      <c r="J37" s="67">
        <f>SUM('PP-C8:AN-C9'!J37)+'OTHER(C3)-A15'!J37</f>
        <v>2891.81</v>
      </c>
      <c r="K37" s="186">
        <f>SUM('PP-C8:AN-C9'!K37)+'OTHER(C3)-A15'!K37</f>
        <v>3030.55</v>
      </c>
      <c r="L37" s="187">
        <f>SUM('PP-C8:AN-C9'!L37)+'OTHER(C3)-A15'!L37</f>
        <v>3028.8</v>
      </c>
      <c r="M37" s="67">
        <f>SUM('PP-C8:AN-C9'!M37)+'OTHER(C3)-A15'!M37</f>
        <v>3028.8</v>
      </c>
      <c r="N37" s="67">
        <f>SUM('PP-C8:AN-C9'!N37)+'OTHER(C3)-A15'!N37</f>
        <v>3034.25</v>
      </c>
      <c r="O37" s="67">
        <f>SUM('PP-C8:AN-C9'!O37)+'OTHER(C3)-A15'!O37</f>
        <v>3085.75</v>
      </c>
      <c r="P37" s="67">
        <f>SUM('PP-C8:AN-C9'!P37)+'OTHER(C3)-A15'!P37</f>
        <v>3069.75</v>
      </c>
      <c r="Q37" s="68">
        <f>SUM('PP-C8:AN-C9'!Q37)+'OTHER(C3)-A15'!Q37</f>
        <v>3069.75</v>
      </c>
      <c r="R37" s="299">
        <f t="shared" si="0"/>
        <v>1</v>
      </c>
      <c r="S37" s="300">
        <f t="shared" si="1"/>
        <v>0.3</v>
      </c>
    </row>
    <row r="38" spans="1:23" ht="15" customHeight="1">
      <c r="A38" s="16"/>
      <c r="B38" s="605" t="s">
        <v>435</v>
      </c>
      <c r="C38" s="606"/>
      <c r="D38" s="181">
        <f>SUM('PP-C8:AN-C9'!D38)+'OTHER(C3)-A15'!D38</f>
        <v>1579.99</v>
      </c>
      <c r="E38" s="67">
        <f>SUM('PP-C8:AN-C9'!E38)+'OTHER(C3)-A15'!E38</f>
        <v>1625.4075</v>
      </c>
      <c r="F38" s="67">
        <f>SUM('PP-C8:AN-C9'!F38)+'OTHER(C3)-A15'!F38</f>
        <v>1816.6225000000002</v>
      </c>
      <c r="G38" s="67">
        <f>SUM('PP-C8:AN-C9'!G38)+'OTHER(C3)-A15'!G38</f>
        <v>2280.4825000000001</v>
      </c>
      <c r="H38" s="67">
        <f>SUM('PP-C8:AN-C9'!H38)+'OTHER(C3)-A15'!H38</f>
        <v>2398.9488252458732</v>
      </c>
      <c r="I38" s="67">
        <f>SUM('PP-C8:AN-C9'!I38)+'OTHER(C3)-A15'!I38</f>
        <v>2587.7572418256768</v>
      </c>
      <c r="J38" s="67">
        <f>SUM('PP-C8:AN-C9'!J38)+'OTHER(C3)-A15'!J38</f>
        <v>2212.4700000000003</v>
      </c>
      <c r="K38" s="186">
        <f>SUM('PP-C8:AN-C9'!K38)+'OTHER(C3)-A15'!K38</f>
        <v>2491.65</v>
      </c>
      <c r="L38" s="187">
        <f>SUM('PP-C8:AN-C9'!L38)+'OTHER(C3)-A15'!L38</f>
        <v>2480.75</v>
      </c>
      <c r="M38" s="67">
        <f>SUM('PP-C8:AN-C9'!M38)+'OTHER(C3)-A15'!M38</f>
        <v>2584.0299999999997</v>
      </c>
      <c r="N38" s="67">
        <f>SUM('PP-C8:AN-C9'!N38)+'OTHER(C3)-A15'!N38</f>
        <v>2602.0299999999997</v>
      </c>
      <c r="O38" s="67">
        <f>SUM('PP-C8:AN-C9'!O38)+'OTHER(C3)-A15'!O38</f>
        <v>2571.34</v>
      </c>
      <c r="P38" s="67">
        <f>SUM('PP-C8:AN-C9'!P38)+'OTHER(C3)-A15'!P38</f>
        <v>2554.65</v>
      </c>
      <c r="Q38" s="68">
        <f>SUM('PP-C8:AN-C9'!Q38)+'OTHER(C3)-A15'!Q38</f>
        <v>2526.75</v>
      </c>
      <c r="R38" s="301">
        <f t="shared" si="0"/>
        <v>6.7</v>
      </c>
      <c r="S38" s="300">
        <f t="shared" si="1"/>
        <v>0.4</v>
      </c>
    </row>
    <row r="39" spans="1:23" ht="15" customHeight="1">
      <c r="A39" s="16"/>
      <c r="B39" s="605" t="s">
        <v>436</v>
      </c>
      <c r="C39" s="606"/>
      <c r="D39" s="181">
        <f>SUM('PP-C8:AN-C9'!D39)+'OTHER(C3)-A15'!D39</f>
        <v>14349</v>
      </c>
      <c r="E39" s="67">
        <f>SUM('PP-C8:AN-C9'!E39)+'OTHER(C3)-A15'!E39</f>
        <v>16319</v>
      </c>
      <c r="F39" s="67">
        <f>SUM('PP-C8:AN-C9'!F39)+'OTHER(C3)-A15'!F39</f>
        <v>16919</v>
      </c>
      <c r="G39" s="67">
        <f>SUM('PP-C8:AN-C9'!G39)+'OTHER(C3)-A15'!G39</f>
        <v>19421</v>
      </c>
      <c r="H39" s="67">
        <f>SUM('PP-C8:AN-C9'!H39)+'OTHER(C3)-A15'!H39</f>
        <v>22072</v>
      </c>
      <c r="I39" s="67">
        <f>SUM('PP-C8:AN-C9'!I39)+'OTHER(C3)-A15'!I39</f>
        <v>25413</v>
      </c>
      <c r="J39" s="67">
        <f>SUM('PP-C8:AN-C9'!J39)+'OTHER(C3)-A15'!J39</f>
        <v>28515</v>
      </c>
      <c r="K39" s="186">
        <f>SUM('PP-C8:AN-C9'!K39)+'OTHER(C3)-A15'!K39</f>
        <v>29483.379999999997</v>
      </c>
      <c r="L39" s="187">
        <f>SUM('PP-C8:AN-C9'!L39)+'OTHER(C3)-A15'!L39</f>
        <v>31526.18</v>
      </c>
      <c r="M39" s="67">
        <f>SUM('PP-C8:AN-C9'!M39)+'OTHER(C3)-A15'!M39</f>
        <v>33501.360000000001</v>
      </c>
      <c r="N39" s="67">
        <f>SUM('PP-C8:AN-C9'!N39)+'OTHER(C3)-A15'!N39</f>
        <v>36856.61</v>
      </c>
      <c r="O39" s="67">
        <f>SUM('PP-C8:AN-C9'!O39)+'OTHER(C3)-A15'!O39</f>
        <v>39047.1</v>
      </c>
      <c r="P39" s="67">
        <f>SUM('PP-C8:AN-C9'!P39)+'OTHER(C3)-A15'!P39</f>
        <v>41004.839999999997</v>
      </c>
      <c r="Q39" s="68">
        <f>SUM('PP-C8:AN-C9'!Q39)+'OTHER(C3)-A15'!Q39</f>
        <v>43118.100000000006</v>
      </c>
      <c r="R39" s="299">
        <f t="shared" si="0"/>
        <v>10.8</v>
      </c>
      <c r="S39" s="300">
        <f t="shared" si="1"/>
        <v>6.5</v>
      </c>
    </row>
    <row r="40" spans="1:23" ht="15" customHeight="1">
      <c r="A40" s="16"/>
      <c r="B40" s="605" t="s">
        <v>437</v>
      </c>
      <c r="C40" s="606"/>
      <c r="D40" s="181">
        <f>SUM('PP-C8:AN-C9'!D40)+'OTHER(C3)-A15'!D40</f>
        <v>1636.1000000000001</v>
      </c>
      <c r="E40" s="67">
        <f>SUM('PP-C8:AN-C9'!E40)+'OTHER(C3)-A15'!E40</f>
        <v>1909.3300000000002</v>
      </c>
      <c r="F40" s="67">
        <f>SUM('PP-C8:AN-C9'!F40)+'OTHER(C3)-A15'!F40</f>
        <v>1979.26</v>
      </c>
      <c r="G40" s="67">
        <f>SUM('PP-C8:AN-C9'!G40)+'OTHER(C3)-A15'!G40</f>
        <v>2324.8277200000002</v>
      </c>
      <c r="H40" s="67">
        <f>SUM('PP-C8:AN-C9'!H40)+'OTHER(C3)-A15'!H40</f>
        <v>2342.93867</v>
      </c>
      <c r="I40" s="67">
        <f>SUM('PP-C8:AN-C9'!I40)+'OTHER(C3)-A15'!I40</f>
        <v>2380.0484960000003</v>
      </c>
      <c r="J40" s="67">
        <f>SUM('PP-C8:AN-C9'!J40)+'OTHER(C3)-A15'!J40</f>
        <v>2405.835146360158</v>
      </c>
      <c r="K40" s="186">
        <f>SUM('PP-C8:AN-C9'!K40)+'OTHER(C3)-A15'!K40</f>
        <v>2549.666872113572</v>
      </c>
      <c r="L40" s="187">
        <f>SUM('PP-C8:AN-C9'!L40)+'OTHER(C3)-A15'!L40</f>
        <v>2901.5509584285705</v>
      </c>
      <c r="M40" s="67">
        <f>SUM('PP-C8:AN-C9'!M40)+'OTHER(C3)-A15'!M40</f>
        <v>2901.5509584285705</v>
      </c>
      <c r="N40" s="67">
        <f>SUM('PP-C8:AN-C9'!N40)+'OTHER(C3)-A15'!N40</f>
        <v>2963.86157</v>
      </c>
      <c r="O40" s="67">
        <f>SUM('PP-C8:AN-C9'!O40)+'OTHER(C3)-A15'!O40</f>
        <v>3026.86157</v>
      </c>
      <c r="P40" s="67">
        <f>SUM('PP-C8:AN-C9'!P40)+'OTHER(C3)-A15'!P40</f>
        <v>3026.86157</v>
      </c>
      <c r="Q40" s="68">
        <f>SUM('PP-C8:AN-C9'!Q40)+'OTHER(C3)-A15'!Q40</f>
        <v>3026.86157</v>
      </c>
      <c r="R40" s="302">
        <f t="shared" si="0"/>
        <v>6.5</v>
      </c>
      <c r="S40" s="300">
        <f t="shared" si="1"/>
        <v>0.8</v>
      </c>
    </row>
    <row r="41" spans="1:23" ht="15" customHeight="1">
      <c r="A41" s="16"/>
      <c r="B41" s="605" t="s">
        <v>438</v>
      </c>
      <c r="C41" s="606"/>
      <c r="D41" s="181">
        <f>SUM('PP-C8:AN-C9'!D41)+'OTHER(C3)-A15'!D41</f>
        <v>492.90481104268599</v>
      </c>
      <c r="E41" s="67">
        <f>SUM('PP-C8:AN-C9'!E41)+'OTHER(C3)-A15'!E41</f>
        <v>379.29581104268601</v>
      </c>
      <c r="F41" s="67">
        <f>SUM('PP-C8:AN-C9'!F41)+'OTHER(C3)-A15'!F41</f>
        <v>527.615811042686</v>
      </c>
      <c r="G41" s="67">
        <f>SUM('PP-C8:AN-C9'!G41)+'OTHER(C3)-A15'!G41</f>
        <v>642.12</v>
      </c>
      <c r="H41" s="67">
        <f>SUM('PP-C8:AN-C9'!H41)+'OTHER(C3)-A15'!H41</f>
        <v>952.3558110426859</v>
      </c>
      <c r="I41" s="67">
        <f>SUM('PP-C8:AN-C9'!I41)+'OTHER(C3)-A15'!I41</f>
        <v>977.07581104268593</v>
      </c>
      <c r="J41" s="67">
        <f>SUM('PP-C8:AN-C9'!J41)+'OTHER(C3)-A15'!J41</f>
        <v>977.07581104268593</v>
      </c>
      <c r="K41" s="186">
        <f>SUM('PP-C8:AN-C9'!K41)+'OTHER(C3)-A15'!K41</f>
        <v>977.07581104268593</v>
      </c>
      <c r="L41" s="187">
        <f>SUM('PP-C8:AN-C9'!L41)+'OTHER(C3)-A15'!L41</f>
        <v>977</v>
      </c>
      <c r="M41" s="67">
        <f>SUM('PP-C8:AN-C9'!M41)+'OTHER(C3)-A15'!M41</f>
        <v>977</v>
      </c>
      <c r="N41" s="67">
        <f>SUM('PP-C8:AN-C9'!N41)+'OTHER(C3)-A15'!N41</f>
        <v>977</v>
      </c>
      <c r="O41" s="67">
        <f>SUM('PP-C8:AN-C9'!O41)+'OTHER(C3)-A15'!O41</f>
        <v>1080</v>
      </c>
      <c r="P41" s="67">
        <f>SUM('PP-C8:AN-C9'!P41)+'OTHER(C3)-A15'!P41</f>
        <v>1080</v>
      </c>
      <c r="Q41" s="68">
        <f>SUM('PP-C8:AN-C9'!Q41)+'OTHER(C3)-A15'!Q41</f>
        <v>1080</v>
      </c>
      <c r="R41" s="302">
        <f t="shared" si="0"/>
        <v>10.3</v>
      </c>
      <c r="S41" s="300">
        <f t="shared" si="1"/>
        <v>2</v>
      </c>
    </row>
    <row r="42" spans="1:23" ht="15" customHeight="1">
      <c r="A42" s="16"/>
      <c r="B42" s="605" t="s">
        <v>439</v>
      </c>
      <c r="C42" s="606"/>
      <c r="D42" s="181">
        <f>SUM('PP-C8:AN-C9'!D42)+'OTHER(C3)-A15'!D42</f>
        <v>3028.42</v>
      </c>
      <c r="E42" s="67">
        <f>SUM('PP-C8:AN-C9'!E42)+'OTHER(C3)-A15'!E42</f>
        <v>3294.1600000000003</v>
      </c>
      <c r="F42" s="67">
        <f>SUM('PP-C8:AN-C9'!F42)+'OTHER(C3)-A15'!F42</f>
        <v>3844.1800000000003</v>
      </c>
      <c r="G42" s="67">
        <f>SUM('PP-C8:AN-C9'!G42)+'OTHER(C3)-A15'!G42</f>
        <v>4345.7300000000005</v>
      </c>
      <c r="H42" s="67">
        <f>SUM('PP-C8:AN-C9'!H42)+'OTHER(C3)-A15'!H42</f>
        <v>4260.0600000000004</v>
      </c>
      <c r="I42" s="67">
        <f>SUM('PP-C8:AN-C9'!I42)+'OTHER(C3)-A15'!I42</f>
        <v>4368.51</v>
      </c>
      <c r="J42" s="67">
        <f>SUM('PP-C8:AN-C9'!J42)+'OTHER(C3)-A15'!J42</f>
        <v>4414.7000000000007</v>
      </c>
      <c r="K42" s="186">
        <f>SUM('PP-C8:AN-C9'!K42)+'OTHER(C3)-A15'!K42</f>
        <v>4564.7</v>
      </c>
      <c r="L42" s="187">
        <f>SUM('PP-C8:AN-C9'!L42)+'OTHER(C3)-A15'!L42</f>
        <v>4982.1499999999996</v>
      </c>
      <c r="M42" s="67">
        <f>SUM('PP-C8:AN-C9'!M42)+'OTHER(C3)-A15'!M42</f>
        <v>5294.42</v>
      </c>
      <c r="N42" s="67">
        <f>SUM('PP-C8:AN-C9'!N42)+'OTHER(C3)-A15'!N42</f>
        <v>5500.42</v>
      </c>
      <c r="O42" s="67">
        <f>SUM('PP-C8:AN-C9'!O42)+'OTHER(C3)-A15'!O42</f>
        <v>6015.42</v>
      </c>
      <c r="P42" s="67">
        <f>SUM('PP-C8:AN-C9'!P42)+'OTHER(C3)-A15'!P42</f>
        <v>6015.42</v>
      </c>
      <c r="Q42" s="68">
        <f>SUM('PP-C8:AN-C9'!Q42)+'OTHER(C3)-A15'!Q42</f>
        <v>6015.42</v>
      </c>
      <c r="R42" s="299">
        <f t="shared" si="0"/>
        <v>6</v>
      </c>
      <c r="S42" s="300">
        <f t="shared" si="1"/>
        <v>3.8</v>
      </c>
    </row>
    <row r="43" spans="1:23" ht="15" hidden="1" customHeight="1">
      <c r="A43" s="16"/>
      <c r="B43" s="16"/>
      <c r="C43" s="90" t="s">
        <v>306</v>
      </c>
      <c r="D43" s="181">
        <f>SUM('PP-C8:AN-C9'!D43)+'OTHER(C3)-A15'!D43</f>
        <v>0</v>
      </c>
      <c r="E43" s="67">
        <f>SUM('PP-C8:AN-C9'!E43)+'OTHER(C3)-A15'!E43</f>
        <v>0</v>
      </c>
      <c r="F43" s="67">
        <f>SUM('PP-C8:AN-C9'!F43)+'OTHER(C3)-A15'!F43</f>
        <v>0</v>
      </c>
      <c r="G43" s="67">
        <f>SUM('PP-C8:AN-C9'!G43)+'OTHER(C3)-A15'!G43</f>
        <v>0</v>
      </c>
      <c r="H43" s="67">
        <f>SUM('PP-C8:AN-C9'!H43)+'OTHER(C3)-A15'!H43</f>
        <v>0</v>
      </c>
      <c r="I43" s="67">
        <f>SUM('PP-C8:AN-C9'!I43)+'OTHER(C3)-A15'!I43</f>
        <v>0</v>
      </c>
      <c r="J43" s="67">
        <f>SUM('PP-C8:AN-C9'!J43)+'OTHER(C3)-A15'!J43</f>
        <v>0</v>
      </c>
      <c r="K43" s="186">
        <f>SUM('PP-C8:AN-C9'!K43)+'OTHER(C3)-A15'!K43</f>
        <v>0</v>
      </c>
      <c r="L43" s="187">
        <f>SUM('PP-C8:AN-C9'!L43)+'OTHER(C3)-A15'!L43</f>
        <v>0</v>
      </c>
      <c r="M43" s="67">
        <f>SUM('PP-C8:AN-C9'!M43)+'OTHER(C3)-A15'!M43</f>
        <v>0</v>
      </c>
      <c r="N43" s="67">
        <f>SUM('PP-C8:AN-C9'!N43)+'OTHER(C3)-A15'!N43</f>
        <v>0</v>
      </c>
      <c r="O43" s="67">
        <f>SUM('PP-C8:AN-C9'!O43)+'OTHER(C3)-A15'!O43</f>
        <v>0</v>
      </c>
      <c r="P43" s="67">
        <f>SUM('PP-C8:AN-C9'!P43)+'OTHER(C3)-A15'!P43</f>
        <v>0</v>
      </c>
      <c r="Q43" s="68">
        <f>SUM('PP-C8:AN-C9'!Q43)+'OTHER(C3)-A15'!Q43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23" ht="15" customHeight="1">
      <c r="A44" s="16"/>
      <c r="B44" s="605" t="s">
        <v>440</v>
      </c>
      <c r="C44" s="606"/>
      <c r="D44" s="181">
        <f>SUM('PP-C8:AN-C9'!D44)+'OTHER(C3)-A15'!D44</f>
        <v>47.38</v>
      </c>
      <c r="E44" s="67">
        <f>SUM('PP-C8:AN-C9'!E44)+'OTHER(C3)-A15'!E44</f>
        <v>43.330039999999997</v>
      </c>
      <c r="F44" s="67">
        <f>SUM('PP-C8:AN-C9'!F44)+'OTHER(C3)-A15'!F44</f>
        <v>13.333350000000001</v>
      </c>
      <c r="G44" s="67">
        <f>SUM('PP-C8:AN-C9'!G44)+'OTHER(C3)-A15'!G44</f>
        <v>13.39</v>
      </c>
      <c r="H44" s="67">
        <f>SUM('PP-C8:AN-C9'!H44)+'OTHER(C3)-A15'!H44</f>
        <v>12.94195</v>
      </c>
      <c r="I44" s="67">
        <f>SUM('PP-C8:AN-C9'!I44)+'OTHER(C3)-A15'!I44</f>
        <v>56.65</v>
      </c>
      <c r="J44" s="67">
        <f>SUM('PP-C8:AN-C9'!J44)+'OTHER(C3)-A15'!J44</f>
        <v>82.4</v>
      </c>
      <c r="K44" s="186">
        <f>SUM('PP-C8:AN-C9'!K44)+'OTHER(C3)-A15'!K44</f>
        <v>123.60000000000001</v>
      </c>
      <c r="L44" s="187">
        <f>SUM('PP-C8:AN-C9'!L44)+'OTHER(C3)-A15'!L44</f>
        <v>144.20000000000002</v>
      </c>
      <c r="M44" s="67">
        <f>SUM('PP-C8:AN-C9'!M44)+'OTHER(C3)-A15'!M44</f>
        <v>175.1</v>
      </c>
      <c r="N44" s="67">
        <f>SUM('PP-C8:AN-C9'!N44)+'OTHER(C3)-A15'!N44</f>
        <v>206</v>
      </c>
      <c r="O44" s="67">
        <f>SUM('PP-C8:AN-C9'!O44)+'OTHER(C3)-A15'!O44</f>
        <v>236.9</v>
      </c>
      <c r="P44" s="67">
        <f>SUM('PP-C8:AN-C9'!P44)+'OTHER(C3)-A15'!P44</f>
        <v>267.8</v>
      </c>
      <c r="Q44" s="68">
        <f>SUM('PP-C8:AN-C9'!Q44)+'OTHER(C3)-A15'!Q44</f>
        <v>298.7</v>
      </c>
      <c r="R44" s="302">
        <f t="shared" si="0"/>
        <v>14.7</v>
      </c>
      <c r="S44" s="300">
        <f t="shared" si="1"/>
        <v>15.7</v>
      </c>
    </row>
    <row r="45" spans="1:23" ht="15" customHeight="1">
      <c r="A45" s="16"/>
      <c r="B45" s="605" t="s">
        <v>441</v>
      </c>
      <c r="C45" s="606"/>
      <c r="D45" s="181">
        <f>SUM('PP-C8:AN-C9'!D45)+'OTHER(C3)-A15'!D45</f>
        <v>861.37572254335259</v>
      </c>
      <c r="E45" s="67">
        <f>SUM('PP-C8:AN-C9'!E45)+'OTHER(C3)-A15'!E45</f>
        <v>888.75</v>
      </c>
      <c r="F45" s="67">
        <f>SUM('PP-C8:AN-C9'!F45)+'OTHER(C3)-A15'!F45</f>
        <v>866.08999999999992</v>
      </c>
      <c r="G45" s="67">
        <f>SUM('PP-C8:AN-C9'!G45)+'OTHER(C3)-A15'!G45</f>
        <v>774.84847999999988</v>
      </c>
      <c r="H45" s="67">
        <f>SUM('PP-C8:AN-C9'!H45)+'OTHER(C3)-A15'!H45</f>
        <v>774.84847999999988</v>
      </c>
      <c r="I45" s="67">
        <f>SUM('PP-C8:AN-C9'!I45)+'OTHER(C3)-A15'!I45</f>
        <v>774.93294000000003</v>
      </c>
      <c r="J45" s="67">
        <f>SUM('PP-C8:AN-C9'!J45)+'OTHER(C3)-A15'!J45</f>
        <v>774.84847999999988</v>
      </c>
      <c r="K45" s="186">
        <f>SUM('PP-C8:AN-C9'!K45)+'OTHER(C3)-A15'!K45</f>
        <v>747.58640188999993</v>
      </c>
      <c r="L45" s="187">
        <f>SUM('PP-C8:AN-C9'!L45)+'OTHER(C3)-A15'!L45</f>
        <v>880.68910078883005</v>
      </c>
      <c r="M45" s="67">
        <f>SUM('PP-C8:AN-C9'!M45)+'OTHER(C3)-A15'!M45</f>
        <v>988.06659942511624</v>
      </c>
      <c r="N45" s="67">
        <f>SUM('PP-C8:AN-C9'!N45)+'OTHER(C3)-A15'!N45</f>
        <v>1818.7289961975221</v>
      </c>
      <c r="O45" s="67">
        <f>SUM('PP-C8:AN-C9'!O45)+'OTHER(C3)-A15'!O45</f>
        <v>1847.5380796134818</v>
      </c>
      <c r="P45" s="67">
        <f>SUM('PP-C8:AN-C9'!P45)+'OTHER(C3)-A15'!P45</f>
        <v>1877.7415226667745</v>
      </c>
      <c r="Q45" s="68">
        <f>SUM('PP-C8:AN-C9'!Q45)+'OTHER(C3)-A15'!Q45</f>
        <v>1909.4068123638463</v>
      </c>
      <c r="R45" s="302">
        <f t="shared" si="0"/>
        <v>-2</v>
      </c>
      <c r="S45" s="300">
        <f t="shared" si="1"/>
        <v>16.7</v>
      </c>
    </row>
    <row r="46" spans="1:23" ht="15" customHeight="1">
      <c r="A46" s="16"/>
      <c r="B46" s="605" t="s">
        <v>442</v>
      </c>
      <c r="C46" s="606"/>
      <c r="D46" s="181">
        <f>SUM('PP-C8:AN-C9'!D46)+'OTHER(C3)-A15'!D46</f>
        <v>154.5</v>
      </c>
      <c r="E46" s="67">
        <f>SUM('PP-C8:AN-C9'!E46)+'OTHER(C3)-A15'!E46</f>
        <v>154.5</v>
      </c>
      <c r="F46" s="67">
        <f>SUM('PP-C8:AN-C9'!F46)+'OTHER(C3)-A15'!F46</f>
        <v>154.5</v>
      </c>
      <c r="G46" s="67">
        <f>SUM('PP-C8:AN-C9'!G46)+'OTHER(C3)-A15'!G46</f>
        <v>154.5</v>
      </c>
      <c r="H46" s="67">
        <f>SUM('PP-C8:AN-C9'!H46)+'OTHER(C3)-A15'!H46</f>
        <v>154.5</v>
      </c>
      <c r="I46" s="67">
        <f>SUM('PP-C8:AN-C9'!I46)+'OTHER(C3)-A15'!I46</f>
        <v>154.5</v>
      </c>
      <c r="J46" s="67">
        <f>SUM('PP-C8:AN-C9'!J46)+'OTHER(C3)-A15'!J46</f>
        <v>154.5</v>
      </c>
      <c r="K46" s="186">
        <f>SUM('PP-C8:AN-C9'!K46)+'OTHER(C3)-A15'!K46</f>
        <v>154.5</v>
      </c>
      <c r="L46" s="187">
        <f>SUM('PP-C8:AN-C9'!L46)+'OTHER(C3)-A15'!L46</f>
        <v>535.6</v>
      </c>
      <c r="M46" s="67">
        <f>SUM('PP-C8:AN-C9'!M46)+'OTHER(C3)-A15'!M46</f>
        <v>535.6</v>
      </c>
      <c r="N46" s="67">
        <f>SUM('PP-C8:AN-C9'!N46)+'OTHER(C3)-A15'!N46</f>
        <v>844.6</v>
      </c>
      <c r="O46" s="67">
        <f>SUM('PP-C8:AN-C9'!O46)+'OTHER(C3)-A15'!O46</f>
        <v>844.6</v>
      </c>
      <c r="P46" s="67">
        <f>SUM('PP-C8:AN-C9'!P46)+'OTHER(C3)-A15'!P46</f>
        <v>844.6</v>
      </c>
      <c r="Q46" s="68">
        <f>SUM('PP-C8:AN-C9'!Q46)+'OTHER(C3)-A15'!Q46</f>
        <v>1308.1000000000001</v>
      </c>
      <c r="R46" s="302">
        <f t="shared" si="0"/>
        <v>0</v>
      </c>
      <c r="S46" s="300">
        <f t="shared" si="1"/>
        <v>19.600000000000001</v>
      </c>
    </row>
    <row r="47" spans="1:23" ht="15" customHeight="1">
      <c r="A47" s="16"/>
      <c r="B47" s="607" t="s">
        <v>443</v>
      </c>
      <c r="C47" s="608"/>
      <c r="D47" s="181">
        <f>SUM('PP-C8:AN-C9'!D47)+'OTHER(C3)-A15'!D47</f>
        <v>5264</v>
      </c>
      <c r="E47" s="67">
        <f>SUM('PP-C8:AN-C9'!E47)+'OTHER(C3)-A15'!E47</f>
        <v>4919.6000000000004</v>
      </c>
      <c r="F47" s="67">
        <f>SUM('PP-C8:AN-C9'!F47)+'OTHER(C3)-A15'!F47</f>
        <v>4459.8999999999996</v>
      </c>
      <c r="G47" s="67">
        <f>SUM('PP-C8:AN-C9'!G47)+'OTHER(C3)-A15'!G47</f>
        <v>4189.8999999999996</v>
      </c>
      <c r="H47" s="67">
        <f>SUM('PP-C8:AN-C9'!H47)+'OTHER(C3)-A15'!H47</f>
        <v>4351.2999999999993</v>
      </c>
      <c r="I47" s="67">
        <f>SUM('PP-C8:AN-C9'!I47)+'OTHER(C3)-A15'!I47</f>
        <v>4409</v>
      </c>
      <c r="J47" s="67">
        <f>SUM('PP-C8:AN-C9'!J47)+'OTHER(C3)-A15'!J47</f>
        <v>4394</v>
      </c>
      <c r="K47" s="186">
        <f>SUM('PP-C8:AN-C9'!K47)+'OTHER(C3)-A15'!K47</f>
        <v>4729.2</v>
      </c>
      <c r="L47" s="187">
        <f>SUM('PP-C8:AN-C9'!L47)+'OTHER(C3)-A15'!L47</f>
        <v>4607.3</v>
      </c>
      <c r="M47" s="67">
        <f>SUM('PP-C8:AN-C9'!M47)+'OTHER(C3)-A15'!M47</f>
        <v>4803.5669936981294</v>
      </c>
      <c r="N47" s="67">
        <f>SUM('PP-C8:AN-C9'!N47)+'OTHER(C3)-A15'!N47</f>
        <v>4957.025127945144</v>
      </c>
      <c r="O47" s="67">
        <f>SUM('PP-C8:AN-C9'!O47)+'OTHER(C3)-A15'!O47</f>
        <v>4964.9307218700415</v>
      </c>
      <c r="P47" s="67">
        <f>SUM('PP-C8:AN-C9'!P47)+'OTHER(C3)-A15'!P47</f>
        <v>4973.9520150355511</v>
      </c>
      <c r="Q47" s="68">
        <f>SUM('PP-C8:AN-C9'!Q47)+'OTHER(C3)-A15'!Q47</f>
        <v>4980.7933082010613</v>
      </c>
      <c r="R47" s="299">
        <f t="shared" si="0"/>
        <v>-1.5</v>
      </c>
      <c r="S47" s="300">
        <f t="shared" si="1"/>
        <v>1.6</v>
      </c>
    </row>
    <row r="48" spans="1:23" ht="15.75" customHeight="1">
      <c r="A48" s="16"/>
      <c r="B48" s="674" t="s">
        <v>307</v>
      </c>
      <c r="C48" s="675"/>
      <c r="D48" s="194">
        <f>SUM('PP-C8:AN-C9'!D48)+'OTHER(C3)-A15'!D48</f>
        <v>35613.070533586033</v>
      </c>
      <c r="E48" s="195">
        <f>SUM('PP-C8:AN-C9'!E48)+'OTHER(C3)-A15'!E48</f>
        <v>37391.863351042688</v>
      </c>
      <c r="F48" s="195">
        <f>SUM('PP-C8:AN-C9'!F48)+'OTHER(C3)-A15'!F48</f>
        <v>38598.431661042683</v>
      </c>
      <c r="G48" s="195">
        <f>SUM('PP-C8:AN-C9'!G48)+'OTHER(C3)-A15'!G48</f>
        <v>42742.698699999994</v>
      </c>
      <c r="H48" s="195">
        <f>SUM('PP-C8:AN-C9'!H48)+'OTHER(C3)-A15'!H48</f>
        <v>45985.873736288559</v>
      </c>
      <c r="I48" s="195">
        <f>SUM('PP-C8:AN-C9'!I48)+'OTHER(C3)-A15'!I48</f>
        <v>49876.894488868362</v>
      </c>
      <c r="J48" s="195">
        <f>SUM('PP-C8:AN-C9'!J48)+'OTHER(C3)-A15'!J48</f>
        <v>53177.749437402839</v>
      </c>
      <c r="K48" s="196">
        <f>SUM('PP-C8:AN-C9'!K48)+'OTHER(C3)-A15'!K48</f>
        <v>55529.83908504626</v>
      </c>
      <c r="L48" s="197">
        <f>SUM('PP-C8:AN-C9'!L48)+'OTHER(C3)-A15'!L48</f>
        <v>59071.820059217403</v>
      </c>
      <c r="M48" s="195">
        <f>SUM('PP-C8:AN-C9'!M48)+'OTHER(C3)-A15'!M48</f>
        <v>62129.194551551816</v>
      </c>
      <c r="N48" s="195">
        <f>SUM('PP-C8:AN-C9'!N48)+'OTHER(C3)-A15'!N48</f>
        <v>67513.425694142672</v>
      </c>
      <c r="O48" s="195">
        <f>SUM('PP-C8:AN-C9'!O48)+'OTHER(C3)-A15'!O48</f>
        <v>71695.840371483515</v>
      </c>
      <c r="P48" s="195">
        <f>SUM('PP-C8:AN-C9'!P48)+'OTHER(C3)-A15'!P48</f>
        <v>73691.015107702333</v>
      </c>
      <c r="Q48" s="198">
        <f>SUM('PP-C8:AN-C9'!Q48)+'OTHER(C3)-A15'!Q48</f>
        <v>76535.881690564915</v>
      </c>
      <c r="R48" s="303">
        <f t="shared" si="0"/>
        <v>6.6</v>
      </c>
      <c r="S48" s="304">
        <f t="shared" si="1"/>
        <v>5.3</v>
      </c>
    </row>
    <row r="49" spans="1:19" ht="15.75" customHeight="1">
      <c r="A49" s="16"/>
      <c r="B49" s="672" t="s">
        <v>308</v>
      </c>
      <c r="C49" s="673"/>
      <c r="D49" s="194">
        <f>SUM('PP-C8:AN-C9'!D49)+'OTHER(C3)-A15'!D49</f>
        <v>264.70999999999998</v>
      </c>
      <c r="E49" s="195">
        <f>SUM('PP-C8:AN-C9'!E49)+'OTHER(C3)-A15'!E49</f>
        <v>262.65000000000003</v>
      </c>
      <c r="F49" s="195">
        <f>SUM('PP-C8:AN-C9'!F49)+'OTHER(C3)-A15'!F49</f>
        <v>247.20000000000002</v>
      </c>
      <c r="G49" s="195">
        <f>SUM('PP-C8:AN-C9'!G49)+'OTHER(C3)-A15'!G49</f>
        <v>283.25</v>
      </c>
      <c r="H49" s="195">
        <f>SUM('PP-C8:AN-C9'!H49)+'OTHER(C3)-A15'!H49</f>
        <v>123.60000000000001</v>
      </c>
      <c r="I49" s="195">
        <f>SUM('PP-C8:AN-C9'!I49)+'OTHER(C3)-A15'!I49</f>
        <v>123.60000000000001</v>
      </c>
      <c r="J49" s="195">
        <f>SUM('PP-C8:AN-C9'!J49)+'OTHER(C3)-A15'!J49</f>
        <v>123.60000000000001</v>
      </c>
      <c r="K49" s="196">
        <f>SUM('PP-C8:AN-C9'!K49)+'OTHER(C3)-A15'!K49</f>
        <v>118.45</v>
      </c>
      <c r="L49" s="197">
        <f>SUM('PP-C8:AN-C9'!L49)+'OTHER(C3)-A15'!L49</f>
        <v>118.45</v>
      </c>
      <c r="M49" s="195">
        <f>SUM('PP-C8:AN-C9'!M49)+'OTHER(C3)-A15'!M49</f>
        <v>118.45</v>
      </c>
      <c r="N49" s="195">
        <f>SUM('PP-C8:AN-C9'!N49)+'OTHER(C3)-A15'!N49</f>
        <v>118.45</v>
      </c>
      <c r="O49" s="195">
        <f>SUM('PP-C8:AN-C9'!O49)+'OTHER(C3)-A15'!O49</f>
        <v>118.45</v>
      </c>
      <c r="P49" s="195">
        <f>SUM('PP-C8:AN-C9'!P49)+'OTHER(C3)-A15'!P49</f>
        <v>118.9405</v>
      </c>
      <c r="Q49" s="198">
        <f>SUM('PP-C8:AN-C9'!Q49)+'OTHER(C3)-A15'!Q49</f>
        <v>118.45</v>
      </c>
      <c r="R49" s="305">
        <f t="shared" si="0"/>
        <v>-10.9</v>
      </c>
      <c r="S49" s="304">
        <f t="shared" si="1"/>
        <v>0</v>
      </c>
    </row>
    <row r="50" spans="1:19" ht="15" customHeight="1">
      <c r="A50" s="16"/>
      <c r="B50" s="105"/>
      <c r="C50" s="97" t="s">
        <v>309</v>
      </c>
      <c r="D50" s="194">
        <f>SUM('PP-C8:AN-C9'!D50)+'OTHER(C3)-A15'!D50</f>
        <v>264.70999999999998</v>
      </c>
      <c r="E50" s="195">
        <f>SUM('PP-C8:AN-C9'!E50)+'OTHER(C3)-A15'!E50</f>
        <v>262.65000000000003</v>
      </c>
      <c r="F50" s="195">
        <f>SUM('PP-C8:AN-C9'!F50)+'OTHER(C3)-A15'!F50</f>
        <v>247.20000000000002</v>
      </c>
      <c r="G50" s="195">
        <f>SUM('PP-C8:AN-C9'!G50)+'OTHER(C3)-A15'!G50</f>
        <v>283.25</v>
      </c>
      <c r="H50" s="195">
        <f>SUM('PP-C8:AN-C9'!H50)+'OTHER(C3)-A15'!H50</f>
        <v>123.60000000000001</v>
      </c>
      <c r="I50" s="195">
        <f>SUM('PP-C8:AN-C9'!I50)+'OTHER(C3)-A15'!I50</f>
        <v>123.60000000000001</v>
      </c>
      <c r="J50" s="195">
        <f>SUM('PP-C8:AN-C9'!J50)+'OTHER(C3)-A15'!J50</f>
        <v>123.60000000000001</v>
      </c>
      <c r="K50" s="196">
        <f>SUM('PP-C8:AN-C9'!K50)+'OTHER(C3)-A15'!K50</f>
        <v>118.45</v>
      </c>
      <c r="L50" s="197">
        <f>SUM('PP-C8:AN-C9'!L50)+'OTHER(C3)-A15'!L50</f>
        <v>118.45</v>
      </c>
      <c r="M50" s="195">
        <f>SUM('PP-C8:AN-C9'!M50)+'OTHER(C3)-A15'!M50</f>
        <v>118.45</v>
      </c>
      <c r="N50" s="195">
        <f>SUM('PP-C8:AN-C9'!N50)+'OTHER(C3)-A15'!N50</f>
        <v>118.45</v>
      </c>
      <c r="O50" s="195">
        <f>SUM('PP-C8:AN-C9'!O50)+'OTHER(C3)-A15'!O50</f>
        <v>118.45</v>
      </c>
      <c r="P50" s="195">
        <f>SUM('PP-C8:AN-C9'!P50)+'OTHER(C3)-A15'!P50</f>
        <v>118.9405</v>
      </c>
      <c r="Q50" s="198">
        <f>SUM('PP-C8:AN-C9'!Q50)+'OTHER(C3)-A15'!Q50</f>
        <v>118.45</v>
      </c>
      <c r="R50" s="305">
        <f t="shared" si="0"/>
        <v>-10.9</v>
      </c>
      <c r="S50" s="304">
        <f t="shared" si="1"/>
        <v>0</v>
      </c>
    </row>
    <row r="51" spans="1:19" ht="15.75" customHeight="1">
      <c r="A51" s="16"/>
      <c r="B51" s="672" t="s">
        <v>310</v>
      </c>
      <c r="C51" s="673"/>
      <c r="D51" s="181">
        <f>SUM('PP-C8:AN-C9'!D51)+'OTHER(C3)-A15'!D51</f>
        <v>15385.416863056002</v>
      </c>
      <c r="E51" s="67">
        <f>SUM('PP-C8:AN-C9'!E51)+'OTHER(C3)-A15'!E51</f>
        <v>16241.848898192324</v>
      </c>
      <c r="F51" s="67">
        <f>SUM('PP-C8:AN-C9'!F51)+'OTHER(C3)-A15'!F51</f>
        <v>15103.260000000002</v>
      </c>
      <c r="G51" s="67">
        <f>SUM('PP-C8:AN-C9'!G51)+'OTHER(C3)-A15'!G51</f>
        <v>15077.77</v>
      </c>
      <c r="H51" s="67">
        <f>SUM('PP-C8:AN-C9'!H51)+'OTHER(C3)-A15'!H51</f>
        <v>15253.900000000001</v>
      </c>
      <c r="I51" s="67">
        <f>SUM('PP-C8:AN-C9'!I51)+'OTHER(C3)-A15'!I51</f>
        <v>15457.907200000001</v>
      </c>
      <c r="J51" s="67">
        <f>SUM('PP-C8:AN-C9'!J51)+'OTHER(C3)-A15'!J51</f>
        <v>15734.9490104</v>
      </c>
      <c r="K51" s="186">
        <f>SUM('PP-C8:AN-C9'!K51)+'OTHER(C3)-A15'!K51</f>
        <v>16843.870000000003</v>
      </c>
      <c r="L51" s="187">
        <f>SUM('PP-C8:AN-C9'!L51)+'OTHER(C3)-A15'!L51</f>
        <v>16849.320000000003</v>
      </c>
      <c r="M51" s="67">
        <f>SUM('PP-C8:AN-C9'!M51)+'OTHER(C3)-A15'!M51</f>
        <v>16957.77</v>
      </c>
      <c r="N51" s="67">
        <f>SUM('PP-C8:AN-C9'!N51)+'OTHER(C3)-A15'!N51</f>
        <v>16963.22</v>
      </c>
      <c r="O51" s="67">
        <f>SUM('PP-C8:AN-C9'!O51)+'OTHER(C3)-A15'!O51</f>
        <v>16968.670000000002</v>
      </c>
      <c r="P51" s="67">
        <f>SUM('PP-C8:AN-C9'!P51)+'OTHER(C3)-A15'!P51</f>
        <v>16968.670000000002</v>
      </c>
      <c r="Q51" s="68">
        <f>SUM('PP-C8:AN-C9'!Q51)+'OTHER(C3)-A15'!Q51</f>
        <v>16968.670000000002</v>
      </c>
      <c r="R51" s="299">
        <f t="shared" si="0"/>
        <v>1.3</v>
      </c>
      <c r="S51" s="300">
        <f t="shared" si="1"/>
        <v>0.1</v>
      </c>
    </row>
    <row r="52" spans="1:19" ht="15" customHeight="1">
      <c r="A52" s="16"/>
      <c r="B52" s="105"/>
      <c r="C52" s="615" t="s">
        <v>311</v>
      </c>
      <c r="D52" s="194">
        <f>SUM('PP-C8:AN-C9'!D52)+'OTHER(C3)-A15'!D52</f>
        <v>13544.550000000001</v>
      </c>
      <c r="E52" s="195">
        <f>SUM('PP-C8:AN-C9'!E52)+'OTHER(C3)-A15'!E52</f>
        <v>14401.673890459733</v>
      </c>
      <c r="F52" s="195">
        <f>SUM('PP-C8:AN-C9'!F52)+'OTHER(C3)-A15'!F52</f>
        <v>13741.748</v>
      </c>
      <c r="G52" s="195">
        <f>SUM('PP-C8:AN-C9'!G52)+'OTHER(C3)-A15'!G52</f>
        <v>13719.348000000002</v>
      </c>
      <c r="H52" s="195">
        <f>SUM('PP-C8:AN-C9'!H52)+'OTHER(C3)-A15'!H52</f>
        <v>13888.268</v>
      </c>
      <c r="I52" s="195">
        <f>SUM('PP-C8:AN-C9'!I52)+'OTHER(C3)-A15'!I52</f>
        <v>14188.758000000002</v>
      </c>
      <c r="J52" s="195">
        <f>SUM('PP-C8:AN-C9'!J52)+'OTHER(C3)-A15'!J52</f>
        <v>14536.727999999999</v>
      </c>
      <c r="K52" s="196">
        <f>SUM('PP-C8:AN-C9'!K52)+'OTHER(C3)-A15'!K52</f>
        <v>15221.678</v>
      </c>
      <c r="L52" s="197">
        <f>SUM('PP-C8:AN-C9'!L52)+'OTHER(C3)-A15'!L52</f>
        <v>15227.128000000001</v>
      </c>
      <c r="M52" s="195">
        <f>SUM('PP-C8:AN-C9'!M52)+'OTHER(C3)-A15'!M52</f>
        <v>15232.578000000001</v>
      </c>
      <c r="N52" s="195">
        <f>SUM('PP-C8:AN-C9'!N52)+'OTHER(C3)-A15'!N52</f>
        <v>15238.028000000002</v>
      </c>
      <c r="O52" s="195">
        <f>SUM('PP-C8:AN-C9'!O52)+'OTHER(C3)-A15'!O52</f>
        <v>15243.478000000003</v>
      </c>
      <c r="P52" s="195">
        <f>SUM('PP-C8:AN-C9'!P52)+'OTHER(C3)-A15'!P52</f>
        <v>15243.478000000003</v>
      </c>
      <c r="Q52" s="198">
        <f>SUM('PP-C8:AN-C9'!Q52)+'OTHER(C3)-A15'!Q52</f>
        <v>15243.478000000003</v>
      </c>
      <c r="R52" s="303">
        <f t="shared" si="0"/>
        <v>1.7</v>
      </c>
      <c r="S52" s="304">
        <f t="shared" si="1"/>
        <v>0</v>
      </c>
    </row>
    <row r="53" spans="1:19" ht="15.75" customHeight="1">
      <c r="A53" s="16"/>
      <c r="B53" s="672" t="s">
        <v>312</v>
      </c>
      <c r="C53" s="673"/>
      <c r="D53" s="181">
        <f>SUM('PP-C8:AN-C9'!D53)+'OTHER(C3)-A15'!D53</f>
        <v>6324.54</v>
      </c>
      <c r="E53" s="67">
        <f>SUM('PP-C8:AN-C9'!E53)+'OTHER(C3)-A15'!E53</f>
        <v>6941.0199999999995</v>
      </c>
      <c r="F53" s="67">
        <f>SUM('PP-C8:AN-C9'!F53)+'OTHER(C3)-A15'!F53</f>
        <v>7628.499615384615</v>
      </c>
      <c r="G53" s="67">
        <f>SUM('PP-C8:AN-C9'!G53)+'OTHER(C3)-A15'!G53</f>
        <v>8186.086153846154</v>
      </c>
      <c r="H53" s="67">
        <f>SUM('PP-C8:AN-C9'!H53)+'OTHER(C3)-A15'!H53</f>
        <v>8884.0300000000007</v>
      </c>
      <c r="I53" s="67">
        <f>SUM('PP-C8:AN-C9'!I53)+'OTHER(C3)-A15'!I53</f>
        <v>9012.7800000000007</v>
      </c>
      <c r="J53" s="67">
        <f>SUM('PP-C8:AN-C9'!J53)+'OTHER(C3)-A15'!J53</f>
        <v>9441.5</v>
      </c>
      <c r="K53" s="186">
        <f>SUM('PP-C8:AN-C9'!K53)+'OTHER(C3)-A15'!K53</f>
        <v>9463.130000000001</v>
      </c>
      <c r="L53" s="187">
        <f>SUM('PP-C8:AN-C9'!L53)+'OTHER(C3)-A15'!L53</f>
        <v>9941.1400000000012</v>
      </c>
      <c r="M53" s="67">
        <f>SUM('PP-C8:AN-C9'!M53)+'OTHER(C3)-A15'!M53</f>
        <v>10210.060000000001</v>
      </c>
      <c r="N53" s="67">
        <f>SUM('PP-C8:AN-C9'!N53)+'OTHER(C3)-A15'!N53</f>
        <v>10509.880000000001</v>
      </c>
      <c r="O53" s="67">
        <f>SUM('PP-C8:AN-C9'!O53)+'OTHER(C3)-A15'!O53</f>
        <v>10741.720000000001</v>
      </c>
      <c r="P53" s="67">
        <f>SUM('PP-C8:AN-C9'!P53)+'OTHER(C3)-A15'!P53</f>
        <v>10919.53</v>
      </c>
      <c r="Q53" s="68">
        <f>SUM('PP-C8:AN-C9'!Q53)+'OTHER(C3)-A15'!Q53</f>
        <v>11114.85</v>
      </c>
      <c r="R53" s="302">
        <f t="shared" si="0"/>
        <v>5.9</v>
      </c>
      <c r="S53" s="300">
        <f t="shared" si="1"/>
        <v>2.2999999999999998</v>
      </c>
    </row>
    <row r="54" spans="1:19" ht="15" customHeight="1">
      <c r="A54" s="16"/>
      <c r="B54" s="16"/>
      <c r="C54" s="615" t="s">
        <v>313</v>
      </c>
      <c r="D54" s="194">
        <f>SUM('PP-C8:AN-C9'!D54)+'OTHER(C3)-A15'!D54</f>
        <v>0</v>
      </c>
      <c r="E54" s="195">
        <f>SUM('PP-C8:AN-C9'!E54)+'OTHER(C3)-A15'!E54</f>
        <v>3317.7884615384614</v>
      </c>
      <c r="F54" s="195">
        <f>SUM('PP-C8:AN-C9'!F54)+'OTHER(C3)-A15'!F54</f>
        <v>3769.4038461538457</v>
      </c>
      <c r="G54" s="195">
        <f>SUM('PP-C8:AN-C9'!G54)+'OTHER(C3)-A15'!G54</f>
        <v>4111.0865384615381</v>
      </c>
      <c r="H54" s="195">
        <f>SUM('PP-C8:AN-C9'!H54)+'OTHER(C3)-A15'!H54</f>
        <v>4621.6099999999997</v>
      </c>
      <c r="I54" s="195">
        <f>SUM('PP-C8:AN-C9'!I54)+'OTHER(C3)-A15'!I54</f>
        <v>4712.25</v>
      </c>
      <c r="J54" s="195">
        <f>SUM('PP-C8:AN-C9'!J54)+'OTHER(C3)-A15'!J54</f>
        <v>4767.87</v>
      </c>
      <c r="K54" s="196">
        <f>SUM('PP-C8:AN-C9'!K54)+'OTHER(C3)-A15'!K54</f>
        <v>4782.29</v>
      </c>
      <c r="L54" s="197">
        <f>SUM('PP-C8:AN-C9'!L54)+'OTHER(C3)-A15'!L54</f>
        <v>4811.13</v>
      </c>
      <c r="M54" s="195">
        <f>SUM('PP-C8:AN-C9'!M54)+'OTHER(C3)-A15'!M54</f>
        <v>4871.9000000000005</v>
      </c>
      <c r="N54" s="195">
        <f>SUM('PP-C8:AN-C9'!N54)+'OTHER(C3)-A15'!N54</f>
        <v>4923.4000000000005</v>
      </c>
      <c r="O54" s="195">
        <f>SUM('PP-C8:AN-C9'!O54)+'OTHER(C3)-A15'!O54</f>
        <v>4952.24</v>
      </c>
      <c r="P54" s="195">
        <f>SUM('PP-C8:AN-C9'!P54)+'OTHER(C3)-A15'!P54</f>
        <v>4998.59</v>
      </c>
      <c r="Q54" s="198">
        <f>SUM('PP-C8:AN-C9'!Q54)+'OTHER(C3)-A15'!Q54</f>
        <v>5057.3</v>
      </c>
      <c r="R54" s="303" t="str">
        <f t="shared" si="0"/>
        <v xml:space="preserve">     -</v>
      </c>
      <c r="S54" s="304">
        <f t="shared" si="1"/>
        <v>1</v>
      </c>
    </row>
    <row r="55" spans="1:19" ht="15.75" customHeight="1">
      <c r="A55" s="16"/>
      <c r="B55" s="674" t="s">
        <v>314</v>
      </c>
      <c r="C55" s="675"/>
      <c r="D55" s="194">
        <f>SUM('PP-C8:AN-C9'!D55)+'OTHER(C3)-A15'!D55</f>
        <v>696.05000000000007</v>
      </c>
      <c r="E55" s="195">
        <f>SUM('PP-C8:AN-C9'!E55)+'OTHER(C3)-A15'!E55</f>
        <v>605.26</v>
      </c>
      <c r="F55" s="195">
        <f>SUM('PP-C8:AN-C9'!F55)+'OTHER(C3)-A15'!F55</f>
        <v>558.03846153846155</v>
      </c>
      <c r="G55" s="195">
        <f>SUM('PP-C8:AN-C9'!G55)+'OTHER(C3)-A15'!G55</f>
        <v>535.95000000000005</v>
      </c>
      <c r="H55" s="195">
        <f>SUM('PP-C8:AN-C9'!H55)+'OTHER(C3)-A15'!H55</f>
        <v>508.61</v>
      </c>
      <c r="I55" s="195">
        <f>SUM('PP-C8:AN-C9'!I55)+'OTHER(C3)-A15'!I55</f>
        <v>657.23</v>
      </c>
      <c r="J55" s="195">
        <f>SUM('PP-C8:AN-C9'!J55)+'OTHER(C3)-A15'!J55</f>
        <v>711.82</v>
      </c>
      <c r="K55" s="196">
        <f>SUM('PP-C8:AN-C9'!K55)+'OTHER(C3)-A15'!K55</f>
        <v>1159.4000000000001</v>
      </c>
      <c r="L55" s="197">
        <f>SUM('PP-C8:AN-C9'!L55)+'OTHER(C3)-A15'!L55</f>
        <v>1169.7</v>
      </c>
      <c r="M55" s="195">
        <f>SUM('PP-C8:AN-C9'!M55)+'OTHER(C3)-A15'!M55</f>
        <v>1182.06</v>
      </c>
      <c r="N55" s="195">
        <f>SUM('PP-C8:AN-C9'!N55)+'OTHER(C3)-A15'!N55</f>
        <v>1190.3</v>
      </c>
      <c r="O55" s="195">
        <f>SUM('PP-C8:AN-C9'!O55)+'OTHER(C3)-A15'!O55</f>
        <v>1200.6000000000001</v>
      </c>
      <c r="P55" s="195">
        <f>SUM('PP-C8:AN-C9'!P55)+'OTHER(C3)-A15'!P55</f>
        <v>1205.75</v>
      </c>
      <c r="Q55" s="198">
        <f>SUM('PP-C8:AN-C9'!Q55)+'OTHER(C3)-A15'!Q55</f>
        <v>1210.9000000000001</v>
      </c>
      <c r="R55" s="303">
        <f t="shared" si="0"/>
        <v>7.6</v>
      </c>
      <c r="S55" s="304">
        <f t="shared" si="1"/>
        <v>0.7</v>
      </c>
    </row>
    <row r="56" spans="1:19" ht="15.75" customHeight="1">
      <c r="A56" s="16"/>
      <c r="B56" s="674" t="s">
        <v>315</v>
      </c>
      <c r="C56" s="675"/>
      <c r="D56" s="194">
        <f>SUM('PP-C8:AN-C9'!D56)+'OTHER(C3)-A15'!D56</f>
        <v>1562.37</v>
      </c>
      <c r="E56" s="195">
        <f>SUM('PP-C8:AN-C9'!E56)+'OTHER(C3)-A15'!E56</f>
        <v>1698.87</v>
      </c>
      <c r="F56" s="195">
        <f>SUM('PP-C8:AN-C9'!F56)+'OTHER(C3)-A15'!F56</f>
        <v>1388.6688000000001</v>
      </c>
      <c r="G56" s="195">
        <f>SUM('PP-C8:AN-C9'!G56)+'OTHER(C3)-A15'!G56</f>
        <v>1555.6187093999999</v>
      </c>
      <c r="H56" s="195">
        <f>SUM('PP-C8:AN-C9'!H56)+'OTHER(C3)-A15'!H56</f>
        <v>1648.7218653657999</v>
      </c>
      <c r="I56" s="195">
        <f>SUM('PP-C8:AN-C9'!I56)+'OTHER(C3)-A15'!I56</f>
        <v>1900.0600000000002</v>
      </c>
      <c r="J56" s="195">
        <f>SUM('PP-C8:AN-C9'!J56)+'OTHER(C3)-A15'!J56</f>
        <v>2241.0210000000002</v>
      </c>
      <c r="K56" s="196">
        <f>SUM('PP-C8:AN-C9'!K56)+'OTHER(C3)-A15'!K56</f>
        <v>2396.1570000000002</v>
      </c>
      <c r="L56" s="197">
        <f>SUM('PP-C8:AN-C9'!L56)+'OTHER(C3)-A15'!L56</f>
        <v>2747.62</v>
      </c>
      <c r="M56" s="195">
        <f>SUM('PP-C8:AN-C9'!M56)+'OTHER(C3)-A15'!M56</f>
        <v>2964.8</v>
      </c>
      <c r="N56" s="195">
        <f>SUM('PP-C8:AN-C9'!N56)+'OTHER(C3)-A15'!N56</f>
        <v>2971.8</v>
      </c>
      <c r="O56" s="195">
        <f>SUM('PP-C8:AN-C9'!O56)+'OTHER(C3)-A15'!O56</f>
        <v>3699.8</v>
      </c>
      <c r="P56" s="195">
        <f>SUM('PP-C8:AN-C9'!P56)+'OTHER(C3)-A15'!P56</f>
        <v>3994.14</v>
      </c>
      <c r="Q56" s="198">
        <f>SUM('PP-C8:AN-C9'!Q56)+'OTHER(C3)-A15'!Q56</f>
        <v>4225.68</v>
      </c>
      <c r="R56" s="303">
        <f t="shared" si="0"/>
        <v>6.3</v>
      </c>
      <c r="S56" s="304">
        <f t="shared" si="1"/>
        <v>9</v>
      </c>
    </row>
    <row r="57" spans="1:19" ht="15" customHeight="1">
      <c r="A57" s="16"/>
      <c r="B57" s="672" t="s">
        <v>316</v>
      </c>
      <c r="C57" s="673"/>
      <c r="D57" s="181">
        <f>SUM('PP-C8:AN-C9'!D57)+'OTHER(C3)-A15'!D57</f>
        <v>14046.27</v>
      </c>
      <c r="E57" s="67">
        <f>SUM('PP-C8:AN-C9'!E57)+'OTHER(C3)-A15'!E57</f>
        <v>12571.310000000001</v>
      </c>
      <c r="F57" s="67">
        <f>SUM('PP-C8:AN-C9'!F57)+'OTHER(C3)-A15'!F57</f>
        <v>13436.11</v>
      </c>
      <c r="G57" s="67">
        <f>SUM('PP-C8:AN-C9'!G57)+'OTHER(C3)-A15'!G57</f>
        <v>13662.71</v>
      </c>
      <c r="H57" s="67">
        <f>SUM('PP-C8:AN-C9'!H57)+'OTHER(C3)-A15'!H57</f>
        <v>13837.810000000001</v>
      </c>
      <c r="I57" s="67">
        <f>SUM('PP-C8:AN-C9'!I57)+'OTHER(C3)-A15'!I57</f>
        <v>13925.36</v>
      </c>
      <c r="J57" s="67">
        <f>SUM('PP-C8:AN-C9'!J57)+'OTHER(C3)-A15'!J57</f>
        <v>13961.32</v>
      </c>
      <c r="K57" s="186">
        <f>SUM('PP-C8:AN-C9'!K57)+'OTHER(C3)-A15'!K57</f>
        <v>14333.45</v>
      </c>
      <c r="L57" s="187">
        <f>SUM('PP-C8:AN-C9'!L57)+'OTHER(C3)-A15'!L57</f>
        <v>14475.59</v>
      </c>
      <c r="M57" s="67">
        <f>SUM('PP-C8:AN-C9'!M57)+'OTHER(C3)-A15'!M57</f>
        <v>14475.59</v>
      </c>
      <c r="N57" s="67">
        <f>SUM('PP-C8:AN-C9'!N57)+'OTHER(C3)-A15'!N57</f>
        <v>15124.49</v>
      </c>
      <c r="O57" s="67">
        <f>SUM('PP-C8:AN-C9'!O57)+'OTHER(C3)-A15'!O57</f>
        <v>15124.49</v>
      </c>
      <c r="P57" s="67">
        <f>SUM('PP-C8:AN-C9'!P57)+'OTHER(C3)-A15'!P57</f>
        <v>15541.640000000001</v>
      </c>
      <c r="Q57" s="68">
        <f>SUM('PP-C8:AN-C9'!Q57)+'OTHER(C3)-A15'!Q57</f>
        <v>15541.640000000001</v>
      </c>
      <c r="R57" s="299">
        <f t="shared" si="0"/>
        <v>0.3</v>
      </c>
      <c r="S57" s="300">
        <f t="shared" si="1"/>
        <v>1.4</v>
      </c>
    </row>
    <row r="58" spans="1:19" ht="15" customHeight="1">
      <c r="A58" s="16"/>
      <c r="B58" s="670" t="s">
        <v>317</v>
      </c>
      <c r="C58" s="671"/>
      <c r="D58" s="181">
        <f>SUM('PP-C8:AN-C9'!D58)+'OTHER(C3)-A15'!D58</f>
        <v>397.8</v>
      </c>
      <c r="E58" s="67">
        <f>SUM('PP-C8:AN-C9'!E58)+'OTHER(C3)-A15'!E58</f>
        <v>397.8</v>
      </c>
      <c r="F58" s="67">
        <f>SUM('PP-C8:AN-C9'!F58)+'OTHER(C3)-A15'!F58</f>
        <v>397.8</v>
      </c>
      <c r="G58" s="67">
        <f>SUM('PP-C8:AN-C9'!G58)+'OTHER(C3)-A15'!G58</f>
        <v>397.8</v>
      </c>
      <c r="H58" s="67">
        <f>SUM('PP-C8:AN-C9'!H58)+'OTHER(C3)-A15'!H58</f>
        <v>397.8</v>
      </c>
      <c r="I58" s="67">
        <f>SUM('PP-C8:AN-C9'!I58)+'OTHER(C3)-A15'!I58</f>
        <v>397.8</v>
      </c>
      <c r="J58" s="67">
        <f>SUM('PP-C8:AN-C9'!J58)+'OTHER(C3)-A15'!J58</f>
        <v>397.8</v>
      </c>
      <c r="K58" s="186">
        <f>SUM('PP-C8:AN-C9'!K58)+'OTHER(C3)-A15'!K58</f>
        <v>397.8</v>
      </c>
      <c r="L58" s="187">
        <f>SUM('PP-C8:AN-C9'!L58)+'OTHER(C3)-A15'!L58</f>
        <v>397.8</v>
      </c>
      <c r="M58" s="67">
        <f>SUM('PP-C8:AN-C9'!M58)+'OTHER(C3)-A15'!M58</f>
        <v>397.8</v>
      </c>
      <c r="N58" s="67">
        <f>SUM('PP-C8:AN-C9'!N58)+'OTHER(C3)-A15'!N58</f>
        <v>397.8</v>
      </c>
      <c r="O58" s="67">
        <f>SUM('PP-C8:AN-C9'!O58)+'OTHER(C3)-A15'!O58</f>
        <v>397.8</v>
      </c>
      <c r="P58" s="67">
        <f>SUM('PP-C8:AN-C9'!P58)+'OTHER(C3)-A15'!P58</f>
        <v>398</v>
      </c>
      <c r="Q58" s="68">
        <f>SUM('PP-C8:AN-C9'!Q58)+'OTHER(C3)-A15'!Q58</f>
        <v>398</v>
      </c>
      <c r="R58" s="299">
        <f t="shared" si="0"/>
        <v>0</v>
      </c>
      <c r="S58" s="300">
        <f t="shared" si="1"/>
        <v>0</v>
      </c>
    </row>
    <row r="59" spans="1:19" ht="15.75" customHeight="1">
      <c r="A59" s="16"/>
      <c r="B59" s="674" t="s">
        <v>318</v>
      </c>
      <c r="C59" s="675"/>
      <c r="D59" s="194">
        <f>SUM('PP-C8:AN-C9'!D59)+'OTHER(C3)-A15'!D59</f>
        <v>14444.07</v>
      </c>
      <c r="E59" s="195">
        <f>SUM('PP-C8:AN-C9'!E59)+'OTHER(C3)-A15'!E59</f>
        <v>12969.11</v>
      </c>
      <c r="F59" s="195">
        <f>SUM('PP-C8:AN-C9'!F59)+'OTHER(C3)-A15'!F59</f>
        <v>13833.91</v>
      </c>
      <c r="G59" s="195">
        <f>SUM('PP-C8:AN-C9'!G59)+'OTHER(C3)-A15'!G59</f>
        <v>14060.509999999998</v>
      </c>
      <c r="H59" s="195">
        <f>SUM('PP-C8:AN-C9'!H59)+'OTHER(C3)-A15'!H59</f>
        <v>14235.61</v>
      </c>
      <c r="I59" s="195">
        <f>SUM('PP-C8:AN-C9'!I59)+'OTHER(C3)-A15'!I59</f>
        <v>14323.16</v>
      </c>
      <c r="J59" s="195">
        <f>SUM('PP-C8:AN-C9'!J59)+'OTHER(C3)-A15'!J59</f>
        <v>14359.119999999999</v>
      </c>
      <c r="K59" s="196">
        <f>SUM('PP-C8:AN-C9'!K59)+'OTHER(C3)-A15'!K59</f>
        <v>14731.25</v>
      </c>
      <c r="L59" s="197">
        <f>SUM('PP-C8:AN-C9'!L59)+'OTHER(C3)-A15'!L59</f>
        <v>14873.39</v>
      </c>
      <c r="M59" s="195">
        <f>SUM('PP-C8:AN-C9'!M59)+'OTHER(C3)-A15'!M59</f>
        <v>14873.39</v>
      </c>
      <c r="N59" s="195">
        <f>SUM('PP-C8:AN-C9'!N59)+'OTHER(C3)-A15'!N59</f>
        <v>15522.29</v>
      </c>
      <c r="O59" s="195">
        <f>SUM('PP-C8:AN-C9'!O59)+'OTHER(C3)-A15'!O59</f>
        <v>15522.29</v>
      </c>
      <c r="P59" s="195">
        <f>SUM('PP-C8:AN-C9'!P59)+'OTHER(C3)-A15'!P59</f>
        <v>15939.640000000001</v>
      </c>
      <c r="Q59" s="198">
        <f>SUM('PP-C8:AN-C9'!Q59)+'OTHER(C3)-A15'!Q59</f>
        <v>15939.640000000001</v>
      </c>
      <c r="R59" s="303">
        <f t="shared" si="0"/>
        <v>0.3</v>
      </c>
      <c r="S59" s="304">
        <f t="shared" si="1"/>
        <v>1.4</v>
      </c>
    </row>
    <row r="60" spans="1:19" ht="15" customHeight="1">
      <c r="A60" s="16"/>
      <c r="B60" s="672" t="s">
        <v>319</v>
      </c>
      <c r="C60" s="673"/>
      <c r="D60" s="181">
        <f>SUM('PP-C8:AN-C9'!D60)+'OTHER(C3)-A15'!D60</f>
        <v>668.46</v>
      </c>
      <c r="E60" s="67">
        <f>SUM('PP-C8:AN-C9'!E60)+'OTHER(C3)-A15'!E60</f>
        <v>800.75</v>
      </c>
      <c r="F60" s="67">
        <f>SUM('PP-C8:AN-C9'!F60)+'OTHER(C3)-A15'!F60</f>
        <v>931.69</v>
      </c>
      <c r="G60" s="67">
        <f>SUM('PP-C8:AN-C9'!G60)+'OTHER(C3)-A15'!G60</f>
        <v>833.38</v>
      </c>
      <c r="H60" s="67">
        <f>SUM('PP-C8:AN-C9'!H60)+'OTHER(C3)-A15'!H60</f>
        <v>865.98</v>
      </c>
      <c r="I60" s="67">
        <f>SUM('PP-C8:AN-C9'!I60)+'OTHER(C3)-A15'!I60</f>
        <v>867.95</v>
      </c>
      <c r="J60" s="67">
        <f>SUM('PP-C8:AN-C9'!J60)+'OTHER(C3)-A15'!J60</f>
        <v>888.69</v>
      </c>
      <c r="K60" s="186">
        <f>SUM('PP-C8:AN-C9'!K60)+'OTHER(C3)-A15'!K60</f>
        <v>831.54499999999996</v>
      </c>
      <c r="L60" s="187">
        <f>SUM('PP-C8:AN-C9'!L60)+'OTHER(C3)-A15'!L60</f>
        <v>902.20749999999998</v>
      </c>
      <c r="M60" s="67">
        <f>SUM('PP-C8:AN-C9'!M60)+'OTHER(C3)-A15'!M60</f>
        <v>924.09500000000003</v>
      </c>
      <c r="N60" s="67">
        <f>SUM('PP-C8:AN-C9'!N60)+'OTHER(C3)-A15'!N60</f>
        <v>924.09500000000003</v>
      </c>
      <c r="O60" s="67">
        <f>SUM('PP-C8:AN-C9'!O60)+'OTHER(C3)-A15'!O60</f>
        <v>924.09500000000003</v>
      </c>
      <c r="P60" s="67">
        <f>SUM('PP-C8:AN-C9'!P60)+'OTHER(C3)-A15'!P60</f>
        <v>924.09500000000003</v>
      </c>
      <c r="Q60" s="68">
        <f>SUM('PP-C8:AN-C9'!Q60)+'OTHER(C3)-A15'!Q60</f>
        <v>924.09500000000003</v>
      </c>
      <c r="R60" s="299">
        <f t="shared" si="0"/>
        <v>3.2</v>
      </c>
      <c r="S60" s="300">
        <f t="shared" si="1"/>
        <v>0.5</v>
      </c>
    </row>
    <row r="61" spans="1:19" ht="15" customHeight="1">
      <c r="A61" s="16"/>
      <c r="B61" s="668" t="s">
        <v>320</v>
      </c>
      <c r="C61" s="669"/>
      <c r="D61" s="181">
        <f>SUM('PP-C8:AN-C9'!D61)+'OTHER(C3)-A15'!D61</f>
        <v>1993.1200000000001</v>
      </c>
      <c r="E61" s="67">
        <f>SUM('PP-C8:AN-C9'!E61)+'OTHER(C3)-A15'!E61</f>
        <v>2075.88</v>
      </c>
      <c r="F61" s="67">
        <f>SUM('PP-C8:AN-C9'!F61)+'OTHER(C3)-A15'!F61</f>
        <v>2192.15</v>
      </c>
      <c r="G61" s="67">
        <f>SUM('PP-C8:AN-C9'!G61)+'OTHER(C3)-A15'!G61</f>
        <v>2219.88</v>
      </c>
      <c r="H61" s="67">
        <f>SUM('PP-C8:AN-C9'!H61)+'OTHER(C3)-A15'!H61</f>
        <v>2265.88</v>
      </c>
      <c r="I61" s="67">
        <f>SUM('PP-C8:AN-C9'!I61)+'OTHER(C3)-A15'!I61</f>
        <v>2163.98</v>
      </c>
      <c r="J61" s="67">
        <f>SUM('PP-C8:AN-C9'!J61)+'OTHER(C3)-A15'!J61</f>
        <v>2243.3500000000004</v>
      </c>
      <c r="K61" s="186">
        <f>SUM('PP-C8:AN-C9'!K61)+'OTHER(C3)-A15'!K61</f>
        <v>2225.3249999999998</v>
      </c>
      <c r="L61" s="187">
        <f>SUM('PP-C8:AN-C9'!L61)+'OTHER(C3)-A15'!L61</f>
        <v>2222.3249999999998</v>
      </c>
      <c r="M61" s="67">
        <f>SUM('PP-C8:AN-C9'!M61)+'OTHER(C3)-A15'!M61</f>
        <v>2222.3249999999998</v>
      </c>
      <c r="N61" s="67">
        <f>SUM('PP-C8:AN-C9'!N61)+'OTHER(C3)-A15'!N61</f>
        <v>2222.3249999999998</v>
      </c>
      <c r="O61" s="67">
        <f>SUM('PP-C8:AN-C9'!O61)+'OTHER(C3)-A15'!O61</f>
        <v>2222.3249999999998</v>
      </c>
      <c r="P61" s="67">
        <f>SUM('PP-C8:AN-C9'!P61)+'OTHER(C3)-A15'!P61</f>
        <v>2222.3249999999998</v>
      </c>
      <c r="Q61" s="68">
        <f>SUM('PP-C8:AN-C9'!Q61)+'OTHER(C3)-A15'!Q61</f>
        <v>2222.3249999999998</v>
      </c>
      <c r="R61" s="299">
        <f t="shared" si="0"/>
        <v>1.6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SUM('PP-C8:AN-C9'!D62)+'OTHER(C3)-A15'!D62</f>
        <v>950.92000000000007</v>
      </c>
      <c r="E62" s="67">
        <f>SUM('PP-C8:AN-C9'!E62)+'OTHER(C3)-A15'!E62</f>
        <v>1054.5</v>
      </c>
      <c r="F62" s="67">
        <f>SUM('PP-C8:AN-C9'!F62)+'OTHER(C3)-A15'!F62</f>
        <v>1094.28</v>
      </c>
      <c r="G62" s="67">
        <f>SUM('PP-C8:AN-C9'!G62)+'OTHER(C3)-A15'!G62</f>
        <v>1147.3899999999999</v>
      </c>
      <c r="H62" s="67">
        <f>SUM('PP-C8:AN-C9'!H62)+'OTHER(C3)-A15'!H62</f>
        <v>1149.3899999999999</v>
      </c>
      <c r="I62" s="67">
        <f>SUM('PP-C8:AN-C9'!I62)+'OTHER(C3)-A15'!I62</f>
        <v>1154.3899999999999</v>
      </c>
      <c r="J62" s="67">
        <f>SUM('PP-C8:AN-C9'!J62)+'OTHER(C3)-A15'!J62</f>
        <v>1102.3899999999999</v>
      </c>
      <c r="K62" s="186">
        <f>SUM('PP-C8:AN-C9'!K62)+'OTHER(C3)-A15'!K62</f>
        <v>1102.287</v>
      </c>
      <c r="L62" s="187">
        <f>SUM('PP-C8:AN-C9'!L62)+'OTHER(C3)-A15'!L62</f>
        <v>1102.287</v>
      </c>
      <c r="M62" s="67">
        <f>SUM('PP-C8:AN-C9'!M62)+'OTHER(C3)-A15'!M62</f>
        <v>1102.287</v>
      </c>
      <c r="N62" s="67">
        <f>SUM('PP-C8:AN-C9'!N62)+'OTHER(C3)-A15'!N62</f>
        <v>1102.287</v>
      </c>
      <c r="O62" s="67">
        <f>SUM('PP-C8:AN-C9'!O62)+'OTHER(C3)-A15'!O62</f>
        <v>1102.287</v>
      </c>
      <c r="P62" s="67">
        <f>SUM('PP-C8:AN-C9'!P62)+'OTHER(C3)-A15'!P62</f>
        <v>1102.287</v>
      </c>
      <c r="Q62" s="68">
        <f>SUM('PP-C8:AN-C9'!Q62)+'OTHER(C3)-A15'!Q62</f>
        <v>1102.287</v>
      </c>
      <c r="R62" s="299">
        <f t="shared" si="0"/>
        <v>2.1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214">
        <f>SUM('PP-C8:AN-C9'!D63)+'OTHER(C3)-A15'!D63</f>
        <v>3612.5</v>
      </c>
      <c r="E63" s="215">
        <f>SUM('PP-C8:AN-C9'!E63)+'OTHER(C3)-A15'!E63</f>
        <v>3931.13</v>
      </c>
      <c r="F63" s="215">
        <f>SUM('PP-C8:AN-C9'!F63)+'OTHER(C3)-A15'!F63</f>
        <v>4218.12</v>
      </c>
      <c r="G63" s="215">
        <f>SUM('PP-C8:AN-C9'!G63)+'OTHER(C3)-A15'!G63</f>
        <v>4200.6499999999996</v>
      </c>
      <c r="H63" s="215">
        <f>SUM('PP-C8:AN-C9'!H63)+'OTHER(C3)-A15'!H63</f>
        <v>4281.25</v>
      </c>
      <c r="I63" s="215">
        <f>SUM('PP-C8:AN-C9'!I63)+'OTHER(C3)-A15'!I63</f>
        <v>4186.32</v>
      </c>
      <c r="J63" s="215">
        <f>SUM('PP-C8:AN-C9'!J63)+'OTHER(C3)-A15'!J63</f>
        <v>4234.43</v>
      </c>
      <c r="K63" s="216">
        <f>SUM('PP-C8:AN-C9'!K63)+'OTHER(C3)-A15'!K63</f>
        <v>4159.1570000000002</v>
      </c>
      <c r="L63" s="217">
        <f>SUM('PP-C8:AN-C9'!L63)+'OTHER(C3)-A15'!L63</f>
        <v>4226.8194999999996</v>
      </c>
      <c r="M63" s="215">
        <f>SUM('PP-C8:AN-C9'!M63)+'OTHER(C3)-A15'!M63</f>
        <v>4248.7070000000003</v>
      </c>
      <c r="N63" s="215">
        <f>SUM('PP-C8:AN-C9'!N63)+'OTHER(C3)-A15'!N63</f>
        <v>4248.7070000000003</v>
      </c>
      <c r="O63" s="215">
        <f>SUM('PP-C8:AN-C9'!O63)+'OTHER(C3)-A15'!O63</f>
        <v>4248.7070000000003</v>
      </c>
      <c r="P63" s="215">
        <f>SUM('PP-C8:AN-C9'!P63)+'OTHER(C3)-A15'!P63</f>
        <v>4248.7070000000003</v>
      </c>
      <c r="Q63" s="218">
        <f>SUM('PP-C8:AN-C9'!Q63)+'OTHER(C3)-A15'!Q63</f>
        <v>4248.7070000000003</v>
      </c>
      <c r="R63" s="306">
        <f t="shared" si="0"/>
        <v>2</v>
      </c>
      <c r="S63" s="307">
        <f t="shared" si="1"/>
        <v>0.1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3">D63+D59+D56+D55+D53+D51+D49+D48</f>
        <v>77902.727396642033</v>
      </c>
      <c r="E64" s="210">
        <f t="shared" si="3"/>
        <v>80041.752249235011</v>
      </c>
      <c r="F64" s="210">
        <f t="shared" si="3"/>
        <v>81576.128537965764</v>
      </c>
      <c r="G64" s="210">
        <f t="shared" si="3"/>
        <v>86642.53356324615</v>
      </c>
      <c r="H64" s="210">
        <f t="shared" si="3"/>
        <v>90921.59560165435</v>
      </c>
      <c r="I64" s="210">
        <f t="shared" si="3"/>
        <v>95537.951688868372</v>
      </c>
      <c r="J64" s="210">
        <f t="shared" si="3"/>
        <v>100024.18944780284</v>
      </c>
      <c r="K64" s="211">
        <f t="shared" si="3"/>
        <v>104401.25308504626</v>
      </c>
      <c r="L64" s="212">
        <f t="shared" si="3"/>
        <v>108998.2595592174</v>
      </c>
      <c r="M64" s="210">
        <f t="shared" si="3"/>
        <v>112684.43155155182</v>
      </c>
      <c r="N64" s="210">
        <f t="shared" si="3"/>
        <v>119038.07269414267</v>
      </c>
      <c r="O64" s="210">
        <f t="shared" si="3"/>
        <v>124196.07737148351</v>
      </c>
      <c r="P64" s="210">
        <f t="shared" si="3"/>
        <v>127086.39260770234</v>
      </c>
      <c r="Q64" s="213">
        <f t="shared" si="3"/>
        <v>130362.77869056491</v>
      </c>
      <c r="R64" s="310">
        <f t="shared" si="0"/>
        <v>4.3</v>
      </c>
      <c r="S64" s="311">
        <f t="shared" si="1"/>
        <v>3.6</v>
      </c>
    </row>
    <row r="65" spans="1:22" ht="15" customHeight="1">
      <c r="A65" s="616" t="s">
        <v>327</v>
      </c>
      <c r="B65" s="644" t="s">
        <v>433</v>
      </c>
      <c r="C65" s="645"/>
      <c r="D65" s="175">
        <f>SUM('PP-C8:AN-C9'!D65)+'OTHER(C3)-A15'!D65</f>
        <v>2798.39</v>
      </c>
      <c r="E65" s="176">
        <f>SUM('PP-C8:AN-C9'!E65)+'OTHER(C3)-A15'!E65</f>
        <v>2905.95</v>
      </c>
      <c r="F65" s="176">
        <f>SUM('PP-C8:AN-C9'!F65)+'OTHER(C3)-A15'!F65</f>
        <v>2909.4500000000003</v>
      </c>
      <c r="G65" s="176">
        <f>SUM('PP-C8:AN-C9'!G65)+'OTHER(C3)-A15'!G65</f>
        <v>2943.38</v>
      </c>
      <c r="H65" s="176">
        <f>SUM('PP-C8:AN-C9'!H65)+'OTHER(C3)-A15'!H65</f>
        <v>3215.41</v>
      </c>
      <c r="I65" s="176">
        <f>SUM('PP-C8:AN-C9'!I65)+'OTHER(C3)-A15'!I65</f>
        <v>3241.19</v>
      </c>
      <c r="J65" s="176">
        <f>SUM('PP-C8:AN-C9'!J65)+'OTHER(C3)-A15'!J65</f>
        <v>3645.9700000000003</v>
      </c>
      <c r="K65" s="219">
        <f>SUM('PP-C8:AN-C9'!K65)+'OTHER(C3)-A15'!K65</f>
        <v>3715.6600000000003</v>
      </c>
      <c r="L65" s="220">
        <f>SUM('PP-C8:AN-C9'!L65)+'OTHER(C3)-A15'!L65</f>
        <v>3725.6000000000004</v>
      </c>
      <c r="M65" s="176">
        <f>SUM('PP-C8:AN-C9'!M65)+'OTHER(C3)-A15'!M65</f>
        <v>4056.5</v>
      </c>
      <c r="N65" s="176">
        <f>SUM('PP-C8:AN-C9'!N65)+'OTHER(C3)-A15'!N65</f>
        <v>4077.1000000000004</v>
      </c>
      <c r="O65" s="176">
        <f>SUM('PP-C8:AN-C9'!O65)+'OTHER(C3)-A15'!O65</f>
        <v>4568.8999999999996</v>
      </c>
      <c r="P65" s="176">
        <f>SUM('PP-C8:AN-C9'!P65)+'OTHER(C3)-A15'!P65</f>
        <v>4589.5</v>
      </c>
      <c r="Q65" s="221">
        <f>SUM('PP-C8:AN-C9'!Q65)+'OTHER(C3)-A15'!Q65</f>
        <v>4620.3999999999996</v>
      </c>
      <c r="R65" s="276">
        <f t="shared" si="0"/>
        <v>4.0999999999999996</v>
      </c>
      <c r="S65" s="298">
        <f t="shared" si="1"/>
        <v>4.4000000000000004</v>
      </c>
      <c r="T65" s="66"/>
    </row>
    <row r="66" spans="1:22" ht="15" customHeight="1">
      <c r="A66" s="614" t="s">
        <v>328</v>
      </c>
      <c r="B66" s="605" t="s">
        <v>434</v>
      </c>
      <c r="C66" s="606"/>
      <c r="D66" s="181">
        <f>SUM('PP-C8:AN-C9'!D66)+'OTHER(C3)-A15'!D66</f>
        <v>2155.65</v>
      </c>
      <c r="E66" s="67">
        <f>SUM('PP-C8:AN-C9'!E66)+'OTHER(C3)-A15'!E66</f>
        <v>2035.52</v>
      </c>
      <c r="F66" s="67">
        <f>SUM('PP-C8:AN-C9'!F66)+'OTHER(C3)-A15'!F66</f>
        <v>2153.9499999999998</v>
      </c>
      <c r="G66" s="67">
        <f>SUM('PP-C8:AN-C9'!G66)+'OTHER(C3)-A15'!G66</f>
        <v>2130.3900000000003</v>
      </c>
      <c r="H66" s="67">
        <f>SUM('PP-C8:AN-C9'!H66)+'OTHER(C3)-A15'!H66</f>
        <v>2082.1999999999998</v>
      </c>
      <c r="I66" s="67">
        <f>SUM('PP-C8:AN-C9'!I66)+'OTHER(C3)-A15'!I66</f>
        <v>2191.8900000000003</v>
      </c>
      <c r="J66" s="67">
        <f>SUM('PP-C8:AN-C9'!J66)+'OTHER(C3)-A15'!J66</f>
        <v>2176.44</v>
      </c>
      <c r="K66" s="186">
        <f>SUM('PP-C8:AN-C9'!K66)+'OTHER(C3)-A15'!K66</f>
        <v>2174.7200000000003</v>
      </c>
      <c r="L66" s="187">
        <f>SUM('PP-C8:AN-C9'!L66)+'OTHER(C3)-A15'!L66</f>
        <v>2196.35</v>
      </c>
      <c r="M66" s="67">
        <f>SUM('PP-C8:AN-C9'!M66)+'OTHER(C3)-A15'!M66</f>
        <v>2211.5</v>
      </c>
      <c r="N66" s="67">
        <f>SUM('PP-C8:AN-C9'!N66)+'OTHER(C3)-A15'!N66</f>
        <v>2211.5</v>
      </c>
      <c r="O66" s="67">
        <f>SUM('PP-C8:AN-C9'!O66)+'OTHER(C3)-A15'!O66</f>
        <v>2232.6999999999998</v>
      </c>
      <c r="P66" s="67">
        <f>SUM('PP-C8:AN-C9'!P66)+'OTHER(C3)-A15'!P66</f>
        <v>2216.6999999999998</v>
      </c>
      <c r="Q66" s="68">
        <f>SUM('PP-C8:AN-C9'!Q66)+'OTHER(C3)-A15'!Q66</f>
        <v>2227</v>
      </c>
      <c r="R66" s="299">
        <f t="shared" si="0"/>
        <v>0.1</v>
      </c>
      <c r="S66" s="300">
        <f t="shared" si="1"/>
        <v>0.3</v>
      </c>
      <c r="T66" s="66"/>
    </row>
    <row r="67" spans="1:22" ht="15" customHeight="1">
      <c r="A67" s="16"/>
      <c r="B67" s="605" t="s">
        <v>435</v>
      </c>
      <c r="C67" s="606"/>
      <c r="D67" s="181">
        <f>SUM('PP-C8:AN-C9'!D67)+'OTHER(C3)-A15'!D67</f>
        <v>550.6</v>
      </c>
      <c r="E67" s="67">
        <f>SUM('PP-C8:AN-C9'!E67)+'OTHER(C3)-A15'!E67</f>
        <v>592.20052000000021</v>
      </c>
      <c r="F67" s="67">
        <f>SUM('PP-C8:AN-C9'!F67)+'OTHER(C3)-A15'!F67</f>
        <v>576.9785189600002</v>
      </c>
      <c r="G67" s="67">
        <f>SUM('PP-C8:AN-C9'!G67)+'OTHER(C3)-A15'!G67</f>
        <v>575.30014108048022</v>
      </c>
      <c r="H67" s="67">
        <f>SUM('PP-C8:AN-C9'!H67)+'OTHER(C3)-A15'!H67</f>
        <v>562.57224524587298</v>
      </c>
      <c r="I67" s="67">
        <f>SUM('PP-C8:AN-C9'!I67)+'OTHER(C3)-A15'!I67</f>
        <v>556.7178573507905</v>
      </c>
      <c r="J67" s="67">
        <f>SUM('PP-C8:AN-C9'!J67)+'OTHER(C3)-A15'!J67</f>
        <v>439.84</v>
      </c>
      <c r="K67" s="186">
        <f>SUM('PP-C8:AN-C9'!K67)+'OTHER(C3)-A15'!K67</f>
        <v>512.87</v>
      </c>
      <c r="L67" s="187">
        <f>SUM('PP-C8:AN-C9'!L67)+'OTHER(C3)-A15'!L67</f>
        <v>547.9</v>
      </c>
      <c r="M67" s="67">
        <f>SUM('PP-C8:AN-C9'!M67)+'OTHER(C3)-A15'!M67</f>
        <v>548.92999999999995</v>
      </c>
      <c r="N67" s="67">
        <f>SUM('PP-C8:AN-C9'!N67)+'OTHER(C3)-A15'!N67</f>
        <v>549.96</v>
      </c>
      <c r="O67" s="67">
        <f>SUM('PP-C8:AN-C9'!O67)+'OTHER(C3)-A15'!O67</f>
        <v>554.99</v>
      </c>
      <c r="P67" s="67">
        <f>SUM('PP-C8:AN-C9'!P67)+'OTHER(C3)-A15'!P67</f>
        <v>556.02</v>
      </c>
      <c r="Q67" s="68">
        <f>SUM('PP-C8:AN-C9'!Q67)+'OTHER(C3)-A15'!Q67</f>
        <v>556.02</v>
      </c>
      <c r="R67" s="301">
        <f t="shared" si="0"/>
        <v>-1</v>
      </c>
      <c r="S67" s="300">
        <f t="shared" si="1"/>
        <v>0.3</v>
      </c>
      <c r="T67" s="66"/>
    </row>
    <row r="68" spans="1:22" ht="15" customHeight="1">
      <c r="A68" s="16"/>
      <c r="B68" s="605" t="s">
        <v>436</v>
      </c>
      <c r="C68" s="606"/>
      <c r="D68" s="181">
        <f>SUM('PP-C8:AN-C9'!D68)+'OTHER(C3)-A15'!D68</f>
        <v>19735.609999999997</v>
      </c>
      <c r="E68" s="67">
        <f>SUM('PP-C8:AN-C9'!E68)+'OTHER(C3)-A15'!E68</f>
        <v>21706.489999999998</v>
      </c>
      <c r="F68" s="67">
        <f>SUM('PP-C8:AN-C9'!F68)+'OTHER(C3)-A15'!F68</f>
        <v>22659.53</v>
      </c>
      <c r="G68" s="67">
        <f>SUM('PP-C8:AN-C9'!G68)+'OTHER(C3)-A15'!G68</f>
        <v>24989.040000000001</v>
      </c>
      <c r="H68" s="67">
        <f>SUM('PP-C8:AN-C9'!H68)+'OTHER(C3)-A15'!H68</f>
        <v>27651.69</v>
      </c>
      <c r="I68" s="67">
        <f>SUM('PP-C8:AN-C9'!I68)+'OTHER(C3)-A15'!I68</f>
        <v>30669.279999999999</v>
      </c>
      <c r="J68" s="67">
        <f>SUM('PP-C8:AN-C9'!J68)+'OTHER(C3)-A15'!J68</f>
        <v>33266.089999999997</v>
      </c>
      <c r="K68" s="186">
        <f>SUM('PP-C8:AN-C9'!K68)+'OTHER(C3)-A15'!K68</f>
        <v>34303.99</v>
      </c>
      <c r="L68" s="187">
        <f>SUM('PP-C8:AN-C9'!L68)+'OTHER(C3)-A15'!L68</f>
        <v>35890.1</v>
      </c>
      <c r="M68" s="67">
        <f>SUM('PP-C8:AN-C9'!M68)+'OTHER(C3)-A15'!M68</f>
        <v>37706.199999999997</v>
      </c>
      <c r="N68" s="67">
        <f>SUM('PP-C8:AN-C9'!N68)+'OTHER(C3)-A15'!N68</f>
        <v>39991.5</v>
      </c>
      <c r="O68" s="67">
        <f>SUM('PP-C8:AN-C9'!O68)+'OTHER(C3)-A15'!O68</f>
        <v>41749.25</v>
      </c>
      <c r="P68" s="67">
        <f>SUM('PP-C8:AN-C9'!P68)+'OTHER(C3)-A15'!P68</f>
        <v>43361.040000000008</v>
      </c>
      <c r="Q68" s="68">
        <f>SUM('PP-C8:AN-C9'!Q68)+'OTHER(C3)-A15'!Q68</f>
        <v>45472.94</v>
      </c>
      <c r="R68" s="299">
        <f t="shared" si="0"/>
        <v>8.1999999999999993</v>
      </c>
      <c r="S68" s="300">
        <f t="shared" si="1"/>
        <v>4.8</v>
      </c>
      <c r="T68" s="66"/>
      <c r="U68" s="14"/>
      <c r="V68" s="25"/>
    </row>
    <row r="69" spans="1:22" ht="15" customHeight="1">
      <c r="A69" s="16"/>
      <c r="B69" s="605" t="s">
        <v>437</v>
      </c>
      <c r="C69" s="606"/>
      <c r="D69" s="181">
        <f>SUM('PP-C8:AN-C9'!D69)+'OTHER(C3)-A15'!D69</f>
        <v>1565.92</v>
      </c>
      <c r="E69" s="67">
        <f>SUM('PP-C8:AN-C9'!E69)+'OTHER(C3)-A15'!E69</f>
        <v>1616.19</v>
      </c>
      <c r="F69" s="67">
        <f>SUM('PP-C8:AN-C9'!F69)+'OTHER(C3)-A15'!F69</f>
        <v>1784.14</v>
      </c>
      <c r="G69" s="67">
        <f>SUM('PP-C8:AN-C9'!G69)+'OTHER(C3)-A15'!G69</f>
        <v>1927.8</v>
      </c>
      <c r="H69" s="67">
        <f>SUM('PP-C8:AN-C9'!H69)+'OTHER(C3)-A15'!H69</f>
        <v>1892.2800000000002</v>
      </c>
      <c r="I69" s="67">
        <f>SUM('PP-C8:AN-C9'!I69)+'OTHER(C3)-A15'!I69</f>
        <v>1945.642296</v>
      </c>
      <c r="J69" s="67">
        <f>SUM('PP-C8:AN-C9'!J69)+'OTHER(C3)-A15'!J69</f>
        <v>2022.1253393236102</v>
      </c>
      <c r="K69" s="186">
        <f>SUM('PP-C8:AN-C9'!K69)+'OTHER(C3)-A15'!K69</f>
        <v>2140.2654910324873</v>
      </c>
      <c r="L69" s="187">
        <f>SUM('PP-C8:AN-C9'!L69)+'OTHER(C3)-A15'!L69</f>
        <v>2238.7177036199819</v>
      </c>
      <c r="M69" s="67">
        <f>SUM('PP-C8:AN-C9'!M69)+'OTHER(C3)-A15'!M69</f>
        <v>2325.1322069797134</v>
      </c>
      <c r="N69" s="67">
        <f>SUM('PP-C8:AN-C9'!N69)+'OTHER(C3)-A15'!N69</f>
        <v>2410.9295854172647</v>
      </c>
      <c r="O69" s="67">
        <f>SUM('PP-C8:AN-C9'!O69)+'OTHER(C3)-A15'!O69</f>
        <v>2435.7113743330037</v>
      </c>
      <c r="P69" s="67">
        <f>SUM('PP-C8:AN-C9'!P69)+'OTHER(C3)-A15'!P69</f>
        <v>2454.0694624146972</v>
      </c>
      <c r="Q69" s="68">
        <f>SUM('PP-C8:AN-C9'!Q69)+'OTHER(C3)-A15'!Q69</f>
        <v>2473.3958085135</v>
      </c>
      <c r="R69" s="299">
        <f t="shared" si="0"/>
        <v>4.5999999999999996</v>
      </c>
      <c r="S69" s="300">
        <f t="shared" si="1"/>
        <v>2</v>
      </c>
      <c r="T69" s="66"/>
    </row>
    <row r="70" spans="1:22" ht="15" customHeight="1">
      <c r="A70" s="16"/>
      <c r="B70" s="605" t="s">
        <v>438</v>
      </c>
      <c r="C70" s="606"/>
      <c r="D70" s="181">
        <f>SUM('PP-C8:AN-C9'!D70)+'OTHER(C3)-A15'!D70</f>
        <v>904.29628899084526</v>
      </c>
      <c r="E70" s="67">
        <f>SUM('PP-C8:AN-C9'!E70)+'OTHER(C3)-A15'!E70</f>
        <v>1024.0499141830689</v>
      </c>
      <c r="F70" s="67">
        <f>SUM('PP-C8:AN-C9'!F70)+'OTHER(C3)-A15'!F70</f>
        <v>1127.527797186686</v>
      </c>
      <c r="G70" s="67">
        <f>SUM('PP-C8:AN-C9'!G70)+'OTHER(C3)-A15'!G70</f>
        <v>1271.2300000000002</v>
      </c>
      <c r="H70" s="67">
        <f>SUM('PP-C8:AN-C9'!H70)+'OTHER(C3)-A15'!H70</f>
        <v>1331.3897710426863</v>
      </c>
      <c r="I70" s="67">
        <f>SUM('PP-C8:AN-C9'!I70)+'OTHER(C3)-A15'!I70</f>
        <v>1373.6197710426861</v>
      </c>
      <c r="J70" s="67">
        <f>SUM('PP-C8:AN-C9'!J70)+'OTHER(C3)-A15'!J70</f>
        <v>1446.6297710426861</v>
      </c>
      <c r="K70" s="186">
        <f>SUM('PP-C8:AN-C9'!K70)+'OTHER(C3)-A15'!K70</f>
        <v>1723.72</v>
      </c>
      <c r="L70" s="187">
        <f>SUM('PP-C8:AN-C9'!L70)+'OTHER(C3)-A15'!L70</f>
        <v>1630.6384</v>
      </c>
      <c r="M70" s="67">
        <f>SUM('PP-C8:AN-C9'!M70)+'OTHER(C3)-A15'!M70</f>
        <v>1714.51</v>
      </c>
      <c r="N70" s="67">
        <f>SUM('PP-C8:AN-C9'!N70)+'OTHER(C3)-A15'!N70</f>
        <v>1792.7</v>
      </c>
      <c r="O70" s="67">
        <f>SUM('PP-C8:AN-C9'!O70)+'OTHER(C3)-A15'!O70</f>
        <v>1880.1000000000001</v>
      </c>
      <c r="P70" s="67">
        <f>SUM('PP-C8:AN-C9'!P70)+'OTHER(C3)-A15'!P70</f>
        <v>1972.5000000000002</v>
      </c>
      <c r="Q70" s="68">
        <f>SUM('PP-C8:AN-C9'!Q70)+'OTHER(C3)-A15'!Q70</f>
        <v>2064.9</v>
      </c>
      <c r="R70" s="299">
        <f t="shared" si="0"/>
        <v>9.6999999999999993</v>
      </c>
      <c r="S70" s="300">
        <f t="shared" si="1"/>
        <v>4.8</v>
      </c>
      <c r="T70" s="66"/>
    </row>
    <row r="71" spans="1:22" ht="15" customHeight="1">
      <c r="A71" s="16"/>
      <c r="B71" s="605" t="s">
        <v>439</v>
      </c>
      <c r="C71" s="606"/>
      <c r="D71" s="181">
        <f>SUM('PP-C8:AN-C9'!D71)+'OTHER(C3)-A15'!D71</f>
        <v>2824.55</v>
      </c>
      <c r="E71" s="67">
        <f>SUM('PP-C8:AN-C9'!E71)+'OTHER(C3)-A15'!E71</f>
        <v>2891.08</v>
      </c>
      <c r="F71" s="67">
        <f>SUM('PP-C8:AN-C9'!F71)+'OTHER(C3)-A15'!F71</f>
        <v>3298.23</v>
      </c>
      <c r="G71" s="67">
        <f>SUM('PP-C8:AN-C9'!G71)+'OTHER(C3)-A15'!G71</f>
        <v>4055.69</v>
      </c>
      <c r="H71" s="67">
        <f>SUM('PP-C8:AN-C9'!H71)+'OTHER(C3)-A15'!H71</f>
        <v>4572.5</v>
      </c>
      <c r="I71" s="67">
        <f>SUM('PP-C8:AN-C9'!I71)+'OTHER(C3)-A15'!I71</f>
        <v>4408.3</v>
      </c>
      <c r="J71" s="67">
        <f>SUM('PP-C8:AN-C9'!J71)+'OTHER(C3)-A15'!J71</f>
        <v>4551.8999999999996</v>
      </c>
      <c r="K71" s="186">
        <f>SUM('PP-C8:AN-C9'!K71)+'OTHER(C3)-A15'!K71</f>
        <v>4636.1000000000004</v>
      </c>
      <c r="L71" s="187">
        <f>SUM('PP-C8:AN-C9'!L71)+'OTHER(C3)-A15'!L71</f>
        <v>4722.75</v>
      </c>
      <c r="M71" s="67">
        <f>SUM('PP-C8:AN-C9'!M71)+'OTHER(C3)-A15'!M71</f>
        <v>4934.2</v>
      </c>
      <c r="N71" s="67">
        <f>SUM('PP-C8:AN-C9'!N71)+'OTHER(C3)-A15'!N71</f>
        <v>5145.6499999999996</v>
      </c>
      <c r="O71" s="67">
        <f>SUM('PP-C8:AN-C9'!O71)+'OTHER(C3)-A15'!O71</f>
        <v>5357.1</v>
      </c>
      <c r="P71" s="67">
        <f>SUM('PP-C8:AN-C9'!P71)+'OTHER(C3)-A15'!P71</f>
        <v>5568.55</v>
      </c>
      <c r="Q71" s="68">
        <f>SUM('PP-C8:AN-C9'!Q71)+'OTHER(C3)-A15'!Q71</f>
        <v>5568.55</v>
      </c>
      <c r="R71" s="299">
        <f t="shared" si="0"/>
        <v>7.3</v>
      </c>
      <c r="S71" s="300">
        <f t="shared" si="1"/>
        <v>3.3</v>
      </c>
      <c r="T71" s="66"/>
    </row>
    <row r="72" spans="1:22" ht="15.75" hidden="1" customHeight="1">
      <c r="A72" s="16"/>
      <c r="B72" s="16"/>
      <c r="C72" s="90" t="s">
        <v>306</v>
      </c>
      <c r="D72" s="181">
        <f>SUM('PP-C8:AN-C9'!D72)+'OTHER(C3)-A15'!D72</f>
        <v>0</v>
      </c>
      <c r="E72" s="67">
        <f>SUM('PP-C8:AN-C9'!E72)+'OTHER(C3)-A15'!E72</f>
        <v>0</v>
      </c>
      <c r="F72" s="67">
        <f>SUM('PP-C8:AN-C9'!F72)+'OTHER(C3)-A15'!F72</f>
        <v>0</v>
      </c>
      <c r="G72" s="67">
        <f>SUM('PP-C8:AN-C9'!G72)+'OTHER(C3)-A15'!G72</f>
        <v>0</v>
      </c>
      <c r="H72" s="67">
        <f>SUM('PP-C8:AN-C9'!H72)+'OTHER(C3)-A15'!H72</f>
        <v>0</v>
      </c>
      <c r="I72" s="67">
        <f>SUM('PP-C8:AN-C9'!I72)+'OTHER(C3)-A15'!I72</f>
        <v>0</v>
      </c>
      <c r="J72" s="67">
        <f>SUM('PP-C8:AN-C9'!J72)+'OTHER(C3)-A15'!J72</f>
        <v>0</v>
      </c>
      <c r="K72" s="186">
        <f>SUM('PP-C8:AN-C9'!K72)+'OTHER(C3)-A15'!K72</f>
        <v>0</v>
      </c>
      <c r="L72" s="187">
        <f>SUM('PP-C8:AN-C9'!L72)+'OTHER(C3)-A15'!L72</f>
        <v>0</v>
      </c>
      <c r="M72" s="67">
        <f>SUM('PP-C8:AN-C9'!M72)+'OTHER(C3)-A15'!M72</f>
        <v>0</v>
      </c>
      <c r="N72" s="67">
        <f>SUM('PP-C8:AN-C9'!N72)+'OTHER(C3)-A15'!N72</f>
        <v>0</v>
      </c>
      <c r="O72" s="67">
        <f>SUM('PP-C8:AN-C9'!O72)+'OTHER(C3)-A15'!O72</f>
        <v>0</v>
      </c>
      <c r="P72" s="67">
        <f>SUM('PP-C8:AN-C9'!P72)+'OTHER(C3)-A15'!P72</f>
        <v>0</v>
      </c>
      <c r="Q72" s="68">
        <f>SUM('PP-C8:AN-C9'!Q72)+'OTHER(C3)-A15'!Q72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  <c r="T72" s="66"/>
    </row>
    <row r="73" spans="1:22" ht="15" customHeight="1">
      <c r="A73" s="16"/>
      <c r="B73" s="605" t="s">
        <v>440</v>
      </c>
      <c r="C73" s="606"/>
      <c r="D73" s="181">
        <f>SUM('PP-C8:AN-C9'!D73)+'OTHER(C3)-A15'!D73</f>
        <v>157.59</v>
      </c>
      <c r="E73" s="67">
        <f>SUM('PP-C8:AN-C9'!E73)+'OTHER(C3)-A15'!E73</f>
        <v>145.22999999999999</v>
      </c>
      <c r="F73" s="67">
        <f>SUM('PP-C8:AN-C9'!F73)+'OTHER(C3)-A15'!F73</f>
        <v>195.28285</v>
      </c>
      <c r="G73" s="67">
        <f>SUM('PP-C8:AN-C9'!G73)+'OTHER(C3)-A15'!G73</f>
        <v>175.1</v>
      </c>
      <c r="H73" s="67">
        <f>SUM('PP-C8:AN-C9'!H73)+'OTHER(C3)-A15'!H73</f>
        <v>205.30578</v>
      </c>
      <c r="I73" s="67">
        <f>SUM('PP-C8:AN-C9'!I73)+'OTHER(C3)-A15'!I73</f>
        <v>217.26820000000001</v>
      </c>
      <c r="J73" s="67">
        <f>SUM('PP-C8:AN-C9'!J73)+'OTHER(C3)-A15'!J73</f>
        <v>230.29770000000002</v>
      </c>
      <c r="K73" s="186">
        <f>SUM('PP-C8:AN-C9'!K73)+'OTHER(C3)-A15'!K73</f>
        <v>244.12029999999999</v>
      </c>
      <c r="L73" s="187">
        <f>SUM('PP-C8:AN-C9'!L73)+'OTHER(C3)-A15'!L73</f>
        <v>258.76690000000002</v>
      </c>
      <c r="M73" s="67">
        <f>SUM('PP-C8:AN-C9'!M73)+'OTHER(C3)-A15'!M73</f>
        <v>274.28900000000004</v>
      </c>
      <c r="N73" s="67">
        <f>SUM('PP-C8:AN-C9'!N73)+'OTHER(C3)-A15'!N73</f>
        <v>290.7484</v>
      </c>
      <c r="O73" s="67">
        <f>SUM('PP-C8:AN-C9'!O73)+'OTHER(C3)-A15'!O73</f>
        <v>307.97000000000003</v>
      </c>
      <c r="P73" s="67">
        <f>SUM('PP-C8:AN-C9'!P73)+'OTHER(C3)-A15'!P73</f>
        <v>326.51</v>
      </c>
      <c r="Q73" s="68">
        <f>SUM('PP-C8:AN-C9'!Q73)+'OTHER(C3)-A15'!Q73</f>
        <v>346.08</v>
      </c>
      <c r="R73" s="302">
        <f t="shared" si="4"/>
        <v>6.5</v>
      </c>
      <c r="S73" s="300">
        <f t="shared" si="5"/>
        <v>6</v>
      </c>
      <c r="T73" s="66"/>
    </row>
    <row r="74" spans="1:22" ht="15" customHeight="1">
      <c r="A74" s="16"/>
      <c r="B74" s="605" t="s">
        <v>441</v>
      </c>
      <c r="C74" s="606"/>
      <c r="D74" s="181">
        <f>SUM('PP-C8:AN-C9'!D74)+'OTHER(C3)-A15'!D74</f>
        <v>667.30173219218796</v>
      </c>
      <c r="E74" s="67">
        <f>SUM('PP-C8:AN-C9'!E74)+'OTHER(C3)-A15'!E74</f>
        <v>701.01699364211652</v>
      </c>
      <c r="F74" s="67">
        <f>SUM('PP-C8:AN-C9'!F74)+'OTHER(C3)-A15'!F74</f>
        <v>722.3</v>
      </c>
      <c r="G74" s="67">
        <f>SUM('PP-C8:AN-C9'!G74)+'OTHER(C3)-A15'!G74</f>
        <v>752.91890999999998</v>
      </c>
      <c r="H74" s="67">
        <f>SUM('PP-C8:AN-C9'!H74)+'OTHER(C3)-A15'!H74</f>
        <v>969.59320000000002</v>
      </c>
      <c r="I74" s="67">
        <f>SUM('PP-C8:AN-C9'!I74)+'OTHER(C3)-A15'!I74</f>
        <v>878.01758865000011</v>
      </c>
      <c r="J74" s="67">
        <f>SUM('PP-C8:AN-C9'!J74)+'OTHER(C3)-A15'!J74</f>
        <v>882.69529305716992</v>
      </c>
      <c r="K74" s="186">
        <f>SUM('PP-C8:AN-C9'!K74)+'OTHER(C3)-A15'!K74</f>
        <v>924.42396717641918</v>
      </c>
      <c r="L74" s="187">
        <f>SUM('PP-C8:AN-C9'!L74)+'OTHER(C3)-A15'!L74</f>
        <v>967.87189363371067</v>
      </c>
      <c r="M74" s="67">
        <f>SUM('PP-C8:AN-C9'!M74)+'OTHER(C3)-A15'!M74</f>
        <v>1012.3940007408615</v>
      </c>
      <c r="N74" s="67">
        <f>SUM('PP-C8:AN-C9'!N74)+'OTHER(C3)-A15'!N74</f>
        <v>1060.9889127764229</v>
      </c>
      <c r="O74" s="67">
        <f>SUM('PP-C8:AN-C9'!O74)+'OTHER(C3)-A15'!O74</f>
        <v>1112.3407761548017</v>
      </c>
      <c r="P74" s="67">
        <f>SUM('PP-C8:AN-C9'!P74)+'OTHER(C3)-A15'!P74</f>
        <v>1166.1780697206943</v>
      </c>
      <c r="Q74" s="68">
        <f>SUM('PP-C8:AN-C9'!Q74)+'OTHER(C3)-A15'!Q74</f>
        <v>1222.6210882951759</v>
      </c>
      <c r="R74" s="299">
        <f t="shared" si="4"/>
        <v>4.8</v>
      </c>
      <c r="S74" s="300">
        <f t="shared" si="5"/>
        <v>4.8</v>
      </c>
      <c r="T74" s="66"/>
    </row>
    <row r="75" spans="1:22" ht="15" customHeight="1">
      <c r="A75" s="16"/>
      <c r="B75" s="605" t="s">
        <v>442</v>
      </c>
      <c r="C75" s="606"/>
      <c r="D75" s="181">
        <f>SUM('PP-C8:AN-C9'!D75)+'OTHER(C3)-A15'!D75</f>
        <v>329.6</v>
      </c>
      <c r="E75" s="67">
        <f>SUM('PP-C8:AN-C9'!E75)+'OTHER(C3)-A15'!E75</f>
        <v>352.26</v>
      </c>
      <c r="F75" s="67">
        <f>SUM('PP-C8:AN-C9'!F75)+'OTHER(C3)-A15'!F75</f>
        <v>375.95</v>
      </c>
      <c r="G75" s="67">
        <f>SUM('PP-C8:AN-C9'!G75)+'OTHER(C3)-A15'!G75</f>
        <v>401.7</v>
      </c>
      <c r="H75" s="67">
        <f>SUM('PP-C8:AN-C9'!H75)+'OTHER(C3)-A15'!H75</f>
        <v>429.51</v>
      </c>
      <c r="I75" s="67">
        <f>SUM('PP-C8:AN-C9'!I75)+'OTHER(C3)-A15'!I75</f>
        <v>458.35</v>
      </c>
      <c r="J75" s="67">
        <f>SUM('PP-C8:AN-C9'!J75)+'OTHER(C3)-A15'!J75</f>
        <v>487.19</v>
      </c>
      <c r="K75" s="186">
        <f>SUM('PP-C8:AN-C9'!K75)+'OTHER(C3)-A15'!K75</f>
        <v>1335.91</v>
      </c>
      <c r="L75" s="187">
        <f>SUM('PP-C8:AN-C9'!L75)+'OTHER(C3)-A15'!L75</f>
        <v>1592.38</v>
      </c>
      <c r="M75" s="67">
        <f>SUM('PP-C8:AN-C9'!M75)+'OTHER(C3)-A15'!M75</f>
        <v>1687.14</v>
      </c>
      <c r="N75" s="67">
        <f>SUM('PP-C8:AN-C9'!N75)+'OTHER(C3)-A15'!N75</f>
        <v>1788.0800000000002</v>
      </c>
      <c r="O75" s="67">
        <f>SUM('PP-C8:AN-C9'!O75)+'OTHER(C3)-A15'!O75</f>
        <v>1895.2</v>
      </c>
      <c r="P75" s="67">
        <f>SUM('PP-C8:AN-C9'!P75)+'OTHER(C3)-A15'!P75</f>
        <v>2008.5</v>
      </c>
      <c r="Q75" s="68">
        <f>SUM('PP-C8:AN-C9'!Q75)+'OTHER(C3)-A15'!Q75</f>
        <v>2129.0100000000002</v>
      </c>
      <c r="R75" s="302">
        <f t="shared" si="4"/>
        <v>22.1</v>
      </c>
      <c r="S75" s="300">
        <f t="shared" si="5"/>
        <v>6</v>
      </c>
      <c r="T75" s="66"/>
    </row>
    <row r="76" spans="1:22" ht="15" customHeight="1">
      <c r="A76" s="16"/>
      <c r="B76" s="607" t="s">
        <v>443</v>
      </c>
      <c r="C76" s="608"/>
      <c r="D76" s="181">
        <f>SUM('PP-C8:AN-C9'!D76)+'OTHER(C3)-A15'!D76</f>
        <v>4397.4111799999991</v>
      </c>
      <c r="E76" s="67">
        <f>SUM('PP-C8:AN-C9'!E76)+'OTHER(C3)-A15'!E76</f>
        <v>4182.4790000000012</v>
      </c>
      <c r="F76" s="67">
        <f>SUM('PP-C8:AN-C9'!F76)+'OTHER(C3)-A15'!F76</f>
        <v>4107.1559999999999</v>
      </c>
      <c r="G76" s="67">
        <f>SUM('PP-C8:AN-C9'!G76)+'OTHER(C3)-A15'!G76</f>
        <v>3838.364</v>
      </c>
      <c r="H76" s="67">
        <f>SUM('PP-C8:AN-C9'!H76)+'OTHER(C3)-A15'!H76</f>
        <v>4241.1899999999996</v>
      </c>
      <c r="I76" s="67">
        <f>SUM('PP-C8:AN-C9'!I76)+'OTHER(C3)-A15'!I76</f>
        <v>4273.3990599999997</v>
      </c>
      <c r="J76" s="67">
        <f>SUM('PP-C8:AN-C9'!J76)+'OTHER(C3)-A15'!J76</f>
        <v>4410.2147199999999</v>
      </c>
      <c r="K76" s="186">
        <f>SUM('PP-C8:AN-C9'!K76)+'OTHER(C3)-A15'!K76</f>
        <v>4727.6232</v>
      </c>
      <c r="L76" s="187">
        <f>SUM('PP-C8:AN-C9'!L76)+'OTHER(C3)-A15'!L76</f>
        <v>4796.4340000000002</v>
      </c>
      <c r="M76" s="67">
        <f>SUM('PP-C8:AN-C9'!M76)+'OTHER(C3)-A15'!M76</f>
        <v>4971.2369936981295</v>
      </c>
      <c r="N76" s="67">
        <f>SUM('PP-C8:AN-C9'!N76)+'OTHER(C3)-A15'!N76</f>
        <v>4999.4651279451446</v>
      </c>
      <c r="O76" s="67">
        <f>SUM('PP-C8:AN-C9'!O76)+'OTHER(C3)-A15'!O76</f>
        <v>5023.910721870041</v>
      </c>
      <c r="P76" s="67">
        <f>SUM('PP-C8:AN-C9'!P76)+'OTHER(C3)-A15'!P76</f>
        <v>5051.4120150355511</v>
      </c>
      <c r="Q76" s="68">
        <f>SUM('PP-C8:AN-C9'!Q76)+'OTHER(C3)-A15'!Q76</f>
        <v>5078.9133082010612</v>
      </c>
      <c r="R76" s="299">
        <f t="shared" si="4"/>
        <v>1</v>
      </c>
      <c r="S76" s="300">
        <f t="shared" si="5"/>
        <v>1.2</v>
      </c>
      <c r="T76" s="66"/>
    </row>
    <row r="77" spans="1:22" ht="15.75" customHeight="1">
      <c r="A77" s="16"/>
      <c r="B77" s="674" t="s">
        <v>307</v>
      </c>
      <c r="C77" s="675"/>
      <c r="D77" s="194">
        <f>SUM('PP-C8:AN-C9'!D77)+'OTHER(C3)-A15'!D77</f>
        <v>36086.919201183031</v>
      </c>
      <c r="E77" s="195">
        <f>SUM('PP-C8:AN-C9'!E77)+'OTHER(C3)-A15'!E77</f>
        <v>38152.46642782518</v>
      </c>
      <c r="F77" s="195">
        <f>SUM('PP-C8:AN-C9'!F77)+'OTHER(C3)-A15'!F77</f>
        <v>39910.495166146691</v>
      </c>
      <c r="G77" s="195">
        <f>SUM('PP-C8:AN-C9'!G77)+'OTHER(C3)-A15'!G77</f>
        <v>43060.913051080483</v>
      </c>
      <c r="H77" s="195">
        <f>SUM('PP-C8:AN-C9'!H77)+'OTHER(C3)-A15'!H77</f>
        <v>47153.640996288552</v>
      </c>
      <c r="I77" s="195">
        <f>SUM('PP-C8:AN-C9'!I77)+'OTHER(C3)-A15'!I77</f>
        <v>50213.674773043473</v>
      </c>
      <c r="J77" s="195">
        <f>SUM('PP-C8:AN-C9'!J77)+'OTHER(C3)-A15'!J77</f>
        <v>53559.392823423463</v>
      </c>
      <c r="K77" s="196">
        <f>SUM('PP-C8:AN-C9'!K77)+'OTHER(C3)-A15'!K77</f>
        <v>56439.402958208906</v>
      </c>
      <c r="L77" s="197">
        <f>SUM('PP-C8:AN-C9'!L77)+'OTHER(C3)-A15'!L77</f>
        <v>58567.508897253691</v>
      </c>
      <c r="M77" s="195">
        <f>SUM('PP-C8:AN-C9'!M77)+'OTHER(C3)-A15'!M77</f>
        <v>61442.032201418704</v>
      </c>
      <c r="N77" s="195">
        <f>SUM('PP-C8:AN-C9'!N77)+'OTHER(C3)-A15'!N77</f>
        <v>64318.62202613883</v>
      </c>
      <c r="O77" s="195">
        <f>SUM('PP-C8:AN-C9'!O77)+'OTHER(C3)-A15'!O77</f>
        <v>67118.172872357842</v>
      </c>
      <c r="P77" s="195">
        <f>SUM('PP-C8:AN-C9'!P77)+'OTHER(C3)-A15'!P77</f>
        <v>69270.979547170951</v>
      </c>
      <c r="Q77" s="198">
        <f>SUM('PP-C8:AN-C9'!Q77)+'OTHER(C3)-A15'!Q77</f>
        <v>71759.830205009726</v>
      </c>
      <c r="R77" s="303">
        <f t="shared" si="4"/>
        <v>6.6</v>
      </c>
      <c r="S77" s="304">
        <f t="shared" si="5"/>
        <v>4.0999999999999996</v>
      </c>
      <c r="T77" s="66"/>
      <c r="U77" s="14"/>
      <c r="V77" s="25"/>
    </row>
    <row r="78" spans="1:22" ht="15" customHeight="1">
      <c r="A78" s="16"/>
      <c r="B78" s="672" t="s">
        <v>308</v>
      </c>
      <c r="C78" s="673"/>
      <c r="D78" s="194">
        <f>SUM('PP-C8:AN-C9'!D78)+'OTHER(C3)-A15'!D78</f>
        <v>396.82799999999997</v>
      </c>
      <c r="E78" s="195">
        <f>SUM('PP-C8:AN-C9'!E78)+'OTHER(C3)-A15'!E78</f>
        <v>360.77800000000002</v>
      </c>
      <c r="F78" s="195">
        <f>SUM('PP-C8:AN-C9'!F78)+'OTHER(C3)-A15'!F78</f>
        <v>327.81799999999998</v>
      </c>
      <c r="G78" s="195">
        <f>SUM('PP-C8:AN-C9'!G78)+'OTHER(C3)-A15'!G78</f>
        <v>276.31799999999998</v>
      </c>
      <c r="H78" s="195">
        <f>SUM('PP-C8:AN-C9'!H78)+'OTHER(C3)-A15'!H78</f>
        <v>161.988</v>
      </c>
      <c r="I78" s="195">
        <f>SUM('PP-C8:AN-C9'!I78)+'OTHER(C3)-A15'!I78</f>
        <v>101.133</v>
      </c>
      <c r="J78" s="195">
        <f>SUM('PP-C8:AN-C9'!J78)+'OTHER(C3)-A15'!J78</f>
        <v>121.12700000000001</v>
      </c>
      <c r="K78" s="196">
        <f>SUM('PP-C8:AN-C9'!K78)+'OTHER(C3)-A15'!K78</f>
        <v>100.83600000000001</v>
      </c>
      <c r="L78" s="197">
        <f>SUM('PP-C8:AN-C9'!L78)+'OTHER(C3)-A15'!L78</f>
        <v>100.83600000000001</v>
      </c>
      <c r="M78" s="195">
        <f>SUM('PP-C8:AN-C9'!M78)+'OTHER(C3)-A15'!M78</f>
        <v>102.89600000000002</v>
      </c>
      <c r="N78" s="195">
        <f>SUM('PP-C8:AN-C9'!N78)+'OTHER(C3)-A15'!N78</f>
        <v>102.89600000000002</v>
      </c>
      <c r="O78" s="195">
        <f>SUM('PP-C8:AN-C9'!O78)+'OTHER(C3)-A15'!O78</f>
        <v>105.01049999999999</v>
      </c>
      <c r="P78" s="195">
        <f>SUM('PP-C8:AN-C9'!P78)+'OTHER(C3)-A15'!P78</f>
        <v>105.01049999999999</v>
      </c>
      <c r="Q78" s="198">
        <f>SUM('PP-C8:AN-C9'!Q78)+'OTHER(C3)-A15'!Q78</f>
        <v>104.52</v>
      </c>
      <c r="R78" s="305">
        <f t="shared" si="4"/>
        <v>-17.8</v>
      </c>
      <c r="S78" s="304">
        <f t="shared" si="5"/>
        <v>0.7</v>
      </c>
      <c r="T78" s="66"/>
    </row>
    <row r="79" spans="1:22" ht="15" customHeight="1">
      <c r="A79" s="16"/>
      <c r="B79" s="105"/>
      <c r="C79" s="97" t="s">
        <v>309</v>
      </c>
      <c r="D79" s="194">
        <f>SUM('PP-C8:AN-C9'!D79)+'OTHER(C3)-A15'!D79</f>
        <v>344.298</v>
      </c>
      <c r="E79" s="195">
        <f>SUM('PP-C8:AN-C9'!E79)+'OTHER(C3)-A15'!E79</f>
        <v>360.77800000000002</v>
      </c>
      <c r="F79" s="195">
        <f>SUM('PP-C8:AN-C9'!F79)+'OTHER(C3)-A15'!F79</f>
        <v>327.81799999999998</v>
      </c>
      <c r="G79" s="195">
        <f>SUM('PP-C8:AN-C9'!G79)+'OTHER(C3)-A15'!G79</f>
        <v>276.31799999999998</v>
      </c>
      <c r="H79" s="195">
        <f>SUM('PP-C8:AN-C9'!H79)+'OTHER(C3)-A15'!H79</f>
        <v>161.988</v>
      </c>
      <c r="I79" s="195">
        <f>SUM('PP-C8:AN-C9'!I79)+'OTHER(C3)-A15'!I79</f>
        <v>101.133</v>
      </c>
      <c r="J79" s="195">
        <f>SUM('PP-C8:AN-C9'!J79)+'OTHER(C3)-A15'!J79</f>
        <v>121.12700000000001</v>
      </c>
      <c r="K79" s="196">
        <f>SUM('PP-C8:AN-C9'!K79)+'OTHER(C3)-A15'!K79</f>
        <v>100.83600000000001</v>
      </c>
      <c r="L79" s="197">
        <f>SUM('PP-C8:AN-C9'!L79)+'OTHER(C3)-A15'!L79</f>
        <v>100.83600000000001</v>
      </c>
      <c r="M79" s="195">
        <f>SUM('PP-C8:AN-C9'!M79)+'OTHER(C3)-A15'!M79</f>
        <v>102.89600000000002</v>
      </c>
      <c r="N79" s="195">
        <f>SUM('PP-C8:AN-C9'!N79)+'OTHER(C3)-A15'!N79</f>
        <v>102.89600000000002</v>
      </c>
      <c r="O79" s="195">
        <f>SUM('PP-C8:AN-C9'!O79)+'OTHER(C3)-A15'!O79</f>
        <v>105.01049999999999</v>
      </c>
      <c r="P79" s="195">
        <f>SUM('PP-C8:AN-C9'!P79)+'OTHER(C3)-A15'!P79</f>
        <v>105.01049999999999</v>
      </c>
      <c r="Q79" s="198">
        <f>SUM('PP-C8:AN-C9'!Q79)+'OTHER(C3)-A15'!Q79</f>
        <v>104.52</v>
      </c>
      <c r="R79" s="305">
        <f t="shared" si="4"/>
        <v>-16.100000000000001</v>
      </c>
      <c r="S79" s="304">
        <f t="shared" si="5"/>
        <v>0.7</v>
      </c>
      <c r="T79" s="66"/>
    </row>
    <row r="80" spans="1:22" ht="15.75" customHeight="1">
      <c r="A80" s="16"/>
      <c r="B80" s="672" t="s">
        <v>310</v>
      </c>
      <c r="C80" s="673"/>
      <c r="D80" s="181">
        <f>SUM('PP-C8:AN-C9'!D80)+'OTHER(C3)-A15'!D80</f>
        <v>17004.875352791441</v>
      </c>
      <c r="E80" s="67">
        <f>SUM('PP-C8:AN-C9'!E80)+'OTHER(C3)-A15'!E80</f>
        <v>17154.692449130871</v>
      </c>
      <c r="F80" s="67">
        <f>SUM('PP-C8:AN-C9'!F80)+'OTHER(C3)-A15'!F80</f>
        <v>14562.753720930235</v>
      </c>
      <c r="G80" s="67">
        <f>SUM('PP-C8:AN-C9'!G80)+'OTHER(C3)-A15'!G80</f>
        <v>14589.533720930234</v>
      </c>
      <c r="H80" s="67">
        <f>SUM('PP-C8:AN-C9'!H80)+'OTHER(C3)-A15'!H80</f>
        <v>14774.507729410234</v>
      </c>
      <c r="I80" s="67">
        <f>SUM('PP-C8:AN-C9'!I80)+'OTHER(C3)-A15'!I80</f>
        <v>15123.300900000002</v>
      </c>
      <c r="J80" s="67">
        <f>SUM('PP-C8:AN-C9'!J80)+'OTHER(C3)-A15'!J80</f>
        <v>15484.124395770003</v>
      </c>
      <c r="K80" s="186">
        <f>SUM('PP-C8:AN-C9'!K80)+'OTHER(C3)-A15'!K80</f>
        <v>15625.5563458</v>
      </c>
      <c r="L80" s="187">
        <f>SUM('PP-C8:AN-C9'!L80)+'OTHER(C3)-A15'!L80</f>
        <v>15859.378883380003</v>
      </c>
      <c r="M80" s="67">
        <f>SUM('PP-C8:AN-C9'!M80)+'OTHER(C3)-A15'!M80</f>
        <v>16072.701314780003</v>
      </c>
      <c r="N80" s="67">
        <f>SUM('PP-C8:AN-C9'!N80)+'OTHER(C3)-A15'!N80</f>
        <v>16277.650267860005</v>
      </c>
      <c r="O80" s="67">
        <f>SUM('PP-C8:AN-C9'!O80)+'OTHER(C3)-A15'!O80</f>
        <v>16447.292590060002</v>
      </c>
      <c r="P80" s="67">
        <f>SUM('PP-C8:AN-C9'!P80)+'OTHER(C3)-A15'!P80</f>
        <v>16594.091333620003</v>
      </c>
      <c r="Q80" s="68">
        <f>SUM('PP-C8:AN-C9'!Q80)+'OTHER(C3)-A15'!Q80</f>
        <v>16740.142729780004</v>
      </c>
      <c r="R80" s="299">
        <f t="shared" si="4"/>
        <v>-1.2</v>
      </c>
      <c r="S80" s="300">
        <f t="shared" si="5"/>
        <v>1.1000000000000001</v>
      </c>
      <c r="T80" s="66"/>
    </row>
    <row r="81" spans="1:22" ht="15" customHeight="1">
      <c r="A81" s="16"/>
      <c r="B81" s="105"/>
      <c r="C81" s="615" t="s">
        <v>311</v>
      </c>
      <c r="D81" s="194">
        <f>SUM('PP-C8:AN-C9'!D81)+'OTHER(C3)-A15'!D81</f>
        <v>14001.869999999999</v>
      </c>
      <c r="E81" s="195">
        <f>SUM('PP-C8:AN-C9'!E81)+'OTHER(C3)-A15'!E81</f>
        <v>15041.539703633891</v>
      </c>
      <c r="F81" s="195">
        <f>SUM('PP-C8:AN-C9'!F81)+'OTHER(C3)-A15'!F81</f>
        <v>12796.291406976745</v>
      </c>
      <c r="G81" s="195">
        <f>SUM('PP-C8:AN-C9'!G81)+'OTHER(C3)-A15'!G81</f>
        <v>12799.381406976745</v>
      </c>
      <c r="H81" s="195">
        <f>SUM('PP-C8:AN-C9'!H81)+'OTHER(C3)-A15'!H81</f>
        <v>12936.648930176745</v>
      </c>
      <c r="I81" s="195">
        <f>SUM('PP-C8:AN-C9'!I81)+'OTHER(C3)-A15'!I81</f>
        <v>13212.346</v>
      </c>
      <c r="J81" s="195">
        <f>SUM('PP-C8:AN-C9'!J81)+'OTHER(C3)-A15'!J81</f>
        <v>13520.2213658</v>
      </c>
      <c r="K81" s="196">
        <f>SUM('PP-C8:AN-C9'!K81)+'OTHER(C3)-A15'!K81</f>
        <v>13614.05481987</v>
      </c>
      <c r="L81" s="197">
        <f>SUM('PP-C8:AN-C9'!L81)+'OTHER(C3)-A15'!L81</f>
        <v>13796.975478009999</v>
      </c>
      <c r="M81" s="195">
        <f>SUM('PP-C8:AN-C9'!M81)+'OTHER(C3)-A15'!M81</f>
        <v>13959.47794999</v>
      </c>
      <c r="N81" s="195">
        <f>SUM('PP-C8:AN-C9'!N81)+'OTHER(C3)-A15'!N81</f>
        <v>14117.906015920002</v>
      </c>
      <c r="O81" s="195">
        <f>SUM('PP-C8:AN-C9'!O81)+'OTHER(C3)-A15'!O81</f>
        <v>14240.89103115</v>
      </c>
      <c r="P81" s="195">
        <f>SUM('PP-C8:AN-C9'!P81)+'OTHER(C3)-A15'!P81</f>
        <v>14343.421104980001</v>
      </c>
      <c r="Q81" s="198">
        <f>SUM('PP-C8:AN-C9'!Q81)+'OTHER(C3)-A15'!Q81</f>
        <v>14444.992608280001</v>
      </c>
      <c r="R81" s="303">
        <f t="shared" si="4"/>
        <v>-0.4</v>
      </c>
      <c r="S81" s="304">
        <f t="shared" si="5"/>
        <v>0.9</v>
      </c>
      <c r="T81" s="66"/>
    </row>
    <row r="82" spans="1:22" ht="15.75" customHeight="1">
      <c r="A82" s="16"/>
      <c r="B82" s="672" t="s">
        <v>312</v>
      </c>
      <c r="C82" s="673"/>
      <c r="D82" s="181">
        <f>SUM('PP-C8:AN-C9'!D82)+'OTHER(C3)-A15'!D82</f>
        <v>2128.71</v>
      </c>
      <c r="E82" s="67">
        <f>SUM('PP-C8:AN-C9'!E82)+'OTHER(C3)-A15'!E82</f>
        <v>3119.34</v>
      </c>
      <c r="F82" s="67">
        <f>SUM('PP-C8:AN-C9'!F82)+'OTHER(C3)-A15'!F82</f>
        <v>3252.4880000000003</v>
      </c>
      <c r="G82" s="67">
        <f>SUM('PP-C8:AN-C9'!G82)+'OTHER(C3)-A15'!G82</f>
        <v>3315.59328</v>
      </c>
      <c r="H82" s="67">
        <f>SUM('PP-C8:AN-C9'!H82)+'OTHER(C3)-A15'!H82</f>
        <v>3309.1007948000001</v>
      </c>
      <c r="I82" s="67">
        <f>SUM('PP-C8:AN-C9'!I82)+'OTHER(C3)-A15'!I82</f>
        <v>3373.1060226179998</v>
      </c>
      <c r="J82" s="67">
        <f>SUM('PP-C8:AN-C9'!J82)+'OTHER(C3)-A15'!J82</f>
        <v>3483.9349834096301</v>
      </c>
      <c r="K82" s="186">
        <f>SUM('PP-C8:AN-C9'!K82)+'OTHER(C3)-A15'!K82</f>
        <v>3605.5542578289669</v>
      </c>
      <c r="L82" s="187">
        <f>SUM('PP-C8:AN-C9'!L82)+'OTHER(C3)-A15'!L82</f>
        <v>3815.3210068529811</v>
      </c>
      <c r="M82" s="67">
        <f>SUM('PP-C8:AN-C9'!M82)+'OTHER(C3)-A15'!M82</f>
        <v>4089.4729920928353</v>
      </c>
      <c r="N82" s="67">
        <f>SUM('PP-C8:AN-C9'!N82)+'OTHER(C3)-A15'!N82</f>
        <v>4321.312992092835</v>
      </c>
      <c r="O82" s="67">
        <f>SUM('PP-C8:AN-C9'!O82)+'OTHER(C3)-A15'!O82</f>
        <v>4514.0129920928357</v>
      </c>
      <c r="P82" s="67">
        <f>SUM('PP-C8:AN-C9'!P82)+'OTHER(C3)-A15'!P82</f>
        <v>4738.79</v>
      </c>
      <c r="Q82" s="68">
        <f>SUM('PP-C8:AN-C9'!Q82)+'OTHER(C3)-A15'!Q82</f>
        <v>4966.04</v>
      </c>
      <c r="R82" s="299">
        <f t="shared" si="4"/>
        <v>7.8</v>
      </c>
      <c r="S82" s="300">
        <f t="shared" si="5"/>
        <v>5.4</v>
      </c>
      <c r="T82" s="66"/>
    </row>
    <row r="83" spans="1:22" ht="15" customHeight="1">
      <c r="A83" s="16"/>
      <c r="B83" s="16"/>
      <c r="C83" s="615" t="s">
        <v>313</v>
      </c>
      <c r="D83" s="194">
        <f>SUM('PP-C8:AN-C9'!D83)+'OTHER(C3)-A15'!D83</f>
        <v>0</v>
      </c>
      <c r="E83" s="195">
        <f>SUM('PP-C8:AN-C9'!E83)+'OTHER(C3)-A15'!E83</f>
        <v>507.79</v>
      </c>
      <c r="F83" s="195">
        <f>SUM('PP-C8:AN-C9'!F83)+'OTHER(C3)-A15'!F83</f>
        <v>530.45000000000005</v>
      </c>
      <c r="G83" s="195">
        <f>SUM('PP-C8:AN-C9'!G83)+'OTHER(C3)-A15'!G83</f>
        <v>535.6</v>
      </c>
      <c r="H83" s="195">
        <f>SUM('PP-C8:AN-C9'!H83)+'OTHER(C3)-A15'!H83</f>
        <v>547.96</v>
      </c>
      <c r="I83" s="195">
        <f>SUM('PP-C8:AN-C9'!I83)+'OTHER(C3)-A15'!I83</f>
        <v>561.35</v>
      </c>
      <c r="J83" s="195">
        <f>SUM('PP-C8:AN-C9'!J83)+'OTHER(C3)-A15'!J83</f>
        <v>571.65</v>
      </c>
      <c r="K83" s="196">
        <f>SUM('PP-C8:AN-C9'!K83)+'OTHER(C3)-A15'!K83</f>
        <v>579.89</v>
      </c>
      <c r="L83" s="197">
        <f>SUM('PP-C8:AN-C9'!L83)+'OTHER(C3)-A15'!L83</f>
        <v>599.46</v>
      </c>
      <c r="M83" s="195">
        <f>SUM('PP-C8:AN-C9'!M83)+'OTHER(C3)-A15'!M83</f>
        <v>618</v>
      </c>
      <c r="N83" s="195">
        <f>SUM('PP-C8:AN-C9'!N83)+'OTHER(C3)-A15'!N83</f>
        <v>637.57000000000005</v>
      </c>
      <c r="O83" s="195">
        <f>SUM('PP-C8:AN-C9'!O83)+'OTHER(C3)-A15'!O83</f>
        <v>657.14</v>
      </c>
      <c r="P83" s="195">
        <f>SUM('PP-C8:AN-C9'!P83)+'OTHER(C3)-A15'!P83</f>
        <v>675.68000000000006</v>
      </c>
      <c r="Q83" s="198">
        <f>SUM('PP-C8:AN-C9'!Q83)+'OTHER(C3)-A15'!Q83</f>
        <v>690.1</v>
      </c>
      <c r="R83" s="303" t="str">
        <f t="shared" si="4"/>
        <v xml:space="preserve">     -</v>
      </c>
      <c r="S83" s="304">
        <f t="shared" si="5"/>
        <v>2.9</v>
      </c>
      <c r="T83" s="66"/>
    </row>
    <row r="84" spans="1:22" ht="15.75" customHeight="1">
      <c r="A84" s="16"/>
      <c r="B84" s="674" t="s">
        <v>314</v>
      </c>
      <c r="C84" s="675"/>
      <c r="D84" s="194">
        <f>SUM('PP-C8:AN-C9'!D84)+'OTHER(C3)-A15'!D84</f>
        <v>1316.28</v>
      </c>
      <c r="E84" s="195">
        <f>SUM('PP-C8:AN-C9'!E84)+'OTHER(C3)-A15'!E84</f>
        <v>1412.22</v>
      </c>
      <c r="F84" s="195">
        <f>SUM('PP-C8:AN-C9'!F84)+'OTHER(C3)-A15'!F84</f>
        <v>1415.7625</v>
      </c>
      <c r="G84" s="195">
        <f>SUM('PP-C8:AN-C9'!G84)+'OTHER(C3)-A15'!G84</f>
        <v>1474.737975</v>
      </c>
      <c r="H84" s="195">
        <f>SUM('PP-C8:AN-C9'!H84)+'OTHER(C3)-A15'!H84</f>
        <v>1647.9689432500002</v>
      </c>
      <c r="I84" s="195">
        <f>SUM('PP-C8:AN-C9'!I84)+'OTHER(C3)-A15'!I84</f>
        <v>1976.8004058725001</v>
      </c>
      <c r="J84" s="195">
        <f>SUM('PP-C8:AN-C9'!J84)+'OTHER(C3)-A15'!J84</f>
        <v>2030.9863586359249</v>
      </c>
      <c r="K84" s="196">
        <f>SUM('PP-C8:AN-C9'!K84)+'OTHER(C3)-A15'!K84</f>
        <v>2206.9931852585951</v>
      </c>
      <c r="L84" s="197">
        <f>SUM('PP-C8:AN-C9'!L84)+'OTHER(C3)-A15'!L84</f>
        <v>2344.1484993422127</v>
      </c>
      <c r="M84" s="195">
        <f>SUM('PP-C8:AN-C9'!M84)+'OTHER(C3)-A15'!M84</f>
        <v>2480.1084993422128</v>
      </c>
      <c r="N84" s="195">
        <f>SUM('PP-C8:AN-C9'!N84)+'OTHER(C3)-A15'!N84</f>
        <v>2622.2484993422127</v>
      </c>
      <c r="O84" s="195">
        <f>SUM('PP-C8:AN-C9'!O84)+'OTHER(C3)-A15'!O84</f>
        <v>2768.5084993422129</v>
      </c>
      <c r="P84" s="195">
        <f>SUM('PP-C8:AN-C9'!P84)+'OTHER(C3)-A15'!P84</f>
        <v>2923.21</v>
      </c>
      <c r="Q84" s="198">
        <f>SUM('PP-C8:AN-C9'!Q84)+'OTHER(C3)-A15'!Q84</f>
        <v>3026.21</v>
      </c>
      <c r="R84" s="303">
        <f t="shared" si="4"/>
        <v>7.7</v>
      </c>
      <c r="S84" s="304">
        <f t="shared" si="5"/>
        <v>5.2</v>
      </c>
      <c r="T84" s="66"/>
    </row>
    <row r="85" spans="1:22" ht="15.75" customHeight="1">
      <c r="A85" s="16"/>
      <c r="B85" s="674" t="s">
        <v>315</v>
      </c>
      <c r="C85" s="675"/>
      <c r="D85" s="194">
        <f>SUM('PP-C8:AN-C9'!D85)+'OTHER(C3)-A15'!D85</f>
        <v>1651.19</v>
      </c>
      <c r="E85" s="195">
        <f>SUM('PP-C8:AN-C9'!E85)+'OTHER(C3)-A15'!E85</f>
        <v>1682.7199999999998</v>
      </c>
      <c r="F85" s="195">
        <f>SUM('PP-C8:AN-C9'!F85)+'OTHER(C3)-A15'!F85</f>
        <v>1483.0770000000002</v>
      </c>
      <c r="G85" s="195">
        <f>SUM('PP-C8:AN-C9'!G85)+'OTHER(C3)-A15'!G85</f>
        <v>1671.6307093999999</v>
      </c>
      <c r="H85" s="195">
        <f>SUM('PP-C8:AN-C9'!H85)+'OTHER(C3)-A15'!H85</f>
        <v>1652.3753173658001</v>
      </c>
      <c r="I85" s="195">
        <f>SUM('PP-C8:AN-C9'!I85)+'OTHER(C3)-A15'!I85</f>
        <v>1647.55</v>
      </c>
      <c r="J85" s="195">
        <f>SUM('PP-C8:AN-C9'!J85)+'OTHER(C3)-A15'!J85</f>
        <v>2118.54504</v>
      </c>
      <c r="K85" s="196">
        <f>SUM('PP-C8:AN-C9'!K85)+'OTHER(C3)-A15'!K85</f>
        <v>1911.0976808</v>
      </c>
      <c r="L85" s="197">
        <f>SUM('PP-C8:AN-C9'!L85)+'OTHER(C3)-A15'!L85</f>
        <v>2063.1947144127998</v>
      </c>
      <c r="M85" s="195">
        <f>SUM('PP-C8:AN-C9'!M85)+'OTHER(C3)-A15'!M85</f>
        <v>2333.2162457001664</v>
      </c>
      <c r="N85" s="195">
        <f>SUM('PP-C8:AN-C9'!N85)+'OTHER(C3)-A15'!N85</f>
        <v>2443.7842893856687</v>
      </c>
      <c r="O85" s="195">
        <f>SUM('PP-C8:AN-C9'!O85)+'OTHER(C3)-A15'!O85</f>
        <v>2518.3258537264542</v>
      </c>
      <c r="P85" s="195">
        <f>SUM('PP-C8:AN-C9'!P85)+'OTHER(C3)-A15'!P85</f>
        <v>2585.651291532351</v>
      </c>
      <c r="Q85" s="198">
        <f>SUM('PP-C8:AN-C9'!Q85)+'OTHER(C3)-A15'!Q85</f>
        <v>2704.7000000000003</v>
      </c>
      <c r="R85" s="303">
        <f t="shared" si="4"/>
        <v>2.1</v>
      </c>
      <c r="S85" s="304">
        <f t="shared" si="5"/>
        <v>5.6</v>
      </c>
      <c r="T85" s="66"/>
    </row>
    <row r="86" spans="1:22" ht="15" customHeight="1">
      <c r="A86" s="16"/>
      <c r="B86" s="672" t="s">
        <v>316</v>
      </c>
      <c r="C86" s="673"/>
      <c r="D86" s="181">
        <f>SUM('PP-C8:AN-C9'!D86)+'OTHER(C3)-A15'!D86</f>
        <v>13579.619999999999</v>
      </c>
      <c r="E86" s="67">
        <f>SUM('PP-C8:AN-C9'!E86)+'OTHER(C3)-A15'!E86</f>
        <v>11500.69</v>
      </c>
      <c r="F86" s="67">
        <f>SUM('PP-C8:AN-C9'!F86)+'OTHER(C3)-A15'!F86</f>
        <v>11651.369999999999</v>
      </c>
      <c r="G86" s="67">
        <f>SUM('PP-C8:AN-C9'!G86)+'OTHER(C3)-A15'!G86</f>
        <v>12085.54</v>
      </c>
      <c r="H86" s="67">
        <f>SUM('PP-C8:AN-C9'!H86)+'OTHER(C3)-A15'!H86</f>
        <v>12335.8</v>
      </c>
      <c r="I86" s="67">
        <f>SUM('PP-C8:AN-C9'!I86)+'OTHER(C3)-A15'!I86</f>
        <v>12671.5</v>
      </c>
      <c r="J86" s="67">
        <f>SUM('PP-C8:AN-C9'!J86)+'OTHER(C3)-A15'!J86</f>
        <v>12954.279999999999</v>
      </c>
      <c r="K86" s="186">
        <f>SUM('PP-C8:AN-C9'!K86)+'OTHER(C3)-A15'!K86</f>
        <v>13290.8</v>
      </c>
      <c r="L86" s="187">
        <f>SUM('PP-C8:AN-C9'!L86)+'OTHER(C3)-A15'!L86</f>
        <v>13663.970000000001</v>
      </c>
      <c r="M86" s="67">
        <f>SUM('PP-C8:AN-C9'!M86)+'OTHER(C3)-A15'!M86</f>
        <v>14014.42</v>
      </c>
      <c r="N86" s="67">
        <f>SUM('PP-C8:AN-C9'!N86)+'OTHER(C3)-A15'!N86</f>
        <v>14158.19</v>
      </c>
      <c r="O86" s="67">
        <f>SUM('PP-C8:AN-C9'!O86)+'OTHER(C3)-A15'!O86</f>
        <v>14296.75</v>
      </c>
      <c r="P86" s="67">
        <f>SUM('PP-C8:AN-C9'!P86)+'OTHER(C3)-A15'!P86</f>
        <v>14417.74</v>
      </c>
      <c r="Q86" s="68">
        <f>SUM('PP-C8:AN-C9'!Q86)+'OTHER(C3)-A15'!Q86</f>
        <v>14532.550000000001</v>
      </c>
      <c r="R86" s="299">
        <f t="shared" si="4"/>
        <v>-0.3</v>
      </c>
      <c r="S86" s="300">
        <f t="shared" si="5"/>
        <v>1.2</v>
      </c>
      <c r="T86" s="66"/>
    </row>
    <row r="87" spans="1:22" ht="15" customHeight="1">
      <c r="A87" s="16"/>
      <c r="B87" s="670" t="s">
        <v>317</v>
      </c>
      <c r="C87" s="671"/>
      <c r="D87" s="181">
        <f>SUM('PP-C8:AN-C9'!D87)+'OTHER(C3)-A15'!D87</f>
        <v>540.29999999999995</v>
      </c>
      <c r="E87" s="67">
        <f>SUM('PP-C8:AN-C9'!E87)+'OTHER(C3)-A15'!E87</f>
        <v>544.42000000000007</v>
      </c>
      <c r="F87" s="67">
        <f>SUM('PP-C8:AN-C9'!F87)+'OTHER(C3)-A15'!F87</f>
        <v>544.54</v>
      </c>
      <c r="G87" s="67">
        <f>SUM('PP-C8:AN-C9'!G87)+'OTHER(C3)-A15'!G87</f>
        <v>577.66</v>
      </c>
      <c r="H87" s="67">
        <f>SUM('PP-C8:AN-C9'!H87)+'OTHER(C3)-A15'!H87</f>
        <v>596.84</v>
      </c>
      <c r="I87" s="67">
        <f>SUM('PP-C8:AN-C9'!I87)+'OTHER(C3)-A15'!I87</f>
        <v>615.9</v>
      </c>
      <c r="J87" s="67">
        <f>SUM('PP-C8:AN-C9'!J87)+'OTHER(C3)-A15'!J87</f>
        <v>640.99</v>
      </c>
      <c r="K87" s="186">
        <f>SUM('PP-C8:AN-C9'!K87)+'OTHER(C3)-A15'!K87</f>
        <v>665.2</v>
      </c>
      <c r="L87" s="187">
        <f>SUM('PP-C8:AN-C9'!L87)+'OTHER(C3)-A15'!L87</f>
        <v>670.35</v>
      </c>
      <c r="M87" s="67">
        <f>SUM('PP-C8:AN-C9'!M87)+'OTHER(C3)-A15'!M87</f>
        <v>675.5</v>
      </c>
      <c r="N87" s="67">
        <f>SUM('PP-C8:AN-C9'!N87)+'OTHER(C3)-A15'!N87</f>
        <v>680.65000000000009</v>
      </c>
      <c r="O87" s="67">
        <f>SUM('PP-C8:AN-C9'!O87)+'OTHER(C3)-A15'!O87</f>
        <v>685.8</v>
      </c>
      <c r="P87" s="67">
        <f>SUM('PP-C8:AN-C9'!P87)+'OTHER(C3)-A15'!P87</f>
        <v>689.92000000000007</v>
      </c>
      <c r="Q87" s="68">
        <f>SUM('PP-C8:AN-C9'!Q87)+'OTHER(C3)-A15'!Q87</f>
        <v>694.04</v>
      </c>
      <c r="R87" s="299">
        <f t="shared" si="4"/>
        <v>3</v>
      </c>
      <c r="S87" s="300">
        <f t="shared" si="5"/>
        <v>0.7</v>
      </c>
      <c r="T87" s="66"/>
    </row>
    <row r="88" spans="1:22" ht="15.75" customHeight="1">
      <c r="A88" s="16"/>
      <c r="B88" s="674" t="s">
        <v>318</v>
      </c>
      <c r="C88" s="675"/>
      <c r="D88" s="194">
        <f>SUM('PP-C8:AN-C9'!D88)+'OTHER(C3)-A15'!D88</f>
        <v>14119.92</v>
      </c>
      <c r="E88" s="195">
        <f>SUM('PP-C8:AN-C9'!E88)+'OTHER(C3)-A15'!E88</f>
        <v>12045.11</v>
      </c>
      <c r="F88" s="195">
        <f>SUM('PP-C8:AN-C9'!F88)+'OTHER(C3)-A15'!F88</f>
        <v>12195.91</v>
      </c>
      <c r="G88" s="195">
        <f>SUM('PP-C8:AN-C9'!G88)+'OTHER(C3)-A15'!G88</f>
        <v>12663.2</v>
      </c>
      <c r="H88" s="195">
        <f>SUM('PP-C8:AN-C9'!H88)+'OTHER(C3)-A15'!H88</f>
        <v>12932.64</v>
      </c>
      <c r="I88" s="195">
        <f>SUM('PP-C8:AN-C9'!I88)+'OTHER(C3)-A15'!I88</f>
        <v>13287.400000000001</v>
      </c>
      <c r="J88" s="195">
        <f>SUM('PP-C8:AN-C9'!J88)+'OTHER(C3)-A15'!J88</f>
        <v>13595.27</v>
      </c>
      <c r="K88" s="196">
        <f>SUM('PP-C8:AN-C9'!K88)+'OTHER(C3)-A15'!K88</f>
        <v>13956</v>
      </c>
      <c r="L88" s="197">
        <f>SUM('PP-C8:AN-C9'!L88)+'OTHER(C3)-A15'!L88</f>
        <v>14334.32</v>
      </c>
      <c r="M88" s="195">
        <f>SUM('PP-C8:AN-C9'!M88)+'OTHER(C3)-A15'!M88</f>
        <v>14689.92</v>
      </c>
      <c r="N88" s="195">
        <f>SUM('PP-C8:AN-C9'!N88)+'OTHER(C3)-A15'!N88</f>
        <v>14838.84</v>
      </c>
      <c r="O88" s="195">
        <f>SUM('PP-C8:AN-C9'!O88)+'OTHER(C3)-A15'!O88</f>
        <v>14982.550000000001</v>
      </c>
      <c r="P88" s="195">
        <f>SUM('PP-C8:AN-C9'!P88)+'OTHER(C3)-A15'!P88</f>
        <v>15107.66</v>
      </c>
      <c r="Q88" s="198">
        <f>SUM('PP-C8:AN-C9'!Q88)+'OTHER(C3)-A15'!Q88</f>
        <v>15226.59</v>
      </c>
      <c r="R88" s="303">
        <f t="shared" si="4"/>
        <v>-0.2</v>
      </c>
      <c r="S88" s="304">
        <f t="shared" si="5"/>
        <v>1.2</v>
      </c>
      <c r="T88" s="66"/>
    </row>
    <row r="89" spans="1:22" ht="15" customHeight="1">
      <c r="A89" s="16"/>
      <c r="B89" s="672" t="s">
        <v>319</v>
      </c>
      <c r="C89" s="673"/>
      <c r="D89" s="181">
        <f>SUM('PP-C8:AN-C9'!D89)+'OTHER(C3)-A15'!D89</f>
        <v>1261.48</v>
      </c>
      <c r="E89" s="67">
        <f>SUM('PP-C8:AN-C9'!E89)+'OTHER(C3)-A15'!E89</f>
        <v>1265.02</v>
      </c>
      <c r="F89" s="67">
        <f>SUM('PP-C8:AN-C9'!F89)+'OTHER(C3)-A15'!F89</f>
        <v>1416.56</v>
      </c>
      <c r="G89" s="67">
        <f>SUM('PP-C8:AN-C9'!G89)+'OTHER(C3)-A15'!G89</f>
        <v>1436.19</v>
      </c>
      <c r="H89" s="67">
        <f>SUM('PP-C8:AN-C9'!H89)+'OTHER(C3)-A15'!H89</f>
        <v>1460</v>
      </c>
      <c r="I89" s="67">
        <f>SUM('PP-C8:AN-C9'!I89)+'OTHER(C3)-A15'!I89</f>
        <v>1486.9</v>
      </c>
      <c r="J89" s="67">
        <f>SUM('PP-C8:AN-C9'!J89)+'OTHER(C3)-A15'!J89</f>
        <v>1429.68</v>
      </c>
      <c r="K89" s="186">
        <f>SUM('PP-C8:AN-C9'!K89)+'OTHER(C3)-A15'!K89</f>
        <v>1452.46</v>
      </c>
      <c r="L89" s="187">
        <f>SUM('PP-C8:AN-C9'!L89)+'OTHER(C3)-A15'!L89</f>
        <v>1477.3000000000002</v>
      </c>
      <c r="M89" s="67">
        <f>SUM('PP-C8:AN-C9'!M89)+'OTHER(C3)-A15'!M89</f>
        <v>1506.26</v>
      </c>
      <c r="N89" s="67">
        <f>SUM('PP-C8:AN-C9'!N89)+'OTHER(C3)-A15'!N89</f>
        <v>1539.3999999999999</v>
      </c>
      <c r="O89" s="67">
        <f>SUM('PP-C8:AN-C9'!O89)+'OTHER(C3)-A15'!O89</f>
        <v>1574.6</v>
      </c>
      <c r="P89" s="67">
        <f>SUM('PP-C8:AN-C9'!P89)+'OTHER(C3)-A15'!P89</f>
        <v>1611.8600000000001</v>
      </c>
      <c r="Q89" s="68">
        <f>SUM('PP-C8:AN-C9'!Q89)+'OTHER(C3)-A15'!Q89</f>
        <v>1650.15</v>
      </c>
      <c r="R89" s="299">
        <f t="shared" si="4"/>
        <v>2</v>
      </c>
      <c r="S89" s="300">
        <f t="shared" si="5"/>
        <v>2.2000000000000002</v>
      </c>
      <c r="T89" s="66"/>
    </row>
    <row r="90" spans="1:22" ht="15" customHeight="1">
      <c r="A90" s="16"/>
      <c r="B90" s="668" t="s">
        <v>320</v>
      </c>
      <c r="C90" s="669"/>
      <c r="D90" s="181">
        <f>SUM('PP-C8:AN-C9'!D90)+'OTHER(C3)-A15'!D90</f>
        <v>1834.97</v>
      </c>
      <c r="E90" s="67">
        <f>SUM('PP-C8:AN-C9'!E90)+'OTHER(C3)-A15'!E90</f>
        <v>1841.69</v>
      </c>
      <c r="F90" s="67">
        <f>SUM('PP-C8:AN-C9'!F90)+'OTHER(C3)-A15'!F90</f>
        <v>1884.8300000000002</v>
      </c>
      <c r="G90" s="67">
        <f>SUM('PP-C8:AN-C9'!G90)+'OTHER(C3)-A15'!G90</f>
        <v>1986.9</v>
      </c>
      <c r="H90" s="67">
        <f>SUM('PP-C8:AN-C9'!H90)+'OTHER(C3)-A15'!H90</f>
        <v>1976.5700000000002</v>
      </c>
      <c r="I90" s="67">
        <f>SUM('PP-C8:AN-C9'!I90)+'OTHER(C3)-A15'!I90</f>
        <v>1878.5400000000002</v>
      </c>
      <c r="J90" s="67">
        <f>SUM('PP-C8:AN-C9'!J90)+'OTHER(C3)-A15'!J90</f>
        <v>1828.8000000000002</v>
      </c>
      <c r="K90" s="186">
        <f>SUM('PP-C8:AN-C9'!K90)+'OTHER(C3)-A15'!K90</f>
        <v>1856.2500000000002</v>
      </c>
      <c r="L90" s="187">
        <f>SUM('PP-C8:AN-C9'!L90)+'OTHER(C3)-A15'!L90</f>
        <v>1888.8200000000002</v>
      </c>
      <c r="M90" s="67">
        <f>SUM('PP-C8:AN-C9'!M90)+'OTHER(C3)-A15'!M90</f>
        <v>1936.7800000000002</v>
      </c>
      <c r="N90" s="67">
        <f>SUM('PP-C8:AN-C9'!N90)+'OTHER(C3)-A15'!N90</f>
        <v>1969.7400000000002</v>
      </c>
      <c r="O90" s="67">
        <f>SUM('PP-C8:AN-C9'!O90)+'OTHER(C3)-A15'!O90</f>
        <v>2002.7</v>
      </c>
      <c r="P90" s="67">
        <f>SUM('PP-C8:AN-C9'!P90)+'OTHER(C3)-A15'!P90</f>
        <v>2035.66</v>
      </c>
      <c r="Q90" s="68">
        <f>SUM('PP-C8:AN-C9'!Q90)+'OTHER(C3)-A15'!Q90</f>
        <v>2069.65</v>
      </c>
      <c r="R90" s="299">
        <f t="shared" si="4"/>
        <v>0.2</v>
      </c>
      <c r="S90" s="300">
        <f t="shared" si="5"/>
        <v>1.8</v>
      </c>
      <c r="T90" s="66"/>
    </row>
    <row r="91" spans="1:22" ht="15" customHeight="1">
      <c r="A91" s="16"/>
      <c r="B91" s="670" t="s">
        <v>321</v>
      </c>
      <c r="C91" s="671"/>
      <c r="D91" s="181">
        <f>SUM('PP-C8:AN-C9'!D91)+'OTHER(C3)-A15'!D91</f>
        <v>1224.6299999999999</v>
      </c>
      <c r="E91" s="67">
        <f>SUM('PP-C8:AN-C9'!E91)+'OTHER(C3)-A15'!E91</f>
        <v>1291.25</v>
      </c>
      <c r="F91" s="67">
        <f>SUM('PP-C8:AN-C9'!F91)+'OTHER(C3)-A15'!F91</f>
        <v>1389.92</v>
      </c>
      <c r="G91" s="67">
        <f>SUM('PP-C8:AN-C9'!G91)+'OTHER(C3)-A15'!G91</f>
        <v>1499.92</v>
      </c>
      <c r="H91" s="67">
        <f>SUM('PP-C8:AN-C9'!H91)+'OTHER(C3)-A15'!H91</f>
        <v>1519.4900000000002</v>
      </c>
      <c r="I91" s="67">
        <f>SUM('PP-C8:AN-C9'!I91)+'OTHER(C3)-A15'!I91</f>
        <v>1521.4</v>
      </c>
      <c r="J91" s="67">
        <f>SUM('PP-C8:AN-C9'!J91)+'OTHER(C3)-A15'!J91</f>
        <v>1524.89</v>
      </c>
      <c r="K91" s="186">
        <f>SUM('PP-C8:AN-C9'!K91)+'OTHER(C3)-A15'!K91</f>
        <v>1567.085</v>
      </c>
      <c r="L91" s="187">
        <f>SUM('PP-C8:AN-C9'!L91)+'OTHER(C3)-A15'!L91</f>
        <v>1598.11</v>
      </c>
      <c r="M91" s="67">
        <f>SUM('PP-C8:AN-C9'!M91)+'OTHER(C3)-A15'!M91</f>
        <v>1628.0400000000002</v>
      </c>
      <c r="N91" s="67">
        <f>SUM('PP-C8:AN-C9'!N91)+'OTHER(C3)-A15'!N91</f>
        <v>1665.24</v>
      </c>
      <c r="O91" s="67">
        <f>SUM('PP-C8:AN-C9'!O91)+'OTHER(C3)-A15'!O91</f>
        <v>1704.5</v>
      </c>
      <c r="P91" s="67">
        <f>SUM('PP-C8:AN-C9'!P91)+'OTHER(C3)-A15'!P91</f>
        <v>1745.8200000000002</v>
      </c>
      <c r="Q91" s="68">
        <f>SUM('PP-C8:AN-C9'!Q91)+'OTHER(C3)-A15'!Q91</f>
        <v>1789.1999999999998</v>
      </c>
      <c r="R91" s="299">
        <f t="shared" si="4"/>
        <v>3.6</v>
      </c>
      <c r="S91" s="300">
        <f t="shared" si="5"/>
        <v>2.2999999999999998</v>
      </c>
      <c r="T91" s="66"/>
    </row>
    <row r="92" spans="1:22" ht="15.75" customHeight="1" thickBot="1">
      <c r="A92" s="16"/>
      <c r="B92" s="678" t="s">
        <v>322</v>
      </c>
      <c r="C92" s="679"/>
      <c r="D92" s="214">
        <f>SUM('PP-C8:AN-C9'!D92)+'OTHER(C3)-A15'!D92</f>
        <v>4321.08</v>
      </c>
      <c r="E92" s="215">
        <f>SUM('PP-C8:AN-C9'!E92)+'OTHER(C3)-A15'!E92</f>
        <v>4397.96</v>
      </c>
      <c r="F92" s="215">
        <f>SUM('PP-C8:AN-C9'!F92)+'OTHER(C3)-A15'!F92</f>
        <v>4691.3099999999995</v>
      </c>
      <c r="G92" s="215">
        <f>SUM('PP-C8:AN-C9'!G92)+'OTHER(C3)-A15'!G92</f>
        <v>4923.01</v>
      </c>
      <c r="H92" s="215">
        <f>SUM('PP-C8:AN-C9'!H92)+'OTHER(C3)-A15'!H92</f>
        <v>4956.0599999999995</v>
      </c>
      <c r="I92" s="215">
        <f>SUM('PP-C8:AN-C9'!I92)+'OTHER(C3)-A15'!I92</f>
        <v>4886.84</v>
      </c>
      <c r="J92" s="215">
        <f>SUM('PP-C8:AN-C9'!J92)+'OTHER(C3)-A15'!J92</f>
        <v>4783.37</v>
      </c>
      <c r="K92" s="216">
        <f>SUM('PP-C8:AN-C9'!K92)+'OTHER(C3)-A15'!K92</f>
        <v>4875.7950000000001</v>
      </c>
      <c r="L92" s="217">
        <f>SUM('PP-C8:AN-C9'!L92)+'OTHER(C3)-A15'!L92</f>
        <v>4964.2299999999996</v>
      </c>
      <c r="M92" s="215">
        <f>SUM('PP-C8:AN-C9'!M92)+'OTHER(C3)-A15'!M92</f>
        <v>5071.08</v>
      </c>
      <c r="N92" s="215">
        <f>SUM('PP-C8:AN-C9'!N92)+'OTHER(C3)-A15'!N92</f>
        <v>5174.38</v>
      </c>
      <c r="O92" s="215">
        <f>SUM('PP-C8:AN-C9'!O92)+'OTHER(C3)-A15'!O92</f>
        <v>5281.8</v>
      </c>
      <c r="P92" s="215">
        <f>SUM('PP-C8:AN-C9'!P92)+'OTHER(C3)-A15'!P92</f>
        <v>5393.34</v>
      </c>
      <c r="Q92" s="218">
        <f>SUM('PP-C8:AN-C9'!Q92)+'OTHER(C3)-A15'!Q92</f>
        <v>5509</v>
      </c>
      <c r="R92" s="306">
        <f t="shared" si="4"/>
        <v>1.7</v>
      </c>
      <c r="S92" s="307">
        <f t="shared" si="5"/>
        <v>2.1</v>
      </c>
      <c r="T92" s="66"/>
    </row>
    <row r="93" spans="1:22" ht="18" customHeight="1" thickTop="1" thickBot="1">
      <c r="A93" s="21"/>
      <c r="B93" s="625"/>
      <c r="C93" s="626" t="s">
        <v>343</v>
      </c>
      <c r="D93" s="204">
        <f t="shared" ref="D93:Q93" si="6">D92+D88+D85+D84+D82+D80+D78+D77</f>
        <v>77025.80255397447</v>
      </c>
      <c r="E93" s="205">
        <f t="shared" si="6"/>
        <v>78325.286876956059</v>
      </c>
      <c r="F93" s="205">
        <f t="shared" si="6"/>
        <v>77839.61438707693</v>
      </c>
      <c r="G93" s="205">
        <f t="shared" si="6"/>
        <v>81974.936736410717</v>
      </c>
      <c r="H93" s="205">
        <f t="shared" si="6"/>
        <v>86588.28178111458</v>
      </c>
      <c r="I93" s="205">
        <f t="shared" si="6"/>
        <v>90609.805101533973</v>
      </c>
      <c r="J93" s="205">
        <f t="shared" si="6"/>
        <v>95176.750601239008</v>
      </c>
      <c r="K93" s="206">
        <f t="shared" si="6"/>
        <v>98721.235427896463</v>
      </c>
      <c r="L93" s="207">
        <f t="shared" si="6"/>
        <v>102048.93800124168</v>
      </c>
      <c r="M93" s="205">
        <f t="shared" si="6"/>
        <v>106281.42725333392</v>
      </c>
      <c r="N93" s="205">
        <f t="shared" si="6"/>
        <v>110099.73407481956</v>
      </c>
      <c r="O93" s="205">
        <f t="shared" si="6"/>
        <v>113735.67330757935</v>
      </c>
      <c r="P93" s="205">
        <f t="shared" si="6"/>
        <v>116718.7326723233</v>
      </c>
      <c r="Q93" s="208">
        <f t="shared" si="6"/>
        <v>120037.03293478972</v>
      </c>
      <c r="R93" s="308">
        <f t="shared" si="4"/>
        <v>3.6</v>
      </c>
      <c r="S93" s="309">
        <f t="shared" si="5"/>
        <v>3.3</v>
      </c>
      <c r="T93" s="66"/>
      <c r="U93" s="14"/>
      <c r="V93" s="25"/>
    </row>
    <row r="94" spans="1:22" ht="9" customHeight="1">
      <c r="S94" s="26"/>
    </row>
    <row r="95" spans="1:22" ht="13.5" customHeight="1">
      <c r="C95" t="s">
        <v>330</v>
      </c>
      <c r="S95" s="26"/>
    </row>
    <row r="96" spans="1:22" ht="13.5" customHeight="1">
      <c r="C96" s="617" t="s">
        <v>331</v>
      </c>
      <c r="S96" s="26"/>
    </row>
    <row r="97" spans="3:23" ht="13.5" customHeight="1">
      <c r="C97" t="s">
        <v>332</v>
      </c>
      <c r="S97" s="26"/>
    </row>
    <row r="98" spans="3:23" ht="13.5" customHeight="1">
      <c r="C98" s="617" t="s">
        <v>333</v>
      </c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S98" s="26"/>
    </row>
    <row r="99" spans="3:23" ht="14.25">
      <c r="C99" s="401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S99" s="26"/>
    </row>
    <row r="100" spans="3:23" ht="14.25">
      <c r="C100" s="401"/>
      <c r="F100" s="400"/>
      <c r="G100" s="400"/>
      <c r="H100" s="400"/>
      <c r="I100" s="400"/>
      <c r="J100" s="400"/>
      <c r="K100" s="400"/>
      <c r="L100" s="400"/>
      <c r="M100" s="400"/>
      <c r="N100" s="400"/>
      <c r="O100" s="400"/>
      <c r="P100" s="400"/>
      <c r="Q100" s="400"/>
      <c r="S100" s="26"/>
    </row>
    <row r="101" spans="3:23">
      <c r="S101" s="26"/>
    </row>
    <row r="102" spans="3:23">
      <c r="C102" s="401"/>
      <c r="F102" s="425"/>
      <c r="G102" s="425"/>
      <c r="H102" s="425"/>
      <c r="I102" s="425"/>
      <c r="J102" s="425"/>
      <c r="K102" s="425"/>
      <c r="L102" s="425"/>
      <c r="M102" s="425"/>
      <c r="N102" s="425"/>
      <c r="O102" s="425"/>
      <c r="P102" s="425"/>
      <c r="Q102" s="425"/>
      <c r="R102" s="26"/>
      <c r="S102" s="26"/>
    </row>
    <row r="103" spans="3:23">
      <c r="C103" s="401"/>
      <c r="F103" s="425"/>
      <c r="G103" s="425"/>
      <c r="H103" s="425"/>
      <c r="I103" s="425"/>
      <c r="J103" s="425"/>
      <c r="K103" s="425"/>
      <c r="L103" s="425"/>
      <c r="M103" s="425"/>
      <c r="N103" s="425"/>
      <c r="O103" s="425"/>
      <c r="P103" s="425"/>
      <c r="Q103" s="425"/>
      <c r="R103" s="26"/>
      <c r="S103" s="26"/>
    </row>
    <row r="104" spans="3:23">
      <c r="C104" s="401"/>
      <c r="F104" s="425"/>
      <c r="G104" s="425"/>
      <c r="H104" s="425"/>
      <c r="I104" s="425"/>
      <c r="J104" s="425"/>
      <c r="K104" s="425"/>
      <c r="L104" s="425"/>
      <c r="M104" s="425"/>
      <c r="N104" s="425"/>
      <c r="O104" s="425"/>
      <c r="P104" s="425"/>
      <c r="Q104" s="425"/>
      <c r="R104" s="26"/>
      <c r="S104" s="26"/>
    </row>
    <row r="105" spans="3:23">
      <c r="R105" s="26"/>
      <c r="S105" s="26"/>
    </row>
    <row r="106" spans="3:23">
      <c r="C106" s="401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26"/>
      <c r="S106" s="26"/>
      <c r="T106" s="66"/>
    </row>
    <row r="107" spans="3:23">
      <c r="C107" s="401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26"/>
      <c r="S107" s="26"/>
      <c r="T107" s="66"/>
    </row>
    <row r="108" spans="3:23">
      <c r="R108" s="26"/>
      <c r="S108" s="26"/>
    </row>
    <row r="109" spans="3:23">
      <c r="C109" s="401"/>
      <c r="D109" s="66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26"/>
      <c r="S109" s="26"/>
      <c r="T109" s="66"/>
      <c r="V109" s="425"/>
      <c r="W109" s="425"/>
    </row>
    <row r="110" spans="3:23">
      <c r="C110" s="401"/>
      <c r="D110" s="66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26"/>
      <c r="S110" s="26"/>
      <c r="T110" s="66"/>
      <c r="V110" s="425"/>
      <c r="W110" s="425"/>
    </row>
    <row r="111" spans="3:23">
      <c r="R111" s="26"/>
      <c r="S111" s="26"/>
    </row>
    <row r="112" spans="3:23">
      <c r="C112" s="401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26"/>
      <c r="S112" s="26"/>
    </row>
    <row r="113" spans="2:19">
      <c r="C113" s="401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26"/>
      <c r="S113" s="26"/>
    </row>
    <row r="114" spans="2:19">
      <c r="R114" s="26"/>
      <c r="S114" s="26"/>
    </row>
    <row r="115" spans="2:19">
      <c r="R115" s="26"/>
      <c r="S115" s="26"/>
    </row>
    <row r="116" spans="2:19">
      <c r="B116" s="697"/>
      <c r="C116" s="697"/>
      <c r="R116" s="26"/>
      <c r="S116" s="26"/>
    </row>
    <row r="117" spans="2:19">
      <c r="B117" s="697"/>
      <c r="C117" s="697"/>
      <c r="R117" s="26"/>
      <c r="S117" s="26"/>
    </row>
    <row r="118" spans="2:19">
      <c r="B118" s="697"/>
      <c r="C118" s="697"/>
      <c r="R118" s="26"/>
      <c r="S118" s="26"/>
    </row>
    <row r="119" spans="2:19">
      <c r="B119" s="697"/>
      <c r="C119" s="697"/>
      <c r="R119" s="26"/>
      <c r="S119" s="26"/>
    </row>
    <row r="120" spans="2:19">
      <c r="B120" s="697"/>
      <c r="C120" s="697"/>
      <c r="R120" s="26"/>
      <c r="S120" s="26"/>
    </row>
    <row r="121" spans="2:19">
      <c r="B121" s="697"/>
      <c r="C121" s="697"/>
      <c r="R121" s="26"/>
      <c r="S121" s="26"/>
    </row>
    <row r="122" spans="2:19">
      <c r="B122" s="697"/>
      <c r="C122" s="697"/>
      <c r="R122" s="26"/>
      <c r="S122" s="26"/>
    </row>
    <row r="123" spans="2:19">
      <c r="R123" s="26"/>
      <c r="S123" s="26"/>
    </row>
    <row r="124" spans="2:19">
      <c r="B124" s="697"/>
      <c r="C124" s="697"/>
      <c r="R124" s="26"/>
      <c r="S124" s="26"/>
    </row>
    <row r="125" spans="2:19">
      <c r="B125" s="697"/>
      <c r="C125" s="697"/>
      <c r="R125" s="26"/>
      <c r="S125" s="26"/>
    </row>
    <row r="126" spans="2:19">
      <c r="B126" s="697"/>
      <c r="C126" s="697"/>
      <c r="R126" s="26"/>
      <c r="S126" s="26"/>
    </row>
    <row r="127" spans="2:19">
      <c r="B127" s="697"/>
      <c r="C127" s="697"/>
      <c r="R127" s="26"/>
      <c r="S127" s="26"/>
    </row>
    <row r="128" spans="2:19">
      <c r="B128" s="698"/>
      <c r="C128" s="698"/>
      <c r="R128" s="26"/>
      <c r="S128" s="26"/>
    </row>
    <row r="129" spans="2:19">
      <c r="B129" s="698"/>
      <c r="C129" s="698"/>
      <c r="R129" s="26"/>
      <c r="S129" s="26"/>
    </row>
    <row r="130" spans="2:19">
      <c r="R130" s="26"/>
      <c r="S130" s="26"/>
    </row>
    <row r="131" spans="2:19">
      <c r="B131" s="698"/>
      <c r="C131" s="698"/>
      <c r="R131" s="26"/>
      <c r="S131" s="26"/>
    </row>
    <row r="132" spans="2:19">
      <c r="C132" s="421"/>
      <c r="R132" s="26"/>
      <c r="S132" s="26"/>
    </row>
    <row r="133" spans="2:19">
      <c r="B133" s="698"/>
      <c r="C133" s="698"/>
      <c r="R133" s="26"/>
      <c r="S133" s="26"/>
    </row>
    <row r="134" spans="2:19">
      <c r="C134" s="421"/>
      <c r="R134" s="26"/>
      <c r="S134" s="26"/>
    </row>
    <row r="135" spans="2:19">
      <c r="B135" s="698"/>
      <c r="C135" s="698"/>
      <c r="R135" s="26"/>
      <c r="S135" s="26"/>
    </row>
    <row r="136" spans="2:19">
      <c r="B136" s="698"/>
      <c r="C136" s="698"/>
      <c r="R136" s="26"/>
      <c r="S136" s="26"/>
    </row>
    <row r="137" spans="2:19">
      <c r="B137" s="697"/>
      <c r="C137" s="697"/>
      <c r="R137" s="26"/>
      <c r="S137" s="26"/>
    </row>
    <row r="138" spans="2:19">
      <c r="B138" s="697"/>
      <c r="C138" s="697"/>
      <c r="R138" s="26"/>
      <c r="S138" s="26"/>
    </row>
    <row r="139" spans="2:19">
      <c r="B139" s="698"/>
      <c r="C139" s="698"/>
      <c r="R139" s="26"/>
      <c r="S139" s="26"/>
    </row>
    <row r="140" spans="2:19">
      <c r="B140" s="697"/>
      <c r="C140" s="697"/>
      <c r="R140" s="26"/>
      <c r="S140" s="26"/>
    </row>
    <row r="141" spans="2:19">
      <c r="B141" s="697"/>
      <c r="C141" s="697"/>
      <c r="R141" s="26"/>
      <c r="S141" s="26"/>
    </row>
    <row r="142" spans="2:19">
      <c r="B142" s="697"/>
      <c r="C142" s="697"/>
      <c r="R142" s="26"/>
      <c r="S142" s="26"/>
    </row>
    <row r="143" spans="2:19">
      <c r="B143" s="698"/>
      <c r="C143" s="698"/>
      <c r="R143" s="26"/>
      <c r="S143" s="26"/>
    </row>
    <row r="144" spans="2:19">
      <c r="B144" s="443"/>
      <c r="C144" s="444"/>
      <c r="R144" s="26"/>
      <c r="S144" s="26"/>
    </row>
    <row r="145" spans="4:19">
      <c r="R145" s="26"/>
      <c r="S145" s="26"/>
    </row>
    <row r="146" spans="4:19">
      <c r="R146" s="26"/>
      <c r="S146" s="26"/>
    </row>
    <row r="147" spans="4:19">
      <c r="R147" s="26"/>
      <c r="S147" s="26"/>
    </row>
    <row r="148" spans="4:19">
      <c r="R148" s="26"/>
      <c r="S148" s="26"/>
    </row>
    <row r="149" spans="4:19"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26"/>
      <c r="S149" s="26"/>
    </row>
    <row r="150" spans="4:19"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26"/>
      <c r="S150" s="26"/>
    </row>
    <row r="151" spans="4:19"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26"/>
      <c r="S151" s="26"/>
    </row>
    <row r="152" spans="4:19">
      <c r="R152" s="26"/>
      <c r="S152" s="26"/>
    </row>
    <row r="153" spans="4:19">
      <c r="R153" s="26"/>
      <c r="S153" s="26"/>
    </row>
  </sheetData>
  <mergeCells count="69">
    <mergeCell ref="B135:C135"/>
    <mergeCell ref="B136:C136"/>
    <mergeCell ref="B137:C137"/>
    <mergeCell ref="B138:C138"/>
    <mergeCell ref="B139:C139"/>
    <mergeCell ref="R3:S3"/>
    <mergeCell ref="B140:C140"/>
    <mergeCell ref="B141:C141"/>
    <mergeCell ref="B142:C142"/>
    <mergeCell ref="B143:C143"/>
    <mergeCell ref="B116:C116"/>
    <mergeCell ref="B117:C117"/>
    <mergeCell ref="B118:C118"/>
    <mergeCell ref="B119:C119"/>
    <mergeCell ref="B120:C120"/>
    <mergeCell ref="B121:C121"/>
    <mergeCell ref="B122:C122"/>
    <mergeCell ref="B124:C124"/>
    <mergeCell ref="B125:C125"/>
    <mergeCell ref="B126:C126"/>
    <mergeCell ref="B127:C127"/>
    <mergeCell ref="B77:C77"/>
    <mergeCell ref="B88:C88"/>
    <mergeCell ref="B80:C80"/>
    <mergeCell ref="B82:C82"/>
    <mergeCell ref="B84:C84"/>
    <mergeCell ref="B133:C133"/>
    <mergeCell ref="B78:C78"/>
    <mergeCell ref="B91:C91"/>
    <mergeCell ref="B92:C92"/>
    <mergeCell ref="B89:C89"/>
    <mergeCell ref="B90:C90"/>
    <mergeCell ref="B85:C85"/>
    <mergeCell ref="B86:C86"/>
    <mergeCell ref="B87:C87"/>
    <mergeCell ref="B128:C128"/>
    <mergeCell ref="B129:C129"/>
    <mergeCell ref="B131:C131"/>
    <mergeCell ref="B55:C55"/>
    <mergeCell ref="B48:C48"/>
    <mergeCell ref="B61:C61"/>
    <mergeCell ref="B62:C62"/>
    <mergeCell ref="B63:C63"/>
    <mergeCell ref="B60:C60"/>
    <mergeCell ref="B56:C56"/>
    <mergeCell ref="B59:C59"/>
    <mergeCell ref="B57:C57"/>
    <mergeCell ref="B58:C58"/>
    <mergeCell ref="B29:C29"/>
    <mergeCell ref="B31:C31"/>
    <mergeCell ref="B49:C49"/>
    <mergeCell ref="B51:C51"/>
    <mergeCell ref="B53:C53"/>
    <mergeCell ref="B32:C32"/>
    <mergeCell ref="B33:C33"/>
    <mergeCell ref="B34:C34"/>
    <mergeCell ref="B30:C30"/>
    <mergeCell ref="B27:C27"/>
    <mergeCell ref="B26:C26"/>
    <mergeCell ref="B28:C28"/>
    <mergeCell ref="R4:S4"/>
    <mergeCell ref="B19:C19"/>
    <mergeCell ref="B24:C24"/>
    <mergeCell ref="B22:C22"/>
    <mergeCell ref="B20:C20"/>
    <mergeCell ref="R5:R6"/>
    <mergeCell ref="S5:S6"/>
    <mergeCell ref="D4:K4"/>
    <mergeCell ref="L4:Q4"/>
  </mergeCells>
  <phoneticPr fontId="6"/>
  <conditionalFormatting sqref="C97:C98">
    <cfRule type="expression" dxfId="71" priority="5">
      <formula>CELL("protect",C97)=0</formula>
    </cfRule>
    <cfRule type="expression" dxfId="70" priority="6">
      <formula>CELL("protect",C97)=0</formula>
    </cfRule>
  </conditionalFormatting>
  <conditionalFormatting sqref="C95">
    <cfRule type="expression" dxfId="69" priority="3">
      <formula>CELL("protect",C95)=0</formula>
    </cfRule>
    <cfRule type="expression" dxfId="68" priority="4">
      <formula>CELL("protect",C95)=0</formula>
    </cfRule>
  </conditionalFormatting>
  <conditionalFormatting sqref="C97">
    <cfRule type="expression" dxfId="67" priority="1">
      <formula>CELL("protect",C97)=0</formula>
    </cfRule>
    <cfRule type="expression" dxfId="66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&amp;C191</oddFooter>
  </headerFooter>
  <ignoredErrors>
    <ignoredError sqref="D7:Q92" unlockedFormula="1"/>
  </ignoredError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3" customWidth="1"/>
  </cols>
  <sheetData>
    <row r="1" spans="1:19" ht="13.5" customHeight="1">
      <c r="R1" s="26"/>
      <c r="S1" s="26"/>
    </row>
    <row r="2" spans="1:19" s="2" customFormat="1" ht="17.25">
      <c r="G2" s="398" t="s">
        <v>26</v>
      </c>
      <c r="H2" s="397" t="s">
        <v>27</v>
      </c>
      <c r="R2" s="3"/>
      <c r="S2" s="3"/>
    </row>
    <row r="3" spans="1:19" ht="27.6" customHeight="1" thickBot="1">
      <c r="H3" s="624" t="s">
        <v>346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'PP-A13'!D7*1.03</f>
        <v>3955.2000000000003</v>
      </c>
      <c r="E7" s="176">
        <f>'PP-A13'!E7*1.03</f>
        <v>4035.54</v>
      </c>
      <c r="F7" s="176">
        <f>'PP-A13'!F7*1.03</f>
        <v>4315.7</v>
      </c>
      <c r="G7" s="176">
        <f>'PP-A13'!G7*1.03</f>
        <v>4415.6099999999997</v>
      </c>
      <c r="H7" s="177">
        <f>'PP-A13'!H7*1.03</f>
        <v>4415.6099999999997</v>
      </c>
      <c r="I7" s="177">
        <f>'PP-A13'!I7*1.03</f>
        <v>4415.6099999999997</v>
      </c>
      <c r="J7" s="177">
        <f>'PP-A13'!J7*1.03</f>
        <v>4415.6099999999997</v>
      </c>
      <c r="K7" s="183">
        <f>'PP-A13'!K7*1.03</f>
        <v>4621.6099999999997</v>
      </c>
      <c r="L7" s="184">
        <f>'PP-A13'!L7*1.03</f>
        <v>5038.76</v>
      </c>
      <c r="M7" s="182">
        <f>'PP-A13'!M7*1.03</f>
        <v>5038.76</v>
      </c>
      <c r="N7" s="182">
        <f>'PP-A13'!N7*1.03</f>
        <v>5450.76</v>
      </c>
      <c r="O7" s="182">
        <f>'PP-A13'!O7*1.03</f>
        <v>6274.76</v>
      </c>
      <c r="P7" s="182">
        <f>'PP-A13'!P7*1.03</f>
        <v>6274.76</v>
      </c>
      <c r="Q7" s="185">
        <f>'PP-A13'!Q7*1.03</f>
        <v>6789.76</v>
      </c>
      <c r="R7" s="276">
        <f>IF(D7=0,"     -",IF(K7=0,"     -",ROUND(((K7/D7)^(1/7)-1)*100,1)))</f>
        <v>2.2000000000000002</v>
      </c>
      <c r="S7" s="298">
        <f>IF(L7=0,"     -",IF(Q7=0,"     -",ROUND(((Q7/L7)^(1/5)-1)*100,1)))</f>
        <v>6.1</v>
      </c>
    </row>
    <row r="8" spans="1:19" ht="15" customHeight="1">
      <c r="A8" s="614" t="s">
        <v>305</v>
      </c>
      <c r="B8" s="605" t="s">
        <v>434</v>
      </c>
      <c r="C8" s="606"/>
      <c r="D8" s="181">
        <f>'PP-A13'!D8*1.03</f>
        <v>1349.3</v>
      </c>
      <c r="E8" s="67">
        <f>'PP-A13'!E8*1.03</f>
        <v>1349.3</v>
      </c>
      <c r="F8" s="67">
        <f>'PP-A13'!F8*1.03</f>
        <v>1349.3</v>
      </c>
      <c r="G8" s="67">
        <f>'PP-A13'!G8*1.03</f>
        <v>1349.3</v>
      </c>
      <c r="H8" s="182">
        <f>'PP-A13'!H8*1.03</f>
        <v>1349.3</v>
      </c>
      <c r="I8" s="182">
        <f>'PP-A13'!I8*1.03</f>
        <v>1349.3</v>
      </c>
      <c r="J8" s="182">
        <f>'PP-A13'!J8*1.03</f>
        <v>1442</v>
      </c>
      <c r="K8" s="183">
        <f>'PP-A13'!K8*1.03</f>
        <v>1442</v>
      </c>
      <c r="L8" s="184">
        <f>'PP-A13'!L8*1.03</f>
        <v>1442</v>
      </c>
      <c r="M8" s="182">
        <f>'PP-A13'!M8*1.03</f>
        <v>1442</v>
      </c>
      <c r="N8" s="182">
        <f>'PP-A13'!N8*1.03</f>
        <v>1442</v>
      </c>
      <c r="O8" s="182">
        <f>'PP-A13'!O8*1.03</f>
        <v>1442</v>
      </c>
      <c r="P8" s="182">
        <f>'PP-A13'!P8*1.03</f>
        <v>1442</v>
      </c>
      <c r="Q8" s="185">
        <f>'PP-A13'!Q8*1.03</f>
        <v>1442</v>
      </c>
      <c r="R8" s="299">
        <f t="shared" ref="R8:R71" si="0">IF(D8=0,"     -",IF(K8=0,"     -",ROUND(((K8/D8)^(1/7)-1)*100,1)))</f>
        <v>1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'PP-A13'!D9*1.03</f>
        <v>1112.4000000000001</v>
      </c>
      <c r="E9" s="67">
        <f>'PP-A13'!E9*1.03</f>
        <v>1112.4000000000001</v>
      </c>
      <c r="F9" s="67">
        <f>'PP-A13'!F9*1.03</f>
        <v>1627.4</v>
      </c>
      <c r="G9" s="67">
        <f>'PP-A13'!G9*1.03</f>
        <v>1627.4</v>
      </c>
      <c r="H9" s="67">
        <f>'PP-A13'!H9*1.03</f>
        <v>1627.4</v>
      </c>
      <c r="I9" s="62">
        <f>'PP-A13'!I9*1.03</f>
        <v>1627.4</v>
      </c>
      <c r="J9" s="62">
        <f>'PP-A13'!J9*1.03</f>
        <v>1627.4</v>
      </c>
      <c r="K9" s="63">
        <f>'PP-A13'!K9*1.03</f>
        <v>1627.4</v>
      </c>
      <c r="L9" s="64">
        <f>'PP-A13'!L9*1.03</f>
        <v>1627.4</v>
      </c>
      <c r="M9" s="62">
        <f>'PP-A13'!M9*1.03</f>
        <v>1627.4</v>
      </c>
      <c r="N9" s="67">
        <f>'PP-A13'!N9*1.03</f>
        <v>1627.4</v>
      </c>
      <c r="O9" s="67">
        <f>'PP-A13'!O9*1.03</f>
        <v>1627.4</v>
      </c>
      <c r="P9" s="67">
        <f>'PP-A13'!P9*1.03</f>
        <v>1627.4</v>
      </c>
      <c r="Q9" s="68">
        <f>'PP-A13'!Q9*1.03</f>
        <v>1627.4</v>
      </c>
      <c r="R9" s="301">
        <f t="shared" si="0"/>
        <v>5.6</v>
      </c>
      <c r="S9" s="300">
        <f t="shared" si="1"/>
        <v>0</v>
      </c>
    </row>
    <row r="10" spans="1:19" ht="15" customHeight="1">
      <c r="A10" s="16"/>
      <c r="B10" s="605" t="s">
        <v>436</v>
      </c>
      <c r="C10" s="606"/>
      <c r="D10" s="181">
        <f>'PP-A13'!D10*1.03</f>
        <v>11631.79</v>
      </c>
      <c r="E10" s="67">
        <f>'PP-A13'!E10*1.03</f>
        <v>13348.800000000001</v>
      </c>
      <c r="F10" s="67">
        <f>'PP-A13'!F10*1.03</f>
        <v>14826.85</v>
      </c>
      <c r="G10" s="67">
        <f>'PP-A13'!G10*1.03</f>
        <v>16518.11</v>
      </c>
      <c r="H10" s="67">
        <f>'PP-A13'!H10*1.03</f>
        <v>18607.98</v>
      </c>
      <c r="I10" s="182">
        <f>'PP-A13'!I10*1.03</f>
        <v>21412.670000000002</v>
      </c>
      <c r="J10" s="182">
        <f>'PP-A13'!J10*1.03</f>
        <v>23179.119999999999</v>
      </c>
      <c r="K10" s="183">
        <f>'PP-A13'!K10*1.03</f>
        <v>25877.72</v>
      </c>
      <c r="L10" s="184">
        <f>'PP-A13'!L10*1.03</f>
        <v>27396.97</v>
      </c>
      <c r="M10" s="182">
        <f>'PP-A13'!M10*1.03</f>
        <v>29436.37</v>
      </c>
      <c r="N10" s="182">
        <f>'PP-A13'!N10*1.03</f>
        <v>33759.279999999999</v>
      </c>
      <c r="O10" s="182">
        <f>'PP-A13'!O10*1.03</f>
        <v>37055.279999999999</v>
      </c>
      <c r="P10" s="182">
        <f>'PP-A13'!P10*1.03</f>
        <v>38373.68</v>
      </c>
      <c r="Q10" s="185">
        <f>'PP-A13'!Q10*1.03</f>
        <v>39403.68</v>
      </c>
      <c r="R10" s="299">
        <f t="shared" si="0"/>
        <v>12.1</v>
      </c>
      <c r="S10" s="300">
        <f t="shared" si="1"/>
        <v>7.5</v>
      </c>
    </row>
    <row r="11" spans="1:19" ht="15" customHeight="1">
      <c r="A11" s="16"/>
      <c r="B11" s="605" t="s">
        <v>437</v>
      </c>
      <c r="C11" s="606"/>
      <c r="D11" s="181">
        <f>'PP-A13'!D11*1.03</f>
        <v>2008.5</v>
      </c>
      <c r="E11" s="67">
        <f>'PP-A13'!E11*1.03</f>
        <v>2008.5</v>
      </c>
      <c r="F11" s="67">
        <f>'PP-A13'!F11*1.03</f>
        <v>2008.5</v>
      </c>
      <c r="G11" s="67">
        <f>'PP-A13'!G11*1.03</f>
        <v>2008.5</v>
      </c>
      <c r="H11" s="67">
        <f>'PP-A13'!H11*1.03</f>
        <v>2008.5</v>
      </c>
      <c r="I11" s="67">
        <f>'PP-A13'!I11*1.03</f>
        <v>2008.5</v>
      </c>
      <c r="J11" s="67">
        <f>'PP-A13'!J11*1.03</f>
        <v>2008.5</v>
      </c>
      <c r="K11" s="186">
        <f>'PP-A13'!K11*1.03</f>
        <v>2085.75</v>
      </c>
      <c r="L11" s="187">
        <f>'PP-A13'!L11*1.03</f>
        <v>2317.5</v>
      </c>
      <c r="M11" s="67">
        <f>'PP-A13'!M11*1.03</f>
        <v>2317.5</v>
      </c>
      <c r="N11" s="67">
        <f>'PP-A13'!N11*1.03</f>
        <v>2317.5</v>
      </c>
      <c r="O11" s="67">
        <f>'PP-A13'!O11*1.03</f>
        <v>2317.5</v>
      </c>
      <c r="P11" s="67">
        <f>'PP-A13'!P11*1.03</f>
        <v>2317.5</v>
      </c>
      <c r="Q11" s="68">
        <f>'PP-A13'!Q11*1.03</f>
        <v>2317.5</v>
      </c>
      <c r="R11" s="302">
        <f t="shared" si="0"/>
        <v>0.5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'PP-A13'!D12*1.03</f>
        <v>437.75</v>
      </c>
      <c r="E12" s="67">
        <f>'PP-A13'!E12*1.03</f>
        <v>932.15</v>
      </c>
      <c r="F12" s="67">
        <f>'PP-A13'!F12*1.03</f>
        <v>932.15</v>
      </c>
      <c r="G12" s="67">
        <f>'PP-A13'!G12*1.03</f>
        <v>932.15</v>
      </c>
      <c r="H12" s="67">
        <f>'PP-A13'!H12*1.03</f>
        <v>932.15</v>
      </c>
      <c r="I12" s="67">
        <f>'PP-A13'!I12*1.03</f>
        <v>932.15</v>
      </c>
      <c r="J12" s="67">
        <f>'PP-A13'!J12*1.03</f>
        <v>932.15</v>
      </c>
      <c r="K12" s="186">
        <f>'PP-A13'!K12*1.03</f>
        <v>932.15</v>
      </c>
      <c r="L12" s="187">
        <f>'PP-A13'!L12*1.03</f>
        <v>932.15</v>
      </c>
      <c r="M12" s="67">
        <f>'PP-A13'!M12*1.03</f>
        <v>1045.45</v>
      </c>
      <c r="N12" s="67">
        <f>'PP-A13'!N12*1.03</f>
        <v>1045.45</v>
      </c>
      <c r="O12" s="67">
        <f>'PP-A13'!O12*1.03</f>
        <v>1045.45</v>
      </c>
      <c r="P12" s="67">
        <f>'PP-A13'!P12*1.03</f>
        <v>1210.25</v>
      </c>
      <c r="Q12" s="68">
        <f>'PP-A13'!Q12*1.03</f>
        <v>1272.05</v>
      </c>
      <c r="R12" s="302">
        <f t="shared" si="0"/>
        <v>11.4</v>
      </c>
      <c r="S12" s="300">
        <f t="shared" si="1"/>
        <v>6.4</v>
      </c>
    </row>
    <row r="13" spans="1:19" ht="15" customHeight="1">
      <c r="A13" s="16"/>
      <c r="B13" s="605" t="s">
        <v>439</v>
      </c>
      <c r="C13" s="606"/>
      <c r="D13" s="181">
        <f>'PP-A13'!D13*1.03</f>
        <v>3811</v>
      </c>
      <c r="E13" s="67">
        <f>'PP-A13'!E13*1.03</f>
        <v>3811</v>
      </c>
      <c r="F13" s="67">
        <f>'PP-A13'!F13*1.03</f>
        <v>4429</v>
      </c>
      <c r="G13" s="67">
        <f>'PP-A13'!G13*1.03</f>
        <v>4475.3500000000004</v>
      </c>
      <c r="H13" s="67">
        <f>'PP-A13'!H13*1.03</f>
        <v>4418.7</v>
      </c>
      <c r="I13" s="67">
        <f>'PP-A13'!I13*1.03</f>
        <v>4768.9000000000005</v>
      </c>
      <c r="J13" s="182">
        <f>'PP-A13'!J13*1.03</f>
        <v>4768.9000000000005</v>
      </c>
      <c r="K13" s="183">
        <f>'PP-A13'!K13*1.03</f>
        <v>5016.1000000000004</v>
      </c>
      <c r="L13" s="184">
        <f>'PP-A13'!L13*1.03</f>
        <v>5016.1000000000004</v>
      </c>
      <c r="M13" s="182">
        <f>'PP-A13'!M13*1.03</f>
        <v>5737.1</v>
      </c>
      <c r="N13" s="182">
        <f>'PP-A13'!N13*1.03</f>
        <v>5974</v>
      </c>
      <c r="O13" s="182">
        <f>'PP-A13'!O13*1.03</f>
        <v>5974</v>
      </c>
      <c r="P13" s="182">
        <f>'PP-A13'!P13*1.03</f>
        <v>5974</v>
      </c>
      <c r="Q13" s="185">
        <f>'PP-A13'!Q13*1.03</f>
        <v>5974</v>
      </c>
      <c r="R13" s="302">
        <f t="shared" si="0"/>
        <v>4</v>
      </c>
      <c r="S13" s="300">
        <f t="shared" si="1"/>
        <v>3.6</v>
      </c>
    </row>
    <row r="14" spans="1:19" ht="15.75" hidden="1" customHeight="1">
      <c r="A14" s="16"/>
      <c r="B14" s="16"/>
      <c r="C14" s="90" t="s">
        <v>306</v>
      </c>
      <c r="D14" s="181">
        <f>'PP-A13'!D14*1.03</f>
        <v>0</v>
      </c>
      <c r="E14" s="67">
        <f>'PP-A13'!E14*1.03</f>
        <v>0</v>
      </c>
      <c r="F14" s="67">
        <f>'PP-A13'!F14*1.03</f>
        <v>0</v>
      </c>
      <c r="G14" s="67">
        <f>'PP-A13'!G14*1.03</f>
        <v>0</v>
      </c>
      <c r="H14" s="67">
        <f>'PP-A13'!H14*1.03</f>
        <v>0</v>
      </c>
      <c r="I14" s="67">
        <f>'PP-A13'!I14*1.03</f>
        <v>0</v>
      </c>
      <c r="J14" s="67">
        <f>'PP-A13'!J14*1.03</f>
        <v>0</v>
      </c>
      <c r="K14" s="186">
        <f>'PP-A13'!K14*1.03</f>
        <v>0</v>
      </c>
      <c r="L14" s="187">
        <f>'PP-A13'!L14*1.03</f>
        <v>0</v>
      </c>
      <c r="M14" s="67">
        <f>'PP-A13'!M14*1.03</f>
        <v>0</v>
      </c>
      <c r="N14" s="67">
        <f>'PP-A13'!N14*1.03</f>
        <v>0</v>
      </c>
      <c r="O14" s="67">
        <f>'PP-A13'!O14*1.03</f>
        <v>0</v>
      </c>
      <c r="P14" s="67">
        <f>'PP-A13'!P14*1.03</f>
        <v>0</v>
      </c>
      <c r="Q14" s="68">
        <f>'PP-A13'!Q14*1.03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'PP-A13'!D15*1.03</f>
        <v>350.2</v>
      </c>
      <c r="E15" s="67">
        <f>'PP-A13'!E15*1.03</f>
        <v>360.5</v>
      </c>
      <c r="F15" s="67">
        <f>'PP-A13'!F15*1.03</f>
        <v>360.5</v>
      </c>
      <c r="G15" s="67">
        <f>'PP-A13'!G15*1.03</f>
        <v>360.5</v>
      </c>
      <c r="H15" s="67">
        <f>'PP-A13'!H15*1.03</f>
        <v>540.75</v>
      </c>
      <c r="I15" s="67">
        <f>'PP-A13'!I15*1.03</f>
        <v>540.75</v>
      </c>
      <c r="J15" s="67">
        <f>'PP-A13'!J15*1.03</f>
        <v>540.75</v>
      </c>
      <c r="K15" s="186">
        <f>'PP-A13'!K15*1.03</f>
        <v>540.75</v>
      </c>
      <c r="L15" s="187">
        <f>'PP-A13'!L15*1.03</f>
        <v>540.75</v>
      </c>
      <c r="M15" s="67">
        <f>'PP-A13'!M15*1.03</f>
        <v>540.75</v>
      </c>
      <c r="N15" s="67">
        <f>'PP-A13'!N15*1.03</f>
        <v>540.75</v>
      </c>
      <c r="O15" s="67">
        <f>'PP-A13'!O15*1.03</f>
        <v>592.25</v>
      </c>
      <c r="P15" s="67">
        <f>'PP-A13'!P15*1.03</f>
        <v>592.25</v>
      </c>
      <c r="Q15" s="68">
        <f>'PP-A13'!Q15*1.03</f>
        <v>592.25</v>
      </c>
      <c r="R15" s="302">
        <f t="shared" si="0"/>
        <v>6.4</v>
      </c>
      <c r="S15" s="300">
        <f t="shared" si="1"/>
        <v>1.8</v>
      </c>
    </row>
    <row r="16" spans="1:19" ht="15" customHeight="1">
      <c r="A16" s="16"/>
      <c r="B16" s="605" t="s">
        <v>441</v>
      </c>
      <c r="C16" s="606"/>
      <c r="D16" s="181">
        <f>'PP-A13'!D16*1.03</f>
        <v>566.5</v>
      </c>
      <c r="E16" s="67">
        <f>'PP-A13'!E16*1.03</f>
        <v>566.5</v>
      </c>
      <c r="F16" s="67">
        <f>'PP-A13'!F16*1.03</f>
        <v>566.5</v>
      </c>
      <c r="G16" s="67">
        <f>'PP-A13'!G16*1.03</f>
        <v>484.1</v>
      </c>
      <c r="H16" s="67">
        <f>'PP-A13'!H16*1.03</f>
        <v>484.1</v>
      </c>
      <c r="I16" s="67">
        <f>'PP-A13'!I16*1.03</f>
        <v>484.1</v>
      </c>
      <c r="J16" s="67">
        <f>'PP-A13'!J16*1.03</f>
        <v>484.1</v>
      </c>
      <c r="K16" s="186">
        <f>'PP-A13'!K16*1.03</f>
        <v>484.1</v>
      </c>
      <c r="L16" s="187">
        <f>'PP-A13'!L16*1.03</f>
        <v>535.6</v>
      </c>
      <c r="M16" s="67">
        <f>'PP-A13'!M16*1.03</f>
        <v>793.1</v>
      </c>
      <c r="N16" s="67">
        <f>'PP-A13'!N16*1.03</f>
        <v>1617.1000000000001</v>
      </c>
      <c r="O16" s="67">
        <f>'PP-A13'!O16*1.03</f>
        <v>1617.1000000000001</v>
      </c>
      <c r="P16" s="67">
        <f>'PP-A13'!P16*1.03</f>
        <v>1617.1000000000001</v>
      </c>
      <c r="Q16" s="68">
        <f>'PP-A13'!Q16*1.03</f>
        <v>1617.1000000000001</v>
      </c>
      <c r="R16" s="302">
        <f t="shared" si="0"/>
        <v>-2.2000000000000002</v>
      </c>
      <c r="S16" s="300">
        <f t="shared" si="1"/>
        <v>24.7</v>
      </c>
    </row>
    <row r="17" spans="1:19" ht="15" customHeight="1">
      <c r="A17" s="16"/>
      <c r="B17" s="605" t="s">
        <v>442</v>
      </c>
      <c r="C17" s="606"/>
      <c r="D17" s="181">
        <f>'PP-A13'!D17*1.03</f>
        <v>154.5</v>
      </c>
      <c r="E17" s="67">
        <f>'PP-A13'!E17*1.03</f>
        <v>154.5</v>
      </c>
      <c r="F17" s="67">
        <f>'PP-A13'!F17*1.03</f>
        <v>154.5</v>
      </c>
      <c r="G17" s="67">
        <f>'PP-A13'!G17*1.03</f>
        <v>154.5</v>
      </c>
      <c r="H17" s="67">
        <f>'PP-A13'!H17*1.03</f>
        <v>154.5</v>
      </c>
      <c r="I17" s="67">
        <f>'PP-A13'!I17*1.03</f>
        <v>154.5</v>
      </c>
      <c r="J17" s="67">
        <f>'PP-A13'!J17*1.03</f>
        <v>154.5</v>
      </c>
      <c r="K17" s="186">
        <f>'PP-A13'!K17*1.03</f>
        <v>154.5</v>
      </c>
      <c r="L17" s="187">
        <f>'PP-A13'!L17*1.03</f>
        <v>535.6</v>
      </c>
      <c r="M17" s="67">
        <f>'PP-A13'!M17*1.03</f>
        <v>535.6</v>
      </c>
      <c r="N17" s="67">
        <f>'PP-A13'!N17*1.03</f>
        <v>844.6</v>
      </c>
      <c r="O17" s="67">
        <f>'PP-A13'!O17*1.03</f>
        <v>844.6</v>
      </c>
      <c r="P17" s="67">
        <f>'PP-A13'!P17*1.03</f>
        <v>844.6</v>
      </c>
      <c r="Q17" s="68">
        <f>'PP-A13'!Q17*1.03</f>
        <v>1308.1000000000001</v>
      </c>
      <c r="R17" s="302">
        <f t="shared" si="0"/>
        <v>0</v>
      </c>
      <c r="S17" s="300">
        <f t="shared" si="1"/>
        <v>19.600000000000001</v>
      </c>
    </row>
    <row r="18" spans="1:19" ht="15" customHeight="1">
      <c r="A18" s="16"/>
      <c r="B18" s="607" t="s">
        <v>443</v>
      </c>
      <c r="C18" s="608"/>
      <c r="D18" s="188">
        <f>'PP-A13'!D18*1.03</f>
        <v>3396.94</v>
      </c>
      <c r="E18" s="182">
        <f>'PP-A13'!E18*1.03</f>
        <v>3271.28</v>
      </c>
      <c r="F18" s="182">
        <f>'PP-A13'!F18*1.03</f>
        <v>3162.1</v>
      </c>
      <c r="G18" s="182">
        <f>'PP-A13'!G18*1.03</f>
        <v>3061.16</v>
      </c>
      <c r="H18" s="182">
        <f>'PP-A13'!H18*1.03</f>
        <v>2969.4900000000002</v>
      </c>
      <c r="I18" s="182">
        <f>'PP-A13'!I18*1.03</f>
        <v>2961.25</v>
      </c>
      <c r="J18" s="182">
        <f>'PP-A13'!J18*1.03</f>
        <v>2960.2200000000003</v>
      </c>
      <c r="K18" s="183">
        <f>'PP-A13'!K18*1.03</f>
        <v>2841.77</v>
      </c>
      <c r="L18" s="184">
        <f>'PP-A13'!L18*1.03</f>
        <v>2841.77</v>
      </c>
      <c r="M18" s="182">
        <f>'PP-A13'!M18*1.03</f>
        <v>2845.89</v>
      </c>
      <c r="N18" s="182">
        <f>'PP-A13'!N18*1.03</f>
        <v>2996.27</v>
      </c>
      <c r="O18" s="182">
        <f>'PP-A13'!O18*1.03</f>
        <v>2996.27</v>
      </c>
      <c r="P18" s="182">
        <f>'PP-A13'!P18*1.03</f>
        <v>2996.27</v>
      </c>
      <c r="Q18" s="185">
        <f>'PP-A13'!Q18*1.03</f>
        <v>2996.27</v>
      </c>
      <c r="R18" s="299">
        <f t="shared" si="0"/>
        <v>-2.5</v>
      </c>
      <c r="S18" s="300">
        <f t="shared" si="1"/>
        <v>1.1000000000000001</v>
      </c>
    </row>
    <row r="19" spans="1:19" ht="15.75" customHeight="1">
      <c r="A19" s="16"/>
      <c r="B19" s="674" t="s">
        <v>307</v>
      </c>
      <c r="C19" s="675"/>
      <c r="D19" s="189">
        <f>'PP-A13'!D19*1.03</f>
        <v>28774.080000000002</v>
      </c>
      <c r="E19" s="190">
        <f>'PP-A13'!E19*1.03</f>
        <v>30950.47</v>
      </c>
      <c r="F19" s="190">
        <f>'PP-A13'!F19*1.03</f>
        <v>33732.5</v>
      </c>
      <c r="G19" s="190">
        <f>'PP-A13'!G19*1.03</f>
        <v>35386.68</v>
      </c>
      <c r="H19" s="190">
        <f>'PP-A13'!H19*1.03</f>
        <v>37508.480000000003</v>
      </c>
      <c r="I19" s="190">
        <f>'PP-A13'!I19*1.03</f>
        <v>40655.130000000005</v>
      </c>
      <c r="J19" s="190">
        <f>'PP-A13'!J19*1.03</f>
        <v>42513.25</v>
      </c>
      <c r="K19" s="191">
        <f>'PP-A13'!K19*1.03</f>
        <v>45623.85</v>
      </c>
      <c r="L19" s="192">
        <f>'PP-A13'!L19*1.03</f>
        <v>48224.6</v>
      </c>
      <c r="M19" s="190">
        <f>'PP-A13'!M19*1.03</f>
        <v>51359.92</v>
      </c>
      <c r="N19" s="190">
        <f>'PP-A13'!N19*1.03</f>
        <v>57615.11</v>
      </c>
      <c r="O19" s="190">
        <f>'PP-A13'!O19*1.03</f>
        <v>61786.61</v>
      </c>
      <c r="P19" s="190">
        <f>'PP-A13'!P19*1.03</f>
        <v>63269.810000000005</v>
      </c>
      <c r="Q19" s="193">
        <f>'PP-A13'!Q19*1.03</f>
        <v>65340.11</v>
      </c>
      <c r="R19" s="303">
        <f t="shared" si="0"/>
        <v>6.8</v>
      </c>
      <c r="S19" s="304">
        <f t="shared" si="1"/>
        <v>6.3</v>
      </c>
    </row>
    <row r="20" spans="1:19" ht="15.75" customHeight="1">
      <c r="A20" s="16"/>
      <c r="B20" s="672" t="s">
        <v>308</v>
      </c>
      <c r="C20" s="673"/>
      <c r="D20" s="194">
        <f>'PP-A13'!D20*1.03</f>
        <v>355.35</v>
      </c>
      <c r="E20" s="195">
        <f>'PP-A13'!E20*1.03</f>
        <v>355.35</v>
      </c>
      <c r="F20" s="195">
        <f>'PP-A13'!F20*1.03</f>
        <v>319.3</v>
      </c>
      <c r="G20" s="195">
        <f>'PP-A13'!G20*1.03</f>
        <v>309</v>
      </c>
      <c r="H20" s="195">
        <f>'PP-A13'!H20*1.03</f>
        <v>133.9</v>
      </c>
      <c r="I20" s="195">
        <f>'PP-A13'!I20*1.03</f>
        <v>133.9</v>
      </c>
      <c r="J20" s="195">
        <f>'PP-A13'!J20*1.03</f>
        <v>133.9</v>
      </c>
      <c r="K20" s="196">
        <f>'PP-A13'!K20*1.03</f>
        <v>133.9</v>
      </c>
      <c r="L20" s="197">
        <f>'PP-A13'!L20*1.03</f>
        <v>133.9</v>
      </c>
      <c r="M20" s="195">
        <f>'PP-A13'!M20*1.03</f>
        <v>133.9</v>
      </c>
      <c r="N20" s="195">
        <f>'PP-A13'!N20*1.03</f>
        <v>133.9</v>
      </c>
      <c r="O20" s="195">
        <f>'PP-A13'!O20*1.03</f>
        <v>133.9</v>
      </c>
      <c r="P20" s="195">
        <f>'PP-A13'!P20*1.03</f>
        <v>133.9</v>
      </c>
      <c r="Q20" s="198">
        <f>'PP-A13'!Q20*1.03</f>
        <v>133.9</v>
      </c>
      <c r="R20" s="303">
        <f t="shared" si="0"/>
        <v>-13</v>
      </c>
      <c r="S20" s="304">
        <f t="shared" si="1"/>
        <v>0</v>
      </c>
    </row>
    <row r="21" spans="1:19" ht="15" customHeight="1">
      <c r="A21" s="16"/>
      <c r="B21" s="105"/>
      <c r="C21" s="97" t="s">
        <v>309</v>
      </c>
      <c r="D21" s="194">
        <f>'PP-A13'!D21*1.03</f>
        <v>355.35</v>
      </c>
      <c r="E21" s="195">
        <f>'PP-A13'!E21*1.03</f>
        <v>355.35</v>
      </c>
      <c r="F21" s="195">
        <f>'PP-A13'!F21*1.03</f>
        <v>319.3</v>
      </c>
      <c r="G21" s="195">
        <f>'PP-A13'!G21*1.03</f>
        <v>309</v>
      </c>
      <c r="H21" s="195">
        <f>'PP-A13'!H21*1.03</f>
        <v>133.9</v>
      </c>
      <c r="I21" s="195">
        <f>'PP-A13'!I21*1.03</f>
        <v>133.9</v>
      </c>
      <c r="J21" s="195">
        <f>'PP-A13'!J21*1.03</f>
        <v>133.9</v>
      </c>
      <c r="K21" s="196">
        <f>'PP-A13'!K21*1.03</f>
        <v>133.9</v>
      </c>
      <c r="L21" s="197">
        <f>'PP-A13'!L21*1.03</f>
        <v>133.9</v>
      </c>
      <c r="M21" s="195">
        <f>'PP-A13'!M21*1.03</f>
        <v>133.9</v>
      </c>
      <c r="N21" s="195">
        <f>'PP-A13'!N21*1.03</f>
        <v>133.9</v>
      </c>
      <c r="O21" s="195">
        <f>'PP-A13'!O21*1.03</f>
        <v>133.9</v>
      </c>
      <c r="P21" s="195">
        <f>'PP-A13'!P21*1.03</f>
        <v>133.9</v>
      </c>
      <c r="Q21" s="198">
        <f>'PP-A13'!Q21*1.03</f>
        <v>133.9</v>
      </c>
      <c r="R21" s="303">
        <f t="shared" si="0"/>
        <v>-13</v>
      </c>
      <c r="S21" s="304">
        <f t="shared" si="1"/>
        <v>0</v>
      </c>
    </row>
    <row r="22" spans="1:19" ht="15.75" customHeight="1">
      <c r="A22" s="16"/>
      <c r="B22" s="672" t="s">
        <v>310</v>
      </c>
      <c r="C22" s="673"/>
      <c r="D22" s="181">
        <f>'PP-A13'!D22*1.03</f>
        <v>11225.970000000001</v>
      </c>
      <c r="E22" s="67">
        <f>'PP-A13'!E22*1.03</f>
        <v>11285.710000000001</v>
      </c>
      <c r="F22" s="67">
        <f>'PP-A13'!F22*1.03</f>
        <v>11257.9</v>
      </c>
      <c r="G22" s="67">
        <f>'PP-A13'!G22*1.03</f>
        <v>11257.9</v>
      </c>
      <c r="H22" s="182">
        <f>'PP-A13'!H22*1.03</f>
        <v>11257.9</v>
      </c>
      <c r="I22" s="182">
        <f>'PP-A13'!I22*1.03</f>
        <v>11257.9</v>
      </c>
      <c r="J22" s="182">
        <f>'PP-A13'!J22*1.03</f>
        <v>11314.550000000001</v>
      </c>
      <c r="K22" s="183">
        <f>'PP-A13'!K22*1.03</f>
        <v>11314.550000000001</v>
      </c>
      <c r="L22" s="184">
        <f>'PP-A13'!L22*1.03</f>
        <v>11314.550000000001</v>
      </c>
      <c r="M22" s="182">
        <f>'PP-A13'!M22*1.03</f>
        <v>11417.550000000001</v>
      </c>
      <c r="N22" s="182">
        <f>'PP-A13'!N22*1.03</f>
        <v>11417.550000000001</v>
      </c>
      <c r="O22" s="182">
        <f>'PP-A13'!O22*1.03</f>
        <v>11417.550000000001</v>
      </c>
      <c r="P22" s="182">
        <f>'PP-A13'!P22*1.03</f>
        <v>11417.550000000001</v>
      </c>
      <c r="Q22" s="185">
        <f>'PP-A13'!Q22*1.03</f>
        <v>11417.550000000001</v>
      </c>
      <c r="R22" s="299">
        <f t="shared" si="0"/>
        <v>0.1</v>
      </c>
      <c r="S22" s="300">
        <f t="shared" si="1"/>
        <v>0.2</v>
      </c>
    </row>
    <row r="23" spans="1:19" ht="15" customHeight="1">
      <c r="A23" s="16"/>
      <c r="B23" s="105"/>
      <c r="C23" s="615" t="s">
        <v>311</v>
      </c>
      <c r="D23" s="194">
        <f>'PP-A13'!D23*1.03</f>
        <v>9835.4700000000012</v>
      </c>
      <c r="E23" s="195">
        <f>'PP-A13'!E23*1.03</f>
        <v>9864.31</v>
      </c>
      <c r="F23" s="195">
        <f>'PP-A13'!F23*1.03</f>
        <v>9795.3000000000011</v>
      </c>
      <c r="G23" s="195">
        <f>'PP-A13'!G23*1.03</f>
        <v>9795.3000000000011</v>
      </c>
      <c r="H23" s="190">
        <f>'PP-A13'!H23*1.03</f>
        <v>9795.3000000000011</v>
      </c>
      <c r="I23" s="190">
        <f>'PP-A13'!I23*1.03</f>
        <v>9795.3000000000011</v>
      </c>
      <c r="J23" s="190">
        <f>'PP-A13'!J23*1.03</f>
        <v>9851.9500000000007</v>
      </c>
      <c r="K23" s="191">
        <f>'PP-A13'!K23*1.03</f>
        <v>9851.9500000000007</v>
      </c>
      <c r="L23" s="192">
        <f>'PP-A13'!L23*1.03</f>
        <v>9851.9500000000007</v>
      </c>
      <c r="M23" s="190">
        <f>'PP-A13'!M23*1.03</f>
        <v>9851.9500000000007</v>
      </c>
      <c r="N23" s="190">
        <f>'PP-A13'!N23*1.03</f>
        <v>9851.9500000000007</v>
      </c>
      <c r="O23" s="190">
        <f>'PP-A13'!O23*1.03</f>
        <v>9851.9500000000007</v>
      </c>
      <c r="P23" s="190">
        <f>'PP-A13'!P23*1.03</f>
        <v>9851.9500000000007</v>
      </c>
      <c r="Q23" s="193">
        <f>'PP-A13'!Q23*1.03</f>
        <v>9851.9500000000007</v>
      </c>
      <c r="R23" s="303">
        <f t="shared" si="0"/>
        <v>0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'PP-A13'!D24*1.03</f>
        <v>6769.16</v>
      </c>
      <c r="E24" s="67">
        <f>'PP-A13'!E24*1.03</f>
        <v>7644.66</v>
      </c>
      <c r="F24" s="67">
        <f>'PP-A13'!F24*1.03</f>
        <v>8775.6</v>
      </c>
      <c r="G24" s="67">
        <f>'PP-A13'!G24*1.03</f>
        <v>8775.6</v>
      </c>
      <c r="H24" s="67">
        <f>'PP-A13'!H24*1.03</f>
        <v>9331.8000000000011</v>
      </c>
      <c r="I24" s="67">
        <f>'PP-A13'!I24*1.03</f>
        <v>9331.8000000000011</v>
      </c>
      <c r="J24" s="67">
        <f>'PP-A13'!J24*1.03</f>
        <v>9692.3000000000011</v>
      </c>
      <c r="K24" s="186">
        <f>'PP-A13'!K24*1.03</f>
        <v>9877.7000000000007</v>
      </c>
      <c r="L24" s="187">
        <f>'PP-A13'!L24*1.03</f>
        <v>10475.1</v>
      </c>
      <c r="M24" s="67">
        <f>'PP-A13'!M24*1.03</f>
        <v>10602.82</v>
      </c>
      <c r="N24" s="67">
        <f>'PP-A13'!N24*1.03</f>
        <v>10911.82</v>
      </c>
      <c r="O24" s="67">
        <f>'PP-A13'!O24*1.03</f>
        <v>10911.82</v>
      </c>
      <c r="P24" s="67">
        <f>'PP-A13'!P24*1.03</f>
        <v>10911.82</v>
      </c>
      <c r="Q24" s="68">
        <f>'PP-A13'!Q24*1.03</f>
        <v>10911.82</v>
      </c>
      <c r="R24" s="302">
        <f t="shared" si="0"/>
        <v>5.5</v>
      </c>
      <c r="S24" s="300">
        <f t="shared" si="1"/>
        <v>0.8</v>
      </c>
    </row>
    <row r="25" spans="1:19" ht="15" customHeight="1">
      <c r="A25" s="16"/>
      <c r="B25" s="16"/>
      <c r="C25" s="615" t="s">
        <v>313</v>
      </c>
      <c r="D25" s="194">
        <f>'PP-A13'!D25*1.03</f>
        <v>0</v>
      </c>
      <c r="E25" s="195">
        <f>'PP-A13'!E25*1.03</f>
        <v>4161.2</v>
      </c>
      <c r="F25" s="195">
        <f>'PP-A13'!F25*1.03</f>
        <v>5294.2</v>
      </c>
      <c r="G25" s="195">
        <f>'PP-A13'!G25*1.03</f>
        <v>5294.2</v>
      </c>
      <c r="H25" s="190">
        <f>'PP-A13'!H25*1.03</f>
        <v>5294.2</v>
      </c>
      <c r="I25" s="190">
        <f>'PP-A13'!I25*1.03</f>
        <v>5294.2</v>
      </c>
      <c r="J25" s="190">
        <f>'PP-A13'!J25*1.03</f>
        <v>5654.7</v>
      </c>
      <c r="K25" s="191">
        <f>'PP-A13'!K25*1.03</f>
        <v>5654.7</v>
      </c>
      <c r="L25" s="192">
        <f>'PP-A13'!L25*1.03</f>
        <v>5654.7</v>
      </c>
      <c r="M25" s="190">
        <f>'PP-A13'!M25*1.03</f>
        <v>5654.7</v>
      </c>
      <c r="N25" s="190">
        <f>'PP-A13'!N25*1.03</f>
        <v>5654.7</v>
      </c>
      <c r="O25" s="190">
        <f>'PP-A13'!O25*1.03</f>
        <v>5654.7</v>
      </c>
      <c r="P25" s="190">
        <f>'PP-A13'!P25*1.03</f>
        <v>5654.7</v>
      </c>
      <c r="Q25" s="193">
        <f>'PP-A13'!Q25*1.03</f>
        <v>5654.7</v>
      </c>
      <c r="R25" s="303" t="str">
        <f t="shared" si="0"/>
        <v xml:space="preserve">     -</v>
      </c>
      <c r="S25" s="304">
        <f t="shared" si="1"/>
        <v>0</v>
      </c>
    </row>
    <row r="26" spans="1:19" ht="15.75" customHeight="1">
      <c r="A26" s="16"/>
      <c r="B26" s="674" t="s">
        <v>314</v>
      </c>
      <c r="C26" s="675"/>
      <c r="D26" s="194">
        <f>'PP-A13'!D26*1.03</f>
        <v>1418.31</v>
      </c>
      <c r="E26" s="195">
        <f>'PP-A13'!E26*1.03</f>
        <v>1418.31</v>
      </c>
      <c r="F26" s="195">
        <f>'PP-A13'!F26*1.03</f>
        <v>1418.31</v>
      </c>
      <c r="G26" s="195">
        <f>'PP-A13'!G26*1.03</f>
        <v>1418.31</v>
      </c>
      <c r="H26" s="195">
        <f>'PP-A13'!H26*1.03</f>
        <v>1418.31</v>
      </c>
      <c r="I26" s="195">
        <f>'PP-A13'!I26*1.03</f>
        <v>1418.31</v>
      </c>
      <c r="J26" s="195">
        <f>'PP-A13'!J26*1.03</f>
        <v>1418.31</v>
      </c>
      <c r="K26" s="196">
        <f>'PP-A13'!K26*1.03</f>
        <v>1418.31</v>
      </c>
      <c r="L26" s="197">
        <f>'PP-A13'!L26*1.03</f>
        <v>1418.31</v>
      </c>
      <c r="M26" s="195">
        <f>'PP-A13'!M26*1.03</f>
        <v>1418.31</v>
      </c>
      <c r="N26" s="195">
        <f>'PP-A13'!N26*1.03</f>
        <v>1418.31</v>
      </c>
      <c r="O26" s="195">
        <f>'PP-A13'!O26*1.03</f>
        <v>1418.31</v>
      </c>
      <c r="P26" s="195">
        <f>'PP-A13'!P26*1.03</f>
        <v>1418.31</v>
      </c>
      <c r="Q26" s="198">
        <f>'PP-A13'!Q26*1.03</f>
        <v>1418.31</v>
      </c>
      <c r="R26" s="305">
        <f t="shared" si="0"/>
        <v>0</v>
      </c>
      <c r="S26" s="304">
        <f t="shared" si="1"/>
        <v>0</v>
      </c>
    </row>
    <row r="27" spans="1:19" ht="15.75" customHeight="1">
      <c r="A27" s="16"/>
      <c r="B27" s="674" t="s">
        <v>315</v>
      </c>
      <c r="C27" s="675"/>
      <c r="D27" s="189">
        <f>'PP-A13'!D27*1.03</f>
        <v>885.80000000000007</v>
      </c>
      <c r="E27" s="190">
        <f>'PP-A13'!E27*1.03</f>
        <v>885.80000000000007</v>
      </c>
      <c r="F27" s="190">
        <f>'PP-A13'!F27*1.03</f>
        <v>885.80000000000007</v>
      </c>
      <c r="G27" s="190">
        <f>'PP-A13'!G27*1.03</f>
        <v>1586.2</v>
      </c>
      <c r="H27" s="190">
        <f>'PP-A13'!H27*1.03</f>
        <v>1637.7</v>
      </c>
      <c r="I27" s="190">
        <f>'PP-A13'!I27*1.03</f>
        <v>1751</v>
      </c>
      <c r="J27" s="190">
        <f>'PP-A13'!J27*1.03</f>
        <v>1699.5</v>
      </c>
      <c r="K27" s="191">
        <f>'PP-A13'!K27*1.03</f>
        <v>1699.5</v>
      </c>
      <c r="L27" s="192">
        <f>'PP-A13'!L27*1.03</f>
        <v>2399.9</v>
      </c>
      <c r="M27" s="190">
        <f>'PP-A13'!M27*1.03</f>
        <v>2739.8</v>
      </c>
      <c r="N27" s="190">
        <f>'PP-A13'!N27*1.03</f>
        <v>2739.8</v>
      </c>
      <c r="O27" s="190">
        <f>'PP-A13'!O27*1.03</f>
        <v>3254.8</v>
      </c>
      <c r="P27" s="190">
        <f>'PP-A13'!P27*1.03</f>
        <v>3975.8</v>
      </c>
      <c r="Q27" s="193">
        <f>'PP-A13'!Q27*1.03</f>
        <v>3975.8</v>
      </c>
      <c r="R27" s="303">
        <f t="shared" si="0"/>
        <v>9.8000000000000007</v>
      </c>
      <c r="S27" s="304">
        <f t="shared" si="1"/>
        <v>10.6</v>
      </c>
    </row>
    <row r="28" spans="1:19" ht="15" customHeight="1">
      <c r="A28" s="16"/>
      <c r="B28" s="672" t="s">
        <v>316</v>
      </c>
      <c r="C28" s="673"/>
      <c r="D28" s="181">
        <f>'PP-A13'!D28*1.03</f>
        <v>8325.49</v>
      </c>
      <c r="E28" s="67">
        <f>'PP-A13'!E28*1.03</f>
        <v>8325.49</v>
      </c>
      <c r="F28" s="67">
        <f>'PP-A13'!F28*1.03</f>
        <v>8092.71</v>
      </c>
      <c r="G28" s="67">
        <f>'PP-A13'!G28*1.03</f>
        <v>8092.71</v>
      </c>
      <c r="H28" s="67">
        <f>'PP-A13'!H28*1.03</f>
        <v>8230.73</v>
      </c>
      <c r="I28" s="182">
        <f>'PP-A13'!I28*1.03</f>
        <v>8188.5</v>
      </c>
      <c r="J28" s="182">
        <f>'PP-A13'!J28*1.03</f>
        <v>8298.7100000000009</v>
      </c>
      <c r="K28" s="183">
        <f>'PP-A13'!K28*1.03</f>
        <v>8590.2000000000007</v>
      </c>
      <c r="L28" s="184">
        <f>'PP-A13'!L28*1.03</f>
        <v>8747.7900000000009</v>
      </c>
      <c r="M28" s="182">
        <f>'PP-A13'!M28*1.03</f>
        <v>8747.7900000000009</v>
      </c>
      <c r="N28" s="182">
        <f>'PP-A13'!N28*1.03</f>
        <v>9468.7900000000009</v>
      </c>
      <c r="O28" s="182">
        <f>'PP-A13'!O28*1.03</f>
        <v>9468.7900000000009</v>
      </c>
      <c r="P28" s="182">
        <f>'PP-A13'!P28*1.03</f>
        <v>9932.2900000000009</v>
      </c>
      <c r="Q28" s="185">
        <f>'PP-A13'!Q28*1.03</f>
        <v>9932.2900000000009</v>
      </c>
      <c r="R28" s="299">
        <f t="shared" si="0"/>
        <v>0.4</v>
      </c>
      <c r="S28" s="300">
        <f t="shared" si="1"/>
        <v>2.6</v>
      </c>
    </row>
    <row r="29" spans="1:19" ht="15" customHeight="1">
      <c r="A29" s="16"/>
      <c r="B29" s="670" t="s">
        <v>317</v>
      </c>
      <c r="C29" s="671"/>
      <c r="D29" s="181">
        <f>'PP-A13'!D29*1.03</f>
        <v>0</v>
      </c>
      <c r="E29" s="67">
        <f>'PP-A13'!E29*1.03</f>
        <v>0</v>
      </c>
      <c r="F29" s="67">
        <f>'PP-A13'!F29*1.03</f>
        <v>0</v>
      </c>
      <c r="G29" s="67">
        <f>'PP-A13'!G29*1.03</f>
        <v>0</v>
      </c>
      <c r="H29" s="67">
        <f>'PP-A13'!H29*1.03</f>
        <v>0</v>
      </c>
      <c r="I29" s="182">
        <f>'PP-A13'!I29*1.03</f>
        <v>0</v>
      </c>
      <c r="J29" s="182">
        <f>'PP-A13'!J29*1.03</f>
        <v>0</v>
      </c>
      <c r="K29" s="183">
        <f>'PP-A13'!K29*1.03</f>
        <v>0</v>
      </c>
      <c r="L29" s="184">
        <f>'PP-A13'!L29*1.03</f>
        <v>0</v>
      </c>
      <c r="M29" s="182">
        <f>'PP-A13'!M29*1.03</f>
        <v>0</v>
      </c>
      <c r="N29" s="182">
        <f>'PP-A13'!N29*1.03</f>
        <v>0</v>
      </c>
      <c r="O29" s="182">
        <f>'PP-A13'!O29*1.03</f>
        <v>540.75</v>
      </c>
      <c r="P29" s="182">
        <f>'PP-A13'!P29*1.03</f>
        <v>1081.5</v>
      </c>
      <c r="Q29" s="185">
        <f>'PP-A13'!Q29*1.03</f>
        <v>1081.5</v>
      </c>
      <c r="R29" s="299" t="str">
        <f t="shared" si="0"/>
        <v xml:space="preserve">     -</v>
      </c>
      <c r="S29" s="300" t="str">
        <f t="shared" si="1"/>
        <v xml:space="preserve">     -</v>
      </c>
    </row>
    <row r="30" spans="1:19" ht="15.75" customHeight="1">
      <c r="A30" s="16"/>
      <c r="B30" s="674" t="s">
        <v>318</v>
      </c>
      <c r="C30" s="675"/>
      <c r="D30" s="189">
        <f>'PP-A13'!D30*1.03</f>
        <v>8325.49</v>
      </c>
      <c r="E30" s="190">
        <f>'PP-A13'!E30*1.03</f>
        <v>8325.49</v>
      </c>
      <c r="F30" s="190">
        <f>'PP-A13'!F30*1.03</f>
        <v>8092.71</v>
      </c>
      <c r="G30" s="190">
        <f>'PP-A13'!G30*1.03</f>
        <v>8092.71</v>
      </c>
      <c r="H30" s="190">
        <f>'PP-A13'!H30*1.03</f>
        <v>8230.73</v>
      </c>
      <c r="I30" s="190">
        <f>'PP-A13'!I30*1.03</f>
        <v>8188.5</v>
      </c>
      <c r="J30" s="190">
        <f>'PP-A13'!J30*1.03</f>
        <v>8298.7100000000009</v>
      </c>
      <c r="K30" s="191">
        <f>'PP-A13'!K30*1.03</f>
        <v>8590.2000000000007</v>
      </c>
      <c r="L30" s="192">
        <f>'PP-A13'!L30*1.03</f>
        <v>8747.7900000000009</v>
      </c>
      <c r="M30" s="190">
        <f>'PP-A13'!M30*1.03</f>
        <v>8747.7900000000009</v>
      </c>
      <c r="N30" s="190">
        <f>'PP-A13'!N30*1.03</f>
        <v>9468.7900000000009</v>
      </c>
      <c r="O30" s="190">
        <f>'PP-A13'!O30*1.03</f>
        <v>10009.540000000001</v>
      </c>
      <c r="P30" s="190">
        <f>'PP-A13'!P30*1.03</f>
        <v>11013.79</v>
      </c>
      <c r="Q30" s="193">
        <f>'PP-A13'!Q30*1.03</f>
        <v>11013.79</v>
      </c>
      <c r="R30" s="303">
        <f t="shared" si="0"/>
        <v>0.4</v>
      </c>
      <c r="S30" s="304">
        <f t="shared" si="1"/>
        <v>4.7</v>
      </c>
    </row>
    <row r="31" spans="1:19" ht="15" customHeight="1">
      <c r="A31" s="16"/>
      <c r="B31" s="672" t="s">
        <v>319</v>
      </c>
      <c r="C31" s="673"/>
      <c r="D31" s="181">
        <f>'PP-A13'!D31*1.03</f>
        <v>607.70000000000005</v>
      </c>
      <c r="E31" s="67">
        <f>'PP-A13'!E31*1.03</f>
        <v>607.70000000000005</v>
      </c>
      <c r="F31" s="67">
        <f>'PP-A13'!F31*1.03</f>
        <v>607.70000000000005</v>
      </c>
      <c r="G31" s="67">
        <f>'PP-A13'!G31*1.03</f>
        <v>607.70000000000005</v>
      </c>
      <c r="H31" s="67">
        <f>'PP-A13'!H31*1.03</f>
        <v>607.70000000000005</v>
      </c>
      <c r="I31" s="62">
        <f>'PP-A13'!I31*1.03</f>
        <v>607.70000000000005</v>
      </c>
      <c r="J31" s="182">
        <f>'PP-A13'!J31*1.03</f>
        <v>607.70000000000005</v>
      </c>
      <c r="K31" s="183">
        <f>'PP-A13'!K31*1.03</f>
        <v>607.70000000000005</v>
      </c>
      <c r="L31" s="184">
        <f>'PP-A13'!L31*1.03</f>
        <v>684.95</v>
      </c>
      <c r="M31" s="182">
        <f>'PP-A13'!M31*1.03</f>
        <v>710.7</v>
      </c>
      <c r="N31" s="182">
        <f>'PP-A13'!N31*1.03</f>
        <v>710.7</v>
      </c>
      <c r="O31" s="182">
        <f>'PP-A13'!O31*1.03</f>
        <v>710.7</v>
      </c>
      <c r="P31" s="182">
        <f>'PP-A13'!P31*1.03</f>
        <v>710.7</v>
      </c>
      <c r="Q31" s="185">
        <f>'PP-A13'!Q31*1.03</f>
        <v>710.7</v>
      </c>
      <c r="R31" s="299">
        <f t="shared" si="0"/>
        <v>0</v>
      </c>
      <c r="S31" s="300">
        <f t="shared" si="1"/>
        <v>0.7</v>
      </c>
    </row>
    <row r="32" spans="1:19" ht="15" customHeight="1">
      <c r="A32" s="16"/>
      <c r="B32" s="668" t="s">
        <v>320</v>
      </c>
      <c r="C32" s="669"/>
      <c r="D32" s="181">
        <f>'PP-A13'!D32*1.03</f>
        <v>1905.5</v>
      </c>
      <c r="E32" s="67">
        <f>'PP-A13'!E32*1.03</f>
        <v>1905.5</v>
      </c>
      <c r="F32" s="67">
        <f>'PP-A13'!F32*1.03</f>
        <v>1905.5</v>
      </c>
      <c r="G32" s="67">
        <f>'PP-A13'!G32*1.03</f>
        <v>1905.5</v>
      </c>
      <c r="H32" s="67">
        <f>'PP-A13'!H32*1.03</f>
        <v>1905.5</v>
      </c>
      <c r="I32" s="182">
        <f>'PP-A13'!I32*1.03</f>
        <v>1905.5</v>
      </c>
      <c r="J32" s="182">
        <f>'PP-A13'!J32*1.03</f>
        <v>1905.5</v>
      </c>
      <c r="K32" s="183">
        <f>'PP-A13'!K32*1.03</f>
        <v>1905.5</v>
      </c>
      <c r="L32" s="184">
        <f>'PP-A13'!L32*1.03</f>
        <v>1905.5</v>
      </c>
      <c r="M32" s="182">
        <f>'PP-A13'!M32*1.03</f>
        <v>1905.5</v>
      </c>
      <c r="N32" s="182">
        <f>'PP-A13'!N32*1.03</f>
        <v>1905.5</v>
      </c>
      <c r="O32" s="182">
        <f>'PP-A13'!O32*1.03</f>
        <v>1905.5</v>
      </c>
      <c r="P32" s="182">
        <f>'PP-A13'!P32*1.03</f>
        <v>1905.5</v>
      </c>
      <c r="Q32" s="185">
        <f>'PP-A13'!Q32*1.03</f>
        <v>1905.5</v>
      </c>
      <c r="R32" s="299">
        <f t="shared" si="0"/>
        <v>0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81">
        <f>'PP-A13'!D33*1.03</f>
        <v>998.07</v>
      </c>
      <c r="E33" s="67">
        <f>'PP-A13'!E33*1.03</f>
        <v>1112.4000000000001</v>
      </c>
      <c r="F33" s="67">
        <f>'PP-A13'!F33*1.03</f>
        <v>1115.49</v>
      </c>
      <c r="G33" s="67">
        <f>'PP-A13'!G33*1.03</f>
        <v>1106.22</v>
      </c>
      <c r="H33" s="67">
        <f>'PP-A13'!H33*1.03</f>
        <v>1106.22</v>
      </c>
      <c r="I33" s="182">
        <f>'PP-A13'!I33*1.03</f>
        <v>1106.22</v>
      </c>
      <c r="J33" s="182">
        <f>'PP-A13'!J33*1.03</f>
        <v>1106.22</v>
      </c>
      <c r="K33" s="183">
        <f>'PP-A13'!K33*1.03</f>
        <v>1106.22</v>
      </c>
      <c r="L33" s="184">
        <f>'PP-A13'!L33*1.03</f>
        <v>1106.22</v>
      </c>
      <c r="M33" s="182">
        <f>'PP-A13'!M33*1.03</f>
        <v>1106.22</v>
      </c>
      <c r="N33" s="182">
        <f>'PP-A13'!N33*1.03</f>
        <v>1106.22</v>
      </c>
      <c r="O33" s="182">
        <f>'PP-A13'!O33*1.03</f>
        <v>1106.22</v>
      </c>
      <c r="P33" s="182">
        <f>'PP-A13'!P33*1.03</f>
        <v>1106.22</v>
      </c>
      <c r="Q33" s="185">
        <f>'PP-A13'!Q33*1.03</f>
        <v>1106.22</v>
      </c>
      <c r="R33" s="299">
        <f t="shared" si="0"/>
        <v>1.5</v>
      </c>
      <c r="S33" s="300">
        <f t="shared" si="1"/>
        <v>0</v>
      </c>
    </row>
    <row r="34" spans="1:19" ht="15.75" customHeight="1" thickBot="1">
      <c r="A34" s="16"/>
      <c r="B34" s="678" t="s">
        <v>322</v>
      </c>
      <c r="C34" s="679"/>
      <c r="D34" s="199">
        <f>'PP-A13'!D34*1.03</f>
        <v>3511.27</v>
      </c>
      <c r="E34" s="200">
        <f>'PP-A13'!E34*1.03</f>
        <v>3625.6</v>
      </c>
      <c r="F34" s="200">
        <f>'PP-A13'!F34*1.03</f>
        <v>3628.69</v>
      </c>
      <c r="G34" s="200">
        <f>'PP-A13'!G34*1.03</f>
        <v>3619.42</v>
      </c>
      <c r="H34" s="200">
        <f>'PP-A13'!H34*1.03</f>
        <v>3619.42</v>
      </c>
      <c r="I34" s="200">
        <f>'PP-A13'!I34*1.03</f>
        <v>3619.42</v>
      </c>
      <c r="J34" s="200">
        <f>'PP-A13'!J34*1.03</f>
        <v>3619.42</v>
      </c>
      <c r="K34" s="201">
        <f>'PP-A13'!K34*1.03</f>
        <v>3619.42</v>
      </c>
      <c r="L34" s="202">
        <f>'PP-A13'!L34*1.03</f>
        <v>3696.67</v>
      </c>
      <c r="M34" s="200">
        <f>'PP-A13'!M34*1.03</f>
        <v>3722.42</v>
      </c>
      <c r="N34" s="200">
        <f>'PP-A13'!N34*1.03</f>
        <v>3722.42</v>
      </c>
      <c r="O34" s="200">
        <f>'PP-A13'!O34*1.03</f>
        <v>3722.42</v>
      </c>
      <c r="P34" s="200">
        <f>'PP-A13'!P34*1.03</f>
        <v>3722.42</v>
      </c>
      <c r="Q34" s="203">
        <f>'PP-A13'!Q34*1.03</f>
        <v>3722.42</v>
      </c>
      <c r="R34" s="306">
        <f t="shared" si="0"/>
        <v>0.4</v>
      </c>
      <c r="S34" s="307">
        <f t="shared" si="1"/>
        <v>0.1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61265.43</v>
      </c>
      <c r="E35" s="205">
        <f t="shared" ref="E35:Q35" si="2">E34+E30+E27+E26+E24+E22+E20+E19</f>
        <v>64491.39</v>
      </c>
      <c r="F35" s="205">
        <f t="shared" si="2"/>
        <v>68110.81</v>
      </c>
      <c r="G35" s="205">
        <f t="shared" si="2"/>
        <v>70445.820000000007</v>
      </c>
      <c r="H35" s="205">
        <f t="shared" si="2"/>
        <v>73138.240000000005</v>
      </c>
      <c r="I35" s="205">
        <f t="shared" si="2"/>
        <v>76355.960000000006</v>
      </c>
      <c r="J35" s="205">
        <f t="shared" si="2"/>
        <v>78689.94</v>
      </c>
      <c r="K35" s="206">
        <f t="shared" si="2"/>
        <v>82277.429999999993</v>
      </c>
      <c r="L35" s="207">
        <f t="shared" si="2"/>
        <v>86410.82</v>
      </c>
      <c r="M35" s="205">
        <f t="shared" si="2"/>
        <v>90142.510000000009</v>
      </c>
      <c r="N35" s="205">
        <f t="shared" si="2"/>
        <v>97427.700000000012</v>
      </c>
      <c r="O35" s="205">
        <f t="shared" si="2"/>
        <v>102654.95000000001</v>
      </c>
      <c r="P35" s="205">
        <f t="shared" si="2"/>
        <v>105863.40000000001</v>
      </c>
      <c r="Q35" s="208">
        <f t="shared" si="2"/>
        <v>107933.70000000001</v>
      </c>
      <c r="R35" s="308">
        <f t="shared" si="0"/>
        <v>4.3</v>
      </c>
      <c r="S35" s="309">
        <f t="shared" si="1"/>
        <v>4.5</v>
      </c>
    </row>
    <row r="36" spans="1:19" ht="15" customHeight="1">
      <c r="A36" s="613" t="s">
        <v>324</v>
      </c>
      <c r="B36" s="644" t="s">
        <v>433</v>
      </c>
      <c r="C36" s="645"/>
      <c r="D36" s="181">
        <f>'PP-A13'!D36*1.03</f>
        <v>3920.1800000000003</v>
      </c>
      <c r="E36" s="67">
        <f>'PP-A13'!E36*1.03</f>
        <v>3851.17</v>
      </c>
      <c r="F36" s="67">
        <f>'PP-A13'!F36*1.03</f>
        <v>3965.5</v>
      </c>
      <c r="G36" s="67">
        <f>'PP-A13'!G36*1.03</f>
        <v>4159.1400000000003</v>
      </c>
      <c r="H36" s="182">
        <f>'PP-A13'!H36*1.03</f>
        <v>4252.87</v>
      </c>
      <c r="I36" s="182">
        <f>'PP-A13'!I36*1.03</f>
        <v>4146.78</v>
      </c>
      <c r="J36" s="182">
        <f>'PP-A13'!J36*1.03</f>
        <v>4210.6400000000003</v>
      </c>
      <c r="K36" s="183">
        <f>'PP-A13'!K36*1.03</f>
        <v>4432.09</v>
      </c>
      <c r="L36" s="184">
        <f>'PP-A13'!L36*1.03</f>
        <v>4779.2</v>
      </c>
      <c r="M36" s="182">
        <f>'PP-A13'!M36*1.03</f>
        <v>4789.5</v>
      </c>
      <c r="N36" s="182">
        <f>'PP-A13'!N36*1.03</f>
        <v>5180.9000000000005</v>
      </c>
      <c r="O36" s="182">
        <f>'PP-A13'!O36*1.03</f>
        <v>5953.4000000000005</v>
      </c>
      <c r="P36" s="182">
        <f>'PP-A13'!P36*1.03</f>
        <v>5953.4000000000005</v>
      </c>
      <c r="Q36" s="185">
        <f>'PP-A13'!Q36*1.03</f>
        <v>6180</v>
      </c>
      <c r="R36" s="299">
        <f t="shared" si="0"/>
        <v>1.8</v>
      </c>
      <c r="S36" s="300">
        <f t="shared" si="1"/>
        <v>5.3</v>
      </c>
    </row>
    <row r="37" spans="1:19" ht="15" customHeight="1">
      <c r="A37" s="614" t="s">
        <v>325</v>
      </c>
      <c r="B37" s="605" t="s">
        <v>434</v>
      </c>
      <c r="C37" s="606"/>
      <c r="D37" s="181">
        <f>'PP-A13'!D37*1.03</f>
        <v>1251.45</v>
      </c>
      <c r="E37" s="67">
        <f>'PP-A13'!E37*1.03</f>
        <v>1112.4000000000001</v>
      </c>
      <c r="F37" s="67">
        <f>'PP-A13'!F37*1.03</f>
        <v>1050.6000000000001</v>
      </c>
      <c r="G37" s="67">
        <f>'PP-A13'!G37*1.03</f>
        <v>1245.27</v>
      </c>
      <c r="H37" s="182">
        <f>'PP-A13'!H37*1.03</f>
        <v>1073.26</v>
      </c>
      <c r="I37" s="182">
        <f>'PP-A13'!I37*1.03</f>
        <v>1161.8399999999999</v>
      </c>
      <c r="J37" s="182">
        <f>'PP-A13'!J37*1.03</f>
        <v>1253.51</v>
      </c>
      <c r="K37" s="183">
        <f>'PP-A13'!K37*1.03</f>
        <v>1379.17</v>
      </c>
      <c r="L37" s="184">
        <f>'PP-A13'!L37*1.03</f>
        <v>1390.5</v>
      </c>
      <c r="M37" s="182">
        <f>'PP-A13'!M37*1.03</f>
        <v>1390.5</v>
      </c>
      <c r="N37" s="182">
        <f>'PP-A13'!N37*1.03</f>
        <v>1390.5</v>
      </c>
      <c r="O37" s="182">
        <f>'PP-A13'!O37*1.03</f>
        <v>1442</v>
      </c>
      <c r="P37" s="182">
        <f>'PP-A13'!P37*1.03</f>
        <v>1442</v>
      </c>
      <c r="Q37" s="185">
        <f>'PP-A13'!Q37*1.03</f>
        <v>1442</v>
      </c>
      <c r="R37" s="299">
        <f t="shared" si="0"/>
        <v>1.4</v>
      </c>
      <c r="S37" s="300">
        <f t="shared" si="1"/>
        <v>0.7</v>
      </c>
    </row>
    <row r="38" spans="1:19" ht="15" customHeight="1">
      <c r="A38" s="16"/>
      <c r="B38" s="605" t="s">
        <v>435</v>
      </c>
      <c r="C38" s="606"/>
      <c r="D38" s="181">
        <f>'PP-A13'!D38*1.03</f>
        <v>960.99</v>
      </c>
      <c r="E38" s="67">
        <f>'PP-A13'!E38*1.03</f>
        <v>980.8175</v>
      </c>
      <c r="F38" s="67">
        <f>'PP-A13'!F38*1.03</f>
        <v>1156.4325000000001</v>
      </c>
      <c r="G38" s="67">
        <f>'PP-A13'!G38*1.03</f>
        <v>1384.5775000000001</v>
      </c>
      <c r="H38" s="67">
        <f>'PP-A13'!H38*1.03</f>
        <v>1419.7888252458729</v>
      </c>
      <c r="I38" s="62">
        <f>'PP-A13'!I38*1.03</f>
        <v>1627.3886573507909</v>
      </c>
      <c r="J38" s="62">
        <f>'PP-A13'!J38*1.03</f>
        <v>1492.47</v>
      </c>
      <c r="K38" s="63">
        <f>'PP-A13'!K38*1.03</f>
        <v>1498.65</v>
      </c>
      <c r="L38" s="64">
        <f>'PP-A13'!L38*1.03</f>
        <v>1467.75</v>
      </c>
      <c r="M38" s="62">
        <f>'PP-A13'!M38*1.03</f>
        <v>1546.03</v>
      </c>
      <c r="N38" s="62">
        <f>'PP-A13'!N38*1.03</f>
        <v>1546.03</v>
      </c>
      <c r="O38" s="62">
        <f>'PP-A13'!O38*1.03</f>
        <v>1522.3400000000001</v>
      </c>
      <c r="P38" s="62">
        <f>'PP-A13'!P38*1.03</f>
        <v>1498.65</v>
      </c>
      <c r="Q38" s="65">
        <f>'PP-A13'!Q38*1.03</f>
        <v>1467.75</v>
      </c>
      <c r="R38" s="301">
        <f t="shared" si="0"/>
        <v>6.6</v>
      </c>
      <c r="S38" s="300">
        <f t="shared" si="1"/>
        <v>0</v>
      </c>
    </row>
    <row r="39" spans="1:19" ht="15" customHeight="1">
      <c r="A39" s="16"/>
      <c r="B39" s="605" t="s">
        <v>436</v>
      </c>
      <c r="C39" s="606"/>
      <c r="D39" s="181">
        <f>'PP-A13'!D39*1.03</f>
        <v>10743.93</v>
      </c>
      <c r="E39" s="67">
        <f>'PP-A13'!E39*1.03</f>
        <v>11922.25</v>
      </c>
      <c r="F39" s="67">
        <f>'PP-A13'!F39*1.03</f>
        <v>12147.82</v>
      </c>
      <c r="G39" s="67">
        <f>'PP-A13'!G39*1.03</f>
        <v>13937.960000000001</v>
      </c>
      <c r="H39" s="67">
        <f>'PP-A13'!H39*1.03</f>
        <v>15642.61</v>
      </c>
      <c r="I39" s="182">
        <f>'PP-A13'!I39*1.03</f>
        <v>18390.650000000001</v>
      </c>
      <c r="J39" s="182">
        <f>'PP-A13'!J39*1.03</f>
        <v>20767.89</v>
      </c>
      <c r="K39" s="183">
        <f>'PP-A13'!K39*1.03</f>
        <v>22478.720000000001</v>
      </c>
      <c r="L39" s="184">
        <f>'PP-A13'!L39*1.03</f>
        <v>24400.7</v>
      </c>
      <c r="M39" s="182">
        <f>'PP-A13'!M39*1.03</f>
        <v>26228.95</v>
      </c>
      <c r="N39" s="182">
        <f>'PP-A13'!N39*1.03</f>
        <v>28906.95</v>
      </c>
      <c r="O39" s="182">
        <f>'PP-A13'!O39*1.03</f>
        <v>30894.850000000002</v>
      </c>
      <c r="P39" s="182">
        <f>'PP-A13'!P39*1.03</f>
        <v>32790.050000000003</v>
      </c>
      <c r="Q39" s="185">
        <f>'PP-A13'!Q39*1.03</f>
        <v>34365.950000000004</v>
      </c>
      <c r="R39" s="299">
        <f t="shared" si="0"/>
        <v>11.1</v>
      </c>
      <c r="S39" s="300">
        <f t="shared" si="1"/>
        <v>7.1</v>
      </c>
    </row>
    <row r="40" spans="1:19" ht="15" customHeight="1">
      <c r="A40" s="16"/>
      <c r="B40" s="605" t="s">
        <v>437</v>
      </c>
      <c r="C40" s="606"/>
      <c r="D40" s="181">
        <f>'PP-A13'!D40*1.03</f>
        <v>1411.1000000000001</v>
      </c>
      <c r="E40" s="67">
        <f>'PP-A13'!E40*1.03</f>
        <v>1659.3300000000002</v>
      </c>
      <c r="F40" s="67">
        <f>'PP-A13'!F40*1.03</f>
        <v>1637.7</v>
      </c>
      <c r="G40" s="67">
        <f>'PP-A13'!G40*1.03</f>
        <v>1815.89</v>
      </c>
      <c r="H40" s="67">
        <f>'PP-A13'!H40*1.03</f>
        <v>1784.4956</v>
      </c>
      <c r="I40" s="67">
        <f>'PP-A13'!I40*1.03</f>
        <v>1785.5076780000002</v>
      </c>
      <c r="J40" s="67">
        <f>'PP-A13'!J40*1.03</f>
        <v>1773.0031729552002</v>
      </c>
      <c r="K40" s="186">
        <f>'PP-A13'!K40*1.03</f>
        <v>1849.7409136850015</v>
      </c>
      <c r="L40" s="187">
        <f>'PP-A13'!L40*1.03</f>
        <v>2201.625</v>
      </c>
      <c r="M40" s="67">
        <f>'PP-A13'!M40*1.03</f>
        <v>2201.625</v>
      </c>
      <c r="N40" s="67">
        <f>'PP-A13'!N40*1.03</f>
        <v>2201.625</v>
      </c>
      <c r="O40" s="67">
        <f>'PP-A13'!O40*1.03</f>
        <v>2201.625</v>
      </c>
      <c r="P40" s="67">
        <f>'PP-A13'!P40*1.03</f>
        <v>2201.625</v>
      </c>
      <c r="Q40" s="68">
        <f>'PP-A13'!Q40*1.03</f>
        <v>2201.625</v>
      </c>
      <c r="R40" s="302">
        <f t="shared" si="0"/>
        <v>3.9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'PP-A13'!D41*1.03</f>
        <v>395.82900000000001</v>
      </c>
      <c r="E41" s="67">
        <f>'PP-A13'!E41*1.03</f>
        <v>282.22000000000003</v>
      </c>
      <c r="F41" s="67">
        <f>'PP-A13'!F41*1.03</f>
        <v>430.54</v>
      </c>
      <c r="G41" s="67">
        <f>'PP-A13'!G41*1.03</f>
        <v>519.12</v>
      </c>
      <c r="H41" s="67">
        <f>'PP-A13'!H41*1.03</f>
        <v>799.28</v>
      </c>
      <c r="I41" s="67">
        <f>'PP-A13'!I41*1.03</f>
        <v>824</v>
      </c>
      <c r="J41" s="67">
        <f>'PP-A13'!J41*1.03</f>
        <v>824</v>
      </c>
      <c r="K41" s="186">
        <f>'PP-A13'!K41*1.03</f>
        <v>824</v>
      </c>
      <c r="L41" s="187">
        <f>'PP-A13'!L41*1.03</f>
        <v>824</v>
      </c>
      <c r="M41" s="67">
        <f>'PP-A13'!M41*1.03</f>
        <v>824</v>
      </c>
      <c r="N41" s="67">
        <f>'PP-A13'!N41*1.03</f>
        <v>824</v>
      </c>
      <c r="O41" s="67">
        <f>'PP-A13'!O41*1.03</f>
        <v>927</v>
      </c>
      <c r="P41" s="67">
        <f>'PP-A13'!P41*1.03</f>
        <v>927</v>
      </c>
      <c r="Q41" s="68">
        <f>'PP-A13'!Q41*1.03</f>
        <v>927</v>
      </c>
      <c r="R41" s="302">
        <f t="shared" si="0"/>
        <v>11</v>
      </c>
      <c r="S41" s="300">
        <f t="shared" si="1"/>
        <v>2.4</v>
      </c>
    </row>
    <row r="42" spans="1:19" ht="15" customHeight="1">
      <c r="A42" s="16"/>
      <c r="B42" s="605" t="s">
        <v>439</v>
      </c>
      <c r="C42" s="606"/>
      <c r="D42" s="181">
        <f>'PP-A13'!D42*1.03</f>
        <v>2987</v>
      </c>
      <c r="E42" s="67">
        <f>'PP-A13'!E42*1.03</f>
        <v>3252.7400000000002</v>
      </c>
      <c r="F42" s="67">
        <f>'PP-A13'!F42*1.03</f>
        <v>3802.76</v>
      </c>
      <c r="G42" s="67">
        <f>'PP-A13'!G42*1.03</f>
        <v>4305.4000000000005</v>
      </c>
      <c r="H42" s="67">
        <f>'PP-A13'!H42*1.03</f>
        <v>4223</v>
      </c>
      <c r="I42" s="67">
        <f>'PP-A13'!I42*1.03</f>
        <v>4326</v>
      </c>
      <c r="J42" s="182">
        <f>'PP-A13'!J42*1.03</f>
        <v>4412.5200000000004</v>
      </c>
      <c r="K42" s="183">
        <f>'PP-A13'!K42*1.03</f>
        <v>4532</v>
      </c>
      <c r="L42" s="184">
        <f>'PP-A13'!L42*1.03</f>
        <v>4944</v>
      </c>
      <c r="M42" s="182">
        <f>'PP-A13'!M42*1.03</f>
        <v>5253</v>
      </c>
      <c r="N42" s="182">
        <f>'PP-A13'!N42*1.03</f>
        <v>5459</v>
      </c>
      <c r="O42" s="182">
        <f>'PP-A13'!O42*1.03</f>
        <v>5974</v>
      </c>
      <c r="P42" s="182">
        <f>'PP-A13'!P42*1.03</f>
        <v>5974</v>
      </c>
      <c r="Q42" s="185">
        <f>'PP-A13'!Q42*1.03</f>
        <v>5974</v>
      </c>
      <c r="R42" s="299">
        <f t="shared" si="0"/>
        <v>6.1</v>
      </c>
      <c r="S42" s="300">
        <f t="shared" si="1"/>
        <v>3.9</v>
      </c>
    </row>
    <row r="43" spans="1:19" ht="15" hidden="1" customHeight="1">
      <c r="A43" s="16"/>
      <c r="B43" s="16"/>
      <c r="C43" s="90" t="s">
        <v>306</v>
      </c>
      <c r="D43" s="181">
        <f>'PP-A13'!D43*1.03</f>
        <v>0</v>
      </c>
      <c r="E43" s="67">
        <f>'PP-A13'!E43*1.03</f>
        <v>0</v>
      </c>
      <c r="F43" s="67">
        <f>'PP-A13'!F43*1.03</f>
        <v>0</v>
      </c>
      <c r="G43" s="67">
        <f>'PP-A13'!G43*1.03</f>
        <v>0</v>
      </c>
      <c r="H43" s="67">
        <f>'PP-A13'!H43*1.03</f>
        <v>0</v>
      </c>
      <c r="I43" s="67">
        <f>'PP-A13'!I43*1.03</f>
        <v>0</v>
      </c>
      <c r="J43" s="67">
        <f>'PP-A13'!J43*1.03</f>
        <v>0</v>
      </c>
      <c r="K43" s="186">
        <f>'PP-A13'!K43*1.03</f>
        <v>0</v>
      </c>
      <c r="L43" s="187">
        <f>'PP-A13'!L43*1.03</f>
        <v>0</v>
      </c>
      <c r="M43" s="67">
        <f>'PP-A13'!M43*1.03</f>
        <v>0</v>
      </c>
      <c r="N43" s="67">
        <f>'PP-A13'!N43*1.03</f>
        <v>0</v>
      </c>
      <c r="O43" s="67">
        <f>'PP-A13'!O43*1.03</f>
        <v>0</v>
      </c>
      <c r="P43" s="67">
        <f>'PP-A13'!P43*1.03</f>
        <v>0</v>
      </c>
      <c r="Q43" s="68">
        <f>'PP-A13'!Q43*1.03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'PP-A13'!D44*1.03</f>
        <v>47.38</v>
      </c>
      <c r="E44" s="67">
        <f>'PP-A13'!E44*1.03</f>
        <v>43.330039999999997</v>
      </c>
      <c r="F44" s="67">
        <f>'PP-A13'!F44*1.03</f>
        <v>13.333350000000001</v>
      </c>
      <c r="G44" s="67">
        <f>'PP-A13'!G44*1.03</f>
        <v>13.39</v>
      </c>
      <c r="H44" s="67">
        <f>'PP-A13'!H44*1.03</f>
        <v>12.94195</v>
      </c>
      <c r="I44" s="67">
        <f>'PP-A13'!I44*1.03</f>
        <v>56.65</v>
      </c>
      <c r="J44" s="67">
        <f>'PP-A13'!J44*1.03</f>
        <v>82.4</v>
      </c>
      <c r="K44" s="186">
        <f>'PP-A13'!K44*1.03</f>
        <v>123.60000000000001</v>
      </c>
      <c r="L44" s="187">
        <f>'PP-A13'!L44*1.03</f>
        <v>144.20000000000002</v>
      </c>
      <c r="M44" s="67">
        <f>'PP-A13'!M44*1.03</f>
        <v>175.1</v>
      </c>
      <c r="N44" s="67">
        <f>'PP-A13'!N44*1.03</f>
        <v>206</v>
      </c>
      <c r="O44" s="67">
        <f>'PP-A13'!O44*1.03</f>
        <v>236.9</v>
      </c>
      <c r="P44" s="67">
        <f>'PP-A13'!P44*1.03</f>
        <v>267.8</v>
      </c>
      <c r="Q44" s="68">
        <f>'PP-A13'!Q44*1.03</f>
        <v>298.7</v>
      </c>
      <c r="R44" s="302">
        <f t="shared" si="0"/>
        <v>14.7</v>
      </c>
      <c r="S44" s="300">
        <f t="shared" si="1"/>
        <v>15.7</v>
      </c>
    </row>
    <row r="45" spans="1:19" ht="15" customHeight="1">
      <c r="A45" s="16"/>
      <c r="B45" s="605" t="s">
        <v>441</v>
      </c>
      <c r="C45" s="606"/>
      <c r="D45" s="181">
        <f>'PP-A13'!D45*1.03</f>
        <v>494.40000000000003</v>
      </c>
      <c r="E45" s="67">
        <f>'PP-A13'!E45*1.03</f>
        <v>509.85</v>
      </c>
      <c r="F45" s="67">
        <f>'PP-A13'!F45*1.03</f>
        <v>487.19</v>
      </c>
      <c r="G45" s="67">
        <f>'PP-A13'!G45*1.03</f>
        <v>395.94847999999996</v>
      </c>
      <c r="H45" s="67">
        <f>'PP-A13'!H45*1.03</f>
        <v>395.94847999999996</v>
      </c>
      <c r="I45" s="67">
        <f>'PP-A13'!I45*1.03</f>
        <v>396.03294000000005</v>
      </c>
      <c r="J45" s="67">
        <f>'PP-A13'!J45*1.03</f>
        <v>395.9484799999999</v>
      </c>
      <c r="K45" s="186">
        <f>'PP-A13'!K45*1.03</f>
        <v>368.68640189000001</v>
      </c>
      <c r="L45" s="187">
        <f>'PP-A13'!L45*1.03</f>
        <v>501.78910078883001</v>
      </c>
      <c r="M45" s="67">
        <f>'PP-A13'!M45*1.03</f>
        <v>609.16659942511626</v>
      </c>
      <c r="N45" s="67">
        <f>'PP-A13'!N45*1.03</f>
        <v>1439.828996197522</v>
      </c>
      <c r="O45" s="67">
        <f>'PP-A13'!O45*1.03</f>
        <v>1468.6380796134818</v>
      </c>
      <c r="P45" s="67">
        <f>'PP-A13'!P45*1.03</f>
        <v>1498.8415226667746</v>
      </c>
      <c r="Q45" s="68">
        <f>'PP-A13'!Q45*1.03</f>
        <v>1530.5068123638462</v>
      </c>
      <c r="R45" s="302">
        <f t="shared" si="0"/>
        <v>-4.0999999999999996</v>
      </c>
      <c r="S45" s="300">
        <f t="shared" si="1"/>
        <v>25</v>
      </c>
    </row>
    <row r="46" spans="1:19" ht="15" customHeight="1">
      <c r="A46" s="16"/>
      <c r="B46" s="605" t="s">
        <v>442</v>
      </c>
      <c r="C46" s="606"/>
      <c r="D46" s="181">
        <f>'PP-A13'!D46*1.03</f>
        <v>154.5</v>
      </c>
      <c r="E46" s="67">
        <f>'PP-A13'!E46*1.03</f>
        <v>154.5</v>
      </c>
      <c r="F46" s="67">
        <f>'PP-A13'!F46*1.03</f>
        <v>154.5</v>
      </c>
      <c r="G46" s="67">
        <f>'PP-A13'!G46*1.03</f>
        <v>154.5</v>
      </c>
      <c r="H46" s="67">
        <f>'PP-A13'!H46*1.03</f>
        <v>154.5</v>
      </c>
      <c r="I46" s="67">
        <f>'PP-A13'!I46*1.03</f>
        <v>154.5</v>
      </c>
      <c r="J46" s="67">
        <f>'PP-A13'!J46*1.03</f>
        <v>154.5</v>
      </c>
      <c r="K46" s="186">
        <f>'PP-A13'!K46*1.03</f>
        <v>154.5</v>
      </c>
      <c r="L46" s="187">
        <f>'PP-A13'!L46*1.03</f>
        <v>535.6</v>
      </c>
      <c r="M46" s="67">
        <f>'PP-A13'!M46*1.03</f>
        <v>535.6</v>
      </c>
      <c r="N46" s="67">
        <f>'PP-A13'!N46*1.03</f>
        <v>844.6</v>
      </c>
      <c r="O46" s="67">
        <f>'PP-A13'!O46*1.03</f>
        <v>844.6</v>
      </c>
      <c r="P46" s="67">
        <f>'PP-A13'!P46*1.03</f>
        <v>844.6</v>
      </c>
      <c r="Q46" s="68">
        <f>'PP-A13'!Q46*1.03</f>
        <v>1308.1000000000001</v>
      </c>
      <c r="R46" s="302">
        <f t="shared" si="0"/>
        <v>0</v>
      </c>
      <c r="S46" s="300">
        <f t="shared" si="1"/>
        <v>19.600000000000001</v>
      </c>
    </row>
    <row r="47" spans="1:19" ht="15" customHeight="1">
      <c r="A47" s="16"/>
      <c r="B47" s="607" t="s">
        <v>443</v>
      </c>
      <c r="C47" s="608"/>
      <c r="D47" s="188">
        <f>'PP-A13'!D47*1.03</f>
        <v>2790.27</v>
      </c>
      <c r="E47" s="182">
        <f>'PP-A13'!E47*1.03</f>
        <v>2521.8520000000003</v>
      </c>
      <c r="F47" s="182">
        <f>'PP-A13'!F47*1.03</f>
        <v>2462.0090000000005</v>
      </c>
      <c r="G47" s="182">
        <f>'PP-A13'!G47*1.03</f>
        <v>2315.6459999999997</v>
      </c>
      <c r="H47" s="182">
        <f>'PP-A13'!H47*1.03</f>
        <v>2419.058</v>
      </c>
      <c r="I47" s="182">
        <f>'PP-A13'!I47*1.03</f>
        <v>2575.5149999999999</v>
      </c>
      <c r="J47" s="182">
        <f>'PP-A13'!J47*1.03</f>
        <v>2540.2890000000002</v>
      </c>
      <c r="K47" s="183">
        <f>'PP-A13'!K47*1.03</f>
        <v>2580.665</v>
      </c>
      <c r="L47" s="184">
        <f>'PP-A13'!L47*1.03</f>
        <v>2428.5340000000001</v>
      </c>
      <c r="M47" s="182">
        <f>'PP-A13'!M47*1.03</f>
        <v>2644.01</v>
      </c>
      <c r="N47" s="182">
        <f>'PP-A13'!N47*1.03</f>
        <v>2787.1800000000003</v>
      </c>
      <c r="O47" s="182">
        <f>'PP-A13'!O47*1.03</f>
        <v>2788.21</v>
      </c>
      <c r="P47" s="182">
        <f>'PP-A13'!P47*1.03</f>
        <v>2787.1800000000003</v>
      </c>
      <c r="Q47" s="185">
        <f>'PP-A13'!Q47*1.03</f>
        <v>2786.15</v>
      </c>
      <c r="R47" s="299">
        <f t="shared" si="0"/>
        <v>-1.1000000000000001</v>
      </c>
      <c r="S47" s="300">
        <f t="shared" si="1"/>
        <v>2.8</v>
      </c>
    </row>
    <row r="48" spans="1:19" ht="15.75" customHeight="1">
      <c r="A48" s="16"/>
      <c r="B48" s="674" t="s">
        <v>307</v>
      </c>
      <c r="C48" s="675"/>
      <c r="D48" s="189">
        <f>'PP-A13'!D48*1.03</f>
        <v>25157.028999999999</v>
      </c>
      <c r="E48" s="190">
        <f>'PP-A13'!E48*1.03</f>
        <v>26290.45954</v>
      </c>
      <c r="F48" s="190">
        <f>'PP-A13'!F48*1.03</f>
        <v>27308.384849999999</v>
      </c>
      <c r="G48" s="190">
        <f>'PP-A13'!G48*1.03</f>
        <v>30246.841980000001</v>
      </c>
      <c r="H48" s="190">
        <f>'PP-A13'!H48*1.03</f>
        <v>32177.752855245872</v>
      </c>
      <c r="I48" s="190">
        <f>'PP-A13'!I48*1.03</f>
        <v>35444.864275350796</v>
      </c>
      <c r="J48" s="190">
        <f>'PP-A13'!J48*1.03</f>
        <v>37907.170652955196</v>
      </c>
      <c r="K48" s="191">
        <f>'PP-A13'!K48*1.03</f>
        <v>40221.822315575002</v>
      </c>
      <c r="L48" s="192">
        <f>'PP-A13'!L48*1.03</f>
        <v>43617.898100788836</v>
      </c>
      <c r="M48" s="190">
        <f>'PP-A13'!M48*1.03</f>
        <v>46197.481599425118</v>
      </c>
      <c r="N48" s="190">
        <f>'PP-A13'!N48*1.03</f>
        <v>50786.613996197528</v>
      </c>
      <c r="O48" s="190">
        <f>'PP-A13'!O48*1.03</f>
        <v>54253.563079613479</v>
      </c>
      <c r="P48" s="190">
        <f>'PP-A13'!P48*1.03</f>
        <v>56185.146522666779</v>
      </c>
      <c r="Q48" s="193">
        <f>'PP-A13'!Q48*1.03</f>
        <v>58481.78181236385</v>
      </c>
      <c r="R48" s="303">
        <f t="shared" si="0"/>
        <v>6.9</v>
      </c>
      <c r="S48" s="304">
        <f t="shared" si="1"/>
        <v>6</v>
      </c>
    </row>
    <row r="49" spans="1:19" ht="15.75" customHeight="1">
      <c r="A49" s="16"/>
      <c r="B49" s="672" t="s">
        <v>308</v>
      </c>
      <c r="C49" s="673"/>
      <c r="D49" s="194">
        <f>'PP-A13'!D49*1.03</f>
        <v>264.70999999999998</v>
      </c>
      <c r="E49" s="195">
        <f>'PP-A13'!E49*1.03</f>
        <v>262.65000000000003</v>
      </c>
      <c r="F49" s="195">
        <f>'PP-A13'!F49*1.03</f>
        <v>247.20000000000002</v>
      </c>
      <c r="G49" s="195">
        <f>'PP-A13'!G49*1.03</f>
        <v>283.25</v>
      </c>
      <c r="H49" s="195">
        <f>'PP-A13'!H49*1.03</f>
        <v>123.60000000000001</v>
      </c>
      <c r="I49" s="195">
        <f>'PP-A13'!I49*1.03</f>
        <v>123.60000000000001</v>
      </c>
      <c r="J49" s="195">
        <f>'PP-A13'!J49*1.03</f>
        <v>123.60000000000001</v>
      </c>
      <c r="K49" s="196">
        <f>'PP-A13'!K49*1.03</f>
        <v>118.45</v>
      </c>
      <c r="L49" s="197">
        <f>'PP-A13'!L49*1.03</f>
        <v>118.45</v>
      </c>
      <c r="M49" s="195">
        <f>'PP-A13'!M49*1.03</f>
        <v>118.45</v>
      </c>
      <c r="N49" s="195">
        <f>'PP-A13'!N49*1.03</f>
        <v>118.45</v>
      </c>
      <c r="O49" s="195">
        <f>'PP-A13'!O49*1.03</f>
        <v>118.45</v>
      </c>
      <c r="P49" s="195">
        <f>'PP-A13'!P49*1.03</f>
        <v>118.45</v>
      </c>
      <c r="Q49" s="198">
        <f>'PP-A13'!Q49*1.03</f>
        <v>118.45</v>
      </c>
      <c r="R49" s="305">
        <f t="shared" si="0"/>
        <v>-10.9</v>
      </c>
      <c r="S49" s="304">
        <f t="shared" si="1"/>
        <v>0</v>
      </c>
    </row>
    <row r="50" spans="1:19" ht="15" customHeight="1">
      <c r="A50" s="16"/>
      <c r="B50" s="105"/>
      <c r="C50" s="97" t="s">
        <v>309</v>
      </c>
      <c r="D50" s="194">
        <f>'PP-A13'!D50*1.03</f>
        <v>264.70999999999998</v>
      </c>
      <c r="E50" s="195">
        <f>'PP-A13'!E50*1.03</f>
        <v>262.65000000000003</v>
      </c>
      <c r="F50" s="195">
        <f>'PP-A13'!F50*1.03</f>
        <v>247.20000000000002</v>
      </c>
      <c r="G50" s="195">
        <f>'PP-A13'!G50*1.03</f>
        <v>283.25</v>
      </c>
      <c r="H50" s="195">
        <f>'PP-A13'!H50*1.03</f>
        <v>123.60000000000001</v>
      </c>
      <c r="I50" s="195">
        <f>'PP-A13'!I50*1.03</f>
        <v>123.60000000000001</v>
      </c>
      <c r="J50" s="195">
        <f>'PP-A13'!J50*1.03</f>
        <v>123.60000000000001</v>
      </c>
      <c r="K50" s="196">
        <f>'PP-A13'!K50*1.03</f>
        <v>118.45</v>
      </c>
      <c r="L50" s="197">
        <f>'PP-A13'!L50*1.03</f>
        <v>118.45</v>
      </c>
      <c r="M50" s="195">
        <f>'PP-A13'!M50*1.03</f>
        <v>118.45</v>
      </c>
      <c r="N50" s="195">
        <f>'PP-A13'!N50*1.03</f>
        <v>118.45</v>
      </c>
      <c r="O50" s="195">
        <f>'PP-A13'!O50*1.03</f>
        <v>118.45</v>
      </c>
      <c r="P50" s="195">
        <f>'PP-A13'!P50*1.03</f>
        <v>118.45</v>
      </c>
      <c r="Q50" s="198">
        <f>'PP-A13'!Q50*1.03</f>
        <v>118.45</v>
      </c>
      <c r="R50" s="305">
        <f t="shared" si="0"/>
        <v>-10.9</v>
      </c>
      <c r="S50" s="304">
        <f t="shared" si="1"/>
        <v>0</v>
      </c>
    </row>
    <row r="51" spans="1:19" ht="15.75" customHeight="1">
      <c r="A51" s="16"/>
      <c r="B51" s="672" t="s">
        <v>310</v>
      </c>
      <c r="C51" s="673"/>
      <c r="D51" s="181">
        <f>'PP-A13'!D51*1.03</f>
        <v>10143.44</v>
      </c>
      <c r="E51" s="67">
        <f>'PP-A13'!E51*1.03</f>
        <v>10168.543890459734</v>
      </c>
      <c r="F51" s="67">
        <f>'PP-A13'!F51*1.03</f>
        <v>9731.44</v>
      </c>
      <c r="G51" s="67">
        <f>'PP-A13'!G51*1.03</f>
        <v>9738.65</v>
      </c>
      <c r="H51" s="182">
        <f>'PP-A13'!H51*1.03</f>
        <v>9914.7800000000007</v>
      </c>
      <c r="I51" s="182">
        <f>'PP-A13'!I51*1.03</f>
        <v>10122.057199999999</v>
      </c>
      <c r="J51" s="182">
        <f>'PP-A13'!J51*1.03</f>
        <v>10308.6290104</v>
      </c>
      <c r="K51" s="183">
        <f>'PP-A13'!K51*1.03</f>
        <v>11417.550000000001</v>
      </c>
      <c r="L51" s="184">
        <f>'PP-A13'!L51*1.03</f>
        <v>11417.550000000001</v>
      </c>
      <c r="M51" s="182">
        <f>'PP-A13'!M51*1.03</f>
        <v>11520.550000000001</v>
      </c>
      <c r="N51" s="182">
        <f>'PP-A13'!N51*1.03</f>
        <v>11520.550000000001</v>
      </c>
      <c r="O51" s="182">
        <f>'PP-A13'!O51*1.03</f>
        <v>11520.550000000001</v>
      </c>
      <c r="P51" s="182">
        <f>'PP-A13'!P51*1.03</f>
        <v>11520.550000000001</v>
      </c>
      <c r="Q51" s="185">
        <f>'PP-A13'!Q51*1.03</f>
        <v>11520.550000000001</v>
      </c>
      <c r="R51" s="299">
        <f t="shared" si="0"/>
        <v>1.7</v>
      </c>
      <c r="S51" s="300">
        <f t="shared" si="1"/>
        <v>0.2</v>
      </c>
    </row>
    <row r="52" spans="1:19" ht="15" customHeight="1">
      <c r="A52" s="16"/>
      <c r="B52" s="105"/>
      <c r="C52" s="615" t="s">
        <v>311</v>
      </c>
      <c r="D52" s="194">
        <f>'PP-A13'!D52*1.03</f>
        <v>8912.59</v>
      </c>
      <c r="E52" s="195">
        <f>'PP-A13'!E52*1.03</f>
        <v>8938.7238904597343</v>
      </c>
      <c r="F52" s="195">
        <f>'PP-A13'!F52*1.03</f>
        <v>8524.2800000000007</v>
      </c>
      <c r="G52" s="195">
        <f>'PP-A13'!G52*1.03</f>
        <v>8534.58</v>
      </c>
      <c r="H52" s="190">
        <f>'PP-A13'!H52*1.03</f>
        <v>8703.5</v>
      </c>
      <c r="I52" s="190">
        <f>'PP-A13'!I52*1.03</f>
        <v>8909.5</v>
      </c>
      <c r="J52" s="190">
        <f>'PP-A13'!J52*1.03</f>
        <v>9167</v>
      </c>
      <c r="K52" s="191">
        <f>'PP-A13'!K52*1.03</f>
        <v>9851.9500000000007</v>
      </c>
      <c r="L52" s="192">
        <f>'PP-A13'!L52*1.03</f>
        <v>9851.9500000000007</v>
      </c>
      <c r="M52" s="190">
        <f>'PP-A13'!M52*1.03</f>
        <v>9851.9500000000007</v>
      </c>
      <c r="N52" s="190">
        <f>'PP-A13'!N52*1.03</f>
        <v>9851.9500000000007</v>
      </c>
      <c r="O52" s="190">
        <f>'PP-A13'!O52*1.03</f>
        <v>9851.9500000000007</v>
      </c>
      <c r="P52" s="190">
        <f>'PP-A13'!P52*1.03</f>
        <v>9851.9500000000007</v>
      </c>
      <c r="Q52" s="193">
        <f>'PP-A13'!Q52*1.03</f>
        <v>9851.9500000000007</v>
      </c>
      <c r="R52" s="303">
        <f t="shared" si="0"/>
        <v>1.4</v>
      </c>
      <c r="S52" s="304">
        <f t="shared" si="1"/>
        <v>0</v>
      </c>
    </row>
    <row r="53" spans="1:19" ht="15.75" customHeight="1">
      <c r="A53" s="16"/>
      <c r="B53" s="672" t="s">
        <v>312</v>
      </c>
      <c r="C53" s="673"/>
      <c r="D53" s="181">
        <f>'PP-A13'!D53*1.03</f>
        <v>5992.54</v>
      </c>
      <c r="E53" s="67">
        <f>'PP-A13'!E53*1.03</f>
        <v>6567.28</v>
      </c>
      <c r="F53" s="67">
        <f>'PP-A13'!F53*1.03</f>
        <v>7234.7596153846152</v>
      </c>
      <c r="G53" s="67">
        <f>'PP-A13'!G53*1.03</f>
        <v>7792.3461538461543</v>
      </c>
      <c r="H53" s="67">
        <f>'PP-A13'!H53*1.03</f>
        <v>8490.2900000000009</v>
      </c>
      <c r="I53" s="67">
        <f>'PP-A13'!I53*1.03</f>
        <v>8619.0400000000009</v>
      </c>
      <c r="J53" s="67">
        <f>'PP-A13'!J53*1.03</f>
        <v>9043.4</v>
      </c>
      <c r="K53" s="186">
        <f>'PP-A13'!K53*1.03</f>
        <v>9065.0300000000007</v>
      </c>
      <c r="L53" s="187">
        <f>'PP-A13'!L53*1.03</f>
        <v>9443.0400000000009</v>
      </c>
      <c r="M53" s="67">
        <f>'PP-A13'!M53*1.03</f>
        <v>9611.9600000000009</v>
      </c>
      <c r="N53" s="67">
        <f>'PP-A13'!N53*1.03</f>
        <v>9811.7800000000007</v>
      </c>
      <c r="O53" s="67">
        <f>'PP-A13'!O53*1.03</f>
        <v>9943.6200000000008</v>
      </c>
      <c r="P53" s="67">
        <f>'PP-A13'!P53*1.03</f>
        <v>9971.43</v>
      </c>
      <c r="Q53" s="68">
        <f>'PP-A13'!Q53*1.03</f>
        <v>10016.75</v>
      </c>
      <c r="R53" s="302">
        <f t="shared" si="0"/>
        <v>6.1</v>
      </c>
      <c r="S53" s="300">
        <f t="shared" si="1"/>
        <v>1.2</v>
      </c>
    </row>
    <row r="54" spans="1:19" ht="15" customHeight="1">
      <c r="A54" s="16"/>
      <c r="B54" s="16"/>
      <c r="C54" s="615" t="s">
        <v>313</v>
      </c>
      <c r="D54" s="194">
        <f>'PP-A13'!D54*1.03</f>
        <v>0</v>
      </c>
      <c r="E54" s="195">
        <f>'PP-A13'!E54*1.03</f>
        <v>3317.7884615384614</v>
      </c>
      <c r="F54" s="195">
        <f>'PP-A13'!F54*1.03</f>
        <v>3769.4038461538457</v>
      </c>
      <c r="G54" s="195">
        <f>'PP-A13'!G54*1.03</f>
        <v>4111.0865384615381</v>
      </c>
      <c r="H54" s="190">
        <f>'PP-A13'!H54*1.03</f>
        <v>4621.6099999999997</v>
      </c>
      <c r="I54" s="190">
        <f>'PP-A13'!I54*1.03</f>
        <v>4712.25</v>
      </c>
      <c r="J54" s="190">
        <f>'PP-A13'!J54*1.03</f>
        <v>4767.87</v>
      </c>
      <c r="K54" s="191">
        <f>'PP-A13'!K54*1.03</f>
        <v>4782.29</v>
      </c>
      <c r="L54" s="192">
        <f>'PP-A13'!L54*1.03</f>
        <v>4811.13</v>
      </c>
      <c r="M54" s="190">
        <f>'PP-A13'!M54*1.03</f>
        <v>4871.9000000000005</v>
      </c>
      <c r="N54" s="190">
        <f>'PP-A13'!N54*1.03</f>
        <v>4923.4000000000005</v>
      </c>
      <c r="O54" s="190">
        <f>'PP-A13'!O54*1.03</f>
        <v>4952.24</v>
      </c>
      <c r="P54" s="190">
        <f>'PP-A13'!P54*1.03</f>
        <v>4998.59</v>
      </c>
      <c r="Q54" s="193">
        <f>'PP-A13'!Q54*1.03</f>
        <v>5057.3</v>
      </c>
      <c r="R54" s="303" t="str">
        <f t="shared" si="0"/>
        <v xml:space="preserve">     -</v>
      </c>
      <c r="S54" s="304">
        <f t="shared" si="1"/>
        <v>1</v>
      </c>
    </row>
    <row r="55" spans="1:19" ht="15.75" customHeight="1">
      <c r="A55" s="16"/>
      <c r="B55" s="674" t="s">
        <v>314</v>
      </c>
      <c r="C55" s="675"/>
      <c r="D55" s="194">
        <f>'PP-A13'!D55*1.03</f>
        <v>551.05000000000007</v>
      </c>
      <c r="E55" s="195">
        <f>'PP-A13'!E55*1.03</f>
        <v>455.26</v>
      </c>
      <c r="F55" s="195">
        <f>'PP-A13'!F55*1.03</f>
        <v>408.03846153846155</v>
      </c>
      <c r="G55" s="195">
        <f>'PP-A13'!G55*1.03</f>
        <v>375.95</v>
      </c>
      <c r="H55" s="190">
        <f>'PP-A13'!H55*1.03</f>
        <v>398.61</v>
      </c>
      <c r="I55" s="190">
        <f>'PP-A13'!I55*1.03</f>
        <v>557.23</v>
      </c>
      <c r="J55" s="190">
        <f>'PP-A13'!J55*1.03</f>
        <v>611.82000000000005</v>
      </c>
      <c r="K55" s="191">
        <f>'PP-A13'!K55*1.03</f>
        <v>1009.4</v>
      </c>
      <c r="L55" s="192">
        <f>'PP-A13'!L55*1.03</f>
        <v>1019.7</v>
      </c>
      <c r="M55" s="190">
        <f>'PP-A13'!M55*1.03</f>
        <v>1032.06</v>
      </c>
      <c r="N55" s="190">
        <f>'PP-A13'!N55*1.03</f>
        <v>1040.3</v>
      </c>
      <c r="O55" s="190">
        <f>'PP-A13'!O55*1.03</f>
        <v>1050.6000000000001</v>
      </c>
      <c r="P55" s="190">
        <f>'PP-A13'!P55*1.03</f>
        <v>1055.75</v>
      </c>
      <c r="Q55" s="193">
        <f>'PP-A13'!Q55*1.03</f>
        <v>1060.9000000000001</v>
      </c>
      <c r="R55" s="303">
        <f t="shared" si="0"/>
        <v>9</v>
      </c>
      <c r="S55" s="304">
        <f t="shared" si="1"/>
        <v>0.8</v>
      </c>
    </row>
    <row r="56" spans="1:19" ht="15.75" customHeight="1">
      <c r="A56" s="16"/>
      <c r="B56" s="674" t="s">
        <v>315</v>
      </c>
      <c r="C56" s="675"/>
      <c r="D56" s="189">
        <f>'PP-A13'!D56*1.03</f>
        <v>822.97</v>
      </c>
      <c r="E56" s="190">
        <f>'PP-A13'!E56*1.03</f>
        <v>884.77</v>
      </c>
      <c r="F56" s="190">
        <f>'PP-A13'!F56*1.03</f>
        <v>739.02499999999998</v>
      </c>
      <c r="G56" s="190">
        <f>'PP-A13'!G56*1.03</f>
        <v>739.02499999999998</v>
      </c>
      <c r="H56" s="190">
        <f>'PP-A13'!H56*1.03</f>
        <v>1074.29</v>
      </c>
      <c r="I56" s="190">
        <f>'PP-A13'!I56*1.03</f>
        <v>1345.18</v>
      </c>
      <c r="J56" s="190">
        <f>'PP-A13'!J56*1.03</f>
        <v>1603.4010000000001</v>
      </c>
      <c r="K56" s="191">
        <f>'PP-A13'!K56*1.03</f>
        <v>1634.5070000000001</v>
      </c>
      <c r="L56" s="192">
        <f>'PP-A13'!L56*1.03</f>
        <v>1935.3700000000001</v>
      </c>
      <c r="M56" s="190">
        <f>'PP-A13'!M56*1.03</f>
        <v>2147.5500000000002</v>
      </c>
      <c r="N56" s="190">
        <f>'PP-A13'!N56*1.03</f>
        <v>2147.5500000000002</v>
      </c>
      <c r="O56" s="190">
        <f>'PP-A13'!O56*1.03</f>
        <v>2868.55</v>
      </c>
      <c r="P56" s="190">
        <f>'PP-A13'!P56*1.03</f>
        <v>3154.89</v>
      </c>
      <c r="Q56" s="193">
        <f>'PP-A13'!Q56*1.03</f>
        <v>3379.4300000000003</v>
      </c>
      <c r="R56" s="303">
        <f t="shared" si="0"/>
        <v>10.3</v>
      </c>
      <c r="S56" s="304">
        <f t="shared" si="1"/>
        <v>11.8</v>
      </c>
    </row>
    <row r="57" spans="1:19" ht="15" customHeight="1">
      <c r="A57" s="16"/>
      <c r="B57" s="672" t="s">
        <v>316</v>
      </c>
      <c r="C57" s="673"/>
      <c r="D57" s="181">
        <f>'PP-A13'!D57*1.03</f>
        <v>7683.8</v>
      </c>
      <c r="E57" s="67">
        <f>'PP-A13'!E57*1.03</f>
        <v>6208.84</v>
      </c>
      <c r="F57" s="67">
        <f>'PP-A13'!F57*1.03</f>
        <v>7006.06</v>
      </c>
      <c r="G57" s="67">
        <f>'PP-A13'!G57*1.03</f>
        <v>7232.66</v>
      </c>
      <c r="H57" s="67">
        <f>'PP-A13'!H57*1.03</f>
        <v>7407.76</v>
      </c>
      <c r="I57" s="182">
        <f>'PP-A13'!I57*1.03</f>
        <v>7495.31</v>
      </c>
      <c r="J57" s="182">
        <f>'PP-A13'!J57*1.03</f>
        <v>7476.77</v>
      </c>
      <c r="K57" s="183">
        <f>'PP-A13'!K57*1.03</f>
        <v>7731.18</v>
      </c>
      <c r="L57" s="184">
        <f>'PP-A13'!L57*1.03</f>
        <v>7873.3200000000006</v>
      </c>
      <c r="M57" s="182">
        <f>'PP-A13'!M57*1.03</f>
        <v>7873.3200000000006</v>
      </c>
      <c r="N57" s="182">
        <f>'PP-A13'!N57*1.03</f>
        <v>8522.2199999999993</v>
      </c>
      <c r="O57" s="182">
        <f>'PP-A13'!O57*1.03</f>
        <v>8522.2199999999993</v>
      </c>
      <c r="P57" s="182">
        <f>'PP-A13'!P57*1.03</f>
        <v>8939.3700000000008</v>
      </c>
      <c r="Q57" s="185">
        <f>'PP-A13'!Q57*1.03</f>
        <v>8939.3700000000008</v>
      </c>
      <c r="R57" s="299">
        <f t="shared" si="0"/>
        <v>0.1</v>
      </c>
      <c r="S57" s="300">
        <f t="shared" si="1"/>
        <v>2.6</v>
      </c>
    </row>
    <row r="58" spans="1:19" ht="15" customHeight="1">
      <c r="A58" s="16"/>
      <c r="B58" s="670" t="s">
        <v>317</v>
      </c>
      <c r="C58" s="671"/>
      <c r="D58" s="181">
        <f>'PP-A13'!D58*1.03</f>
        <v>0</v>
      </c>
      <c r="E58" s="67">
        <f>'PP-A13'!E58*1.03</f>
        <v>0</v>
      </c>
      <c r="F58" s="67">
        <f>'PP-A13'!F58*1.03</f>
        <v>0</v>
      </c>
      <c r="G58" s="67">
        <f>'PP-A13'!G58*1.03</f>
        <v>0</v>
      </c>
      <c r="H58" s="67">
        <f>'PP-A13'!H58*1.03</f>
        <v>0</v>
      </c>
      <c r="I58" s="182">
        <f>'PP-A13'!I58*1.03</f>
        <v>0</v>
      </c>
      <c r="J58" s="182">
        <f>'PP-A13'!J58*1.03</f>
        <v>0</v>
      </c>
      <c r="K58" s="183">
        <f>'PP-A13'!K58*1.03</f>
        <v>0</v>
      </c>
      <c r="L58" s="184">
        <f>'PP-A13'!L58*1.03</f>
        <v>0</v>
      </c>
      <c r="M58" s="182">
        <f>'PP-A13'!M58*1.03</f>
        <v>0</v>
      </c>
      <c r="N58" s="182">
        <f>'PP-A13'!N58*1.03</f>
        <v>0</v>
      </c>
      <c r="O58" s="182">
        <f>'PP-A13'!O58*1.03</f>
        <v>0</v>
      </c>
      <c r="P58" s="182">
        <f>'PP-A13'!P58*1.03</f>
        <v>0</v>
      </c>
      <c r="Q58" s="185">
        <f>'PP-A13'!Q58*1.03</f>
        <v>0</v>
      </c>
      <c r="R58" s="299" t="str">
        <f t="shared" si="0"/>
        <v xml:space="preserve">     -</v>
      </c>
      <c r="S58" s="300" t="str">
        <f t="shared" si="1"/>
        <v xml:space="preserve">     -</v>
      </c>
    </row>
    <row r="59" spans="1:19" ht="15.75" customHeight="1">
      <c r="A59" s="16"/>
      <c r="B59" s="674" t="s">
        <v>318</v>
      </c>
      <c r="C59" s="675"/>
      <c r="D59" s="189">
        <f>'PP-A13'!D59*1.03</f>
        <v>7683.8</v>
      </c>
      <c r="E59" s="190">
        <f>'PP-A13'!E59*1.03</f>
        <v>6208.84</v>
      </c>
      <c r="F59" s="190">
        <f>'PP-A13'!F59*1.03</f>
        <v>7006.06</v>
      </c>
      <c r="G59" s="190">
        <f>'PP-A13'!G59*1.03</f>
        <v>7232.66</v>
      </c>
      <c r="H59" s="190">
        <f>'PP-A13'!H59*1.03</f>
        <v>7407.76</v>
      </c>
      <c r="I59" s="190">
        <f>'PP-A13'!I59*1.03</f>
        <v>7495.31</v>
      </c>
      <c r="J59" s="190">
        <f>'PP-A13'!J59*1.03</f>
        <v>7476.77</v>
      </c>
      <c r="K59" s="191">
        <f>'PP-A13'!K59*1.03</f>
        <v>7731.18</v>
      </c>
      <c r="L59" s="192">
        <f>'PP-A13'!L59*1.03</f>
        <v>7873.3200000000006</v>
      </c>
      <c r="M59" s="190">
        <f>'PP-A13'!M59*1.03</f>
        <v>7873.3200000000006</v>
      </c>
      <c r="N59" s="190">
        <f>'PP-A13'!N59*1.03</f>
        <v>8522.2199999999993</v>
      </c>
      <c r="O59" s="190">
        <f>'PP-A13'!O59*1.03</f>
        <v>8522.2199999999993</v>
      </c>
      <c r="P59" s="190">
        <f>'PP-A13'!P59*1.03</f>
        <v>8939.3700000000008</v>
      </c>
      <c r="Q59" s="193">
        <f>'PP-A13'!Q59*1.03</f>
        <v>8939.3700000000008</v>
      </c>
      <c r="R59" s="303">
        <f t="shared" si="0"/>
        <v>0.1</v>
      </c>
      <c r="S59" s="304">
        <f t="shared" si="1"/>
        <v>2.6</v>
      </c>
    </row>
    <row r="60" spans="1:19" ht="15" customHeight="1">
      <c r="A60" s="16"/>
      <c r="B60" s="672" t="s">
        <v>319</v>
      </c>
      <c r="C60" s="673"/>
      <c r="D60" s="181">
        <f>'PP-A13'!D60*1.03</f>
        <v>326.51</v>
      </c>
      <c r="E60" s="67">
        <f>'PP-A13'!E60*1.03</f>
        <v>473.8</v>
      </c>
      <c r="F60" s="67">
        <f>'PP-A13'!F60*1.03</f>
        <v>471.74</v>
      </c>
      <c r="G60" s="67">
        <f>'PP-A13'!G60*1.03</f>
        <v>495.43</v>
      </c>
      <c r="H60" s="67">
        <f>'PP-A13'!H60*1.03</f>
        <v>516.03</v>
      </c>
      <c r="I60" s="182">
        <f>'PP-A13'!I60*1.03</f>
        <v>515</v>
      </c>
      <c r="J60" s="182">
        <f>'PP-A13'!J60*1.03</f>
        <v>536.63</v>
      </c>
      <c r="K60" s="183">
        <f>'PP-A13'!K60*1.03</f>
        <v>516.54499999999996</v>
      </c>
      <c r="L60" s="184">
        <f>'PP-A13'!L60*1.03</f>
        <v>582.20749999999998</v>
      </c>
      <c r="M60" s="182">
        <f>'PP-A13'!M60*1.03</f>
        <v>604.09500000000003</v>
      </c>
      <c r="N60" s="182">
        <f>'PP-A13'!N60*1.03</f>
        <v>604.09500000000003</v>
      </c>
      <c r="O60" s="182">
        <f>'PP-A13'!O60*1.03</f>
        <v>604.09500000000003</v>
      </c>
      <c r="P60" s="182">
        <f>'PP-A13'!P60*1.03</f>
        <v>604.09500000000003</v>
      </c>
      <c r="Q60" s="185">
        <f>'PP-A13'!Q60*1.03</f>
        <v>604.09500000000003</v>
      </c>
      <c r="R60" s="299">
        <f t="shared" si="0"/>
        <v>6.8</v>
      </c>
      <c r="S60" s="300">
        <f t="shared" si="1"/>
        <v>0.7</v>
      </c>
    </row>
    <row r="61" spans="1:19" ht="15" customHeight="1">
      <c r="A61" s="16"/>
      <c r="B61" s="668" t="s">
        <v>320</v>
      </c>
      <c r="C61" s="669"/>
      <c r="D61" s="181">
        <f>'PP-A13'!D61*1.03</f>
        <v>1483.2</v>
      </c>
      <c r="E61" s="67">
        <f>'PP-A13'!E61*1.03</f>
        <v>1587.23</v>
      </c>
      <c r="F61" s="67">
        <f>'PP-A13'!F61*1.03</f>
        <v>1699.5</v>
      </c>
      <c r="G61" s="67">
        <f>'PP-A13'!G61*1.03</f>
        <v>1690.23</v>
      </c>
      <c r="H61" s="67">
        <f>'PP-A13'!H61*1.03</f>
        <v>1690.23</v>
      </c>
      <c r="I61" s="182">
        <f>'PP-A13'!I61*1.03</f>
        <v>1556.33</v>
      </c>
      <c r="J61" s="182">
        <f>'PP-A13'!J61*1.03</f>
        <v>1637.7</v>
      </c>
      <c r="K61" s="183">
        <f>'PP-A13'!K61*1.03</f>
        <v>1619.675</v>
      </c>
      <c r="L61" s="184">
        <f>'PP-A13'!L61*1.03</f>
        <v>1619.675</v>
      </c>
      <c r="M61" s="182">
        <f>'PP-A13'!M61*1.03</f>
        <v>1619.675</v>
      </c>
      <c r="N61" s="182">
        <f>'PP-A13'!N61*1.03</f>
        <v>1619.675</v>
      </c>
      <c r="O61" s="182">
        <f>'PP-A13'!O61*1.03</f>
        <v>1619.675</v>
      </c>
      <c r="P61" s="182">
        <f>'PP-A13'!P61*1.03</f>
        <v>1619.675</v>
      </c>
      <c r="Q61" s="185">
        <f>'PP-A13'!Q61*1.03</f>
        <v>1619.675</v>
      </c>
      <c r="R61" s="299">
        <f t="shared" si="0"/>
        <v>1.3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'PP-A13'!D62*1.03</f>
        <v>786.92000000000007</v>
      </c>
      <c r="E62" s="67">
        <f>'PP-A13'!E62*1.03</f>
        <v>875.5</v>
      </c>
      <c r="F62" s="67">
        <f>'PP-A13'!F62*1.03</f>
        <v>902.28</v>
      </c>
      <c r="G62" s="67">
        <f>'PP-A13'!G62*1.03</f>
        <v>940.39</v>
      </c>
      <c r="H62" s="67">
        <f>'PP-A13'!H62*1.03</f>
        <v>940.39</v>
      </c>
      <c r="I62" s="182">
        <f>'PP-A13'!I62*1.03</f>
        <v>940.39</v>
      </c>
      <c r="J62" s="182">
        <f>'PP-A13'!J62*1.03</f>
        <v>940.39</v>
      </c>
      <c r="K62" s="183">
        <f>'PP-A13'!K62*1.03</f>
        <v>940.28700000000003</v>
      </c>
      <c r="L62" s="184">
        <f>'PP-A13'!L62*1.03</f>
        <v>940.28700000000003</v>
      </c>
      <c r="M62" s="182">
        <f>'PP-A13'!M62*1.03</f>
        <v>940.28700000000003</v>
      </c>
      <c r="N62" s="182">
        <f>'PP-A13'!N62*1.03</f>
        <v>940.28700000000003</v>
      </c>
      <c r="O62" s="182">
        <f>'PP-A13'!O62*1.03</f>
        <v>940.28700000000003</v>
      </c>
      <c r="P62" s="182">
        <f>'PP-A13'!P62*1.03</f>
        <v>940.28700000000003</v>
      </c>
      <c r="Q62" s="185">
        <f>'PP-A13'!Q62*1.03</f>
        <v>940.28700000000003</v>
      </c>
      <c r="R62" s="299">
        <f t="shared" si="0"/>
        <v>2.6</v>
      </c>
      <c r="S62" s="300">
        <f t="shared" si="1"/>
        <v>0</v>
      </c>
    </row>
    <row r="63" spans="1:19" ht="15.75" customHeight="1" thickBot="1">
      <c r="A63" s="16"/>
      <c r="B63" s="678" t="s">
        <v>322</v>
      </c>
      <c r="C63" s="679"/>
      <c r="D63" s="199">
        <f>'PP-A13'!D63*1.03</f>
        <v>2596.63</v>
      </c>
      <c r="E63" s="200">
        <f>'PP-A13'!E63*1.03</f>
        <v>2936.53</v>
      </c>
      <c r="F63" s="200">
        <f>'PP-A13'!F63*1.03</f>
        <v>3073.52</v>
      </c>
      <c r="G63" s="200">
        <f>'PP-A13'!G63*1.03</f>
        <v>3126.05</v>
      </c>
      <c r="H63" s="200">
        <f>'PP-A13'!H63*1.03</f>
        <v>3146.65</v>
      </c>
      <c r="I63" s="200">
        <f>'PP-A13'!I63*1.03</f>
        <v>3011.7200000000003</v>
      </c>
      <c r="J63" s="200">
        <f>'PP-A13'!J63*1.03</f>
        <v>3114.7200000000003</v>
      </c>
      <c r="K63" s="201">
        <f>'PP-A13'!K63*1.03</f>
        <v>3076.5070000000001</v>
      </c>
      <c r="L63" s="202">
        <f>'PP-A13'!L63*1.03</f>
        <v>3142.1695</v>
      </c>
      <c r="M63" s="200">
        <f>'PP-A13'!M63*1.03</f>
        <v>3164.0570000000002</v>
      </c>
      <c r="N63" s="200">
        <f>'PP-A13'!N63*1.03</f>
        <v>3164.0570000000002</v>
      </c>
      <c r="O63" s="200">
        <f>'PP-A13'!O63*1.03</f>
        <v>3164.0570000000002</v>
      </c>
      <c r="P63" s="200">
        <f>'PP-A13'!P63*1.03</f>
        <v>3164.0570000000002</v>
      </c>
      <c r="Q63" s="203">
        <f>'PP-A13'!Q63*1.03</f>
        <v>3164.0570000000002</v>
      </c>
      <c r="R63" s="306">
        <f t="shared" si="0"/>
        <v>2.5</v>
      </c>
      <c r="S63" s="307">
        <f t="shared" si="1"/>
        <v>0.1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3">D63+D59+D56+D55+D53+D51+D49+D48</f>
        <v>53212.168999999994</v>
      </c>
      <c r="E64" s="210">
        <f t="shared" si="3"/>
        <v>53774.333430459737</v>
      </c>
      <c r="F64" s="210">
        <f t="shared" si="3"/>
        <v>55748.427926923076</v>
      </c>
      <c r="G64" s="210">
        <f t="shared" si="3"/>
        <v>59534.77313384616</v>
      </c>
      <c r="H64" s="210">
        <f t="shared" si="3"/>
        <v>62733.732855245878</v>
      </c>
      <c r="I64" s="210">
        <f t="shared" si="3"/>
        <v>66719.0014753508</v>
      </c>
      <c r="J64" s="210">
        <f t="shared" si="3"/>
        <v>70189.510663355191</v>
      </c>
      <c r="K64" s="211">
        <f t="shared" si="3"/>
        <v>74274.446315574998</v>
      </c>
      <c r="L64" s="212">
        <f t="shared" si="3"/>
        <v>78567.497600788833</v>
      </c>
      <c r="M64" s="210">
        <f t="shared" si="3"/>
        <v>81665.428599425126</v>
      </c>
      <c r="N64" s="210">
        <f t="shared" si="3"/>
        <v>87111.520996197534</v>
      </c>
      <c r="O64" s="210">
        <f t="shared" si="3"/>
        <v>91441.610079613485</v>
      </c>
      <c r="P64" s="210">
        <f t="shared" si="3"/>
        <v>94109.643522666782</v>
      </c>
      <c r="Q64" s="213">
        <f t="shared" si="3"/>
        <v>96681.28881236384</v>
      </c>
      <c r="R64" s="310">
        <f t="shared" si="0"/>
        <v>4.9000000000000004</v>
      </c>
      <c r="S64" s="311">
        <f t="shared" si="1"/>
        <v>4.2</v>
      </c>
    </row>
    <row r="65" spans="1:19" ht="15" customHeight="1">
      <c r="A65" s="616" t="s">
        <v>327</v>
      </c>
      <c r="B65" s="644" t="s">
        <v>433</v>
      </c>
      <c r="C65" s="645"/>
      <c r="D65" s="175">
        <f>'PP-A13'!D65*1.03</f>
        <v>1452.3</v>
      </c>
      <c r="E65" s="176">
        <f>'PP-A13'!E65*1.03</f>
        <v>1589.29</v>
      </c>
      <c r="F65" s="176">
        <f>'PP-A13'!F65*1.03</f>
        <v>1566.63</v>
      </c>
      <c r="G65" s="176">
        <f>'PP-A13'!G65*1.03</f>
        <v>1601.65</v>
      </c>
      <c r="H65" s="177">
        <f>'PP-A13'!H65*1.03</f>
        <v>1656.24</v>
      </c>
      <c r="I65" s="177">
        <f>'PP-A13'!I65*1.03</f>
        <v>1583.1100000000001</v>
      </c>
      <c r="J65" s="177">
        <f>'PP-A13'!J65*1.03</f>
        <v>1618.13</v>
      </c>
      <c r="K65" s="178">
        <f>'PP-A13'!K65*1.03</f>
        <v>1600.6200000000001</v>
      </c>
      <c r="L65" s="179">
        <f>'PP-A13'!L65*1.03</f>
        <v>1617.1000000000001</v>
      </c>
      <c r="M65" s="177">
        <f>'PP-A13'!M65*1.03</f>
        <v>1648</v>
      </c>
      <c r="N65" s="177">
        <f>'PP-A13'!N65*1.03</f>
        <v>1668.6000000000001</v>
      </c>
      <c r="O65" s="177">
        <f>'PP-A13'!O65*1.03</f>
        <v>1699.5</v>
      </c>
      <c r="P65" s="177">
        <f>'PP-A13'!P65*1.03</f>
        <v>1720.1000000000001</v>
      </c>
      <c r="Q65" s="180">
        <f>'PP-A13'!Q65*1.03</f>
        <v>1751</v>
      </c>
      <c r="R65" s="276">
        <f t="shared" si="0"/>
        <v>1.4</v>
      </c>
      <c r="S65" s="298">
        <f t="shared" si="1"/>
        <v>1.6</v>
      </c>
    </row>
    <row r="66" spans="1:19" ht="15" customHeight="1">
      <c r="A66" s="614" t="s">
        <v>328</v>
      </c>
      <c r="B66" s="605" t="s">
        <v>434</v>
      </c>
      <c r="C66" s="606"/>
      <c r="D66" s="181">
        <f>'PP-A13'!D66*1.03</f>
        <v>564.44000000000005</v>
      </c>
      <c r="E66" s="67">
        <f>'PP-A13'!E66*1.03</f>
        <v>570.62</v>
      </c>
      <c r="F66" s="67">
        <f>'PP-A13'!F66*1.03</f>
        <v>597.4</v>
      </c>
      <c r="G66" s="67">
        <f>'PP-A13'!G66*1.03</f>
        <v>590.19000000000005</v>
      </c>
      <c r="H66" s="182">
        <f>'PP-A13'!H66*1.03</f>
        <v>587.1</v>
      </c>
      <c r="I66" s="182">
        <f>'PP-A13'!I66*1.03</f>
        <v>657.14</v>
      </c>
      <c r="J66" s="182">
        <f>'PP-A13'!J66*1.03</f>
        <v>641.69000000000005</v>
      </c>
      <c r="K66" s="183">
        <f>'PP-A13'!K66*1.03</f>
        <v>596.37</v>
      </c>
      <c r="L66" s="184">
        <f>'PP-A13'!L66*1.03</f>
        <v>618</v>
      </c>
      <c r="M66" s="182">
        <f>'PP-A13'!M66*1.03</f>
        <v>638.6</v>
      </c>
      <c r="N66" s="182">
        <f>'PP-A13'!N66*1.03</f>
        <v>638.6</v>
      </c>
      <c r="O66" s="182">
        <f>'PP-A13'!O66*1.03</f>
        <v>648.9</v>
      </c>
      <c r="P66" s="182">
        <f>'PP-A13'!P66*1.03</f>
        <v>648.9</v>
      </c>
      <c r="Q66" s="185">
        <f>'PP-A13'!Q66*1.03</f>
        <v>659.2</v>
      </c>
      <c r="R66" s="299">
        <f t="shared" si="0"/>
        <v>0.8</v>
      </c>
      <c r="S66" s="300">
        <f t="shared" si="1"/>
        <v>1.3</v>
      </c>
    </row>
    <row r="67" spans="1:19" ht="15" customHeight="1">
      <c r="A67" s="16"/>
      <c r="B67" s="605" t="s">
        <v>435</v>
      </c>
      <c r="C67" s="606"/>
      <c r="D67" s="181">
        <f>'PP-A13'!D67*1.03</f>
        <v>20.6</v>
      </c>
      <c r="E67" s="67">
        <f>'PP-A13'!E67*1.03</f>
        <v>25.951880000000145</v>
      </c>
      <c r="F67" s="67">
        <f>'PP-A13'!F67*1.03</f>
        <v>26.289254440000146</v>
      </c>
      <c r="G67" s="67">
        <f>'PP-A13'!G67*1.03</f>
        <v>27.288246108720148</v>
      </c>
      <c r="H67" s="67">
        <f>'PP-A13'!H67*1.03</f>
        <v>28.079605245873037</v>
      </c>
      <c r="I67" s="62">
        <f>'PP-A13'!I67*1.03</f>
        <v>28.641197350790495</v>
      </c>
      <c r="J67" s="62">
        <f>'PP-A13'!J67*1.03</f>
        <v>28.84</v>
      </c>
      <c r="K67" s="63">
        <f>'PP-A13'!K67*1.03</f>
        <v>29.87</v>
      </c>
      <c r="L67" s="64">
        <f>'PP-A13'!L67*1.03</f>
        <v>30.900000000000002</v>
      </c>
      <c r="M67" s="62">
        <f>'PP-A13'!M67*1.03</f>
        <v>31.93</v>
      </c>
      <c r="N67" s="62">
        <f>'PP-A13'!N67*1.03</f>
        <v>32.96</v>
      </c>
      <c r="O67" s="62">
        <f>'PP-A13'!O67*1.03</f>
        <v>33.99</v>
      </c>
      <c r="P67" s="62">
        <f>'PP-A13'!P67*1.03</f>
        <v>35.020000000000003</v>
      </c>
      <c r="Q67" s="65">
        <f>'PP-A13'!Q67*1.03</f>
        <v>35.020000000000003</v>
      </c>
      <c r="R67" s="301">
        <f t="shared" si="0"/>
        <v>5.5</v>
      </c>
      <c r="S67" s="300">
        <f t="shared" si="1"/>
        <v>2.5</v>
      </c>
    </row>
    <row r="68" spans="1:19" ht="15" customHeight="1">
      <c r="A68" s="16"/>
      <c r="B68" s="605" t="s">
        <v>436</v>
      </c>
      <c r="C68" s="606"/>
      <c r="D68" s="181">
        <f>'PP-A13'!D68*1.03</f>
        <v>15593.17</v>
      </c>
      <c r="E68" s="67">
        <f>'PP-A13'!E68*1.03</f>
        <v>16718.96</v>
      </c>
      <c r="F68" s="67">
        <f>'PP-A13'!F68*1.03</f>
        <v>17283.400000000001</v>
      </c>
      <c r="G68" s="67">
        <f>'PP-A13'!G68*1.03</f>
        <v>18909.77</v>
      </c>
      <c r="H68" s="67">
        <f>'PP-A13'!H68*1.03</f>
        <v>20657.68</v>
      </c>
      <c r="I68" s="182">
        <f>'PP-A13'!I68*1.03</f>
        <v>23213.11</v>
      </c>
      <c r="J68" s="182">
        <f>'PP-A13'!J68*1.03</f>
        <v>25187.62</v>
      </c>
      <c r="K68" s="183">
        <f>'PP-A13'!K68*1.03</f>
        <v>27014.84</v>
      </c>
      <c r="L68" s="184">
        <f>'PP-A13'!L68*1.03</f>
        <v>28412.55</v>
      </c>
      <c r="M68" s="182">
        <f>'PP-A13'!M68*1.03</f>
        <v>30127.5</v>
      </c>
      <c r="N68" s="182">
        <f>'PP-A13'!N68*1.03</f>
        <v>31806.400000000001</v>
      </c>
      <c r="O68" s="182">
        <f>'PP-A13'!O68*1.03</f>
        <v>33438.950000000004</v>
      </c>
      <c r="P68" s="182">
        <f>'PP-A13'!P68*1.03</f>
        <v>35004.550000000003</v>
      </c>
      <c r="Q68" s="185">
        <f>'PP-A13'!Q68*1.03</f>
        <v>36528.950000000004</v>
      </c>
      <c r="R68" s="299">
        <f t="shared" si="0"/>
        <v>8.1999999999999993</v>
      </c>
      <c r="S68" s="300">
        <f t="shared" si="1"/>
        <v>5.2</v>
      </c>
    </row>
    <row r="69" spans="1:19" ht="15" customHeight="1">
      <c r="A69" s="16"/>
      <c r="B69" s="605" t="s">
        <v>437</v>
      </c>
      <c r="C69" s="606"/>
      <c r="D69" s="181">
        <f>'PP-A13'!D69*1.03</f>
        <v>1175.23</v>
      </c>
      <c r="E69" s="67">
        <f>'PP-A13'!E69*1.03</f>
        <v>1137.1200000000001</v>
      </c>
      <c r="F69" s="67">
        <f>'PP-A13'!F69*1.03</f>
        <v>1303.98</v>
      </c>
      <c r="G69" s="67">
        <f>'PP-A13'!G69*1.03</f>
        <v>1442</v>
      </c>
      <c r="H69" s="67">
        <f>'PP-A13'!H69*1.03</f>
        <v>1378.14</v>
      </c>
      <c r="I69" s="182">
        <f>'PP-A13'!I69*1.03</f>
        <v>1417.0035480000001</v>
      </c>
      <c r="J69" s="182">
        <f>'PP-A13'!J69*1.03</f>
        <v>1462.9144629552002</v>
      </c>
      <c r="K69" s="183">
        <f>'PP-A13'!K69*1.03</f>
        <v>1520.5570336850014</v>
      </c>
      <c r="L69" s="184">
        <f>'PP-A13'!L69*1.03</f>
        <v>1590.5026572345116</v>
      </c>
      <c r="M69" s="182">
        <f>'PP-A13'!M69*1.03</f>
        <v>1651.8960598037638</v>
      </c>
      <c r="N69" s="182">
        <f>'PP-A13'!N69*1.03</f>
        <v>1712.8510244105225</v>
      </c>
      <c r="O69" s="182">
        <f>'PP-A13'!O69*1.03</f>
        <v>1712.8510244105225</v>
      </c>
      <c r="P69" s="182">
        <f>'PP-A13'!P69*1.03</f>
        <v>1712.8510244105225</v>
      </c>
      <c r="Q69" s="185">
        <f>'PP-A13'!Q69*1.03</f>
        <v>1712.8510244105225</v>
      </c>
      <c r="R69" s="299">
        <f t="shared" si="0"/>
        <v>3.7</v>
      </c>
      <c r="S69" s="300">
        <f t="shared" si="1"/>
        <v>1.5</v>
      </c>
    </row>
    <row r="70" spans="1:19" ht="15" customHeight="1">
      <c r="A70" s="16"/>
      <c r="B70" s="605" t="s">
        <v>438</v>
      </c>
      <c r="C70" s="606"/>
      <c r="D70" s="181">
        <f>'PP-A13'!D70*1.03</f>
        <v>806.13428794815923</v>
      </c>
      <c r="E70" s="67">
        <f>'PP-A13'!E70*1.03</f>
        <v>927.05443114038303</v>
      </c>
      <c r="F70" s="67">
        <f>'PP-A13'!F70*1.03</f>
        <v>1030</v>
      </c>
      <c r="G70" s="67">
        <f>'PP-A13'!G70*1.03</f>
        <v>1153.6000000000001</v>
      </c>
      <c r="H70" s="67">
        <f>'PP-A13'!H70*1.03</f>
        <v>1179.3500000000001</v>
      </c>
      <c r="I70" s="67">
        <f>'PP-A13'!I70*1.03</f>
        <v>1221.58</v>
      </c>
      <c r="J70" s="67">
        <f>'PP-A13'!J70*1.03</f>
        <v>1296.77</v>
      </c>
      <c r="K70" s="186">
        <f>'PP-A13'!K70*1.03</f>
        <v>1545</v>
      </c>
      <c r="L70" s="187">
        <f>'PP-A13'!L70*1.03</f>
        <v>1460.8284000000001</v>
      </c>
      <c r="M70" s="67">
        <f>'PP-A13'!M70*1.03</f>
        <v>1534.7</v>
      </c>
      <c r="N70" s="67">
        <f>'PP-A13'!N70*1.03</f>
        <v>1606.8</v>
      </c>
      <c r="O70" s="67">
        <f>'PP-A13'!O70*1.03</f>
        <v>1689.2</v>
      </c>
      <c r="P70" s="67">
        <f>'PP-A13'!P70*1.03</f>
        <v>1771.6000000000001</v>
      </c>
      <c r="Q70" s="68">
        <f>'PP-A13'!Q70*1.03</f>
        <v>1854</v>
      </c>
      <c r="R70" s="299">
        <f t="shared" si="0"/>
        <v>9.6999999999999993</v>
      </c>
      <c r="S70" s="300">
        <f t="shared" si="1"/>
        <v>4.9000000000000004</v>
      </c>
    </row>
    <row r="71" spans="1:19" ht="15" customHeight="1">
      <c r="A71" s="16"/>
      <c r="B71" s="605" t="s">
        <v>439</v>
      </c>
      <c r="C71" s="606"/>
      <c r="D71" s="181">
        <f>'PP-A13'!D71*1.03</f>
        <v>2688.3</v>
      </c>
      <c r="E71" s="67">
        <f>'PP-A13'!E71*1.03</f>
        <v>2762.46</v>
      </c>
      <c r="F71" s="67">
        <f>'PP-A13'!F71*1.03</f>
        <v>3164.16</v>
      </c>
      <c r="G71" s="67">
        <f>'PP-A13'!G71*1.03</f>
        <v>3895.46</v>
      </c>
      <c r="H71" s="67">
        <f>'PP-A13'!H71*1.03</f>
        <v>4398.1000000000004</v>
      </c>
      <c r="I71" s="182">
        <f>'PP-A13'!I71*1.03</f>
        <v>4223</v>
      </c>
      <c r="J71" s="182">
        <f>'PP-A13'!J71*1.03</f>
        <v>4377.5</v>
      </c>
      <c r="K71" s="183">
        <f>'PP-A13'!K71*1.03</f>
        <v>4429</v>
      </c>
      <c r="L71" s="184">
        <f>'PP-A13'!L71*1.03</f>
        <v>4532</v>
      </c>
      <c r="M71" s="182">
        <f>'PP-A13'!M71*1.03</f>
        <v>4738</v>
      </c>
      <c r="N71" s="182">
        <f>'PP-A13'!N71*1.03</f>
        <v>4944</v>
      </c>
      <c r="O71" s="182">
        <f>'PP-A13'!O71*1.03</f>
        <v>5150</v>
      </c>
      <c r="P71" s="182">
        <f>'PP-A13'!P71*1.03</f>
        <v>5356</v>
      </c>
      <c r="Q71" s="185">
        <f>'PP-A13'!Q71*1.03</f>
        <v>5356</v>
      </c>
      <c r="R71" s="299">
        <f t="shared" si="0"/>
        <v>7.4</v>
      </c>
      <c r="S71" s="300">
        <f t="shared" si="1"/>
        <v>3.4</v>
      </c>
    </row>
    <row r="72" spans="1:19" ht="15.75" hidden="1" customHeight="1">
      <c r="A72" s="16"/>
      <c r="B72" s="16"/>
      <c r="C72" s="90" t="s">
        <v>306</v>
      </c>
      <c r="D72" s="181">
        <f>'PP-A13'!D72*1.03</f>
        <v>0</v>
      </c>
      <c r="E72" s="67">
        <f>'PP-A13'!E72*1.03</f>
        <v>0</v>
      </c>
      <c r="F72" s="67">
        <f>'PP-A13'!F72*1.03</f>
        <v>0</v>
      </c>
      <c r="G72" s="67">
        <f>'PP-A13'!G72*1.03</f>
        <v>0</v>
      </c>
      <c r="H72" s="67">
        <f>'PP-A13'!H72*1.03</f>
        <v>0</v>
      </c>
      <c r="I72" s="67">
        <f>'PP-A13'!I72*1.03</f>
        <v>0</v>
      </c>
      <c r="J72" s="67">
        <f>'PP-A13'!J72*1.03</f>
        <v>0</v>
      </c>
      <c r="K72" s="183">
        <f>'PP-A13'!K72*1.03</f>
        <v>0</v>
      </c>
      <c r="L72" s="184">
        <f>'PP-A13'!L72*1.03</f>
        <v>0</v>
      </c>
      <c r="M72" s="182">
        <f>'PP-A13'!M72*1.03</f>
        <v>0</v>
      </c>
      <c r="N72" s="182">
        <f>'PP-A13'!N72*1.03</f>
        <v>0</v>
      </c>
      <c r="O72" s="182">
        <f>'PP-A13'!O72*1.03</f>
        <v>0</v>
      </c>
      <c r="P72" s="182">
        <f>'PP-A13'!P72*1.03</f>
        <v>0</v>
      </c>
      <c r="Q72" s="185">
        <f>'PP-A13'!Q72*1.03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'PP-A13'!D73*1.03</f>
        <v>157.59</v>
      </c>
      <c r="E73" s="67">
        <f>'PP-A13'!E73*1.03</f>
        <v>145.22999999999999</v>
      </c>
      <c r="F73" s="67">
        <f>'PP-A13'!F73*1.03</f>
        <v>195.28285</v>
      </c>
      <c r="G73" s="67">
        <f>'PP-A13'!G73*1.03</f>
        <v>175.1</v>
      </c>
      <c r="H73" s="67">
        <f>'PP-A13'!H73*1.03</f>
        <v>205.30578</v>
      </c>
      <c r="I73" s="67">
        <f>'PP-A13'!I73*1.03</f>
        <v>217.26820000000001</v>
      </c>
      <c r="J73" s="67">
        <f>'PP-A13'!J73*1.03</f>
        <v>230.29770000000002</v>
      </c>
      <c r="K73" s="186">
        <f>'PP-A13'!K73*1.03</f>
        <v>244.12029999999999</v>
      </c>
      <c r="L73" s="187">
        <f>'PP-A13'!L73*1.03</f>
        <v>258.76690000000002</v>
      </c>
      <c r="M73" s="67">
        <f>'PP-A13'!M73*1.03</f>
        <v>274.28900000000004</v>
      </c>
      <c r="N73" s="67">
        <f>'PP-A13'!N73*1.03</f>
        <v>290.7484</v>
      </c>
      <c r="O73" s="67">
        <f>'PP-A13'!O73*1.03</f>
        <v>307.97000000000003</v>
      </c>
      <c r="P73" s="67">
        <f>'PP-A13'!P73*1.03</f>
        <v>326.51</v>
      </c>
      <c r="Q73" s="68">
        <f>'PP-A13'!Q73*1.03</f>
        <v>346.08</v>
      </c>
      <c r="R73" s="302">
        <f t="shared" si="4"/>
        <v>6.5</v>
      </c>
      <c r="S73" s="300">
        <f t="shared" si="5"/>
        <v>6</v>
      </c>
    </row>
    <row r="74" spans="1:19" ht="15" customHeight="1">
      <c r="A74" s="16"/>
      <c r="B74" s="605" t="s">
        <v>441</v>
      </c>
      <c r="C74" s="606"/>
      <c r="D74" s="181">
        <f>'PP-A13'!D74*1.03</f>
        <v>406.75636363636363</v>
      </c>
      <c r="E74" s="67">
        <f>'PP-A13'!E74*1.03</f>
        <v>429.12796363636363</v>
      </c>
      <c r="F74" s="67">
        <f>'PP-A13'!F74*1.03</f>
        <v>412</v>
      </c>
      <c r="G74" s="67">
        <f>'PP-A13'!G74*1.03</f>
        <v>412</v>
      </c>
      <c r="H74" s="67">
        <f>'PP-A13'!H74*1.03</f>
        <v>604.18769999999995</v>
      </c>
      <c r="I74" s="182">
        <f>'PP-A13'!I74*1.03</f>
        <v>494.40000000000003</v>
      </c>
      <c r="J74" s="182">
        <f>'PP-A13'!J74*1.03</f>
        <v>490.48496999999986</v>
      </c>
      <c r="K74" s="183">
        <f>'PP-A13'!K74*1.03</f>
        <v>518.61423189000004</v>
      </c>
      <c r="L74" s="184">
        <f>'PP-A13'!L74*1.03</f>
        <v>542.98910078883</v>
      </c>
      <c r="M74" s="182">
        <f>'PP-A13'!M74*1.03</f>
        <v>567.96659942511621</v>
      </c>
      <c r="N74" s="182">
        <f>'PP-A13'!N74*1.03</f>
        <v>595.22899619752184</v>
      </c>
      <c r="O74" s="182">
        <f>'PP-A13'!O74*1.03</f>
        <v>624.03807961348184</v>
      </c>
      <c r="P74" s="182">
        <f>'PP-A13'!P74*1.03</f>
        <v>654.24152266677447</v>
      </c>
      <c r="Q74" s="185">
        <f>'PP-A13'!Q74*1.03</f>
        <v>685.90681236384637</v>
      </c>
      <c r="R74" s="299">
        <f t="shared" si="4"/>
        <v>3.5</v>
      </c>
      <c r="S74" s="300">
        <f t="shared" si="5"/>
        <v>4.8</v>
      </c>
    </row>
    <row r="75" spans="1:19" ht="15" customHeight="1">
      <c r="A75" s="16"/>
      <c r="B75" s="605" t="s">
        <v>442</v>
      </c>
      <c r="C75" s="606"/>
      <c r="D75" s="181">
        <f>'PP-A13'!D75*1.03</f>
        <v>329.6</v>
      </c>
      <c r="E75" s="67">
        <f>'PP-A13'!E75*1.03</f>
        <v>352.26</v>
      </c>
      <c r="F75" s="67">
        <f>'PP-A13'!F75*1.03</f>
        <v>375.95</v>
      </c>
      <c r="G75" s="67">
        <f>'PP-A13'!G75*1.03</f>
        <v>401.7</v>
      </c>
      <c r="H75" s="67">
        <f>'PP-A13'!H75*1.03</f>
        <v>429.51</v>
      </c>
      <c r="I75" s="67">
        <f>'PP-A13'!I75*1.03</f>
        <v>458.35</v>
      </c>
      <c r="J75" s="67">
        <f>'PP-A13'!J75*1.03</f>
        <v>487.19</v>
      </c>
      <c r="K75" s="186">
        <f>'PP-A13'!K75*1.03</f>
        <v>1335.91</v>
      </c>
      <c r="L75" s="187">
        <f>'PP-A13'!L75*1.03</f>
        <v>1592.38</v>
      </c>
      <c r="M75" s="67">
        <f>'PP-A13'!M75*1.03</f>
        <v>1687.14</v>
      </c>
      <c r="N75" s="67">
        <f>'PP-A13'!N75*1.03</f>
        <v>1788.0800000000002</v>
      </c>
      <c r="O75" s="67">
        <f>'PP-A13'!O75*1.03</f>
        <v>1895.2</v>
      </c>
      <c r="P75" s="67">
        <f>'PP-A13'!P75*1.03</f>
        <v>2008.5</v>
      </c>
      <c r="Q75" s="68">
        <f>'PP-A13'!Q75*1.03</f>
        <v>2129.0100000000002</v>
      </c>
      <c r="R75" s="302">
        <f t="shared" si="4"/>
        <v>22.1</v>
      </c>
      <c r="S75" s="300">
        <f t="shared" si="5"/>
        <v>6</v>
      </c>
    </row>
    <row r="76" spans="1:19" ht="15" customHeight="1">
      <c r="A76" s="16"/>
      <c r="B76" s="607" t="s">
        <v>443</v>
      </c>
      <c r="C76" s="608"/>
      <c r="D76" s="181">
        <f>'PP-A13'!D76*1.03</f>
        <v>2473.1329999999998</v>
      </c>
      <c r="E76" s="67">
        <f>'PP-A13'!E76*1.03</f>
        <v>2327.1820000000002</v>
      </c>
      <c r="F76" s="67">
        <f>'PP-A13'!F76*1.03</f>
        <v>2468.2920000000004</v>
      </c>
      <c r="G76" s="67">
        <f>'PP-A13'!G76*1.03</f>
        <v>2276.1970000000001</v>
      </c>
      <c r="H76" s="67">
        <f>'PP-A13'!H76*1.03</f>
        <v>2523.2940000000003</v>
      </c>
      <c r="I76" s="182">
        <f>'PP-A13'!I76*1.03</f>
        <v>2580.665</v>
      </c>
      <c r="J76" s="182">
        <f>'PP-A13'!J76*1.03</f>
        <v>2603.2220000000002</v>
      </c>
      <c r="K76" s="183">
        <f>'PP-A13'!K76*1.03</f>
        <v>2677.7940000000003</v>
      </c>
      <c r="L76" s="184">
        <f>'PP-A13'!L76*1.03</f>
        <v>2676.9700000000003</v>
      </c>
      <c r="M76" s="182">
        <f>'PP-A13'!M76*1.03</f>
        <v>2869.58</v>
      </c>
      <c r="N76" s="182">
        <f>'PP-A13'!N76*1.03</f>
        <v>2898.42</v>
      </c>
      <c r="O76" s="182">
        <f>'PP-A13'!O76*1.03</f>
        <v>2914.9</v>
      </c>
      <c r="P76" s="182">
        <f>'PP-A13'!P76*1.03</f>
        <v>2933.44</v>
      </c>
      <c r="Q76" s="185">
        <f>'PP-A13'!Q76*1.03</f>
        <v>2951.98</v>
      </c>
      <c r="R76" s="299">
        <f t="shared" si="4"/>
        <v>1.1000000000000001</v>
      </c>
      <c r="S76" s="300">
        <f t="shared" si="5"/>
        <v>2</v>
      </c>
    </row>
    <row r="77" spans="1:19" ht="15.75" customHeight="1">
      <c r="A77" s="16"/>
      <c r="B77" s="674" t="s">
        <v>307</v>
      </c>
      <c r="C77" s="675"/>
      <c r="D77" s="189">
        <f>'PP-A13'!D77*1.03</f>
        <v>25667.25365158452</v>
      </c>
      <c r="E77" s="190">
        <f>'PP-A13'!E77*1.03</f>
        <v>26985.256274776744</v>
      </c>
      <c r="F77" s="190">
        <f>'PP-A13'!F77*1.03</f>
        <v>28423.384104440003</v>
      </c>
      <c r="G77" s="190">
        <f>'PP-A13'!G77*1.03</f>
        <v>30884.955246108722</v>
      </c>
      <c r="H77" s="190">
        <f>'PP-A13'!H77*1.03</f>
        <v>33646.98708524587</v>
      </c>
      <c r="I77" s="190">
        <f>'PP-A13'!I77*1.03</f>
        <v>36094.267945350788</v>
      </c>
      <c r="J77" s="190">
        <f>'PP-A13'!J77*1.03</f>
        <v>38424.659132955196</v>
      </c>
      <c r="K77" s="191">
        <f>'PP-A13'!K77*1.03</f>
        <v>41512.695565575006</v>
      </c>
      <c r="L77" s="192">
        <f>'PP-A13'!L77*1.03</f>
        <v>43332.98705802334</v>
      </c>
      <c r="M77" s="190">
        <f>'PP-A13'!M77*1.03</f>
        <v>45769.60165922888</v>
      </c>
      <c r="N77" s="190">
        <f>'PP-A13'!N77*1.03</f>
        <v>47982.688420608043</v>
      </c>
      <c r="O77" s="190">
        <f>'PP-A13'!O77*1.03</f>
        <v>50115.499104023998</v>
      </c>
      <c r="P77" s="190">
        <f>'PP-A13'!P77*1.03</f>
        <v>52171.712547077303</v>
      </c>
      <c r="Q77" s="193">
        <f>'PP-A13'!Q77*1.03</f>
        <v>54009.997836774368</v>
      </c>
      <c r="R77" s="303">
        <f t="shared" si="4"/>
        <v>7.1</v>
      </c>
      <c r="S77" s="304">
        <f t="shared" si="5"/>
        <v>4.5</v>
      </c>
    </row>
    <row r="78" spans="1:19" ht="15" customHeight="1">
      <c r="A78" s="16"/>
      <c r="B78" s="672" t="s">
        <v>308</v>
      </c>
      <c r="C78" s="673"/>
      <c r="D78" s="194">
        <f>'PP-A13'!D78*1.03</f>
        <v>378.01</v>
      </c>
      <c r="E78" s="195">
        <f>'PP-A13'!E78*1.03</f>
        <v>341.96000000000004</v>
      </c>
      <c r="F78" s="195">
        <f>'PP-A13'!F78*1.03</f>
        <v>309</v>
      </c>
      <c r="G78" s="195">
        <f>'PP-A13'!G78*1.03</f>
        <v>257.5</v>
      </c>
      <c r="H78" s="195">
        <f>'PP-A13'!H78*1.03</f>
        <v>143.17000000000002</v>
      </c>
      <c r="I78" s="195">
        <f>'PP-A13'!I78*1.03</f>
        <v>81.988</v>
      </c>
      <c r="J78" s="195">
        <f>'PP-A13'!J78*1.03</f>
        <v>102.691</v>
      </c>
      <c r="K78" s="196">
        <f>'PP-A13'!K78*1.03</f>
        <v>82.4</v>
      </c>
      <c r="L78" s="197">
        <f>'PP-A13'!L78*1.03</f>
        <v>82.4</v>
      </c>
      <c r="M78" s="195">
        <f>'PP-A13'!M78*1.03</f>
        <v>84.460000000000008</v>
      </c>
      <c r="N78" s="195">
        <f>'PP-A13'!N78*1.03</f>
        <v>84.460000000000008</v>
      </c>
      <c r="O78" s="195">
        <f>'PP-A13'!O78*1.03</f>
        <v>86.52</v>
      </c>
      <c r="P78" s="195">
        <f>'PP-A13'!P78*1.03</f>
        <v>86.52</v>
      </c>
      <c r="Q78" s="198">
        <f>'PP-A13'!Q78*1.03</f>
        <v>86.52</v>
      </c>
      <c r="R78" s="305">
        <f t="shared" si="4"/>
        <v>-19.600000000000001</v>
      </c>
      <c r="S78" s="304">
        <f t="shared" si="5"/>
        <v>1</v>
      </c>
    </row>
    <row r="79" spans="1:19" ht="15" customHeight="1">
      <c r="A79" s="16"/>
      <c r="B79" s="105"/>
      <c r="C79" s="97" t="s">
        <v>309</v>
      </c>
      <c r="D79" s="194">
        <f>'PP-A13'!D79*1.03</f>
        <v>325.48</v>
      </c>
      <c r="E79" s="195">
        <f>'PP-A13'!E79*1.03</f>
        <v>341.96000000000004</v>
      </c>
      <c r="F79" s="195">
        <f>'PP-A13'!F79*1.03</f>
        <v>309</v>
      </c>
      <c r="G79" s="195">
        <f>'PP-A13'!G79*1.03</f>
        <v>257.5</v>
      </c>
      <c r="H79" s="195">
        <f>'PP-A13'!H79*1.03</f>
        <v>143.17000000000002</v>
      </c>
      <c r="I79" s="195">
        <f>'PP-A13'!I79*1.03</f>
        <v>81.988</v>
      </c>
      <c r="J79" s="195">
        <f>'PP-A13'!J79*1.03</f>
        <v>102.691</v>
      </c>
      <c r="K79" s="196">
        <f>'PP-A13'!K79*1.03</f>
        <v>82.4</v>
      </c>
      <c r="L79" s="197">
        <f>'PP-A13'!L79*1.03</f>
        <v>82.4</v>
      </c>
      <c r="M79" s="195">
        <f>'PP-A13'!M79*1.03</f>
        <v>84.460000000000008</v>
      </c>
      <c r="N79" s="195">
        <f>'PP-A13'!N79*1.03</f>
        <v>84.460000000000008</v>
      </c>
      <c r="O79" s="195">
        <f>'PP-A13'!O79*1.03</f>
        <v>86.52</v>
      </c>
      <c r="P79" s="195">
        <f>'PP-A13'!P79*1.03</f>
        <v>86.52</v>
      </c>
      <c r="Q79" s="198">
        <f>'PP-A13'!Q79*1.03</f>
        <v>86.52</v>
      </c>
      <c r="R79" s="305">
        <f t="shared" si="4"/>
        <v>-17.8</v>
      </c>
      <c r="S79" s="304">
        <f t="shared" si="5"/>
        <v>1</v>
      </c>
    </row>
    <row r="80" spans="1:19" ht="15.75" customHeight="1">
      <c r="A80" s="16"/>
      <c r="B80" s="672" t="s">
        <v>310</v>
      </c>
      <c r="C80" s="673"/>
      <c r="D80" s="181">
        <f>'PP-A13'!D80*1.03</f>
        <v>11643.12</v>
      </c>
      <c r="E80" s="67">
        <f>'PP-A13'!E80*1.03</f>
        <v>10969.5</v>
      </c>
      <c r="F80" s="67">
        <f>'PP-A13'!F80*1.03</f>
        <v>9141.25</v>
      </c>
      <c r="G80" s="67">
        <f>'PP-A13'!G80*1.03</f>
        <v>9168.0300000000007</v>
      </c>
      <c r="H80" s="182">
        <f>'PP-A13'!H80*1.03</f>
        <v>9353.0040084800003</v>
      </c>
      <c r="I80" s="182">
        <f>'PP-A13'!I80*1.03</f>
        <v>9780.9109000000008</v>
      </c>
      <c r="J80" s="182">
        <f>'PP-A13'!J80*1.03</f>
        <v>10135.19439577</v>
      </c>
      <c r="K80" s="183">
        <f>'PP-A13'!K80*1.03</f>
        <v>10266.8163458</v>
      </c>
      <c r="L80" s="184">
        <f>'PP-A13'!L80*1.03</f>
        <v>10484.288883380001</v>
      </c>
      <c r="M80" s="182">
        <f>'PP-A13'!M80*1.03</f>
        <v>10685.621314780001</v>
      </c>
      <c r="N80" s="182">
        <f>'PP-A13'!N80*1.03</f>
        <v>10854.600267860002</v>
      </c>
      <c r="O80" s="182">
        <f>'PP-A13'!O80*1.03</f>
        <v>11004.62259006</v>
      </c>
      <c r="P80" s="182">
        <f>'PP-A13'!P80*1.03</f>
        <v>11151.421333620001</v>
      </c>
      <c r="Q80" s="185">
        <f>'PP-A13'!Q80*1.03</f>
        <v>11297.472729780002</v>
      </c>
      <c r="R80" s="299">
        <f t="shared" si="4"/>
        <v>-1.8</v>
      </c>
      <c r="S80" s="300">
        <f t="shared" si="5"/>
        <v>1.5</v>
      </c>
    </row>
    <row r="81" spans="1:19" ht="15" customHeight="1">
      <c r="A81" s="16"/>
      <c r="B81" s="105"/>
      <c r="C81" s="615" t="s">
        <v>311</v>
      </c>
      <c r="D81" s="194">
        <f>'PP-A13'!D81*1.03</f>
        <v>9257.64</v>
      </c>
      <c r="E81" s="195">
        <f>'PP-A13'!E81*1.03</f>
        <v>9491.3897036338894</v>
      </c>
      <c r="F81" s="195">
        <f>'PP-A13'!F81*1.03</f>
        <v>7581.83</v>
      </c>
      <c r="G81" s="195">
        <f>'PP-A13'!G81*1.03</f>
        <v>7584.92</v>
      </c>
      <c r="H81" s="190">
        <f>'PP-A13'!H81*1.03</f>
        <v>7722.1875232000002</v>
      </c>
      <c r="I81" s="190">
        <f>'PP-A13'!I81*1.03</f>
        <v>8099.92</v>
      </c>
      <c r="J81" s="190">
        <f>'PP-A13'!J81*1.03</f>
        <v>8402.3453657999999</v>
      </c>
      <c r="K81" s="191">
        <f>'PP-A13'!K81*1.03</f>
        <v>8486.3688198700002</v>
      </c>
      <c r="L81" s="192">
        <f>'PP-A13'!L81*1.03</f>
        <v>8654.0294780099994</v>
      </c>
      <c r="M81" s="190">
        <f>'PP-A13'!M81*1.03</f>
        <v>8805.6319499900001</v>
      </c>
      <c r="N81" s="190">
        <f>'PP-A13'!N81*1.03</f>
        <v>8930.2700159200012</v>
      </c>
      <c r="O81" s="190">
        <f>'PP-A13'!O81*1.03</f>
        <v>9036.9050311499996</v>
      </c>
      <c r="P81" s="190">
        <f>'PP-A13'!P81*1.03</f>
        <v>9139.4351049800007</v>
      </c>
      <c r="Q81" s="193">
        <f>'PP-A13'!Q81*1.03</f>
        <v>9241.0066082800004</v>
      </c>
      <c r="R81" s="303">
        <f t="shared" si="4"/>
        <v>-1.2</v>
      </c>
      <c r="S81" s="304">
        <f t="shared" si="5"/>
        <v>1.3</v>
      </c>
    </row>
    <row r="82" spans="1:19" ht="15.75" customHeight="1">
      <c r="A82" s="16"/>
      <c r="B82" s="672" t="s">
        <v>312</v>
      </c>
      <c r="C82" s="673"/>
      <c r="D82" s="181">
        <f>'PP-A13'!D82*1.03</f>
        <v>1733.49</v>
      </c>
      <c r="E82" s="67">
        <f>'PP-A13'!E82*1.03</f>
        <v>2490.54</v>
      </c>
      <c r="F82" s="67">
        <f>'PP-A13'!F82*1.03</f>
        <v>2591.48</v>
      </c>
      <c r="G82" s="67">
        <f>'PP-A13'!G82*1.03</f>
        <v>2641.9500000000003</v>
      </c>
      <c r="H82" s="182">
        <f>'PP-A13'!H82*1.03</f>
        <v>2622.38</v>
      </c>
      <c r="I82" s="182">
        <f>'PP-A13'!I82*1.03</f>
        <v>2672.85</v>
      </c>
      <c r="J82" s="182">
        <f>'PP-A13'!J82*1.03</f>
        <v>2769.67</v>
      </c>
      <c r="K82" s="183">
        <f>'PP-A13'!K82*1.03</f>
        <v>2876.79</v>
      </c>
      <c r="L82" s="184">
        <f>'PP-A13'!L82*1.03</f>
        <v>2971.55</v>
      </c>
      <c r="M82" s="182">
        <f>'PP-A13'!M82*1.03</f>
        <v>3130.17</v>
      </c>
      <c r="N82" s="182">
        <f>'PP-A13'!N82*1.03</f>
        <v>3262.01</v>
      </c>
      <c r="O82" s="182">
        <f>'PP-A13'!O82*1.03</f>
        <v>3354.71</v>
      </c>
      <c r="P82" s="182">
        <f>'PP-A13'!P82*1.03</f>
        <v>3429.9</v>
      </c>
      <c r="Q82" s="185">
        <f>'PP-A13'!Q82*1.03</f>
        <v>3507.15</v>
      </c>
      <c r="R82" s="299">
        <f t="shared" si="4"/>
        <v>7.5</v>
      </c>
      <c r="S82" s="300">
        <f t="shared" si="5"/>
        <v>3.4</v>
      </c>
    </row>
    <row r="83" spans="1:19" ht="15" customHeight="1">
      <c r="A83" s="16"/>
      <c r="B83" s="16"/>
      <c r="C83" s="615" t="s">
        <v>313</v>
      </c>
      <c r="D83" s="194">
        <f>'PP-A13'!D83*1.03</f>
        <v>0</v>
      </c>
      <c r="E83" s="195">
        <f>'PP-A13'!E83*1.03</f>
        <v>507.79</v>
      </c>
      <c r="F83" s="195">
        <f>'PP-A13'!F83*1.03</f>
        <v>530.45000000000005</v>
      </c>
      <c r="G83" s="195">
        <f>'PP-A13'!G83*1.03</f>
        <v>535.6</v>
      </c>
      <c r="H83" s="190">
        <f>'PP-A13'!H83*1.03</f>
        <v>547.96</v>
      </c>
      <c r="I83" s="190">
        <f>'PP-A13'!I83*1.03</f>
        <v>561.35</v>
      </c>
      <c r="J83" s="190">
        <f>'PP-A13'!J83*1.03</f>
        <v>571.65</v>
      </c>
      <c r="K83" s="191">
        <f>'PP-A13'!K83*1.03</f>
        <v>579.89</v>
      </c>
      <c r="L83" s="192">
        <f>'PP-A13'!L83*1.03</f>
        <v>599.46</v>
      </c>
      <c r="M83" s="190">
        <f>'PP-A13'!M83*1.03</f>
        <v>618</v>
      </c>
      <c r="N83" s="190">
        <f>'PP-A13'!N83*1.03</f>
        <v>637.57000000000005</v>
      </c>
      <c r="O83" s="190">
        <f>'PP-A13'!O83*1.03</f>
        <v>657.14</v>
      </c>
      <c r="P83" s="190">
        <f>'PP-A13'!P83*1.03</f>
        <v>675.68000000000006</v>
      </c>
      <c r="Q83" s="193">
        <f>'PP-A13'!Q83*1.03</f>
        <v>690.1</v>
      </c>
      <c r="R83" s="303" t="str">
        <f t="shared" si="4"/>
        <v xml:space="preserve">     -</v>
      </c>
      <c r="S83" s="304">
        <f t="shared" si="5"/>
        <v>2.9</v>
      </c>
    </row>
    <row r="84" spans="1:19" ht="15.75" customHeight="1">
      <c r="A84" s="16"/>
      <c r="B84" s="674" t="s">
        <v>314</v>
      </c>
      <c r="C84" s="675"/>
      <c r="D84" s="194">
        <f>'PP-A13'!D84*1.03</f>
        <v>1149.48</v>
      </c>
      <c r="E84" s="195">
        <f>'PP-A13'!E84*1.03</f>
        <v>1234.97</v>
      </c>
      <c r="F84" s="195">
        <f>'PP-A13'!F84*1.03</f>
        <v>1234.97</v>
      </c>
      <c r="G84" s="195">
        <f>'PP-A13'!G84*1.03</f>
        <v>1339.94245</v>
      </c>
      <c r="H84" s="190">
        <f>'PP-A13'!H84*1.03</f>
        <v>1498.65</v>
      </c>
      <c r="I84" s="190">
        <f>'PP-A13'!I84*1.03</f>
        <v>1832.3700000000001</v>
      </c>
      <c r="J84" s="190">
        <f>'PP-A13'!J84*1.03</f>
        <v>1880.78</v>
      </c>
      <c r="K84" s="191">
        <f>'PP-A13'!K84*1.03</f>
        <v>2000.26</v>
      </c>
      <c r="L84" s="192">
        <f>'PP-A13'!L84*1.03</f>
        <v>2130.04</v>
      </c>
      <c r="M84" s="190">
        <f>'PP-A13'!M84*1.03</f>
        <v>2266</v>
      </c>
      <c r="N84" s="190">
        <f>'PP-A13'!N84*1.03</f>
        <v>2408.14</v>
      </c>
      <c r="O84" s="190">
        <f>'PP-A13'!O84*1.03</f>
        <v>2554.4</v>
      </c>
      <c r="P84" s="190">
        <f>'PP-A13'!P84*1.03</f>
        <v>2708.9</v>
      </c>
      <c r="Q84" s="193">
        <f>'PP-A13'!Q84*1.03</f>
        <v>2811.9</v>
      </c>
      <c r="R84" s="303">
        <f t="shared" si="4"/>
        <v>8.1999999999999993</v>
      </c>
      <c r="S84" s="304">
        <f t="shared" si="5"/>
        <v>5.7</v>
      </c>
    </row>
    <row r="85" spans="1:19" ht="15.75" customHeight="1">
      <c r="A85" s="16"/>
      <c r="B85" s="674" t="s">
        <v>315</v>
      </c>
      <c r="C85" s="675"/>
      <c r="D85" s="189">
        <f>'PP-A13'!D85*1.03</f>
        <v>1019.7</v>
      </c>
      <c r="E85" s="190">
        <f>'PP-A13'!E85*1.03</f>
        <v>1031.03</v>
      </c>
      <c r="F85" s="190">
        <f>'PP-A13'!F85*1.03</f>
        <v>985.40100000000007</v>
      </c>
      <c r="G85" s="190">
        <f>'PP-A13'!G85*1.03</f>
        <v>985.40099999999995</v>
      </c>
      <c r="H85" s="190">
        <f>'PP-A13'!H85*1.03</f>
        <v>1209.22</v>
      </c>
      <c r="I85" s="190">
        <f>'PP-A13'!I85*1.03</f>
        <v>1245.27</v>
      </c>
      <c r="J85" s="190">
        <f>'PP-A13'!J85*1.03</f>
        <v>1619.2629999999999</v>
      </c>
      <c r="K85" s="191">
        <f>'PP-A13'!K85*1.03</f>
        <v>1401.83</v>
      </c>
      <c r="L85" s="192">
        <f>'PP-A13'!L85*1.03</f>
        <v>1545</v>
      </c>
      <c r="M85" s="190">
        <f>'PP-A13'!M85*1.03</f>
        <v>1808.68</v>
      </c>
      <c r="N85" s="190">
        <f>'PP-A13'!N85*1.03</f>
        <v>1911.68</v>
      </c>
      <c r="O85" s="190">
        <f>'PP-A13'!O85*1.03</f>
        <v>1978.63</v>
      </c>
      <c r="P85" s="190">
        <f>'PP-A13'!P85*1.03</f>
        <v>2037.3400000000001</v>
      </c>
      <c r="Q85" s="193">
        <f>'PP-A13'!Q85*1.03</f>
        <v>2149.61</v>
      </c>
      <c r="R85" s="303">
        <f t="shared" si="4"/>
        <v>4.7</v>
      </c>
      <c r="S85" s="304">
        <f t="shared" si="5"/>
        <v>6.8</v>
      </c>
    </row>
    <row r="86" spans="1:19" ht="15" customHeight="1">
      <c r="A86" s="16"/>
      <c r="B86" s="672" t="s">
        <v>316</v>
      </c>
      <c r="C86" s="673"/>
      <c r="D86" s="181">
        <f>'PP-A13'!D86*1.03</f>
        <v>5989.45</v>
      </c>
      <c r="E86" s="67">
        <f>'PP-A13'!E86*1.03</f>
        <v>6112.02</v>
      </c>
      <c r="F86" s="67">
        <f>'PP-A13'!F86*1.03</f>
        <v>6257.25</v>
      </c>
      <c r="G86" s="67">
        <f>'PP-A13'!G86*1.03</f>
        <v>6384.97</v>
      </c>
      <c r="H86" s="67">
        <f>'PP-A13'!H86*1.03</f>
        <v>6515.78</v>
      </c>
      <c r="I86" s="182">
        <f>'PP-A13'!I86*1.03</f>
        <v>6674.4000000000005</v>
      </c>
      <c r="J86" s="182">
        <f>'PP-A13'!J86*1.03</f>
        <v>6779.46</v>
      </c>
      <c r="K86" s="183">
        <f>'PP-A13'!K86*1.03</f>
        <v>6934.99</v>
      </c>
      <c r="L86" s="184">
        <f>'PP-A13'!L86*1.03</f>
        <v>7134.81</v>
      </c>
      <c r="M86" s="182">
        <f>'PP-A13'!M86*1.03</f>
        <v>7316.09</v>
      </c>
      <c r="N86" s="182">
        <f>'PP-A13'!N86*1.03</f>
        <v>7448.96</v>
      </c>
      <c r="O86" s="182">
        <f>'PP-A13'!O86*1.03</f>
        <v>7577.71</v>
      </c>
      <c r="P86" s="182">
        <f>'PP-A13'!P86*1.03</f>
        <v>7689.9800000000005</v>
      </c>
      <c r="Q86" s="185">
        <f>'PP-A13'!Q86*1.03</f>
        <v>7796.0700000000006</v>
      </c>
      <c r="R86" s="299">
        <f t="shared" si="4"/>
        <v>2.1</v>
      </c>
      <c r="S86" s="300">
        <f t="shared" si="5"/>
        <v>1.8</v>
      </c>
    </row>
    <row r="87" spans="1:19" ht="15" customHeight="1">
      <c r="A87" s="16"/>
      <c r="B87" s="670" t="s">
        <v>317</v>
      </c>
      <c r="C87" s="671"/>
      <c r="D87" s="181">
        <f>'PP-A13'!D87*1.03</f>
        <v>216.3</v>
      </c>
      <c r="E87" s="67">
        <f>'PP-A13'!E87*1.03</f>
        <v>220.42000000000002</v>
      </c>
      <c r="F87" s="67">
        <f>'PP-A13'!F87*1.03</f>
        <v>224.54</v>
      </c>
      <c r="G87" s="67">
        <f>'PP-A13'!G87*1.03</f>
        <v>228.66</v>
      </c>
      <c r="H87" s="67">
        <f>'PP-A13'!H87*1.03</f>
        <v>234.84</v>
      </c>
      <c r="I87" s="182">
        <f>'PP-A13'!I87*1.03</f>
        <v>236.9</v>
      </c>
      <c r="J87" s="182">
        <f>'PP-A13'!J87*1.03</f>
        <v>239.99</v>
      </c>
      <c r="K87" s="183">
        <f>'PP-A13'!K87*1.03</f>
        <v>247.20000000000002</v>
      </c>
      <c r="L87" s="184">
        <f>'PP-A13'!L87*1.03</f>
        <v>252.35</v>
      </c>
      <c r="M87" s="182">
        <f>'PP-A13'!M87*1.03</f>
        <v>257.5</v>
      </c>
      <c r="N87" s="182">
        <f>'PP-A13'!N87*1.03</f>
        <v>262.65000000000003</v>
      </c>
      <c r="O87" s="182">
        <f>'PP-A13'!O87*1.03</f>
        <v>267.8</v>
      </c>
      <c r="P87" s="182">
        <f>'PP-A13'!P87*1.03</f>
        <v>271.92</v>
      </c>
      <c r="Q87" s="185">
        <f>'PP-A13'!Q87*1.03</f>
        <v>276.04000000000002</v>
      </c>
      <c r="R87" s="299">
        <f t="shared" si="4"/>
        <v>1.9</v>
      </c>
      <c r="S87" s="300">
        <f t="shared" si="5"/>
        <v>1.8</v>
      </c>
    </row>
    <row r="88" spans="1:19" ht="15.75" customHeight="1">
      <c r="A88" s="16"/>
      <c r="B88" s="674" t="s">
        <v>318</v>
      </c>
      <c r="C88" s="675"/>
      <c r="D88" s="189">
        <f>'PP-A13'!D88*1.03</f>
        <v>6205.75</v>
      </c>
      <c r="E88" s="190">
        <f>'PP-A13'!E88*1.03</f>
        <v>6332.4400000000005</v>
      </c>
      <c r="F88" s="190">
        <f>'PP-A13'!F88*1.03</f>
        <v>6481.79</v>
      </c>
      <c r="G88" s="190">
        <f>'PP-A13'!G88*1.03</f>
        <v>6613.63</v>
      </c>
      <c r="H88" s="190">
        <f>'PP-A13'!H88*1.03</f>
        <v>6750.62</v>
      </c>
      <c r="I88" s="190">
        <f>'PP-A13'!I88*1.03</f>
        <v>6911.3</v>
      </c>
      <c r="J88" s="190">
        <f>'PP-A13'!J88*1.03</f>
        <v>7019.45</v>
      </c>
      <c r="K88" s="191">
        <f>'PP-A13'!K88*1.03</f>
        <v>7182.1900000000005</v>
      </c>
      <c r="L88" s="192">
        <f>'PP-A13'!L88*1.03</f>
        <v>7387.16</v>
      </c>
      <c r="M88" s="190">
        <f>'PP-A13'!M88*1.03</f>
        <v>7573.59</v>
      </c>
      <c r="N88" s="190">
        <f>'PP-A13'!N88*1.03</f>
        <v>7711.6100000000006</v>
      </c>
      <c r="O88" s="190">
        <f>'PP-A13'!O88*1.03</f>
        <v>7845.51</v>
      </c>
      <c r="P88" s="190">
        <f>'PP-A13'!P88*1.03</f>
        <v>7961.9000000000005</v>
      </c>
      <c r="Q88" s="193">
        <f>'PP-A13'!Q88*1.03</f>
        <v>8072.1100000000006</v>
      </c>
      <c r="R88" s="303">
        <f t="shared" si="4"/>
        <v>2.1</v>
      </c>
      <c r="S88" s="304">
        <f t="shared" si="5"/>
        <v>1.8</v>
      </c>
    </row>
    <row r="89" spans="1:19" ht="15" customHeight="1">
      <c r="A89" s="16"/>
      <c r="B89" s="672" t="s">
        <v>319</v>
      </c>
      <c r="C89" s="673"/>
      <c r="D89" s="181">
        <f>'PP-A13'!D89*1.03</f>
        <v>886.83</v>
      </c>
      <c r="E89" s="67">
        <f>'PP-A13'!E89*1.03</f>
        <v>905.37</v>
      </c>
      <c r="F89" s="67">
        <f>'PP-A13'!F89*1.03</f>
        <v>923.91</v>
      </c>
      <c r="G89" s="67">
        <f>'PP-A13'!G89*1.03</f>
        <v>942.45</v>
      </c>
      <c r="H89" s="67">
        <f>'PP-A13'!H89*1.03</f>
        <v>964.08</v>
      </c>
      <c r="I89" s="182">
        <f>'PP-A13'!I89*1.03</f>
        <v>988.80000000000007</v>
      </c>
      <c r="J89" s="182">
        <f>'PP-A13'!J89*1.03</f>
        <v>1009.4</v>
      </c>
      <c r="K89" s="183">
        <f>'PP-A13'!K89*1.03</f>
        <v>1030</v>
      </c>
      <c r="L89" s="184">
        <f>'PP-A13'!L89*1.03</f>
        <v>1052.6600000000001</v>
      </c>
      <c r="M89" s="182">
        <f>'PP-A13'!M89*1.03</f>
        <v>1079.44</v>
      </c>
      <c r="N89" s="182">
        <f>'PP-A13'!N89*1.03</f>
        <v>1109.31</v>
      </c>
      <c r="O89" s="182">
        <f>'PP-A13'!O89*1.03</f>
        <v>1141.24</v>
      </c>
      <c r="P89" s="182">
        <f>'PP-A13'!P89*1.03</f>
        <v>1175.23</v>
      </c>
      <c r="Q89" s="185">
        <f>'PP-A13'!Q89*1.03</f>
        <v>1210.25</v>
      </c>
      <c r="R89" s="299">
        <f t="shared" si="4"/>
        <v>2.2000000000000002</v>
      </c>
      <c r="S89" s="300">
        <f t="shared" si="5"/>
        <v>2.8</v>
      </c>
    </row>
    <row r="90" spans="1:19" ht="15" customHeight="1">
      <c r="A90" s="16"/>
      <c r="B90" s="668" t="s">
        <v>320</v>
      </c>
      <c r="C90" s="669"/>
      <c r="D90" s="181">
        <f>'PP-A13'!D90*1.03</f>
        <v>1410.07</v>
      </c>
      <c r="E90" s="67">
        <f>'PP-A13'!E90*1.03</f>
        <v>1434.79</v>
      </c>
      <c r="F90" s="67">
        <f>'PP-A13'!F90*1.03</f>
        <v>1473.93</v>
      </c>
      <c r="G90" s="67">
        <f>'PP-A13'!G90*1.03</f>
        <v>1545</v>
      </c>
      <c r="H90" s="67">
        <f>'PP-A13'!H90*1.03</f>
        <v>1533.67</v>
      </c>
      <c r="I90" s="182">
        <f>'PP-A13'!I90*1.03</f>
        <v>1429.64</v>
      </c>
      <c r="J90" s="182">
        <f>'PP-A13'!J90*1.03</f>
        <v>1369.9</v>
      </c>
      <c r="K90" s="183">
        <f>'PP-A13'!K90*1.03</f>
        <v>1385.3500000000001</v>
      </c>
      <c r="L90" s="184">
        <f>'PP-A13'!L90*1.03</f>
        <v>1404.92</v>
      </c>
      <c r="M90" s="182">
        <f>'PP-A13'!M90*1.03</f>
        <v>1437.88</v>
      </c>
      <c r="N90" s="182">
        <f>'PP-A13'!N90*1.03</f>
        <v>1470.8400000000001</v>
      </c>
      <c r="O90" s="182">
        <f>'PP-A13'!O90*1.03</f>
        <v>1503.8</v>
      </c>
      <c r="P90" s="182">
        <f>'PP-A13'!P90*1.03</f>
        <v>1536.76</v>
      </c>
      <c r="Q90" s="185">
        <f>'PP-A13'!Q90*1.03</f>
        <v>1570.75</v>
      </c>
      <c r="R90" s="299">
        <f t="shared" si="4"/>
        <v>-0.3</v>
      </c>
      <c r="S90" s="300">
        <f t="shared" si="5"/>
        <v>2.2999999999999998</v>
      </c>
    </row>
    <row r="91" spans="1:19" ht="15" customHeight="1">
      <c r="A91" s="16"/>
      <c r="B91" s="670" t="s">
        <v>321</v>
      </c>
      <c r="C91" s="671"/>
      <c r="D91" s="181">
        <f>'PP-A13'!D91*1.03</f>
        <v>1009.4</v>
      </c>
      <c r="E91" s="67">
        <f>'PP-A13'!E91*1.03</f>
        <v>1058.8399999999999</v>
      </c>
      <c r="F91" s="67">
        <f>'PP-A13'!F91*1.03</f>
        <v>1141.24</v>
      </c>
      <c r="G91" s="67">
        <f>'PP-A13'!G91*1.03</f>
        <v>1231.8800000000001</v>
      </c>
      <c r="H91" s="67">
        <f>'PP-A13'!H91*1.03</f>
        <v>1248.3600000000001</v>
      </c>
      <c r="I91" s="182">
        <f>'PP-A13'!I91*1.03</f>
        <v>1245.27</v>
      </c>
      <c r="J91" s="182">
        <f>'PP-A13'!J91*1.03</f>
        <v>1238.06</v>
      </c>
      <c r="K91" s="183">
        <f>'PP-A13'!K91*1.03</f>
        <v>1267.93</v>
      </c>
      <c r="L91" s="184">
        <f>'PP-A13'!L91*1.03</f>
        <v>1297.8</v>
      </c>
      <c r="M91" s="182">
        <f>'PP-A13'!M91*1.03</f>
        <v>1326.64</v>
      </c>
      <c r="N91" s="182">
        <f>'PP-A13'!N91*1.03</f>
        <v>1361.66</v>
      </c>
      <c r="O91" s="182">
        <f>'PP-A13'!O91*1.03</f>
        <v>1398.74</v>
      </c>
      <c r="P91" s="182">
        <f>'PP-A13'!P91*1.03</f>
        <v>1437.88</v>
      </c>
      <c r="Q91" s="185">
        <f>'PP-A13'!Q91*1.03</f>
        <v>1479.08</v>
      </c>
      <c r="R91" s="299">
        <f t="shared" si="4"/>
        <v>3.3</v>
      </c>
      <c r="S91" s="300">
        <f t="shared" si="5"/>
        <v>2.6</v>
      </c>
    </row>
    <row r="92" spans="1:19" ht="15.75" customHeight="1" thickBot="1">
      <c r="A92" s="16"/>
      <c r="B92" s="678" t="s">
        <v>322</v>
      </c>
      <c r="C92" s="679"/>
      <c r="D92" s="199">
        <f>'PP-A13'!D92*1.03</f>
        <v>3306.3</v>
      </c>
      <c r="E92" s="200">
        <f>'PP-A13'!E92*1.03</f>
        <v>3399</v>
      </c>
      <c r="F92" s="200">
        <f>'PP-A13'!F92*1.03</f>
        <v>3539.08</v>
      </c>
      <c r="G92" s="200">
        <f>'PP-A13'!G92*1.03</f>
        <v>3719.33</v>
      </c>
      <c r="H92" s="200">
        <f>'PP-A13'!H92*1.03</f>
        <v>3746.11</v>
      </c>
      <c r="I92" s="200">
        <f>'PP-A13'!I92*1.03</f>
        <v>3663.71</v>
      </c>
      <c r="J92" s="200">
        <f>'PP-A13'!J92*1.03</f>
        <v>3617.36</v>
      </c>
      <c r="K92" s="201">
        <f>'PP-A13'!K92*1.03</f>
        <v>3683.28</v>
      </c>
      <c r="L92" s="202">
        <f>'PP-A13'!L92*1.03</f>
        <v>3755.38</v>
      </c>
      <c r="M92" s="200">
        <f>'PP-A13'!M92*1.03</f>
        <v>3843.96</v>
      </c>
      <c r="N92" s="200">
        <f>'PP-A13'!N92*1.03</f>
        <v>3941.81</v>
      </c>
      <c r="O92" s="200">
        <f>'PP-A13'!O92*1.03</f>
        <v>4043.78</v>
      </c>
      <c r="P92" s="200">
        <f>'PP-A13'!P92*1.03</f>
        <v>4149.87</v>
      </c>
      <c r="Q92" s="203">
        <f>'PP-A13'!Q92*1.03</f>
        <v>4260.08</v>
      </c>
      <c r="R92" s="306">
        <f t="shared" si="4"/>
        <v>1.6</v>
      </c>
      <c r="S92" s="307">
        <f t="shared" si="5"/>
        <v>2.6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6">D92+D88+D85+D84+D82+D80+D78+D77</f>
        <v>51103.103651584519</v>
      </c>
      <c r="E93" s="205">
        <f t="shared" si="6"/>
        <v>52784.696274776739</v>
      </c>
      <c r="F93" s="205">
        <f t="shared" si="6"/>
        <v>52706.355104440001</v>
      </c>
      <c r="G93" s="205">
        <f t="shared" si="6"/>
        <v>55610.738696108725</v>
      </c>
      <c r="H93" s="205">
        <f t="shared" si="6"/>
        <v>58970.14109372587</v>
      </c>
      <c r="I93" s="205">
        <f t="shared" si="6"/>
        <v>62282.666845350788</v>
      </c>
      <c r="J93" s="205">
        <f t="shared" si="6"/>
        <v>65569.067528725194</v>
      </c>
      <c r="K93" s="206">
        <f t="shared" si="6"/>
        <v>69006.261911375012</v>
      </c>
      <c r="L93" s="207">
        <f t="shared" si="6"/>
        <v>71688.805941403349</v>
      </c>
      <c r="M93" s="205">
        <f t="shared" si="6"/>
        <v>75162.082974008881</v>
      </c>
      <c r="N93" s="205">
        <f t="shared" si="6"/>
        <v>78156.99868846804</v>
      </c>
      <c r="O93" s="205">
        <f t="shared" si="6"/>
        <v>80983.671694083998</v>
      </c>
      <c r="P93" s="205">
        <f t="shared" si="6"/>
        <v>83697.5638806973</v>
      </c>
      <c r="Q93" s="208">
        <f t="shared" si="6"/>
        <v>86194.840566554369</v>
      </c>
      <c r="R93" s="308">
        <f t="shared" si="4"/>
        <v>4.4000000000000004</v>
      </c>
      <c r="S93" s="309">
        <f t="shared" si="5"/>
        <v>3.8</v>
      </c>
    </row>
    <row r="94" spans="1:19" ht="9" customHeight="1">
      <c r="R94" s="26"/>
      <c r="S94" s="26"/>
    </row>
    <row r="95" spans="1:19" ht="13.5" customHeight="1">
      <c r="C95" t="s">
        <v>330</v>
      </c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26"/>
      <c r="S99" s="26"/>
    </row>
    <row r="100" spans="3:19"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65" priority="5">
      <formula>CELL("protect",C97)=0</formula>
    </cfRule>
    <cfRule type="expression" dxfId="64" priority="6">
      <formula>CELL("protect",C97)=0</formula>
    </cfRule>
  </conditionalFormatting>
  <conditionalFormatting sqref="C95">
    <cfRule type="expression" dxfId="63" priority="3">
      <formula>CELL("protect",C95)=0</formula>
    </cfRule>
    <cfRule type="expression" dxfId="62" priority="4">
      <formula>CELL("protect",C95)=0</formula>
    </cfRule>
  </conditionalFormatting>
  <conditionalFormatting sqref="C97">
    <cfRule type="expression" dxfId="61" priority="1">
      <formula>CELL("protect",C97)=0</formula>
    </cfRule>
    <cfRule type="expression" dxfId="60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0" firstPageNumber="139" orientation="portrait" useFirstPageNumber="1" r:id="rId1"/>
  <headerFooter scaleWithDoc="0" alignWithMargins="0">
    <oddFooter>&amp;C192</oddFooter>
  </headerFooter>
  <ignoredErrors>
    <ignoredError sqref="D65:Q78 D7:Q17 D55:Q63 D84:Q92 D81:Q82 D79:Q80 D83:Q83 E26:Q34 D26:D34 D36:D49 D23:Q24 D18:Q20 D52:Q53 E36:Q49 D21:Q22 D50:Q51 D54:Q54 D25:Q25 D35:Q35" unlockedFormula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>
    <tabColor rgb="FFFFC000"/>
    <pageSetUpPr fitToPage="1"/>
  </sheetPr>
  <dimension ref="A1:S153"/>
  <sheetViews>
    <sheetView showGridLines="0" view="pageBreakPreview" zoomScaleNormal="75" zoomScaleSheetLayoutView="100" workbookViewId="0">
      <selection activeCell="T7" sqref="T7"/>
    </sheetView>
  </sheetViews>
  <sheetFormatPr defaultColWidth="9" defaultRowHeight="13.5"/>
  <cols>
    <col min="1" max="1" width="14.5" customWidth="1"/>
    <col min="2" max="2" width="3.625" customWidth="1"/>
    <col min="3" max="3" width="33.125" customWidth="1"/>
    <col min="4" max="17" width="8.125" customWidth="1"/>
    <col min="18" max="19" width="12.875" customWidth="1"/>
  </cols>
  <sheetData>
    <row r="1" spans="1:19" ht="13.5" customHeight="1">
      <c r="R1" s="26"/>
      <c r="S1" s="26"/>
    </row>
    <row r="2" spans="1:19" s="2" customFormat="1" ht="17.25">
      <c r="G2" s="398" t="s">
        <v>28</v>
      </c>
      <c r="H2" s="397" t="s">
        <v>27</v>
      </c>
      <c r="R2" s="3"/>
      <c r="S2" s="3"/>
    </row>
    <row r="3" spans="1:19" ht="27.6" customHeight="1" thickBot="1">
      <c r="H3" s="624" t="s">
        <v>346</v>
      </c>
      <c r="R3" s="686" t="s">
        <v>297</v>
      </c>
      <c r="S3" s="686"/>
    </row>
    <row r="4" spans="1:19" s="4" customFormat="1" ht="30.6" customHeight="1">
      <c r="A4" s="5"/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  <c r="R4" s="690" t="s">
        <v>341</v>
      </c>
      <c r="S4" s="691"/>
    </row>
    <row r="5" spans="1:19" s="4" customFormat="1" ht="15" customHeight="1">
      <c r="A5" s="611" t="s">
        <v>301</v>
      </c>
      <c r="B5" s="6"/>
      <c r="C5" s="90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  <c r="R5" s="680" t="s">
        <v>222</v>
      </c>
      <c r="S5" s="682" t="s">
        <v>223</v>
      </c>
    </row>
    <row r="6" spans="1:19" s="4" customFormat="1" ht="15" customHeight="1" thickBot="1">
      <c r="A6" s="612" t="s">
        <v>302</v>
      </c>
      <c r="B6" s="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  <c r="R6" s="681"/>
      <c r="S6" s="683"/>
    </row>
    <row r="7" spans="1:19" ht="15" customHeight="1">
      <c r="A7" s="613" t="s">
        <v>304</v>
      </c>
      <c r="B7" s="644" t="s">
        <v>433</v>
      </c>
      <c r="C7" s="645"/>
      <c r="D7" s="175">
        <f>'AN-A14'!D7*1.09</f>
        <v>621.30000000000007</v>
      </c>
      <c r="E7" s="176">
        <f>'AN-A14'!E7*1.09</f>
        <v>621.30000000000007</v>
      </c>
      <c r="F7" s="176">
        <f>'AN-A14'!F7*1.09</f>
        <v>659.45</v>
      </c>
      <c r="G7" s="176">
        <f>'AN-A14'!G7*1.09</f>
        <v>926.50000000000011</v>
      </c>
      <c r="H7" s="177">
        <f>'AN-A14'!H7*1.09</f>
        <v>926.50000000000011</v>
      </c>
      <c r="I7" s="177">
        <f>'AN-A14'!I7*1.09</f>
        <v>926.50000000000011</v>
      </c>
      <c r="J7" s="177">
        <f>'AN-A14'!J7*1.09</f>
        <v>926.50000000000011</v>
      </c>
      <c r="K7" s="178">
        <f>'AN-A14'!K7*1.09</f>
        <v>926.50000000000011</v>
      </c>
      <c r="L7" s="179">
        <f>'AN-A14'!L7*1.09</f>
        <v>926.50000000000011</v>
      </c>
      <c r="M7" s="177">
        <f>'AN-A14'!M7*1.09</f>
        <v>926.50000000000011</v>
      </c>
      <c r="N7" s="177">
        <f>'AN-A14'!N7*1.09</f>
        <v>981.00000000000011</v>
      </c>
      <c r="O7" s="177">
        <f>'AN-A14'!O7*1.09</f>
        <v>981.00000000000011</v>
      </c>
      <c r="P7" s="177">
        <f>'AN-A14'!P7*1.09</f>
        <v>981.00000000000011</v>
      </c>
      <c r="Q7" s="180">
        <f>'AN-A14'!Q7*1.09</f>
        <v>981.00000000000011</v>
      </c>
      <c r="R7" s="276">
        <f>IF(D7=0,"     -",IF(K7=0,"     -",ROUND(((K7/D7)^(1/7)-1)*100,1)))</f>
        <v>5.9</v>
      </c>
      <c r="S7" s="298">
        <f>IF(L7=0,"     -",IF(Q7=0,"     -",ROUND(((Q7/L7)^(1/5)-1)*100,1)))</f>
        <v>1.1000000000000001</v>
      </c>
    </row>
    <row r="8" spans="1:19" ht="15" customHeight="1">
      <c r="A8" s="614" t="s">
        <v>305</v>
      </c>
      <c r="B8" s="605" t="s">
        <v>434</v>
      </c>
      <c r="C8" s="606"/>
      <c r="D8" s="181">
        <f>'AN-A14'!D8*1.09</f>
        <v>512.30000000000007</v>
      </c>
      <c r="E8" s="67">
        <f>'AN-A14'!E8*1.09</f>
        <v>566.80000000000007</v>
      </c>
      <c r="F8" s="67">
        <f>'AN-A14'!F8*1.09</f>
        <v>566.80000000000007</v>
      </c>
      <c r="G8" s="67">
        <f>'AN-A14'!G8*1.09</f>
        <v>566.80000000000007</v>
      </c>
      <c r="H8" s="182">
        <f>'AN-A14'!H8*1.09</f>
        <v>566.80000000000007</v>
      </c>
      <c r="I8" s="182">
        <f>'AN-A14'!I8*1.09</f>
        <v>566.80000000000007</v>
      </c>
      <c r="J8" s="182">
        <f>'AN-A14'!J8*1.09</f>
        <v>566.80000000000007</v>
      </c>
      <c r="K8" s="183">
        <f>'AN-A14'!K8*1.09</f>
        <v>566.80000000000007</v>
      </c>
      <c r="L8" s="184">
        <f>'AN-A14'!L8*1.09</f>
        <v>566.80000000000007</v>
      </c>
      <c r="M8" s="182">
        <f>'AN-A14'!M8*1.09</f>
        <v>566.80000000000007</v>
      </c>
      <c r="N8" s="182">
        <f>'AN-A14'!N8*1.09</f>
        <v>566.80000000000007</v>
      </c>
      <c r="O8" s="182">
        <f>'AN-A14'!O8*1.09</f>
        <v>566.80000000000007</v>
      </c>
      <c r="P8" s="182">
        <f>'AN-A14'!P8*1.09</f>
        <v>566.80000000000007</v>
      </c>
      <c r="Q8" s="185">
        <f>'AN-A14'!Q8*1.09</f>
        <v>566.80000000000007</v>
      </c>
      <c r="R8" s="299">
        <f t="shared" ref="R8:R71" si="0">IF(D8=0,"     -",IF(K8=0,"     -",ROUND(((K8/D8)^(1/7)-1)*100,1)))</f>
        <v>1.5</v>
      </c>
      <c r="S8" s="300">
        <f t="shared" ref="S8:S71" si="1">IF(L8=0,"     -",IF(Q8=0,"     -",ROUND(((Q8/L8)^(1/5)-1)*100,1)))</f>
        <v>0</v>
      </c>
    </row>
    <row r="9" spans="1:19" ht="15" customHeight="1">
      <c r="A9" s="16"/>
      <c r="B9" s="605" t="s">
        <v>435</v>
      </c>
      <c r="C9" s="606"/>
      <c r="D9" s="181">
        <f>'AN-A14'!D9*1.09</f>
        <v>0</v>
      </c>
      <c r="E9" s="67">
        <f>'AN-A14'!E9*1.09</f>
        <v>0</v>
      </c>
      <c r="F9" s="67">
        <f>'AN-A14'!F9*1.09</f>
        <v>0</v>
      </c>
      <c r="G9" s="67">
        <f>'AN-A14'!G9*1.09</f>
        <v>0</v>
      </c>
      <c r="H9" s="67">
        <f>'AN-A14'!H9*1.09</f>
        <v>0</v>
      </c>
      <c r="I9" s="62">
        <f>'AN-A14'!I9*1.09</f>
        <v>0</v>
      </c>
      <c r="J9" s="62">
        <f>'AN-A14'!J9*1.09</f>
        <v>0</v>
      </c>
      <c r="K9" s="63">
        <f>'AN-A14'!K9*1.09</f>
        <v>0</v>
      </c>
      <c r="L9" s="64">
        <f>'AN-A14'!L9*1.09</f>
        <v>0</v>
      </c>
      <c r="M9" s="62">
        <f>'AN-A14'!M9*1.09</f>
        <v>0</v>
      </c>
      <c r="N9" s="62">
        <f>'AN-A14'!N9*1.09</f>
        <v>0</v>
      </c>
      <c r="O9" s="62">
        <f>'AN-A14'!O9*1.09</f>
        <v>0</v>
      </c>
      <c r="P9" s="62">
        <f>'AN-A14'!P9*1.09</f>
        <v>0</v>
      </c>
      <c r="Q9" s="65">
        <f>'AN-A14'!Q9*1.09</f>
        <v>0</v>
      </c>
      <c r="R9" s="301" t="str">
        <f t="shared" si="0"/>
        <v xml:space="preserve">     -</v>
      </c>
      <c r="S9" s="300" t="str">
        <f t="shared" si="1"/>
        <v xml:space="preserve">     -</v>
      </c>
    </row>
    <row r="10" spans="1:19" ht="15" customHeight="1">
      <c r="A10" s="16"/>
      <c r="B10" s="605" t="s">
        <v>436</v>
      </c>
      <c r="C10" s="606"/>
      <c r="D10" s="181">
        <f>'AN-A14'!D10*1.09</f>
        <v>1125.97</v>
      </c>
      <c r="E10" s="67">
        <f>'AN-A14'!E10*1.09</f>
        <v>1234.97</v>
      </c>
      <c r="F10" s="67">
        <f>'AN-A14'!F10*1.09</f>
        <v>1256.77</v>
      </c>
      <c r="G10" s="67">
        <f>'AN-A14'!G10*1.09</f>
        <v>1425.72</v>
      </c>
      <c r="H10" s="67">
        <f>'AN-A14'!H10*1.09</f>
        <v>1523.8200000000002</v>
      </c>
      <c r="I10" s="182">
        <f>'AN-A14'!I10*1.09</f>
        <v>1890.0600000000002</v>
      </c>
      <c r="J10" s="182">
        <f>'AN-A14'!J10*1.09</f>
        <v>2195.2600000000002</v>
      </c>
      <c r="K10" s="183">
        <f>'AN-A14'!K10*1.09</f>
        <v>2071</v>
      </c>
      <c r="L10" s="184">
        <f>'AN-A14'!L10*1.09</f>
        <v>2077.54</v>
      </c>
      <c r="M10" s="182">
        <f>'AN-A14'!M10*1.09</f>
        <v>2546.2400000000002</v>
      </c>
      <c r="N10" s="182">
        <f>'AN-A14'!N10*1.09</f>
        <v>3200.2400000000002</v>
      </c>
      <c r="O10" s="182">
        <f>'AN-A14'!O10*1.09</f>
        <v>3309.2400000000002</v>
      </c>
      <c r="P10" s="182">
        <f>'AN-A14'!P10*1.09</f>
        <v>3614.44</v>
      </c>
      <c r="Q10" s="185">
        <f>'AN-A14'!Q10*1.09</f>
        <v>3919.6400000000003</v>
      </c>
      <c r="R10" s="299">
        <f t="shared" si="0"/>
        <v>9.1</v>
      </c>
      <c r="S10" s="300">
        <f t="shared" si="1"/>
        <v>13.5</v>
      </c>
    </row>
    <row r="11" spans="1:19" ht="15" customHeight="1">
      <c r="A11" s="16"/>
      <c r="B11" s="605" t="s">
        <v>437</v>
      </c>
      <c r="C11" s="606"/>
      <c r="D11" s="181">
        <f>'AN-A14'!D11*1.09</f>
        <v>218.00000000000003</v>
      </c>
      <c r="E11" s="67">
        <f>'AN-A14'!E11*1.09</f>
        <v>218.00000000000003</v>
      </c>
      <c r="F11" s="67">
        <f>'AN-A14'!F11*1.09</f>
        <v>218.00000000000003</v>
      </c>
      <c r="G11" s="67">
        <f>'AN-A14'!G11*1.09</f>
        <v>218.00000000000003</v>
      </c>
      <c r="H11" s="67">
        <f>'AN-A14'!H11*1.09</f>
        <v>218.00000000000003</v>
      </c>
      <c r="I11" s="67">
        <f>'AN-A14'!I11*1.09</f>
        <v>218.00000000000003</v>
      </c>
      <c r="J11" s="67">
        <f>'AN-A14'!J11*1.09</f>
        <v>218.00000000000003</v>
      </c>
      <c r="K11" s="186">
        <f>'AN-A14'!K11*1.09</f>
        <v>218.00000000000003</v>
      </c>
      <c r="L11" s="187">
        <f>'AN-A14'!L11*1.09</f>
        <v>218.00000000000003</v>
      </c>
      <c r="M11" s="67">
        <f>'AN-A14'!M11*1.09</f>
        <v>218.00000000000003</v>
      </c>
      <c r="N11" s="67">
        <f>'AN-A14'!N11*1.09</f>
        <v>218.00000000000003</v>
      </c>
      <c r="O11" s="67">
        <f>'AN-A14'!O11*1.09</f>
        <v>218.00000000000003</v>
      </c>
      <c r="P11" s="67">
        <f>'AN-A14'!P11*1.09</f>
        <v>218.00000000000003</v>
      </c>
      <c r="Q11" s="68">
        <f>'AN-A14'!Q11*1.09</f>
        <v>218.00000000000003</v>
      </c>
      <c r="R11" s="302">
        <f t="shared" si="0"/>
        <v>0</v>
      </c>
      <c r="S11" s="300">
        <f t="shared" si="1"/>
        <v>0</v>
      </c>
    </row>
    <row r="12" spans="1:19" ht="15" customHeight="1">
      <c r="A12" s="16"/>
      <c r="B12" s="605" t="s">
        <v>438</v>
      </c>
      <c r="C12" s="606"/>
      <c r="D12" s="181">
        <f>'AN-A14'!D12*1.09</f>
        <v>0</v>
      </c>
      <c r="E12" s="67">
        <f>'AN-A14'!E12*1.09</f>
        <v>0</v>
      </c>
      <c r="F12" s="67">
        <f>'AN-A14'!F12*1.09</f>
        <v>0</v>
      </c>
      <c r="G12" s="67">
        <f>'AN-A14'!G12*1.09</f>
        <v>0</v>
      </c>
      <c r="H12" s="67">
        <f>'AN-A14'!H12*1.09</f>
        <v>0</v>
      </c>
      <c r="I12" s="67">
        <f>'AN-A14'!I12*1.09</f>
        <v>0</v>
      </c>
      <c r="J12" s="67">
        <f>'AN-A14'!J12*1.09</f>
        <v>0</v>
      </c>
      <c r="K12" s="186">
        <f>'AN-A14'!K12*1.09</f>
        <v>0</v>
      </c>
      <c r="L12" s="187">
        <f>'AN-A14'!L12*1.09</f>
        <v>0</v>
      </c>
      <c r="M12" s="67">
        <f>'AN-A14'!M12*1.09</f>
        <v>0</v>
      </c>
      <c r="N12" s="67">
        <f>'AN-A14'!N12*1.09</f>
        <v>0</v>
      </c>
      <c r="O12" s="67">
        <f>'AN-A14'!O12*1.09</f>
        <v>0</v>
      </c>
      <c r="P12" s="67">
        <f>'AN-A14'!P12*1.09</f>
        <v>0</v>
      </c>
      <c r="Q12" s="68">
        <f>'AN-A14'!Q12*1.09</f>
        <v>0</v>
      </c>
      <c r="R12" s="302" t="str">
        <f t="shared" si="0"/>
        <v xml:space="preserve">     -</v>
      </c>
      <c r="S12" s="300" t="str">
        <f t="shared" si="1"/>
        <v xml:space="preserve">     -</v>
      </c>
    </row>
    <row r="13" spans="1:19" ht="15" customHeight="1">
      <c r="A13" s="16"/>
      <c r="B13" s="605" t="s">
        <v>439</v>
      </c>
      <c r="C13" s="606"/>
      <c r="D13" s="181">
        <f>'AN-A14'!D13*1.09</f>
        <v>41.42</v>
      </c>
      <c r="E13" s="67">
        <f>'AN-A14'!E13*1.09</f>
        <v>41.42</v>
      </c>
      <c r="F13" s="67">
        <f>'AN-A14'!F13*1.09</f>
        <v>41.42</v>
      </c>
      <c r="G13" s="67">
        <f>'AN-A14'!G13*1.09</f>
        <v>43.6</v>
      </c>
      <c r="H13" s="67">
        <f>'AN-A14'!H13*1.09</f>
        <v>43.6</v>
      </c>
      <c r="I13" s="67">
        <f>'AN-A14'!I13*1.09</f>
        <v>43.6</v>
      </c>
      <c r="J13" s="182">
        <f>'AN-A14'!J13*1.09</f>
        <v>43.6</v>
      </c>
      <c r="K13" s="183">
        <f>'AN-A14'!K13*1.09</f>
        <v>43.6</v>
      </c>
      <c r="L13" s="184">
        <f>'AN-A14'!L13*1.09</f>
        <v>43.6</v>
      </c>
      <c r="M13" s="182">
        <f>'AN-A14'!M13*1.09</f>
        <v>43.6</v>
      </c>
      <c r="N13" s="182">
        <f>'AN-A14'!N13*1.09</f>
        <v>43.6</v>
      </c>
      <c r="O13" s="182">
        <f>'AN-A14'!O13*1.09</f>
        <v>43.6</v>
      </c>
      <c r="P13" s="182">
        <f>'AN-A14'!P13*1.09</f>
        <v>43.6</v>
      </c>
      <c r="Q13" s="185">
        <f>'AN-A14'!Q13*1.09</f>
        <v>43.6</v>
      </c>
      <c r="R13" s="302">
        <f t="shared" si="0"/>
        <v>0.7</v>
      </c>
      <c r="S13" s="300">
        <f t="shared" si="1"/>
        <v>0</v>
      </c>
    </row>
    <row r="14" spans="1:19" ht="15.75" hidden="1" customHeight="1">
      <c r="A14" s="16"/>
      <c r="B14" s="16"/>
      <c r="C14" s="90" t="s">
        <v>306</v>
      </c>
      <c r="D14" s="181">
        <f>'AN-A14'!D14*1.09</f>
        <v>0</v>
      </c>
      <c r="E14" s="67">
        <f>'AN-A14'!E14*1.09</f>
        <v>0</v>
      </c>
      <c r="F14" s="67">
        <f>'AN-A14'!F14*1.09</f>
        <v>0</v>
      </c>
      <c r="G14" s="67">
        <f>'AN-A14'!G14*1.09</f>
        <v>0</v>
      </c>
      <c r="H14" s="67">
        <f>'AN-A14'!H14*1.09</f>
        <v>0</v>
      </c>
      <c r="I14" s="67">
        <f>'AN-A14'!I14*1.09</f>
        <v>0</v>
      </c>
      <c r="J14" s="67">
        <f>'AN-A14'!J14*1.09</f>
        <v>0</v>
      </c>
      <c r="K14" s="186">
        <f>'AN-A14'!K14*1.09</f>
        <v>0</v>
      </c>
      <c r="L14" s="187">
        <f>'AN-A14'!L14*1.09</f>
        <v>0</v>
      </c>
      <c r="M14" s="67">
        <f>'AN-A14'!M14*1.09</f>
        <v>0</v>
      </c>
      <c r="N14" s="67">
        <f>'AN-A14'!N14*1.09</f>
        <v>0</v>
      </c>
      <c r="O14" s="67">
        <f>'AN-A14'!O14*1.09</f>
        <v>0</v>
      </c>
      <c r="P14" s="67">
        <f>'AN-A14'!P14*1.09</f>
        <v>0</v>
      </c>
      <c r="Q14" s="68">
        <f>'AN-A14'!Q14*1.09</f>
        <v>0</v>
      </c>
      <c r="R14" s="302" t="str">
        <f t="shared" si="0"/>
        <v xml:space="preserve">     -</v>
      </c>
      <c r="S14" s="300" t="str">
        <f t="shared" si="1"/>
        <v xml:space="preserve">     -</v>
      </c>
    </row>
    <row r="15" spans="1:19" ht="15" customHeight="1">
      <c r="A15" s="16"/>
      <c r="B15" s="605" t="s">
        <v>440</v>
      </c>
      <c r="C15" s="606"/>
      <c r="D15" s="181">
        <f>'AN-A14'!D15*1.09</f>
        <v>0</v>
      </c>
      <c r="E15" s="67">
        <f>'AN-A14'!E15*1.09</f>
        <v>0</v>
      </c>
      <c r="F15" s="67">
        <f>'AN-A14'!F15*1.09</f>
        <v>0</v>
      </c>
      <c r="G15" s="67">
        <f>'AN-A14'!G15*1.09</f>
        <v>0</v>
      </c>
      <c r="H15" s="67">
        <f>'AN-A14'!H15*1.09</f>
        <v>0</v>
      </c>
      <c r="I15" s="67">
        <f>'AN-A14'!I15*1.09</f>
        <v>0</v>
      </c>
      <c r="J15" s="67">
        <f>'AN-A14'!J15*1.09</f>
        <v>0</v>
      </c>
      <c r="K15" s="186">
        <f>'AN-A14'!K15*1.09</f>
        <v>0</v>
      </c>
      <c r="L15" s="187">
        <f>'AN-A14'!L15*1.09</f>
        <v>0</v>
      </c>
      <c r="M15" s="67">
        <f>'AN-A14'!M15*1.09</f>
        <v>0</v>
      </c>
      <c r="N15" s="67">
        <f>'AN-A14'!N15*1.09</f>
        <v>0</v>
      </c>
      <c r="O15" s="67">
        <f>'AN-A14'!O15*1.09</f>
        <v>0</v>
      </c>
      <c r="P15" s="67">
        <f>'AN-A14'!P15*1.09</f>
        <v>0</v>
      </c>
      <c r="Q15" s="68">
        <f>'AN-A14'!Q15*1.09</f>
        <v>0</v>
      </c>
      <c r="R15" s="302" t="str">
        <f t="shared" si="0"/>
        <v xml:space="preserve">     -</v>
      </c>
      <c r="S15" s="300" t="str">
        <f t="shared" si="1"/>
        <v xml:space="preserve">     -</v>
      </c>
    </row>
    <row r="16" spans="1:19" ht="15" customHeight="1">
      <c r="A16" s="16"/>
      <c r="B16" s="605" t="s">
        <v>441</v>
      </c>
      <c r="C16" s="606"/>
      <c r="D16" s="181">
        <f>'AN-A14'!D16*1.09</f>
        <v>0</v>
      </c>
      <c r="E16" s="67">
        <f>'AN-A14'!E16*1.09</f>
        <v>0</v>
      </c>
      <c r="F16" s="67">
        <f>'AN-A14'!F16*1.09</f>
        <v>0</v>
      </c>
      <c r="G16" s="67">
        <f>'AN-A14'!G16*1.09</f>
        <v>0</v>
      </c>
      <c r="H16" s="67">
        <f>'AN-A14'!H16*1.09</f>
        <v>0</v>
      </c>
      <c r="I16" s="67">
        <f>'AN-A14'!I16*1.09</f>
        <v>0</v>
      </c>
      <c r="J16" s="67">
        <f>'AN-A14'!J16*1.09</f>
        <v>0</v>
      </c>
      <c r="K16" s="186">
        <f>'AN-A14'!K16*1.09</f>
        <v>0</v>
      </c>
      <c r="L16" s="187">
        <f>'AN-A14'!L16*1.09</f>
        <v>0</v>
      </c>
      <c r="M16" s="67">
        <f>'AN-A14'!M16*1.09</f>
        <v>0</v>
      </c>
      <c r="N16" s="67">
        <f>'AN-A14'!N16*1.09</f>
        <v>0</v>
      </c>
      <c r="O16" s="67">
        <f>'AN-A14'!O16*1.09</f>
        <v>0</v>
      </c>
      <c r="P16" s="67">
        <f>'AN-A14'!P16*1.09</f>
        <v>0</v>
      </c>
      <c r="Q16" s="68">
        <f>'AN-A14'!Q16*1.09</f>
        <v>0</v>
      </c>
      <c r="R16" s="302" t="str">
        <f t="shared" si="0"/>
        <v xml:space="preserve">     -</v>
      </c>
      <c r="S16" s="300" t="str">
        <f t="shared" si="1"/>
        <v xml:space="preserve">     -</v>
      </c>
    </row>
    <row r="17" spans="1:19" ht="15" customHeight="1">
      <c r="A17" s="16"/>
      <c r="B17" s="605" t="s">
        <v>442</v>
      </c>
      <c r="C17" s="606"/>
      <c r="D17" s="181">
        <f>'AN-A14'!D17*1.09</f>
        <v>0</v>
      </c>
      <c r="E17" s="67">
        <f>'AN-A14'!E17*1.09</f>
        <v>0</v>
      </c>
      <c r="F17" s="67">
        <f>'AN-A14'!F17*1.09</f>
        <v>0</v>
      </c>
      <c r="G17" s="67">
        <f>'AN-A14'!G17*1.09</f>
        <v>0</v>
      </c>
      <c r="H17" s="67">
        <f>'AN-A14'!H17*1.09</f>
        <v>0</v>
      </c>
      <c r="I17" s="67">
        <f>'AN-A14'!I17*1.09</f>
        <v>0</v>
      </c>
      <c r="J17" s="67">
        <f>'AN-A14'!J17*1.09</f>
        <v>0</v>
      </c>
      <c r="K17" s="186">
        <f>'AN-A14'!K17*1.09</f>
        <v>0</v>
      </c>
      <c r="L17" s="187">
        <f>'AN-A14'!L17*1.09</f>
        <v>0</v>
      </c>
      <c r="M17" s="67">
        <f>'AN-A14'!M17*1.09</f>
        <v>0</v>
      </c>
      <c r="N17" s="67">
        <f>'AN-A14'!N17*1.09</f>
        <v>0</v>
      </c>
      <c r="O17" s="67">
        <f>'AN-A14'!O17*1.09</f>
        <v>0</v>
      </c>
      <c r="P17" s="67">
        <f>'AN-A14'!P17*1.09</f>
        <v>0</v>
      </c>
      <c r="Q17" s="68">
        <f>'AN-A14'!Q17*1.09</f>
        <v>0</v>
      </c>
      <c r="R17" s="302" t="str">
        <f t="shared" si="0"/>
        <v xml:space="preserve">     -</v>
      </c>
      <c r="S17" s="300" t="str">
        <f t="shared" si="1"/>
        <v xml:space="preserve">     -</v>
      </c>
    </row>
    <row r="18" spans="1:19" ht="15" customHeight="1">
      <c r="A18" s="16"/>
      <c r="B18" s="607" t="s">
        <v>443</v>
      </c>
      <c r="C18" s="608"/>
      <c r="D18" s="188">
        <f>'AN-A14'!D18*1.09</f>
        <v>786.98</v>
      </c>
      <c r="E18" s="182">
        <f>'AN-A14'!E18*1.09</f>
        <v>791.34</v>
      </c>
      <c r="F18" s="182">
        <f>'AN-A14'!F18*1.09</f>
        <v>788.07</v>
      </c>
      <c r="G18" s="182">
        <f>'AN-A14'!G18*1.09</f>
        <v>789.16000000000008</v>
      </c>
      <c r="H18" s="182">
        <f>'AN-A14'!H18*1.09</f>
        <v>540.64</v>
      </c>
      <c r="I18" s="182">
        <f>'AN-A14'!I18*1.09</f>
        <v>540.64</v>
      </c>
      <c r="J18" s="182">
        <f>'AN-A14'!J18*1.09</f>
        <v>540.64</v>
      </c>
      <c r="K18" s="183">
        <f>'AN-A14'!K18*1.09</f>
        <v>542.82000000000005</v>
      </c>
      <c r="L18" s="184">
        <f>'AN-A14'!L18*1.09</f>
        <v>550.45000000000005</v>
      </c>
      <c r="M18" s="182">
        <f>'AN-A14'!M18*1.09</f>
        <v>550.45000000000005</v>
      </c>
      <c r="N18" s="182">
        <f>'AN-A14'!N18*1.09</f>
        <v>550.45000000000005</v>
      </c>
      <c r="O18" s="182">
        <f>'AN-A14'!O18*1.09</f>
        <v>550.45000000000005</v>
      </c>
      <c r="P18" s="182">
        <f>'AN-A14'!P18*1.09</f>
        <v>550.45000000000005</v>
      </c>
      <c r="Q18" s="185">
        <f>'AN-A14'!Q18*1.09</f>
        <v>550.45000000000005</v>
      </c>
      <c r="R18" s="299">
        <f t="shared" si="0"/>
        <v>-5.2</v>
      </c>
      <c r="S18" s="300">
        <f t="shared" si="1"/>
        <v>0</v>
      </c>
    </row>
    <row r="19" spans="1:19" ht="15.75" customHeight="1">
      <c r="A19" s="16"/>
      <c r="B19" s="674" t="s">
        <v>307</v>
      </c>
      <c r="C19" s="675"/>
      <c r="D19" s="189">
        <f>'AN-A14'!D19*1.09</f>
        <v>3305.9700000000003</v>
      </c>
      <c r="E19" s="190">
        <f>'AN-A14'!E19*1.09</f>
        <v>3473.8300000000004</v>
      </c>
      <c r="F19" s="190">
        <f>'AN-A14'!F19*1.09</f>
        <v>3530.51</v>
      </c>
      <c r="G19" s="190">
        <f>'AN-A14'!G19*1.09</f>
        <v>3969.78</v>
      </c>
      <c r="H19" s="190">
        <f>'AN-A14'!H19*1.09</f>
        <v>3819.36</v>
      </c>
      <c r="I19" s="190">
        <f>'AN-A14'!I19*1.09</f>
        <v>4185.6000000000004</v>
      </c>
      <c r="J19" s="190">
        <f>'AN-A14'!J19*1.09</f>
        <v>4490.8</v>
      </c>
      <c r="K19" s="191">
        <f>'AN-A14'!K19*1.09</f>
        <v>4368.72</v>
      </c>
      <c r="L19" s="192">
        <f>'AN-A14'!L19*1.09</f>
        <v>4382.8900000000003</v>
      </c>
      <c r="M19" s="190">
        <f>'AN-A14'!M19*1.09</f>
        <v>4851.59</v>
      </c>
      <c r="N19" s="190">
        <f>'AN-A14'!N19*1.09</f>
        <v>5560.09</v>
      </c>
      <c r="O19" s="190">
        <f>'AN-A14'!O19*1.09</f>
        <v>5669.09</v>
      </c>
      <c r="P19" s="190">
        <f>'AN-A14'!P19*1.09</f>
        <v>5974.2900000000009</v>
      </c>
      <c r="Q19" s="193">
        <f>'AN-A14'!Q19*1.09</f>
        <v>6279.4900000000007</v>
      </c>
      <c r="R19" s="303">
        <f t="shared" si="0"/>
        <v>4.0999999999999996</v>
      </c>
      <c r="S19" s="304">
        <f t="shared" si="1"/>
        <v>7.5</v>
      </c>
    </row>
    <row r="20" spans="1:19" ht="15.75" customHeight="1">
      <c r="A20" s="16"/>
      <c r="B20" s="672" t="s">
        <v>308</v>
      </c>
      <c r="C20" s="673"/>
      <c r="D20" s="194">
        <f>'AN-A14'!D20*1.09</f>
        <v>0</v>
      </c>
      <c r="E20" s="195">
        <f>'AN-A14'!E20*1.09</f>
        <v>0</v>
      </c>
      <c r="F20" s="195">
        <f>'AN-A14'!F20*1.09</f>
        <v>0</v>
      </c>
      <c r="G20" s="195">
        <f>'AN-A14'!G20*1.09</f>
        <v>0</v>
      </c>
      <c r="H20" s="195">
        <f>'AN-A14'!H20*1.09</f>
        <v>0</v>
      </c>
      <c r="I20" s="195">
        <f>'AN-A14'!I20*1.09</f>
        <v>0</v>
      </c>
      <c r="J20" s="195">
        <f>'AN-A14'!J20*1.09</f>
        <v>0</v>
      </c>
      <c r="K20" s="196">
        <f>'AN-A14'!K20*1.09</f>
        <v>0</v>
      </c>
      <c r="L20" s="197">
        <f>'AN-A14'!L20*1.09</f>
        <v>0</v>
      </c>
      <c r="M20" s="195">
        <f>'AN-A14'!M20*1.09</f>
        <v>0</v>
      </c>
      <c r="N20" s="195">
        <f>'AN-A14'!N20*1.09</f>
        <v>0</v>
      </c>
      <c r="O20" s="195">
        <f>'AN-A14'!O20*1.09</f>
        <v>0</v>
      </c>
      <c r="P20" s="195">
        <f>'AN-A14'!P20*1.09</f>
        <v>0.49050000000000005</v>
      </c>
      <c r="Q20" s="198">
        <f>'AN-A14'!Q20*1.09</f>
        <v>0</v>
      </c>
      <c r="R20" s="303" t="str">
        <f t="shared" si="0"/>
        <v xml:space="preserve">     -</v>
      </c>
      <c r="S20" s="304" t="str">
        <f t="shared" si="1"/>
        <v xml:space="preserve">     -</v>
      </c>
    </row>
    <row r="21" spans="1:19" ht="15" customHeight="1">
      <c r="A21" s="16"/>
      <c r="B21" s="105"/>
      <c r="C21" s="97" t="s">
        <v>309</v>
      </c>
      <c r="D21" s="194">
        <f>'AN-A14'!D21*1.09</f>
        <v>0</v>
      </c>
      <c r="E21" s="195">
        <f>'AN-A14'!E21*1.09</f>
        <v>0</v>
      </c>
      <c r="F21" s="195">
        <f>'AN-A14'!F21*1.09</f>
        <v>0</v>
      </c>
      <c r="G21" s="195">
        <f>'AN-A14'!G21*1.09</f>
        <v>0</v>
      </c>
      <c r="H21" s="195">
        <f>'AN-A14'!H21*1.09</f>
        <v>0</v>
      </c>
      <c r="I21" s="195">
        <f>'AN-A14'!I21*1.09</f>
        <v>0</v>
      </c>
      <c r="J21" s="195">
        <f>'AN-A14'!J21*1.09</f>
        <v>0</v>
      </c>
      <c r="K21" s="196">
        <f>'AN-A14'!K21*1.09</f>
        <v>0</v>
      </c>
      <c r="L21" s="197">
        <f>'AN-A14'!L21*1.09</f>
        <v>0</v>
      </c>
      <c r="M21" s="195">
        <f>'AN-A14'!M21*1.09</f>
        <v>0</v>
      </c>
      <c r="N21" s="195">
        <f>'AN-A14'!N21*1.09</f>
        <v>0</v>
      </c>
      <c r="O21" s="195">
        <f>'AN-A14'!O21*1.09</f>
        <v>0</v>
      </c>
      <c r="P21" s="195">
        <f>'AN-A14'!P21*1.09</f>
        <v>0.49050000000000005</v>
      </c>
      <c r="Q21" s="198">
        <f>'AN-A14'!Q21*1.09</f>
        <v>0</v>
      </c>
      <c r="R21" s="303" t="str">
        <f t="shared" si="0"/>
        <v xml:space="preserve">     -</v>
      </c>
      <c r="S21" s="304" t="str">
        <f t="shared" si="1"/>
        <v xml:space="preserve">     -</v>
      </c>
    </row>
    <row r="22" spans="1:19" ht="15.75" customHeight="1">
      <c r="A22" s="16"/>
      <c r="B22" s="672" t="s">
        <v>310</v>
      </c>
      <c r="C22" s="673"/>
      <c r="D22" s="181">
        <f>'AN-A14'!D22*1.09</f>
        <v>1068.2</v>
      </c>
      <c r="E22" s="67">
        <f>'AN-A14'!E22*1.09</f>
        <v>937.40000000000009</v>
      </c>
      <c r="F22" s="67">
        <f>'AN-A14'!F22*1.09</f>
        <v>931.95</v>
      </c>
      <c r="G22" s="67">
        <f>'AN-A14'!G22*1.09</f>
        <v>931.95</v>
      </c>
      <c r="H22" s="182">
        <f>'AN-A14'!H22*1.09</f>
        <v>931.95</v>
      </c>
      <c r="I22" s="182">
        <f>'AN-A14'!I22*1.09</f>
        <v>959.2</v>
      </c>
      <c r="J22" s="182">
        <f>'AN-A14'!J22*1.09</f>
        <v>959.2</v>
      </c>
      <c r="K22" s="183">
        <f>'AN-A14'!K22*1.09</f>
        <v>959.2</v>
      </c>
      <c r="L22" s="184">
        <f>'AN-A14'!L22*1.09</f>
        <v>959.2</v>
      </c>
      <c r="M22" s="182">
        <f>'AN-A14'!M22*1.09</f>
        <v>959.2</v>
      </c>
      <c r="N22" s="182">
        <f>'AN-A14'!N22*1.09</f>
        <v>959.2</v>
      </c>
      <c r="O22" s="182">
        <f>'AN-A14'!O22*1.09</f>
        <v>959.2</v>
      </c>
      <c r="P22" s="182">
        <f>'AN-A14'!P22*1.09</f>
        <v>959.2</v>
      </c>
      <c r="Q22" s="185">
        <f>'AN-A14'!Q22*1.09</f>
        <v>959.2</v>
      </c>
      <c r="R22" s="299">
        <f t="shared" si="0"/>
        <v>-1.5</v>
      </c>
      <c r="S22" s="300">
        <f t="shared" si="1"/>
        <v>0</v>
      </c>
    </row>
    <row r="23" spans="1:19" ht="15" customHeight="1">
      <c r="A23" s="16"/>
      <c r="B23" s="105"/>
      <c r="C23" s="615" t="s">
        <v>311</v>
      </c>
      <c r="D23" s="194">
        <f>'AN-A14'!D23*1.09</f>
        <v>1062.75</v>
      </c>
      <c r="E23" s="195">
        <f>'AN-A14'!E23*1.09</f>
        <v>937.40000000000009</v>
      </c>
      <c r="F23" s="195">
        <f>'AN-A14'!F23*1.09</f>
        <v>931.95</v>
      </c>
      <c r="G23" s="195">
        <f>'AN-A14'!G23*1.09</f>
        <v>931.95</v>
      </c>
      <c r="H23" s="190">
        <f>'AN-A14'!H23*1.09</f>
        <v>931.95</v>
      </c>
      <c r="I23" s="190">
        <f>'AN-A14'!I23*1.09</f>
        <v>959.2</v>
      </c>
      <c r="J23" s="190">
        <f>'AN-A14'!J23*1.09</f>
        <v>959.2</v>
      </c>
      <c r="K23" s="191">
        <f>'AN-A14'!K23*1.09</f>
        <v>959.2</v>
      </c>
      <c r="L23" s="192">
        <f>'AN-A14'!L23*1.09</f>
        <v>959.2</v>
      </c>
      <c r="M23" s="190">
        <f>'AN-A14'!M23*1.09</f>
        <v>959.2</v>
      </c>
      <c r="N23" s="190">
        <f>'AN-A14'!N23*1.09</f>
        <v>959.2</v>
      </c>
      <c r="O23" s="190">
        <f>'AN-A14'!O23*1.09</f>
        <v>959.2</v>
      </c>
      <c r="P23" s="190">
        <f>'AN-A14'!P23*1.09</f>
        <v>959.2</v>
      </c>
      <c r="Q23" s="193">
        <f>'AN-A14'!Q23*1.09</f>
        <v>959.2</v>
      </c>
      <c r="R23" s="303">
        <f t="shared" si="0"/>
        <v>-1.5</v>
      </c>
      <c r="S23" s="304">
        <f t="shared" si="1"/>
        <v>0</v>
      </c>
    </row>
    <row r="24" spans="1:19" ht="15.75" customHeight="1">
      <c r="A24" s="16"/>
      <c r="B24" s="672" t="s">
        <v>312</v>
      </c>
      <c r="C24" s="673"/>
      <c r="D24" s="181">
        <f>'AN-A14'!D24*1.09</f>
        <v>0</v>
      </c>
      <c r="E24" s="67">
        <f>'AN-A14'!E24*1.09</f>
        <v>109.00000000000001</v>
      </c>
      <c r="F24" s="67">
        <f>'AN-A14'!F24*1.09</f>
        <v>109.00000000000001</v>
      </c>
      <c r="G24" s="67">
        <f>'AN-A14'!G24*1.09</f>
        <v>109.00000000000001</v>
      </c>
      <c r="H24" s="67">
        <f>'AN-A14'!H24*1.09</f>
        <v>109.00000000000001</v>
      </c>
      <c r="I24" s="67">
        <f>'AN-A14'!I24*1.09</f>
        <v>109.00000000000001</v>
      </c>
      <c r="J24" s="67">
        <f>'AN-A14'!J24*1.09</f>
        <v>109.00000000000001</v>
      </c>
      <c r="K24" s="186">
        <f>'AN-A14'!K24*1.09</f>
        <v>109.00000000000001</v>
      </c>
      <c r="L24" s="187">
        <f>'AN-A14'!L24*1.09</f>
        <v>109.00000000000001</v>
      </c>
      <c r="M24" s="67">
        <f>'AN-A14'!M24*1.09</f>
        <v>109.00000000000001</v>
      </c>
      <c r="N24" s="67">
        <f>'AN-A14'!N24*1.09</f>
        <v>109.00000000000001</v>
      </c>
      <c r="O24" s="67">
        <f>'AN-A14'!O24*1.09</f>
        <v>109.00000000000001</v>
      </c>
      <c r="P24" s="67">
        <f>'AN-A14'!P24*1.09</f>
        <v>109.00000000000001</v>
      </c>
      <c r="Q24" s="68">
        <f>'AN-A14'!Q24*1.09</f>
        <v>109.00000000000001</v>
      </c>
      <c r="R24" s="302" t="str">
        <f t="shared" si="0"/>
        <v xml:space="preserve">     -</v>
      </c>
      <c r="S24" s="300">
        <f t="shared" si="1"/>
        <v>0</v>
      </c>
    </row>
    <row r="25" spans="1:19" ht="15" customHeight="1">
      <c r="A25" s="16"/>
      <c r="B25" s="16"/>
      <c r="C25" s="615" t="s">
        <v>313</v>
      </c>
      <c r="D25" s="194">
        <f>'AN-A14'!D25*1.09</f>
        <v>0</v>
      </c>
      <c r="E25" s="195">
        <f>'AN-A14'!E25*1.09</f>
        <v>0</v>
      </c>
      <c r="F25" s="195">
        <f>'AN-A14'!F25*1.09</f>
        <v>0</v>
      </c>
      <c r="G25" s="195">
        <f>'AN-A14'!G25*1.09</f>
        <v>0</v>
      </c>
      <c r="H25" s="190">
        <f>'AN-A14'!H25*1.09</f>
        <v>0</v>
      </c>
      <c r="I25" s="190">
        <f>'AN-A14'!I25*1.09</f>
        <v>0</v>
      </c>
      <c r="J25" s="190">
        <f>'AN-A14'!J25*1.09</f>
        <v>0</v>
      </c>
      <c r="K25" s="191">
        <f>'AN-A14'!K25*1.09</f>
        <v>0</v>
      </c>
      <c r="L25" s="192">
        <f>'AN-A14'!L25*1.09</f>
        <v>0</v>
      </c>
      <c r="M25" s="190">
        <f>'AN-A14'!M25*1.09</f>
        <v>0</v>
      </c>
      <c r="N25" s="190">
        <f>'AN-A14'!N25*1.09</f>
        <v>0</v>
      </c>
      <c r="O25" s="190">
        <f>'AN-A14'!O25*1.09</f>
        <v>0</v>
      </c>
      <c r="P25" s="190">
        <f>'AN-A14'!P25*1.09</f>
        <v>0</v>
      </c>
      <c r="Q25" s="193">
        <f>'AN-A14'!Q25*1.09</f>
        <v>0</v>
      </c>
      <c r="R25" s="303" t="str">
        <f t="shared" si="0"/>
        <v xml:space="preserve">     -</v>
      </c>
      <c r="S25" s="304" t="str">
        <f t="shared" si="1"/>
        <v xml:space="preserve">     -</v>
      </c>
    </row>
    <row r="26" spans="1:19" ht="15.75" customHeight="1">
      <c r="A26" s="16"/>
      <c r="B26" s="674" t="s">
        <v>314</v>
      </c>
      <c r="C26" s="675"/>
      <c r="D26" s="194">
        <f>'AN-A14'!D26*1.09</f>
        <v>0</v>
      </c>
      <c r="E26" s="195">
        <f>'AN-A14'!E26*1.09</f>
        <v>0</v>
      </c>
      <c r="F26" s="195">
        <f>'AN-A14'!F26*1.09</f>
        <v>0</v>
      </c>
      <c r="G26" s="195">
        <f>'AN-A14'!G26*1.09</f>
        <v>0</v>
      </c>
      <c r="H26" s="195">
        <f>'AN-A14'!H26*1.09</f>
        <v>0</v>
      </c>
      <c r="I26" s="195">
        <f>'AN-A14'!I26*1.09</f>
        <v>0</v>
      </c>
      <c r="J26" s="195">
        <f>'AN-A14'!J26*1.09</f>
        <v>0</v>
      </c>
      <c r="K26" s="196">
        <f>'AN-A14'!K26*1.09</f>
        <v>0</v>
      </c>
      <c r="L26" s="197">
        <f>'AN-A14'!L26*1.09</f>
        <v>0</v>
      </c>
      <c r="M26" s="195">
        <f>'AN-A14'!M26*1.09</f>
        <v>0</v>
      </c>
      <c r="N26" s="195">
        <f>'AN-A14'!N26*1.09</f>
        <v>0</v>
      </c>
      <c r="O26" s="195">
        <f>'AN-A14'!O26*1.09</f>
        <v>0</v>
      </c>
      <c r="P26" s="195">
        <f>'AN-A14'!P26*1.09</f>
        <v>0</v>
      </c>
      <c r="Q26" s="198">
        <f>'AN-A14'!Q26*1.09</f>
        <v>0</v>
      </c>
      <c r="R26" s="305" t="str">
        <f t="shared" si="0"/>
        <v xml:space="preserve">     -</v>
      </c>
      <c r="S26" s="304" t="str">
        <f t="shared" si="1"/>
        <v xml:space="preserve">     -</v>
      </c>
    </row>
    <row r="27" spans="1:19" ht="15.75" customHeight="1">
      <c r="A27" s="16"/>
      <c r="B27" s="674" t="s">
        <v>315</v>
      </c>
      <c r="C27" s="675"/>
      <c r="D27" s="189">
        <f>'AN-A14'!D27*1.09</f>
        <v>256.15000000000003</v>
      </c>
      <c r="E27" s="190">
        <f>'AN-A14'!E27*1.09</f>
        <v>256.15000000000003</v>
      </c>
      <c r="F27" s="190">
        <f>'AN-A14'!F27*1.09</f>
        <v>256.15000000000003</v>
      </c>
      <c r="G27" s="190">
        <f>'AN-A14'!G27*1.09</f>
        <v>256.15000000000003</v>
      </c>
      <c r="H27" s="190">
        <f>'AN-A14'!H27*1.09</f>
        <v>256.15000000000003</v>
      </c>
      <c r="I27" s="190">
        <f>'AN-A14'!I27*1.09</f>
        <v>256.15000000000003</v>
      </c>
      <c r="J27" s="190">
        <f>'AN-A14'!J27*1.09</f>
        <v>256.15000000000003</v>
      </c>
      <c r="K27" s="191">
        <f>'AN-A14'!K27*1.09</f>
        <v>310.65000000000003</v>
      </c>
      <c r="L27" s="192">
        <f>'AN-A14'!L27*1.09</f>
        <v>354.25</v>
      </c>
      <c r="M27" s="190">
        <f>'AN-A14'!M27*1.09</f>
        <v>354.25</v>
      </c>
      <c r="N27" s="190">
        <f>'AN-A14'!N27*1.09</f>
        <v>354.25</v>
      </c>
      <c r="O27" s="190">
        <f>'AN-A14'!O27*1.09</f>
        <v>354.25</v>
      </c>
      <c r="P27" s="190">
        <f>'AN-A14'!P27*1.09</f>
        <v>354.25</v>
      </c>
      <c r="Q27" s="193">
        <f>'AN-A14'!Q27*1.09</f>
        <v>354.25</v>
      </c>
      <c r="R27" s="303">
        <f t="shared" si="0"/>
        <v>2.8</v>
      </c>
      <c r="S27" s="304">
        <f t="shared" si="1"/>
        <v>0</v>
      </c>
    </row>
    <row r="28" spans="1:19" ht="15" customHeight="1">
      <c r="A28" s="16"/>
      <c r="B28" s="672" t="s">
        <v>316</v>
      </c>
      <c r="C28" s="673"/>
      <c r="D28" s="181">
        <f>'AN-A14'!D28*1.09</f>
        <v>1603.39</v>
      </c>
      <c r="E28" s="67">
        <f>'AN-A14'!E28*1.09</f>
        <v>1603.39</v>
      </c>
      <c r="F28" s="67">
        <f>'AN-A14'!F28*1.09</f>
        <v>1716.7500000000002</v>
      </c>
      <c r="G28" s="67">
        <f>'AN-A14'!G28*1.09</f>
        <v>1716.7500000000002</v>
      </c>
      <c r="H28" s="67">
        <f>'AN-A14'!H28*1.09</f>
        <v>1716.7500000000002</v>
      </c>
      <c r="I28" s="182">
        <f>'AN-A14'!I28*1.09</f>
        <v>1716.7500000000002</v>
      </c>
      <c r="J28" s="182">
        <f>'AN-A14'!J28*1.09</f>
        <v>1716.7500000000002</v>
      </c>
      <c r="K28" s="183">
        <f>'AN-A14'!K28*1.09</f>
        <v>1716.7500000000002</v>
      </c>
      <c r="L28" s="184">
        <f>'AN-A14'!L28*1.09</f>
        <v>1716.7500000000002</v>
      </c>
      <c r="M28" s="182">
        <f>'AN-A14'!M28*1.09</f>
        <v>1716.7500000000002</v>
      </c>
      <c r="N28" s="182">
        <f>'AN-A14'!N28*1.09</f>
        <v>1716.7500000000002</v>
      </c>
      <c r="O28" s="182">
        <f>'AN-A14'!O28*1.09</f>
        <v>1716.7500000000002</v>
      </c>
      <c r="P28" s="182">
        <f>'AN-A14'!P28*1.09</f>
        <v>1716.7500000000002</v>
      </c>
      <c r="Q28" s="185">
        <f>'AN-A14'!Q28*1.09</f>
        <v>1716.7500000000002</v>
      </c>
      <c r="R28" s="299">
        <f t="shared" si="0"/>
        <v>1</v>
      </c>
      <c r="S28" s="300">
        <f t="shared" si="1"/>
        <v>0</v>
      </c>
    </row>
    <row r="29" spans="1:19" ht="15" customHeight="1">
      <c r="A29" s="16"/>
      <c r="B29" s="670" t="s">
        <v>317</v>
      </c>
      <c r="C29" s="671"/>
      <c r="D29" s="181">
        <f>'AN-A14'!D29*1.09</f>
        <v>0</v>
      </c>
      <c r="E29" s="67">
        <f>'AN-A14'!E29*1.09</f>
        <v>0</v>
      </c>
      <c r="F29" s="67">
        <f>'AN-A14'!F29*1.09</f>
        <v>0</v>
      </c>
      <c r="G29" s="67">
        <f>'AN-A14'!G29*1.09</f>
        <v>0</v>
      </c>
      <c r="H29" s="67">
        <f>'AN-A14'!H29*1.09</f>
        <v>0</v>
      </c>
      <c r="I29" s="182">
        <f>'AN-A14'!I29*1.09</f>
        <v>0</v>
      </c>
      <c r="J29" s="182">
        <f>'AN-A14'!J29*1.09</f>
        <v>0</v>
      </c>
      <c r="K29" s="183">
        <f>'AN-A14'!K29*1.09</f>
        <v>0</v>
      </c>
      <c r="L29" s="184">
        <f>'AN-A14'!L29*1.09</f>
        <v>0</v>
      </c>
      <c r="M29" s="182">
        <f>'AN-A14'!M29*1.09</f>
        <v>0</v>
      </c>
      <c r="N29" s="182">
        <f>'AN-A14'!N29*1.09</f>
        <v>0</v>
      </c>
      <c r="O29" s="182">
        <f>'AN-A14'!O29*1.09</f>
        <v>0</v>
      </c>
      <c r="P29" s="182">
        <f>'AN-A14'!P29*1.09</f>
        <v>0</v>
      </c>
      <c r="Q29" s="185">
        <f>'AN-A14'!Q29*1.09</f>
        <v>0</v>
      </c>
      <c r="R29" s="299" t="str">
        <f t="shared" si="0"/>
        <v xml:space="preserve">     -</v>
      </c>
      <c r="S29" s="300" t="str">
        <f t="shared" si="1"/>
        <v xml:space="preserve">     -</v>
      </c>
    </row>
    <row r="30" spans="1:19" ht="15.75" customHeight="1">
      <c r="A30" s="16"/>
      <c r="B30" s="674" t="s">
        <v>318</v>
      </c>
      <c r="C30" s="675"/>
      <c r="D30" s="189">
        <f>'AN-A14'!D30*1.09</f>
        <v>1603.39</v>
      </c>
      <c r="E30" s="190">
        <f>'AN-A14'!E30*1.09</f>
        <v>1603.39</v>
      </c>
      <c r="F30" s="190">
        <f>'AN-A14'!F30*1.09</f>
        <v>1716.7500000000002</v>
      </c>
      <c r="G30" s="190">
        <f>'AN-A14'!G30*1.09</f>
        <v>1716.7500000000002</v>
      </c>
      <c r="H30" s="190">
        <f>'AN-A14'!H30*1.09</f>
        <v>1716.7500000000002</v>
      </c>
      <c r="I30" s="190">
        <f>'AN-A14'!I30*1.09</f>
        <v>1716.7500000000002</v>
      </c>
      <c r="J30" s="190">
        <f>'AN-A14'!J30*1.09</f>
        <v>1716.7500000000002</v>
      </c>
      <c r="K30" s="191">
        <f>'AN-A14'!K30*1.09</f>
        <v>1716.7500000000002</v>
      </c>
      <c r="L30" s="192">
        <f>'AN-A14'!L30*1.09</f>
        <v>1716.7500000000002</v>
      </c>
      <c r="M30" s="190">
        <f>'AN-A14'!M30*1.09</f>
        <v>1716.7500000000002</v>
      </c>
      <c r="N30" s="190">
        <f>'AN-A14'!N30*1.09</f>
        <v>1716.7500000000002</v>
      </c>
      <c r="O30" s="190">
        <f>'AN-A14'!O30*1.09</f>
        <v>1716.7500000000002</v>
      </c>
      <c r="P30" s="190">
        <f>'AN-A14'!P30*1.09</f>
        <v>1716.7500000000002</v>
      </c>
      <c r="Q30" s="193">
        <f>'AN-A14'!Q30*1.09</f>
        <v>1716.7500000000002</v>
      </c>
      <c r="R30" s="303">
        <f t="shared" si="0"/>
        <v>1</v>
      </c>
      <c r="S30" s="304">
        <f t="shared" si="1"/>
        <v>0</v>
      </c>
    </row>
    <row r="31" spans="1:19" ht="15" customHeight="1">
      <c r="A31" s="16"/>
      <c r="B31" s="672" t="s">
        <v>319</v>
      </c>
      <c r="C31" s="673"/>
      <c r="D31" s="181">
        <f>'AN-A14'!D31*1.09</f>
        <v>70.850000000000009</v>
      </c>
      <c r="E31" s="67">
        <f>'AN-A14'!E31*1.09</f>
        <v>70.850000000000009</v>
      </c>
      <c r="F31" s="67">
        <f>'AN-A14'!F31*1.09</f>
        <v>70.850000000000009</v>
      </c>
      <c r="G31" s="67">
        <f>'AN-A14'!G31*1.09</f>
        <v>70.850000000000009</v>
      </c>
      <c r="H31" s="67">
        <f>'AN-A14'!H31*1.09</f>
        <v>70.850000000000009</v>
      </c>
      <c r="I31" s="62">
        <f>'AN-A14'!I31*1.09</f>
        <v>70.850000000000009</v>
      </c>
      <c r="J31" s="182">
        <f>'AN-A14'!J31*1.09</f>
        <v>43.6</v>
      </c>
      <c r="K31" s="183">
        <f>'AN-A14'!K31*1.09</f>
        <v>0</v>
      </c>
      <c r="L31" s="184">
        <f>'AN-A14'!L31*1.09</f>
        <v>0</v>
      </c>
      <c r="M31" s="182">
        <f>'AN-A14'!M31*1.09</f>
        <v>0</v>
      </c>
      <c r="N31" s="182">
        <f>'AN-A14'!N31*1.09</f>
        <v>0</v>
      </c>
      <c r="O31" s="182">
        <f>'AN-A14'!O31*1.09</f>
        <v>0</v>
      </c>
      <c r="P31" s="182">
        <f>'AN-A14'!P31*1.09</f>
        <v>0</v>
      </c>
      <c r="Q31" s="185">
        <f>'AN-A14'!Q31*1.09</f>
        <v>0</v>
      </c>
      <c r="R31" s="299" t="str">
        <f t="shared" si="0"/>
        <v xml:space="preserve">     -</v>
      </c>
      <c r="S31" s="300" t="str">
        <f t="shared" si="1"/>
        <v xml:space="preserve">     -</v>
      </c>
    </row>
    <row r="32" spans="1:19" ht="15" customHeight="1">
      <c r="A32" s="16"/>
      <c r="B32" s="668" t="s">
        <v>320</v>
      </c>
      <c r="C32" s="669"/>
      <c r="D32" s="181">
        <f>'AN-A14'!D32*1.09</f>
        <v>109.00000000000001</v>
      </c>
      <c r="E32" s="67">
        <f>'AN-A14'!E32*1.09</f>
        <v>109.00000000000001</v>
      </c>
      <c r="F32" s="67">
        <f>'AN-A14'!F32*1.09</f>
        <v>109.00000000000001</v>
      </c>
      <c r="G32" s="67">
        <f>'AN-A14'!G32*1.09</f>
        <v>109.00000000000001</v>
      </c>
      <c r="H32" s="67">
        <f>'AN-A14'!H32*1.09</f>
        <v>109.00000000000001</v>
      </c>
      <c r="I32" s="182">
        <f>'AN-A14'!I32*1.09</f>
        <v>109.00000000000001</v>
      </c>
      <c r="J32" s="182">
        <f>'AN-A14'!J32*1.09</f>
        <v>109.00000000000001</v>
      </c>
      <c r="K32" s="183">
        <f>'AN-A14'!K32*1.09</f>
        <v>109.00000000000001</v>
      </c>
      <c r="L32" s="184">
        <f>'AN-A14'!L32*1.09</f>
        <v>109.00000000000001</v>
      </c>
      <c r="M32" s="182">
        <f>'AN-A14'!M32*1.09</f>
        <v>109.00000000000001</v>
      </c>
      <c r="N32" s="182">
        <f>'AN-A14'!N32*1.09</f>
        <v>109.00000000000001</v>
      </c>
      <c r="O32" s="182">
        <f>'AN-A14'!O32*1.09</f>
        <v>109.00000000000001</v>
      </c>
      <c r="P32" s="182">
        <f>'AN-A14'!P32*1.09</f>
        <v>109.00000000000001</v>
      </c>
      <c r="Q32" s="185">
        <f>'AN-A14'!Q32*1.09</f>
        <v>109.00000000000001</v>
      </c>
      <c r="R32" s="299">
        <f t="shared" si="0"/>
        <v>0</v>
      </c>
      <c r="S32" s="300">
        <f t="shared" si="1"/>
        <v>0</v>
      </c>
    </row>
    <row r="33" spans="1:19" ht="15" customHeight="1">
      <c r="A33" s="16"/>
      <c r="B33" s="670" t="s">
        <v>321</v>
      </c>
      <c r="C33" s="671"/>
      <c r="D33" s="181">
        <f>'AN-A14'!D33*1.09</f>
        <v>0</v>
      </c>
      <c r="E33" s="67">
        <f>'AN-A14'!E33*1.09</f>
        <v>0</v>
      </c>
      <c r="F33" s="67">
        <f>'AN-A14'!F33*1.09</f>
        <v>0</v>
      </c>
      <c r="G33" s="67">
        <f>'AN-A14'!G33*1.09</f>
        <v>0</v>
      </c>
      <c r="H33" s="67">
        <f>'AN-A14'!H33*1.09</f>
        <v>0</v>
      </c>
      <c r="I33" s="182">
        <f>'AN-A14'!I33*1.09</f>
        <v>0</v>
      </c>
      <c r="J33" s="182">
        <f>'AN-A14'!J33*1.09</f>
        <v>0</v>
      </c>
      <c r="K33" s="183">
        <f>'AN-A14'!K33*1.09</f>
        <v>0</v>
      </c>
      <c r="L33" s="184">
        <f>'AN-A14'!L33*1.09</f>
        <v>0</v>
      </c>
      <c r="M33" s="182">
        <f>'AN-A14'!M33*1.09</f>
        <v>0</v>
      </c>
      <c r="N33" s="182">
        <f>'AN-A14'!N33*1.09</f>
        <v>0</v>
      </c>
      <c r="O33" s="182">
        <f>'AN-A14'!O33*1.09</f>
        <v>0</v>
      </c>
      <c r="P33" s="182">
        <f>'AN-A14'!P33*1.09</f>
        <v>0</v>
      </c>
      <c r="Q33" s="185">
        <f>'AN-A14'!Q33*1.09</f>
        <v>0</v>
      </c>
      <c r="R33" s="299" t="str">
        <f t="shared" si="0"/>
        <v xml:space="preserve">     -</v>
      </c>
      <c r="S33" s="300" t="str">
        <f t="shared" si="1"/>
        <v xml:space="preserve">     -</v>
      </c>
    </row>
    <row r="34" spans="1:19" ht="15.75" customHeight="1" thickBot="1">
      <c r="A34" s="16"/>
      <c r="B34" s="678" t="s">
        <v>322</v>
      </c>
      <c r="C34" s="679"/>
      <c r="D34" s="199">
        <f>'AN-A14'!D34*1.09</f>
        <v>179.85000000000002</v>
      </c>
      <c r="E34" s="200">
        <f>'AN-A14'!E34*1.09</f>
        <v>179.85000000000002</v>
      </c>
      <c r="F34" s="200">
        <f>'AN-A14'!F34*1.09</f>
        <v>179.85000000000002</v>
      </c>
      <c r="G34" s="200">
        <f>'AN-A14'!G34*1.09</f>
        <v>179.85000000000002</v>
      </c>
      <c r="H34" s="200">
        <f>'AN-A14'!H34*1.09</f>
        <v>179.85000000000002</v>
      </c>
      <c r="I34" s="200">
        <f>'AN-A14'!I34*1.09</f>
        <v>179.85000000000002</v>
      </c>
      <c r="J34" s="200">
        <f>'AN-A14'!J34*1.09</f>
        <v>152.60000000000002</v>
      </c>
      <c r="K34" s="201">
        <f>'AN-A14'!K34*1.09</f>
        <v>109.00000000000001</v>
      </c>
      <c r="L34" s="202">
        <f>'AN-A14'!L34*1.09</f>
        <v>109.00000000000001</v>
      </c>
      <c r="M34" s="200">
        <f>'AN-A14'!M34*1.09</f>
        <v>109.00000000000001</v>
      </c>
      <c r="N34" s="200">
        <f>'AN-A14'!N34*1.09</f>
        <v>109.00000000000001</v>
      </c>
      <c r="O34" s="200">
        <f>'AN-A14'!O34*1.09</f>
        <v>109.00000000000001</v>
      </c>
      <c r="P34" s="200">
        <f>'AN-A14'!P34*1.09</f>
        <v>109.00000000000001</v>
      </c>
      <c r="Q34" s="203">
        <f>'AN-A14'!Q34*1.09</f>
        <v>109.00000000000001</v>
      </c>
      <c r="R34" s="306">
        <f t="shared" si="0"/>
        <v>-6.9</v>
      </c>
      <c r="S34" s="307">
        <f t="shared" si="1"/>
        <v>0</v>
      </c>
    </row>
    <row r="35" spans="1:19" ht="18" customHeight="1" thickTop="1" thickBot="1">
      <c r="A35" s="21"/>
      <c r="B35" s="625"/>
      <c r="C35" s="626" t="s">
        <v>323</v>
      </c>
      <c r="D35" s="204">
        <f>D34+D30+D27+D26+D24+D22+D20+D19</f>
        <v>6413.56</v>
      </c>
      <c r="E35" s="205">
        <f t="shared" ref="E35:Q35" si="2">E34+E30+E27+E26+E24+E22+E20+E19</f>
        <v>6559.6200000000008</v>
      </c>
      <c r="F35" s="205">
        <f t="shared" si="2"/>
        <v>6724.2100000000009</v>
      </c>
      <c r="G35" s="205">
        <f t="shared" si="2"/>
        <v>7163.4800000000014</v>
      </c>
      <c r="H35" s="205">
        <f t="shared" si="2"/>
        <v>7013.0600000000013</v>
      </c>
      <c r="I35" s="205">
        <f t="shared" si="2"/>
        <v>7406.5500000000011</v>
      </c>
      <c r="J35" s="205">
        <f t="shared" si="2"/>
        <v>7684.5000000000009</v>
      </c>
      <c r="K35" s="206">
        <f t="shared" si="2"/>
        <v>7573.3200000000006</v>
      </c>
      <c r="L35" s="207">
        <f t="shared" si="2"/>
        <v>7631.09</v>
      </c>
      <c r="M35" s="205">
        <f t="shared" si="2"/>
        <v>8099.79</v>
      </c>
      <c r="N35" s="205">
        <f t="shared" si="2"/>
        <v>8808.2900000000009</v>
      </c>
      <c r="O35" s="205">
        <f t="shared" si="2"/>
        <v>8917.2900000000009</v>
      </c>
      <c r="P35" s="205">
        <f t="shared" si="2"/>
        <v>9222.9805000000015</v>
      </c>
      <c r="Q35" s="208">
        <f t="shared" si="2"/>
        <v>9527.69</v>
      </c>
      <c r="R35" s="308">
        <f t="shared" si="0"/>
        <v>2.4</v>
      </c>
      <c r="S35" s="309">
        <f t="shared" si="1"/>
        <v>4.5</v>
      </c>
    </row>
    <row r="36" spans="1:19" ht="15" customHeight="1">
      <c r="A36" s="613" t="s">
        <v>324</v>
      </c>
      <c r="B36" s="644" t="s">
        <v>433</v>
      </c>
      <c r="C36" s="645"/>
      <c r="D36" s="181">
        <f>'AN-A14'!D36*1.09</f>
        <v>648.55000000000007</v>
      </c>
      <c r="E36" s="67">
        <f>'AN-A14'!E36*1.09</f>
        <v>623.48</v>
      </c>
      <c r="F36" s="67">
        <f>'AN-A14'!F36*1.09</f>
        <v>618.03000000000009</v>
      </c>
      <c r="G36" s="67">
        <f>'AN-A14'!G36*1.09</f>
        <v>766.2700000000001</v>
      </c>
      <c r="H36" s="182">
        <f>'AN-A14'!H36*1.09</f>
        <v>763</v>
      </c>
      <c r="I36" s="182">
        <f>'AN-A14'!I36*1.09</f>
        <v>708.5</v>
      </c>
      <c r="J36" s="182">
        <f>'AN-A14'!J36*1.09</f>
        <v>744.47</v>
      </c>
      <c r="K36" s="183">
        <f>'AN-A14'!K36*1.09</f>
        <v>845.84</v>
      </c>
      <c r="L36" s="184">
        <f>'AN-A14'!L36*1.09</f>
        <v>828.40000000000009</v>
      </c>
      <c r="M36" s="182">
        <f>'AN-A14'!M36*1.09</f>
        <v>850.2</v>
      </c>
      <c r="N36" s="182">
        <f>'AN-A14'!N36*1.09</f>
        <v>872.00000000000011</v>
      </c>
      <c r="O36" s="182">
        <f>'AN-A14'!O36*1.09</f>
        <v>872.00000000000011</v>
      </c>
      <c r="P36" s="182">
        <f>'AN-A14'!P36*1.09</f>
        <v>872.00000000000011</v>
      </c>
      <c r="Q36" s="185">
        <f>'AN-A14'!Q36*1.09</f>
        <v>872.00000000000011</v>
      </c>
      <c r="R36" s="299">
        <f t="shared" si="0"/>
        <v>3.9</v>
      </c>
      <c r="S36" s="300">
        <f t="shared" si="1"/>
        <v>1</v>
      </c>
    </row>
    <row r="37" spans="1:19" ht="15" customHeight="1">
      <c r="A37" s="614" t="s">
        <v>325</v>
      </c>
      <c r="B37" s="605" t="s">
        <v>434</v>
      </c>
      <c r="C37" s="606"/>
      <c r="D37" s="181">
        <f>'AN-A14'!D37*1.09</f>
        <v>499.22</v>
      </c>
      <c r="E37" s="67">
        <f>'AN-A14'!E37*1.09</f>
        <v>453.44000000000005</v>
      </c>
      <c r="F37" s="67">
        <f>'AN-A14'!F37*1.09</f>
        <v>457.8</v>
      </c>
      <c r="G37" s="67">
        <f>'AN-A14'!G37*1.09</f>
        <v>499.22</v>
      </c>
      <c r="H37" s="182">
        <f>'AN-A14'!H37*1.09</f>
        <v>506.85</v>
      </c>
      <c r="I37" s="182">
        <f>'AN-A14'!I37*1.09</f>
        <v>512.30000000000007</v>
      </c>
      <c r="J37" s="182">
        <f>'AN-A14'!J37*1.09</f>
        <v>512.30000000000007</v>
      </c>
      <c r="K37" s="183">
        <f>'AN-A14'!K37*1.09</f>
        <v>525.38</v>
      </c>
      <c r="L37" s="184">
        <f>'AN-A14'!L37*1.09</f>
        <v>512.30000000000007</v>
      </c>
      <c r="M37" s="182">
        <f>'AN-A14'!M37*1.09</f>
        <v>512.30000000000007</v>
      </c>
      <c r="N37" s="182">
        <f>'AN-A14'!N37*1.09</f>
        <v>517.75</v>
      </c>
      <c r="O37" s="182">
        <f>'AN-A14'!O37*1.09</f>
        <v>517.75</v>
      </c>
      <c r="P37" s="182">
        <f>'AN-A14'!P37*1.09</f>
        <v>517.75</v>
      </c>
      <c r="Q37" s="185">
        <f>'AN-A14'!Q37*1.09</f>
        <v>517.75</v>
      </c>
      <c r="R37" s="299">
        <f t="shared" si="0"/>
        <v>0.7</v>
      </c>
      <c r="S37" s="300">
        <f t="shared" si="1"/>
        <v>0.2</v>
      </c>
    </row>
    <row r="38" spans="1:19" ht="15" customHeight="1">
      <c r="A38" s="16"/>
      <c r="B38" s="605" t="s">
        <v>435</v>
      </c>
      <c r="C38" s="606"/>
      <c r="D38" s="181">
        <f>'AN-A14'!D38*1.09</f>
        <v>0</v>
      </c>
      <c r="E38" s="67">
        <f>'AN-A14'!E38*1.09</f>
        <v>0</v>
      </c>
      <c r="F38" s="67">
        <f>'AN-A14'!F38*1.09</f>
        <v>0</v>
      </c>
      <c r="G38" s="67">
        <f>'AN-A14'!G38*1.09</f>
        <v>0</v>
      </c>
      <c r="H38" s="67">
        <f>'AN-A14'!H38*1.09</f>
        <v>0</v>
      </c>
      <c r="I38" s="62">
        <f>'AN-A14'!I38*1.09</f>
        <v>0</v>
      </c>
      <c r="J38" s="62">
        <f>'AN-A14'!J38*1.09</f>
        <v>0</v>
      </c>
      <c r="K38" s="63">
        <f>'AN-A14'!K38*1.09</f>
        <v>0</v>
      </c>
      <c r="L38" s="64">
        <f>'AN-A14'!L38*1.09</f>
        <v>0</v>
      </c>
      <c r="M38" s="62">
        <f>'AN-A14'!M38*1.09</f>
        <v>0</v>
      </c>
      <c r="N38" s="62">
        <f>'AN-A14'!N38*1.09</f>
        <v>0</v>
      </c>
      <c r="O38" s="62">
        <f>'AN-A14'!O38*1.09</f>
        <v>0</v>
      </c>
      <c r="P38" s="62">
        <f>'AN-A14'!P38*1.09</f>
        <v>0</v>
      </c>
      <c r="Q38" s="65">
        <f>'AN-A14'!Q38*1.09</f>
        <v>0</v>
      </c>
      <c r="R38" s="301" t="str">
        <f t="shared" si="0"/>
        <v xml:space="preserve">     -</v>
      </c>
      <c r="S38" s="300" t="str">
        <f t="shared" si="1"/>
        <v xml:space="preserve">     -</v>
      </c>
    </row>
    <row r="39" spans="1:19" ht="15" customHeight="1">
      <c r="A39" s="16"/>
      <c r="B39" s="605" t="s">
        <v>436</v>
      </c>
      <c r="C39" s="606"/>
      <c r="D39" s="181">
        <f>'AN-A14'!D39*1.09</f>
        <v>1100.9000000000001</v>
      </c>
      <c r="E39" s="67">
        <f>'AN-A14'!E39*1.09</f>
        <v>1199</v>
      </c>
      <c r="F39" s="67">
        <f>'AN-A14'!F39*1.09</f>
        <v>1188.1000000000001</v>
      </c>
      <c r="G39" s="67">
        <f>'AN-A14'!G39*1.09</f>
        <v>1375.5800000000002</v>
      </c>
      <c r="H39" s="67">
        <f>'AN-A14'!H39*1.09</f>
        <v>1438.8000000000002</v>
      </c>
      <c r="I39" s="182">
        <f>'AN-A14'!I39*1.09</f>
        <v>1703.67</v>
      </c>
      <c r="J39" s="182">
        <f>'AN-A14'!J39*1.09</f>
        <v>1918.4</v>
      </c>
      <c r="K39" s="183">
        <f>'AN-A14'!K39*1.09</f>
        <v>2005.6000000000001</v>
      </c>
      <c r="L39" s="184">
        <f>'AN-A14'!L39*1.09</f>
        <v>2125.5</v>
      </c>
      <c r="M39" s="182">
        <f>'AN-A14'!M39*1.09</f>
        <v>2272.65</v>
      </c>
      <c r="N39" s="182">
        <f>'AN-A14'!N39*1.09</f>
        <v>2452.5</v>
      </c>
      <c r="O39" s="182">
        <f>'AN-A14'!O39*1.09</f>
        <v>2626.9</v>
      </c>
      <c r="P39" s="182">
        <f>'AN-A14'!P39*1.09</f>
        <v>2714.1000000000004</v>
      </c>
      <c r="Q39" s="185">
        <f>'AN-A14'!Q39*1.09</f>
        <v>2752.25</v>
      </c>
      <c r="R39" s="299">
        <f t="shared" si="0"/>
        <v>8.9</v>
      </c>
      <c r="S39" s="300">
        <f t="shared" si="1"/>
        <v>5.3</v>
      </c>
    </row>
    <row r="40" spans="1:19" ht="15" customHeight="1">
      <c r="A40" s="16"/>
      <c r="B40" s="605" t="s">
        <v>437</v>
      </c>
      <c r="C40" s="606"/>
      <c r="D40" s="181">
        <f>'AN-A14'!D40*1.09</f>
        <v>0</v>
      </c>
      <c r="E40" s="67">
        <f>'AN-A14'!E40*1.09</f>
        <v>0</v>
      </c>
      <c r="F40" s="67">
        <f>'AN-A14'!F40*1.09</f>
        <v>91.56</v>
      </c>
      <c r="G40" s="67">
        <f>'AN-A14'!G40*1.09</f>
        <v>106.93772000000003</v>
      </c>
      <c r="H40" s="67">
        <f>'AN-A14'!H40*1.09</f>
        <v>151.51000000000002</v>
      </c>
      <c r="I40" s="67">
        <f>'AN-A14'!I40*1.09</f>
        <v>187.60774800000002</v>
      </c>
      <c r="J40" s="67">
        <f>'AN-A14'!J40*1.09</f>
        <v>199.47000000000003</v>
      </c>
      <c r="K40" s="186">
        <f>'AN-A14'!K40*1.09</f>
        <v>204.23657000000003</v>
      </c>
      <c r="L40" s="187">
        <f>'AN-A14'!L40*1.09</f>
        <v>204.23657000000003</v>
      </c>
      <c r="M40" s="67">
        <f>'AN-A14'!M40*1.09</f>
        <v>204.23657000000003</v>
      </c>
      <c r="N40" s="67">
        <f>'AN-A14'!N40*1.09</f>
        <v>204.23657000000003</v>
      </c>
      <c r="O40" s="67">
        <f>'AN-A14'!O40*1.09</f>
        <v>204.23657000000003</v>
      </c>
      <c r="P40" s="67">
        <f>'AN-A14'!P40*1.09</f>
        <v>204.23657000000003</v>
      </c>
      <c r="Q40" s="68">
        <f>'AN-A14'!Q40*1.09</f>
        <v>204.23657000000003</v>
      </c>
      <c r="R40" s="302" t="str">
        <f t="shared" si="0"/>
        <v xml:space="preserve">     -</v>
      </c>
      <c r="S40" s="300">
        <f t="shared" si="1"/>
        <v>0</v>
      </c>
    </row>
    <row r="41" spans="1:19" ht="15" customHeight="1">
      <c r="A41" s="16"/>
      <c r="B41" s="605" t="s">
        <v>438</v>
      </c>
      <c r="C41" s="606"/>
      <c r="D41" s="181">
        <f>'AN-A14'!D41*1.09</f>
        <v>0</v>
      </c>
      <c r="E41" s="67">
        <f>'AN-A14'!E41*1.09</f>
        <v>0</v>
      </c>
      <c r="F41" s="67">
        <f>'AN-A14'!F41*1.09</f>
        <v>0</v>
      </c>
      <c r="G41" s="67">
        <f>'AN-A14'!G41*1.09</f>
        <v>0</v>
      </c>
      <c r="H41" s="67">
        <f>'AN-A14'!H41*1.09</f>
        <v>0</v>
      </c>
      <c r="I41" s="67">
        <f>'AN-A14'!I41*1.09</f>
        <v>0</v>
      </c>
      <c r="J41" s="67">
        <f>'AN-A14'!J41*1.09</f>
        <v>0</v>
      </c>
      <c r="K41" s="186">
        <f>'AN-A14'!K41*1.09</f>
        <v>0</v>
      </c>
      <c r="L41" s="187">
        <f>'AN-A14'!L41*1.09</f>
        <v>0</v>
      </c>
      <c r="M41" s="67">
        <f>'AN-A14'!M41*1.09</f>
        <v>0</v>
      </c>
      <c r="N41" s="67">
        <f>'AN-A14'!N41*1.09</f>
        <v>0</v>
      </c>
      <c r="O41" s="67">
        <f>'AN-A14'!O41*1.09</f>
        <v>0</v>
      </c>
      <c r="P41" s="67">
        <f>'AN-A14'!P41*1.09</f>
        <v>0</v>
      </c>
      <c r="Q41" s="68">
        <f>'AN-A14'!Q41*1.09</f>
        <v>0</v>
      </c>
      <c r="R41" s="302" t="str">
        <f t="shared" si="0"/>
        <v xml:space="preserve">     -</v>
      </c>
      <c r="S41" s="300" t="str">
        <f t="shared" si="1"/>
        <v xml:space="preserve">     -</v>
      </c>
    </row>
    <row r="42" spans="1:19" ht="15" customHeight="1">
      <c r="A42" s="16"/>
      <c r="B42" s="605" t="s">
        <v>439</v>
      </c>
      <c r="C42" s="606"/>
      <c r="D42" s="181">
        <f>'AN-A14'!D42*1.09</f>
        <v>41.42</v>
      </c>
      <c r="E42" s="67">
        <f>'AN-A14'!E42*1.09</f>
        <v>41.42</v>
      </c>
      <c r="F42" s="67">
        <f>'AN-A14'!F42*1.09</f>
        <v>41.42</v>
      </c>
      <c r="G42" s="67">
        <f>'AN-A14'!G42*1.09</f>
        <v>40.330000000000005</v>
      </c>
      <c r="H42" s="67">
        <f>'AN-A14'!H42*1.09</f>
        <v>37.06</v>
      </c>
      <c r="I42" s="67">
        <f>'AN-A14'!I42*1.09</f>
        <v>42.510000000000005</v>
      </c>
      <c r="J42" s="182">
        <f>'AN-A14'!J42*1.09</f>
        <v>2.1800000000000002</v>
      </c>
      <c r="K42" s="183">
        <f>'AN-A14'!K42*1.09</f>
        <v>32.700000000000003</v>
      </c>
      <c r="L42" s="184">
        <f>'AN-A14'!L42*1.09</f>
        <v>38.150000000000006</v>
      </c>
      <c r="M42" s="182">
        <f>'AN-A14'!M42*1.09</f>
        <v>41.42</v>
      </c>
      <c r="N42" s="182">
        <f>'AN-A14'!N42*1.09</f>
        <v>41.42</v>
      </c>
      <c r="O42" s="182">
        <f>'AN-A14'!O42*1.09</f>
        <v>41.42</v>
      </c>
      <c r="P42" s="182">
        <f>'AN-A14'!P42*1.09</f>
        <v>41.42</v>
      </c>
      <c r="Q42" s="185">
        <f>'AN-A14'!Q42*1.09</f>
        <v>41.42</v>
      </c>
      <c r="R42" s="299">
        <f t="shared" si="0"/>
        <v>-3.3</v>
      </c>
      <c r="S42" s="300">
        <f t="shared" si="1"/>
        <v>1.7</v>
      </c>
    </row>
    <row r="43" spans="1:19" ht="15" hidden="1" customHeight="1">
      <c r="A43" s="16"/>
      <c r="B43" s="16"/>
      <c r="C43" s="90" t="s">
        <v>306</v>
      </c>
      <c r="D43" s="181">
        <f>'AN-A14'!D43*1.09</f>
        <v>0</v>
      </c>
      <c r="E43" s="67">
        <f>'AN-A14'!E43*1.09</f>
        <v>0</v>
      </c>
      <c r="F43" s="67">
        <f>'AN-A14'!F43*1.09</f>
        <v>0</v>
      </c>
      <c r="G43" s="67">
        <f>'AN-A14'!G43*1.09</f>
        <v>0</v>
      </c>
      <c r="H43" s="67">
        <f>'AN-A14'!H43*1.09</f>
        <v>0</v>
      </c>
      <c r="I43" s="67">
        <f>'AN-A14'!I43*1.09</f>
        <v>0</v>
      </c>
      <c r="J43" s="67">
        <f>'AN-A14'!J43*1.09</f>
        <v>0</v>
      </c>
      <c r="K43" s="186">
        <f>'AN-A14'!K43*1.09</f>
        <v>0</v>
      </c>
      <c r="L43" s="187">
        <f>'AN-A14'!L43*1.09</f>
        <v>0</v>
      </c>
      <c r="M43" s="67">
        <f>'AN-A14'!M43*1.09</f>
        <v>0</v>
      </c>
      <c r="N43" s="67">
        <f>'AN-A14'!N43*1.09</f>
        <v>0</v>
      </c>
      <c r="O43" s="67">
        <f>'AN-A14'!O43*1.09</f>
        <v>0</v>
      </c>
      <c r="P43" s="67">
        <f>'AN-A14'!P43*1.09</f>
        <v>0</v>
      </c>
      <c r="Q43" s="68">
        <f>'AN-A14'!Q43*1.09</f>
        <v>0</v>
      </c>
      <c r="R43" s="302" t="str">
        <f t="shared" si="0"/>
        <v xml:space="preserve">     -</v>
      </c>
      <c r="S43" s="300" t="str">
        <f t="shared" si="1"/>
        <v xml:space="preserve">     -</v>
      </c>
    </row>
    <row r="44" spans="1:19" ht="15" customHeight="1">
      <c r="A44" s="16"/>
      <c r="B44" s="605" t="s">
        <v>440</v>
      </c>
      <c r="C44" s="606"/>
      <c r="D44" s="181">
        <f>'AN-A14'!D44*1.09</f>
        <v>0</v>
      </c>
      <c r="E44" s="67">
        <f>'AN-A14'!E44*1.09</f>
        <v>0</v>
      </c>
      <c r="F44" s="67">
        <f>'AN-A14'!F44*1.09</f>
        <v>0</v>
      </c>
      <c r="G44" s="67">
        <f>'AN-A14'!G44*1.09</f>
        <v>0</v>
      </c>
      <c r="H44" s="67">
        <f>'AN-A14'!H44*1.09</f>
        <v>0</v>
      </c>
      <c r="I44" s="67">
        <f>'AN-A14'!I44*1.09</f>
        <v>0</v>
      </c>
      <c r="J44" s="67">
        <f>'AN-A14'!J44*1.09</f>
        <v>0</v>
      </c>
      <c r="K44" s="186">
        <f>'AN-A14'!K44*1.09</f>
        <v>0</v>
      </c>
      <c r="L44" s="187">
        <f>'AN-A14'!L44*1.09</f>
        <v>0</v>
      </c>
      <c r="M44" s="67">
        <f>'AN-A14'!M44*1.09</f>
        <v>0</v>
      </c>
      <c r="N44" s="67">
        <f>'AN-A14'!N44*1.09</f>
        <v>0</v>
      </c>
      <c r="O44" s="67">
        <f>'AN-A14'!O44*1.09</f>
        <v>0</v>
      </c>
      <c r="P44" s="67">
        <f>'AN-A14'!P44*1.09</f>
        <v>0</v>
      </c>
      <c r="Q44" s="68">
        <f>'AN-A14'!Q44*1.09</f>
        <v>0</v>
      </c>
      <c r="R44" s="302" t="str">
        <f t="shared" si="0"/>
        <v xml:space="preserve">     -</v>
      </c>
      <c r="S44" s="300" t="str">
        <f t="shared" si="1"/>
        <v xml:space="preserve">     -</v>
      </c>
    </row>
    <row r="45" spans="1:19" ht="15" customHeight="1">
      <c r="A45" s="16"/>
      <c r="B45" s="605" t="s">
        <v>441</v>
      </c>
      <c r="C45" s="606"/>
      <c r="D45" s="181">
        <f>'AN-A14'!D45*1.09</f>
        <v>0</v>
      </c>
      <c r="E45" s="67">
        <f>'AN-A14'!E45*1.09</f>
        <v>0</v>
      </c>
      <c r="F45" s="67">
        <f>'AN-A14'!F45*1.09</f>
        <v>0</v>
      </c>
      <c r="G45" s="67">
        <f>'AN-A14'!G45*1.09</f>
        <v>0</v>
      </c>
      <c r="H45" s="67">
        <f>'AN-A14'!H45*1.09</f>
        <v>0</v>
      </c>
      <c r="I45" s="67">
        <f>'AN-A14'!I45*1.09</f>
        <v>0</v>
      </c>
      <c r="J45" s="67">
        <f>'AN-A14'!J45*1.09</f>
        <v>0</v>
      </c>
      <c r="K45" s="186">
        <f>'AN-A14'!K45*1.09</f>
        <v>0</v>
      </c>
      <c r="L45" s="187">
        <f>'AN-A14'!L45*1.09</f>
        <v>0</v>
      </c>
      <c r="M45" s="67">
        <f>'AN-A14'!M45*1.09</f>
        <v>0</v>
      </c>
      <c r="N45" s="67">
        <f>'AN-A14'!N45*1.09</f>
        <v>0</v>
      </c>
      <c r="O45" s="67">
        <f>'AN-A14'!O45*1.09</f>
        <v>0</v>
      </c>
      <c r="P45" s="67">
        <f>'AN-A14'!P45*1.09</f>
        <v>0</v>
      </c>
      <c r="Q45" s="68">
        <f>'AN-A14'!Q45*1.09</f>
        <v>0</v>
      </c>
      <c r="R45" s="302" t="str">
        <f t="shared" si="0"/>
        <v xml:space="preserve">     -</v>
      </c>
      <c r="S45" s="300" t="str">
        <f t="shared" si="1"/>
        <v xml:space="preserve">     -</v>
      </c>
    </row>
    <row r="46" spans="1:19" ht="15" customHeight="1">
      <c r="A46" s="16"/>
      <c r="B46" s="605" t="s">
        <v>442</v>
      </c>
      <c r="C46" s="606"/>
      <c r="D46" s="181">
        <f>'AN-A14'!D46*1.09</f>
        <v>0</v>
      </c>
      <c r="E46" s="67">
        <f>'AN-A14'!E46*1.09</f>
        <v>0</v>
      </c>
      <c r="F46" s="67">
        <f>'AN-A14'!F46*1.09</f>
        <v>0</v>
      </c>
      <c r="G46" s="67">
        <f>'AN-A14'!G46*1.09</f>
        <v>0</v>
      </c>
      <c r="H46" s="67">
        <f>'AN-A14'!H46*1.09</f>
        <v>0</v>
      </c>
      <c r="I46" s="67">
        <f>'AN-A14'!I46*1.09</f>
        <v>0</v>
      </c>
      <c r="J46" s="67">
        <f>'AN-A14'!J46*1.09</f>
        <v>0</v>
      </c>
      <c r="K46" s="186">
        <f>'AN-A14'!K46*1.09</f>
        <v>0</v>
      </c>
      <c r="L46" s="187">
        <f>'AN-A14'!L46*1.09</f>
        <v>0</v>
      </c>
      <c r="M46" s="67">
        <f>'AN-A14'!M46*1.09</f>
        <v>0</v>
      </c>
      <c r="N46" s="67">
        <f>'AN-A14'!N46*1.09</f>
        <v>0</v>
      </c>
      <c r="O46" s="67">
        <f>'AN-A14'!O46*1.09</f>
        <v>0</v>
      </c>
      <c r="P46" s="67">
        <f>'AN-A14'!P46*1.09</f>
        <v>0</v>
      </c>
      <c r="Q46" s="68">
        <f>'AN-A14'!Q46*1.09</f>
        <v>0</v>
      </c>
      <c r="R46" s="302" t="str">
        <f t="shared" si="0"/>
        <v xml:space="preserve">     -</v>
      </c>
      <c r="S46" s="300" t="str">
        <f t="shared" si="1"/>
        <v xml:space="preserve">     -</v>
      </c>
    </row>
    <row r="47" spans="1:19" ht="15" customHeight="1">
      <c r="A47" s="16"/>
      <c r="B47" s="607" t="s">
        <v>443</v>
      </c>
      <c r="C47" s="608"/>
      <c r="D47" s="188">
        <f>'AN-A14'!D47*1.09</f>
        <v>722.67000000000007</v>
      </c>
      <c r="E47" s="182">
        <f>'AN-A14'!E47*1.09</f>
        <v>798.75199999999995</v>
      </c>
      <c r="F47" s="182">
        <f>'AN-A14'!F47*1.09</f>
        <v>603.75099999999998</v>
      </c>
      <c r="G47" s="182">
        <f>'AN-A14'!G47*1.09</f>
        <v>564.51099999999997</v>
      </c>
      <c r="H47" s="182">
        <f>'AN-A14'!H47*1.09</f>
        <v>513.93500000000006</v>
      </c>
      <c r="I47" s="182">
        <f>'AN-A14'!I47*1.09</f>
        <v>479.49099999999999</v>
      </c>
      <c r="J47" s="182">
        <f>'AN-A14'!J47*1.09</f>
        <v>457.47300000000001</v>
      </c>
      <c r="K47" s="183">
        <f>'AN-A14'!K47*1.09</f>
        <v>474.041</v>
      </c>
      <c r="L47" s="184">
        <f>'AN-A14'!L47*1.09</f>
        <v>519.7120000000001</v>
      </c>
      <c r="M47" s="182">
        <f>'AN-A14'!M47*1.09</f>
        <v>492.68000000000006</v>
      </c>
      <c r="N47" s="182">
        <f>'AN-A14'!N47*1.09</f>
        <v>493.77000000000004</v>
      </c>
      <c r="O47" s="182">
        <f>'AN-A14'!O47*1.09</f>
        <v>492.68000000000006</v>
      </c>
      <c r="P47" s="182">
        <f>'AN-A14'!P47*1.09</f>
        <v>493.77000000000004</v>
      </c>
      <c r="Q47" s="185">
        <f>'AN-A14'!Q47*1.09</f>
        <v>492.68000000000006</v>
      </c>
      <c r="R47" s="299">
        <f t="shared" si="0"/>
        <v>-5.8</v>
      </c>
      <c r="S47" s="300">
        <f t="shared" si="1"/>
        <v>-1.1000000000000001</v>
      </c>
    </row>
    <row r="48" spans="1:19" ht="15.75" customHeight="1">
      <c r="A48" s="16"/>
      <c r="B48" s="674" t="s">
        <v>307</v>
      </c>
      <c r="C48" s="675"/>
      <c r="D48" s="189">
        <f>'AN-A14'!D48*1.09</f>
        <v>3012.76</v>
      </c>
      <c r="E48" s="190">
        <f>'AN-A14'!E48*1.09</f>
        <v>3116.0920000000006</v>
      </c>
      <c r="F48" s="190">
        <f>'AN-A14'!F48*1.09</f>
        <v>3000.6610000000005</v>
      </c>
      <c r="G48" s="190">
        <f>'AN-A14'!G48*1.09</f>
        <v>3352.8487200000004</v>
      </c>
      <c r="H48" s="190">
        <f>'AN-A14'!H48*1.09</f>
        <v>3411.1550000000002</v>
      </c>
      <c r="I48" s="190">
        <f>'AN-A14'!I48*1.09</f>
        <v>3634.0787480000004</v>
      </c>
      <c r="J48" s="190">
        <f>'AN-A14'!J48*1.09</f>
        <v>3834.2930000000001</v>
      </c>
      <c r="K48" s="191">
        <f>'AN-A14'!K48*1.09</f>
        <v>4087.7975700000006</v>
      </c>
      <c r="L48" s="192">
        <f>'AN-A14'!L48*1.09</f>
        <v>4228.2985700000008</v>
      </c>
      <c r="M48" s="190">
        <f>'AN-A14'!M48*1.09</f>
        <v>4373.48657</v>
      </c>
      <c r="N48" s="190">
        <f>'AN-A14'!N48*1.09</f>
        <v>4581.6765699999996</v>
      </c>
      <c r="O48" s="190">
        <f>'AN-A14'!O48*1.09</f>
        <v>4754.98657</v>
      </c>
      <c r="P48" s="190">
        <f>'AN-A14'!P48*1.09</f>
        <v>4843.27657</v>
      </c>
      <c r="Q48" s="193">
        <f>'AN-A14'!Q48*1.09</f>
        <v>4880.3365699999995</v>
      </c>
      <c r="R48" s="303">
        <f t="shared" si="0"/>
        <v>4.5</v>
      </c>
      <c r="S48" s="304">
        <f t="shared" si="1"/>
        <v>2.9</v>
      </c>
    </row>
    <row r="49" spans="1:19" ht="15.75" customHeight="1">
      <c r="A49" s="16"/>
      <c r="B49" s="672" t="s">
        <v>308</v>
      </c>
      <c r="C49" s="673"/>
      <c r="D49" s="194">
        <f>'AN-A14'!D49*1.09</f>
        <v>0</v>
      </c>
      <c r="E49" s="195">
        <f>'AN-A14'!E49*1.09</f>
        <v>0</v>
      </c>
      <c r="F49" s="195">
        <f>'AN-A14'!F49*1.09</f>
        <v>0</v>
      </c>
      <c r="G49" s="195">
        <f>'AN-A14'!G49*1.09</f>
        <v>0</v>
      </c>
      <c r="H49" s="195">
        <f>'AN-A14'!H49*1.09</f>
        <v>0</v>
      </c>
      <c r="I49" s="195">
        <f>'AN-A14'!I49*1.09</f>
        <v>0</v>
      </c>
      <c r="J49" s="195">
        <f>'AN-A14'!J49*1.09</f>
        <v>0</v>
      </c>
      <c r="K49" s="196">
        <f>'AN-A14'!K49*1.09</f>
        <v>0</v>
      </c>
      <c r="L49" s="197">
        <f>'AN-A14'!L49*1.09</f>
        <v>0</v>
      </c>
      <c r="M49" s="195">
        <f>'AN-A14'!M49*1.09</f>
        <v>0</v>
      </c>
      <c r="N49" s="195">
        <f>'AN-A14'!N49*1.09</f>
        <v>0</v>
      </c>
      <c r="O49" s="195">
        <f>'AN-A14'!O49*1.09</f>
        <v>0</v>
      </c>
      <c r="P49" s="195">
        <f>'AN-A14'!P49*1.09</f>
        <v>0.49050000000000005</v>
      </c>
      <c r="Q49" s="198">
        <f>'AN-A14'!Q49*1.09</f>
        <v>0</v>
      </c>
      <c r="R49" s="305" t="str">
        <f t="shared" si="0"/>
        <v xml:space="preserve">     -</v>
      </c>
      <c r="S49" s="304" t="str">
        <f t="shared" si="1"/>
        <v xml:space="preserve">     -</v>
      </c>
    </row>
    <row r="50" spans="1:19" ht="15" customHeight="1">
      <c r="A50" s="16"/>
      <c r="B50" s="105"/>
      <c r="C50" s="97" t="s">
        <v>309</v>
      </c>
      <c r="D50" s="194">
        <f>'AN-A14'!D50*1.09</f>
        <v>0</v>
      </c>
      <c r="E50" s="195">
        <f>'AN-A14'!E50*1.09</f>
        <v>0</v>
      </c>
      <c r="F50" s="195">
        <f>'AN-A14'!F50*1.09</f>
        <v>0</v>
      </c>
      <c r="G50" s="195">
        <f>'AN-A14'!G50*1.09</f>
        <v>0</v>
      </c>
      <c r="H50" s="195">
        <f>'AN-A14'!H50*1.09</f>
        <v>0</v>
      </c>
      <c r="I50" s="195">
        <f>'AN-A14'!I50*1.09</f>
        <v>0</v>
      </c>
      <c r="J50" s="195">
        <f>'AN-A14'!J50*1.09</f>
        <v>0</v>
      </c>
      <c r="K50" s="196">
        <f>'AN-A14'!K50*1.09</f>
        <v>0</v>
      </c>
      <c r="L50" s="197">
        <f>'AN-A14'!L50*1.09</f>
        <v>0</v>
      </c>
      <c r="M50" s="195">
        <f>'AN-A14'!M50*1.09</f>
        <v>0</v>
      </c>
      <c r="N50" s="195">
        <f>'AN-A14'!N50*1.09</f>
        <v>0</v>
      </c>
      <c r="O50" s="195">
        <f>'AN-A14'!O50*1.09</f>
        <v>0</v>
      </c>
      <c r="P50" s="195">
        <f>'AN-A14'!P50*1.09</f>
        <v>0.49050000000000005</v>
      </c>
      <c r="Q50" s="198">
        <f>'AN-A14'!Q50*1.09</f>
        <v>0</v>
      </c>
      <c r="R50" s="305" t="str">
        <f t="shared" si="0"/>
        <v xml:space="preserve">     -</v>
      </c>
      <c r="S50" s="304" t="str">
        <f t="shared" si="1"/>
        <v xml:space="preserve">     -</v>
      </c>
    </row>
    <row r="51" spans="1:19" ht="15.75" customHeight="1">
      <c r="A51" s="16"/>
      <c r="B51" s="672" t="s">
        <v>310</v>
      </c>
      <c r="C51" s="673"/>
      <c r="D51" s="181">
        <f>'AN-A14'!D51*1.09</f>
        <v>861.1</v>
      </c>
      <c r="E51" s="67">
        <f>'AN-A14'!E51*1.09</f>
        <v>740.68015384615387</v>
      </c>
      <c r="F51" s="67">
        <f>'AN-A14'!F51*1.09</f>
        <v>773.90000000000009</v>
      </c>
      <c r="G51" s="67">
        <f>'AN-A14'!G51*1.09</f>
        <v>741.2</v>
      </c>
      <c r="H51" s="182">
        <f>'AN-A14'!H51*1.09</f>
        <v>741.2</v>
      </c>
      <c r="I51" s="182">
        <f>'AN-A14'!I51*1.09</f>
        <v>737.93000000000006</v>
      </c>
      <c r="J51" s="182">
        <f>'AN-A14'!J51*1.09</f>
        <v>828.40000000000009</v>
      </c>
      <c r="K51" s="183">
        <f>'AN-A14'!K51*1.09</f>
        <v>828.40000000000009</v>
      </c>
      <c r="L51" s="184">
        <f>'AN-A14'!L51*1.09</f>
        <v>833.85</v>
      </c>
      <c r="M51" s="182">
        <f>'AN-A14'!M51*1.09</f>
        <v>839.30000000000007</v>
      </c>
      <c r="N51" s="182">
        <f>'AN-A14'!N51*1.09</f>
        <v>844.75000000000011</v>
      </c>
      <c r="O51" s="182">
        <f>'AN-A14'!O51*1.09</f>
        <v>850.2</v>
      </c>
      <c r="P51" s="182">
        <f>'AN-A14'!P51*1.09</f>
        <v>850.2</v>
      </c>
      <c r="Q51" s="185">
        <f>'AN-A14'!Q51*1.09</f>
        <v>850.2</v>
      </c>
      <c r="R51" s="299">
        <f t="shared" si="0"/>
        <v>-0.6</v>
      </c>
      <c r="S51" s="300">
        <f t="shared" si="1"/>
        <v>0.4</v>
      </c>
    </row>
    <row r="52" spans="1:19" ht="15" customHeight="1">
      <c r="A52" s="16"/>
      <c r="B52" s="105"/>
      <c r="C52" s="615" t="s">
        <v>311</v>
      </c>
      <c r="D52" s="194">
        <f>'AN-A14'!D52*1.09</f>
        <v>850.2</v>
      </c>
      <c r="E52" s="195">
        <f>'AN-A14'!E52*1.09</f>
        <v>735.75</v>
      </c>
      <c r="F52" s="195">
        <f>'AN-A14'!F52*1.09</f>
        <v>773.90000000000009</v>
      </c>
      <c r="G52" s="195">
        <f>'AN-A14'!G52*1.09</f>
        <v>741.2</v>
      </c>
      <c r="H52" s="190">
        <f>'AN-A14'!H52*1.09</f>
        <v>741.2</v>
      </c>
      <c r="I52" s="190">
        <f>'AN-A14'!I52*1.09</f>
        <v>737.93000000000006</v>
      </c>
      <c r="J52" s="190">
        <f>'AN-A14'!J52*1.09</f>
        <v>828.40000000000009</v>
      </c>
      <c r="K52" s="191">
        <f>'AN-A14'!K52*1.09</f>
        <v>828.40000000000009</v>
      </c>
      <c r="L52" s="192">
        <f>'AN-A14'!L52*1.09</f>
        <v>833.85</v>
      </c>
      <c r="M52" s="190">
        <f>'AN-A14'!M52*1.09</f>
        <v>839.30000000000007</v>
      </c>
      <c r="N52" s="190">
        <f>'AN-A14'!N52*1.09</f>
        <v>844.75000000000011</v>
      </c>
      <c r="O52" s="190">
        <f>'AN-A14'!O52*1.09</f>
        <v>850.2</v>
      </c>
      <c r="P52" s="190">
        <f>'AN-A14'!P52*1.09</f>
        <v>850.2</v>
      </c>
      <c r="Q52" s="193">
        <f>'AN-A14'!Q52*1.09</f>
        <v>850.2</v>
      </c>
      <c r="R52" s="303">
        <f t="shared" si="0"/>
        <v>-0.4</v>
      </c>
      <c r="S52" s="304">
        <f t="shared" si="1"/>
        <v>0.4</v>
      </c>
    </row>
    <row r="53" spans="1:19" ht="15.75" customHeight="1">
      <c r="A53" s="16"/>
      <c r="B53" s="672" t="s">
        <v>312</v>
      </c>
      <c r="C53" s="673"/>
      <c r="D53" s="181">
        <f>'AN-A14'!D53*1.09</f>
        <v>0</v>
      </c>
      <c r="E53" s="67">
        <f>'AN-A14'!E53*1.09</f>
        <v>93.740000000000009</v>
      </c>
      <c r="F53" s="67">
        <f>'AN-A14'!F53*1.09</f>
        <v>93.740000000000009</v>
      </c>
      <c r="G53" s="67">
        <f>'AN-A14'!G53*1.09</f>
        <v>93.740000000000009</v>
      </c>
      <c r="H53" s="67">
        <f>'AN-A14'!H53*1.09</f>
        <v>93.740000000000009</v>
      </c>
      <c r="I53" s="67">
        <f>'AN-A14'!I53*1.09</f>
        <v>93.740000000000009</v>
      </c>
      <c r="J53" s="67">
        <f>'AN-A14'!J53*1.09</f>
        <v>98.100000000000009</v>
      </c>
      <c r="K53" s="186">
        <f>'AN-A14'!K53*1.09</f>
        <v>98.100000000000009</v>
      </c>
      <c r="L53" s="187">
        <f>'AN-A14'!L53*1.09</f>
        <v>98.100000000000009</v>
      </c>
      <c r="M53" s="67">
        <f>'AN-A14'!M53*1.09</f>
        <v>98.100000000000009</v>
      </c>
      <c r="N53" s="67">
        <f>'AN-A14'!N53*1.09</f>
        <v>98.100000000000009</v>
      </c>
      <c r="O53" s="67">
        <f>'AN-A14'!O53*1.09</f>
        <v>98.100000000000009</v>
      </c>
      <c r="P53" s="67">
        <f>'AN-A14'!P53*1.09</f>
        <v>98.100000000000009</v>
      </c>
      <c r="Q53" s="68">
        <f>'AN-A14'!Q53*1.09</f>
        <v>98.100000000000009</v>
      </c>
      <c r="R53" s="302" t="str">
        <f t="shared" si="0"/>
        <v xml:space="preserve">     -</v>
      </c>
      <c r="S53" s="300">
        <f t="shared" si="1"/>
        <v>0</v>
      </c>
    </row>
    <row r="54" spans="1:19" ht="15" customHeight="1">
      <c r="A54" s="16"/>
      <c r="B54" s="16"/>
      <c r="C54" s="615" t="s">
        <v>313</v>
      </c>
      <c r="D54" s="194">
        <f>'AN-A14'!D54*1.09</f>
        <v>0</v>
      </c>
      <c r="E54" s="195">
        <f>'AN-A14'!E54*1.09</f>
        <v>0</v>
      </c>
      <c r="F54" s="195">
        <f>'AN-A14'!F54*1.09</f>
        <v>0</v>
      </c>
      <c r="G54" s="195">
        <f>'AN-A14'!G54*1.09</f>
        <v>0</v>
      </c>
      <c r="H54" s="190">
        <f>'AN-A14'!H54*1.09</f>
        <v>0</v>
      </c>
      <c r="I54" s="190">
        <f>'AN-A14'!I54*1.09</f>
        <v>0</v>
      </c>
      <c r="J54" s="190">
        <f>'AN-A14'!J54*1.09</f>
        <v>0</v>
      </c>
      <c r="K54" s="191">
        <f>'AN-A14'!K54*1.09</f>
        <v>0</v>
      </c>
      <c r="L54" s="192">
        <f>'AN-A14'!L54*1.09</f>
        <v>0</v>
      </c>
      <c r="M54" s="190">
        <f>'AN-A14'!M54*1.09</f>
        <v>0</v>
      </c>
      <c r="N54" s="190">
        <f>'AN-A14'!N54*1.09</f>
        <v>0</v>
      </c>
      <c r="O54" s="190">
        <f>'AN-A14'!O54*1.09</f>
        <v>0</v>
      </c>
      <c r="P54" s="190">
        <f>'AN-A14'!P54*1.09</f>
        <v>0</v>
      </c>
      <c r="Q54" s="193">
        <f>'AN-A14'!Q54*1.09</f>
        <v>0</v>
      </c>
      <c r="R54" s="303" t="str">
        <f t="shared" si="0"/>
        <v xml:space="preserve">     -</v>
      </c>
      <c r="S54" s="304" t="str">
        <f t="shared" si="1"/>
        <v xml:space="preserve">     -</v>
      </c>
    </row>
    <row r="55" spans="1:19" ht="15.75" customHeight="1">
      <c r="A55" s="16"/>
      <c r="B55" s="674" t="s">
        <v>314</v>
      </c>
      <c r="C55" s="675"/>
      <c r="D55" s="194">
        <f>'AN-A14'!D55*1.09</f>
        <v>0</v>
      </c>
      <c r="E55" s="195">
        <f>'AN-A14'!E55*1.09</f>
        <v>0</v>
      </c>
      <c r="F55" s="195">
        <f>'AN-A14'!F55*1.09</f>
        <v>0</v>
      </c>
      <c r="G55" s="195">
        <f>'AN-A14'!G55*1.09</f>
        <v>0</v>
      </c>
      <c r="H55" s="190">
        <f>'AN-A14'!H55*1.09</f>
        <v>0</v>
      </c>
      <c r="I55" s="190">
        <f>'AN-A14'!I55*1.09</f>
        <v>0</v>
      </c>
      <c r="J55" s="190">
        <f>'AN-A14'!J55*1.09</f>
        <v>0</v>
      </c>
      <c r="K55" s="191">
        <f>'AN-A14'!K55*1.09</f>
        <v>0</v>
      </c>
      <c r="L55" s="192">
        <f>'AN-A14'!L55*1.09</f>
        <v>0</v>
      </c>
      <c r="M55" s="190">
        <f>'AN-A14'!M55*1.09</f>
        <v>0</v>
      </c>
      <c r="N55" s="190">
        <f>'AN-A14'!N55*1.09</f>
        <v>0</v>
      </c>
      <c r="O55" s="190">
        <f>'AN-A14'!O55*1.09</f>
        <v>0</v>
      </c>
      <c r="P55" s="190">
        <f>'AN-A14'!P55*1.09</f>
        <v>0</v>
      </c>
      <c r="Q55" s="193">
        <f>'AN-A14'!Q55*1.09</f>
        <v>0</v>
      </c>
      <c r="R55" s="303" t="str">
        <f t="shared" si="0"/>
        <v xml:space="preserve">     -</v>
      </c>
      <c r="S55" s="304" t="str">
        <f t="shared" si="1"/>
        <v xml:space="preserve">     -</v>
      </c>
    </row>
    <row r="56" spans="1:19" ht="15.75" customHeight="1">
      <c r="A56" s="16"/>
      <c r="B56" s="674" t="s">
        <v>315</v>
      </c>
      <c r="C56" s="675"/>
      <c r="D56" s="189">
        <f>'AN-A14'!D56*1.09</f>
        <v>218.00000000000003</v>
      </c>
      <c r="E56" s="190">
        <f>'AN-A14'!E56*1.09</f>
        <v>250.70000000000002</v>
      </c>
      <c r="F56" s="190">
        <f>'AN-A14'!F56*1.09</f>
        <v>259.22380000000004</v>
      </c>
      <c r="G56" s="190">
        <f>'AN-A14'!G56*1.09</f>
        <v>262.59370940000002</v>
      </c>
      <c r="H56" s="190">
        <f>'AN-A14'!H56*1.09</f>
        <v>264.43186536579998</v>
      </c>
      <c r="I56" s="190">
        <f>'AN-A14'!I56*1.09</f>
        <v>252.88000000000002</v>
      </c>
      <c r="J56" s="190">
        <f>'AN-A14'!J56*1.09</f>
        <v>237.62</v>
      </c>
      <c r="K56" s="191">
        <f>'AN-A14'!K56*1.09</f>
        <v>310.65000000000003</v>
      </c>
      <c r="L56" s="192">
        <f>'AN-A14'!L56*1.09</f>
        <v>354.25</v>
      </c>
      <c r="M56" s="190">
        <f>'AN-A14'!M56*1.09</f>
        <v>354.25</v>
      </c>
      <c r="N56" s="190">
        <f>'AN-A14'!N56*1.09</f>
        <v>354.25</v>
      </c>
      <c r="O56" s="190">
        <f>'AN-A14'!O56*1.09</f>
        <v>354.25</v>
      </c>
      <c r="P56" s="190">
        <f>'AN-A14'!P56*1.09</f>
        <v>354.25</v>
      </c>
      <c r="Q56" s="193">
        <f>'AN-A14'!Q56*1.09</f>
        <v>354.25</v>
      </c>
      <c r="R56" s="303">
        <f t="shared" si="0"/>
        <v>5.2</v>
      </c>
      <c r="S56" s="304">
        <f t="shared" si="1"/>
        <v>0</v>
      </c>
    </row>
    <row r="57" spans="1:19" ht="15" customHeight="1">
      <c r="A57" s="16"/>
      <c r="B57" s="672" t="s">
        <v>316</v>
      </c>
      <c r="C57" s="673"/>
      <c r="D57" s="181">
        <f>'AN-A14'!D57*1.09</f>
        <v>962.47</v>
      </c>
      <c r="E57" s="67">
        <f>'AN-A14'!E57*1.09</f>
        <v>962.47</v>
      </c>
      <c r="F57" s="67">
        <f>'AN-A14'!F57*1.09</f>
        <v>1030.0500000000002</v>
      </c>
      <c r="G57" s="67">
        <f>'AN-A14'!G57*1.09</f>
        <v>1030.0500000000002</v>
      </c>
      <c r="H57" s="67">
        <f>'AN-A14'!H57*1.09</f>
        <v>1030.0500000000002</v>
      </c>
      <c r="I57" s="182">
        <f>'AN-A14'!I57*1.09</f>
        <v>1030.0500000000002</v>
      </c>
      <c r="J57" s="182">
        <f>'AN-A14'!J57*1.09</f>
        <v>1084.5500000000002</v>
      </c>
      <c r="K57" s="183">
        <f>'AN-A14'!K57*1.09</f>
        <v>1202.27</v>
      </c>
      <c r="L57" s="184">
        <f>'AN-A14'!L57*1.09</f>
        <v>1202.27</v>
      </c>
      <c r="M57" s="182">
        <f>'AN-A14'!M57*1.09</f>
        <v>1202.27</v>
      </c>
      <c r="N57" s="182">
        <f>'AN-A14'!N57*1.09</f>
        <v>1202.27</v>
      </c>
      <c r="O57" s="182">
        <f>'AN-A14'!O57*1.09</f>
        <v>1202.27</v>
      </c>
      <c r="P57" s="182">
        <f>'AN-A14'!P57*1.09</f>
        <v>1202.27</v>
      </c>
      <c r="Q57" s="185">
        <f>'AN-A14'!Q57*1.09</f>
        <v>1202.27</v>
      </c>
      <c r="R57" s="299">
        <f t="shared" si="0"/>
        <v>3.2</v>
      </c>
      <c r="S57" s="300">
        <f t="shared" si="1"/>
        <v>0</v>
      </c>
    </row>
    <row r="58" spans="1:19" ht="15" customHeight="1">
      <c r="A58" s="16"/>
      <c r="B58" s="670" t="s">
        <v>317</v>
      </c>
      <c r="C58" s="671"/>
      <c r="D58" s="181">
        <f>'AN-A14'!D58*1.09</f>
        <v>0</v>
      </c>
      <c r="E58" s="67">
        <f>'AN-A14'!E58*1.09</f>
        <v>0</v>
      </c>
      <c r="F58" s="67">
        <f>'AN-A14'!F58*1.09</f>
        <v>0</v>
      </c>
      <c r="G58" s="67">
        <f>'AN-A14'!G58*1.09</f>
        <v>0</v>
      </c>
      <c r="H58" s="67">
        <f>'AN-A14'!H58*1.09</f>
        <v>0</v>
      </c>
      <c r="I58" s="182">
        <f>'AN-A14'!I58*1.09</f>
        <v>0</v>
      </c>
      <c r="J58" s="182">
        <f>'AN-A14'!J58*1.09</f>
        <v>0</v>
      </c>
      <c r="K58" s="183">
        <f>'AN-A14'!K58*1.09</f>
        <v>0</v>
      </c>
      <c r="L58" s="184">
        <f>'AN-A14'!L58*1.09</f>
        <v>0</v>
      </c>
      <c r="M58" s="182">
        <f>'AN-A14'!M58*1.09</f>
        <v>0</v>
      </c>
      <c r="N58" s="182">
        <f>'AN-A14'!N58*1.09</f>
        <v>0</v>
      </c>
      <c r="O58" s="182">
        <f>'AN-A14'!O58*1.09</f>
        <v>0</v>
      </c>
      <c r="P58" s="182">
        <f>'AN-A14'!P58*1.09</f>
        <v>0</v>
      </c>
      <c r="Q58" s="185">
        <f>'AN-A14'!Q58*1.09</f>
        <v>0</v>
      </c>
      <c r="R58" s="299" t="str">
        <f t="shared" si="0"/>
        <v xml:space="preserve">     -</v>
      </c>
      <c r="S58" s="300" t="str">
        <f t="shared" si="1"/>
        <v xml:space="preserve">     -</v>
      </c>
    </row>
    <row r="59" spans="1:19" ht="15.75" customHeight="1">
      <c r="A59" s="16"/>
      <c r="B59" s="674" t="s">
        <v>318</v>
      </c>
      <c r="C59" s="675"/>
      <c r="D59" s="189">
        <f>'AN-A14'!D59*1.09</f>
        <v>962.47</v>
      </c>
      <c r="E59" s="190">
        <f>'AN-A14'!E59*1.09</f>
        <v>962.47</v>
      </c>
      <c r="F59" s="190">
        <f>'AN-A14'!F59*1.09</f>
        <v>1030.0500000000002</v>
      </c>
      <c r="G59" s="190">
        <f>'AN-A14'!G59*1.09</f>
        <v>1030.0500000000002</v>
      </c>
      <c r="H59" s="190">
        <f>'AN-A14'!H59*1.09</f>
        <v>1030.0500000000002</v>
      </c>
      <c r="I59" s="190">
        <f>'AN-A14'!I59*1.09</f>
        <v>1030.0500000000002</v>
      </c>
      <c r="J59" s="190">
        <f>'AN-A14'!J59*1.09</f>
        <v>1084.5500000000002</v>
      </c>
      <c r="K59" s="191">
        <f>'AN-A14'!K59*1.09</f>
        <v>1202.27</v>
      </c>
      <c r="L59" s="192">
        <f>'AN-A14'!L59*1.09</f>
        <v>1202.27</v>
      </c>
      <c r="M59" s="190">
        <f>'AN-A14'!M59*1.09</f>
        <v>1202.27</v>
      </c>
      <c r="N59" s="190">
        <f>'AN-A14'!N59*1.09</f>
        <v>1202.27</v>
      </c>
      <c r="O59" s="190">
        <f>'AN-A14'!O59*1.09</f>
        <v>1202.27</v>
      </c>
      <c r="P59" s="190">
        <f>'AN-A14'!P59*1.09</f>
        <v>1202.27</v>
      </c>
      <c r="Q59" s="193">
        <f>'AN-A14'!Q59*1.09</f>
        <v>1202.27</v>
      </c>
      <c r="R59" s="303">
        <f t="shared" si="0"/>
        <v>3.2</v>
      </c>
      <c r="S59" s="304">
        <f t="shared" si="1"/>
        <v>0</v>
      </c>
    </row>
    <row r="60" spans="1:19" ht="15" customHeight="1">
      <c r="A60" s="16"/>
      <c r="B60" s="672" t="s">
        <v>319</v>
      </c>
      <c r="C60" s="673"/>
      <c r="D60" s="181">
        <f>'AN-A14'!D60*1.09</f>
        <v>59.95</v>
      </c>
      <c r="E60" s="67">
        <f>'AN-A14'!E60*1.09</f>
        <v>59.95</v>
      </c>
      <c r="F60" s="67">
        <f>'AN-A14'!F60*1.09</f>
        <v>59.95</v>
      </c>
      <c r="G60" s="67">
        <f>'AN-A14'!G60*1.09</f>
        <v>59.95</v>
      </c>
      <c r="H60" s="67">
        <f>'AN-A14'!H60*1.09</f>
        <v>59.95</v>
      </c>
      <c r="I60" s="182">
        <f>'AN-A14'!I60*1.09</f>
        <v>59.95</v>
      </c>
      <c r="J60" s="182">
        <f>'AN-A14'!J60*1.09</f>
        <v>37.06</v>
      </c>
      <c r="K60" s="183">
        <f>'AN-A14'!K60*1.09</f>
        <v>0</v>
      </c>
      <c r="L60" s="184">
        <f>'AN-A14'!L60*1.09</f>
        <v>0</v>
      </c>
      <c r="M60" s="182">
        <f>'AN-A14'!M60*1.09</f>
        <v>0</v>
      </c>
      <c r="N60" s="182">
        <f>'AN-A14'!N60*1.09</f>
        <v>0</v>
      </c>
      <c r="O60" s="182">
        <f>'AN-A14'!O60*1.09</f>
        <v>0</v>
      </c>
      <c r="P60" s="182">
        <f>'AN-A14'!P60*1.09</f>
        <v>0</v>
      </c>
      <c r="Q60" s="185">
        <f>'AN-A14'!Q60*1.09</f>
        <v>0</v>
      </c>
      <c r="R60" s="299" t="str">
        <f t="shared" si="0"/>
        <v xml:space="preserve">     -</v>
      </c>
      <c r="S60" s="300" t="str">
        <f t="shared" si="1"/>
        <v xml:space="preserve">     -</v>
      </c>
    </row>
    <row r="61" spans="1:19" ht="15" customHeight="1">
      <c r="A61" s="16"/>
      <c r="B61" s="668" t="s">
        <v>320</v>
      </c>
      <c r="C61" s="669"/>
      <c r="D61" s="181">
        <f>'AN-A14'!D61*1.09</f>
        <v>95.92</v>
      </c>
      <c r="E61" s="67">
        <f>'AN-A14'!E61*1.09</f>
        <v>92.65</v>
      </c>
      <c r="F61" s="67">
        <f>'AN-A14'!F61*1.09</f>
        <v>92.65</v>
      </c>
      <c r="G61" s="67">
        <f>'AN-A14'!G61*1.09</f>
        <v>92.65</v>
      </c>
      <c r="H61" s="67">
        <f>'AN-A14'!H61*1.09</f>
        <v>92.65</v>
      </c>
      <c r="I61" s="182">
        <f>'AN-A14'!I61*1.09</f>
        <v>92.65</v>
      </c>
      <c r="J61" s="182">
        <f>'AN-A14'!J61*1.09</f>
        <v>92.65</v>
      </c>
      <c r="K61" s="183">
        <f>'AN-A14'!K61*1.09</f>
        <v>92.65</v>
      </c>
      <c r="L61" s="184">
        <f>'AN-A14'!L61*1.09</f>
        <v>92.65</v>
      </c>
      <c r="M61" s="182">
        <f>'AN-A14'!M61*1.09</f>
        <v>92.65</v>
      </c>
      <c r="N61" s="182">
        <f>'AN-A14'!N61*1.09</f>
        <v>92.65</v>
      </c>
      <c r="O61" s="182">
        <f>'AN-A14'!O61*1.09</f>
        <v>92.65</v>
      </c>
      <c r="P61" s="182">
        <f>'AN-A14'!P61*1.09</f>
        <v>92.65</v>
      </c>
      <c r="Q61" s="185">
        <f>'AN-A14'!Q61*1.09</f>
        <v>92.65</v>
      </c>
      <c r="R61" s="299">
        <f t="shared" si="0"/>
        <v>-0.5</v>
      </c>
      <c r="S61" s="300">
        <f t="shared" si="1"/>
        <v>0</v>
      </c>
    </row>
    <row r="62" spans="1:19" ht="15" customHeight="1">
      <c r="A62" s="16"/>
      <c r="B62" s="670" t="s">
        <v>321</v>
      </c>
      <c r="C62" s="671"/>
      <c r="D62" s="181">
        <f>'AN-A14'!D62*1.09</f>
        <v>0</v>
      </c>
      <c r="E62" s="67">
        <f>'AN-A14'!E62*1.09</f>
        <v>0</v>
      </c>
      <c r="F62" s="67">
        <f>'AN-A14'!F62*1.09</f>
        <v>0</v>
      </c>
      <c r="G62" s="67">
        <f>'AN-A14'!G62*1.09</f>
        <v>0</v>
      </c>
      <c r="H62" s="67">
        <f>'AN-A14'!H62*1.09</f>
        <v>0</v>
      </c>
      <c r="I62" s="182">
        <f>'AN-A14'!I62*1.09</f>
        <v>0</v>
      </c>
      <c r="J62" s="182">
        <f>'AN-A14'!J62*1.09</f>
        <v>0</v>
      </c>
      <c r="K62" s="183">
        <f>'AN-A14'!K62*1.09</f>
        <v>0</v>
      </c>
      <c r="L62" s="184">
        <f>'AN-A14'!L62*1.09</f>
        <v>0</v>
      </c>
      <c r="M62" s="182">
        <f>'AN-A14'!M62*1.09</f>
        <v>0</v>
      </c>
      <c r="N62" s="182">
        <f>'AN-A14'!N62*1.09</f>
        <v>0</v>
      </c>
      <c r="O62" s="182">
        <f>'AN-A14'!O62*1.09</f>
        <v>0</v>
      </c>
      <c r="P62" s="182">
        <f>'AN-A14'!P62*1.09</f>
        <v>0</v>
      </c>
      <c r="Q62" s="185">
        <f>'AN-A14'!Q62*1.09</f>
        <v>0</v>
      </c>
      <c r="R62" s="299" t="str">
        <f t="shared" si="0"/>
        <v xml:space="preserve">     -</v>
      </c>
      <c r="S62" s="300" t="str">
        <f t="shared" si="1"/>
        <v xml:space="preserve">     -</v>
      </c>
    </row>
    <row r="63" spans="1:19" ht="15.75" customHeight="1" thickBot="1">
      <c r="A63" s="16"/>
      <c r="B63" s="678" t="s">
        <v>322</v>
      </c>
      <c r="C63" s="679"/>
      <c r="D63" s="199">
        <f>'AN-A14'!D63*1.09</f>
        <v>155.87</v>
      </c>
      <c r="E63" s="200">
        <f>'AN-A14'!E63*1.09</f>
        <v>152.60000000000002</v>
      </c>
      <c r="F63" s="200">
        <f>'AN-A14'!F63*1.09</f>
        <v>152.60000000000002</v>
      </c>
      <c r="G63" s="200">
        <f>'AN-A14'!G63*1.09</f>
        <v>152.60000000000002</v>
      </c>
      <c r="H63" s="200">
        <f>'AN-A14'!H63*1.09</f>
        <v>152.60000000000002</v>
      </c>
      <c r="I63" s="200">
        <f>'AN-A14'!I63*1.09</f>
        <v>152.60000000000002</v>
      </c>
      <c r="J63" s="200">
        <f>'AN-A14'!J63*1.09</f>
        <v>129.71</v>
      </c>
      <c r="K63" s="201">
        <f>'AN-A14'!K63*1.09</f>
        <v>92.65</v>
      </c>
      <c r="L63" s="202">
        <f>'AN-A14'!L63*1.09</f>
        <v>92.65</v>
      </c>
      <c r="M63" s="200">
        <f>'AN-A14'!M63*1.09</f>
        <v>92.65</v>
      </c>
      <c r="N63" s="200">
        <f>'AN-A14'!N63*1.09</f>
        <v>92.65</v>
      </c>
      <c r="O63" s="200">
        <f>'AN-A14'!O63*1.09</f>
        <v>92.65</v>
      </c>
      <c r="P63" s="200">
        <f>'AN-A14'!P63*1.09</f>
        <v>92.65</v>
      </c>
      <c r="Q63" s="203">
        <f>'AN-A14'!Q63*1.09</f>
        <v>92.65</v>
      </c>
      <c r="R63" s="306">
        <f t="shared" si="0"/>
        <v>-7.2</v>
      </c>
      <c r="S63" s="307">
        <f t="shared" si="1"/>
        <v>0</v>
      </c>
    </row>
    <row r="64" spans="1:19" ht="18" customHeight="1" thickTop="1" thickBot="1">
      <c r="A64" s="16"/>
      <c r="B64" s="625"/>
      <c r="C64" s="626" t="s">
        <v>342</v>
      </c>
      <c r="D64" s="209">
        <f t="shared" ref="D64:Q64" si="3">D63+D59+D56+D55+D53+D51+D49+D48</f>
        <v>5210.2000000000007</v>
      </c>
      <c r="E64" s="210">
        <f t="shared" si="3"/>
        <v>5316.2821538461549</v>
      </c>
      <c r="F64" s="210">
        <f t="shared" si="3"/>
        <v>5310.1748000000007</v>
      </c>
      <c r="G64" s="210">
        <f t="shared" si="3"/>
        <v>5633.0324294000002</v>
      </c>
      <c r="H64" s="210">
        <f t="shared" si="3"/>
        <v>5693.1768653658</v>
      </c>
      <c r="I64" s="210">
        <f t="shared" si="3"/>
        <v>5901.2787480000006</v>
      </c>
      <c r="J64" s="210">
        <f t="shared" si="3"/>
        <v>6212.6730000000007</v>
      </c>
      <c r="K64" s="211">
        <f t="shared" si="3"/>
        <v>6619.8675700000003</v>
      </c>
      <c r="L64" s="212">
        <f t="shared" si="3"/>
        <v>6809.4185700000007</v>
      </c>
      <c r="M64" s="210">
        <f t="shared" si="3"/>
        <v>6960.0565700000006</v>
      </c>
      <c r="N64" s="210">
        <f t="shared" si="3"/>
        <v>7173.6965700000001</v>
      </c>
      <c r="O64" s="210">
        <f t="shared" si="3"/>
        <v>7352.4565700000003</v>
      </c>
      <c r="P64" s="210">
        <f t="shared" si="3"/>
        <v>7441.2370700000001</v>
      </c>
      <c r="Q64" s="213">
        <f t="shared" si="3"/>
        <v>7477.8065699999997</v>
      </c>
      <c r="R64" s="310">
        <f t="shared" si="0"/>
        <v>3.5</v>
      </c>
      <c r="S64" s="311">
        <f t="shared" si="1"/>
        <v>1.9</v>
      </c>
    </row>
    <row r="65" spans="1:19" ht="15" customHeight="1">
      <c r="A65" s="616" t="s">
        <v>327</v>
      </c>
      <c r="B65" s="644" t="s">
        <v>433</v>
      </c>
      <c r="C65" s="645"/>
      <c r="D65" s="175">
        <f>'AN-A14'!D65*1.09</f>
        <v>546.09</v>
      </c>
      <c r="E65" s="176">
        <f>'AN-A14'!E65*1.09</f>
        <v>516.66000000000008</v>
      </c>
      <c r="F65" s="176">
        <f>'AN-A14'!F65*1.09</f>
        <v>542.82000000000005</v>
      </c>
      <c r="G65" s="176">
        <f>'AN-A14'!G65*1.09</f>
        <v>541.73</v>
      </c>
      <c r="H65" s="177">
        <f>'AN-A14'!H65*1.09</f>
        <v>559.17000000000007</v>
      </c>
      <c r="I65" s="177">
        <f>'AN-A14'!I65*1.09</f>
        <v>558.08000000000004</v>
      </c>
      <c r="J65" s="177">
        <f>'AN-A14'!J65*1.09</f>
        <v>627.84</v>
      </c>
      <c r="K65" s="178">
        <f>'AN-A14'!K65*1.09</f>
        <v>715.04000000000008</v>
      </c>
      <c r="L65" s="179">
        <f>'AN-A14'!L65*1.09</f>
        <v>708.5</v>
      </c>
      <c r="M65" s="177">
        <f>'AN-A14'!M65*1.09</f>
        <v>708.5</v>
      </c>
      <c r="N65" s="177">
        <f>'AN-A14'!N65*1.09</f>
        <v>708.5</v>
      </c>
      <c r="O65" s="177">
        <f>'AN-A14'!O65*1.09</f>
        <v>719.40000000000009</v>
      </c>
      <c r="P65" s="177">
        <f>'AN-A14'!P65*1.09</f>
        <v>719.40000000000009</v>
      </c>
      <c r="Q65" s="180">
        <f>'AN-A14'!Q65*1.09</f>
        <v>719.40000000000009</v>
      </c>
      <c r="R65" s="276">
        <f t="shared" si="0"/>
        <v>3.9</v>
      </c>
      <c r="S65" s="298">
        <f t="shared" si="1"/>
        <v>0.3</v>
      </c>
    </row>
    <row r="66" spans="1:19" ht="15" customHeight="1">
      <c r="A66" s="614" t="s">
        <v>328</v>
      </c>
      <c r="B66" s="605" t="s">
        <v>434</v>
      </c>
      <c r="C66" s="606"/>
      <c r="D66" s="181">
        <f>'AN-A14'!D66*1.09</f>
        <v>511.21000000000004</v>
      </c>
      <c r="E66" s="67">
        <f>'AN-A14'!E66*1.09</f>
        <v>446.90000000000003</v>
      </c>
      <c r="F66" s="67">
        <f>'AN-A14'!F66*1.09</f>
        <v>430.55</v>
      </c>
      <c r="G66" s="67">
        <f>'AN-A14'!G66*1.09</f>
        <v>414.20000000000005</v>
      </c>
      <c r="H66" s="182">
        <f>'AN-A14'!H66*1.09</f>
        <v>425.1</v>
      </c>
      <c r="I66" s="182">
        <f>'AN-A14'!I66*1.09</f>
        <v>408.75000000000006</v>
      </c>
      <c r="J66" s="182">
        <f>'AN-A14'!J66*1.09</f>
        <v>408.75000000000006</v>
      </c>
      <c r="K66" s="183">
        <f>'AN-A14'!K66*1.09</f>
        <v>452.35</v>
      </c>
      <c r="L66" s="184">
        <f>'AN-A14'!L66*1.09</f>
        <v>452.35</v>
      </c>
      <c r="M66" s="182">
        <f>'AN-A14'!M66*1.09</f>
        <v>446.90000000000003</v>
      </c>
      <c r="N66" s="182">
        <f>'AN-A14'!N66*1.09</f>
        <v>446.90000000000003</v>
      </c>
      <c r="O66" s="182">
        <f>'AN-A14'!O66*1.09</f>
        <v>457.8</v>
      </c>
      <c r="P66" s="182">
        <f>'AN-A14'!P66*1.09</f>
        <v>457.8</v>
      </c>
      <c r="Q66" s="185">
        <f>'AN-A14'!Q66*1.09</f>
        <v>457.8</v>
      </c>
      <c r="R66" s="299">
        <f t="shared" si="0"/>
        <v>-1.7</v>
      </c>
      <c r="S66" s="300">
        <f t="shared" si="1"/>
        <v>0.2</v>
      </c>
    </row>
    <row r="67" spans="1:19" ht="15" customHeight="1">
      <c r="A67" s="16"/>
      <c r="B67" s="605" t="s">
        <v>435</v>
      </c>
      <c r="C67" s="606"/>
      <c r="D67" s="181">
        <f>'AN-A14'!D67*1.09</f>
        <v>0</v>
      </c>
      <c r="E67" s="67">
        <f>'AN-A14'!E67*1.09</f>
        <v>0</v>
      </c>
      <c r="F67" s="67">
        <f>'AN-A14'!F67*1.09</f>
        <v>0</v>
      </c>
      <c r="G67" s="67">
        <f>'AN-A14'!G67*1.09</f>
        <v>0</v>
      </c>
      <c r="H67" s="67">
        <f>'AN-A14'!H67*1.09</f>
        <v>0</v>
      </c>
      <c r="I67" s="62">
        <f>'AN-A14'!I67*1.09</f>
        <v>0</v>
      </c>
      <c r="J67" s="62">
        <f>'AN-A14'!J67*1.09</f>
        <v>0</v>
      </c>
      <c r="K67" s="63">
        <f>'AN-A14'!K67*1.09</f>
        <v>0</v>
      </c>
      <c r="L67" s="64">
        <f>'AN-A14'!L67*1.09</f>
        <v>0</v>
      </c>
      <c r="M67" s="62">
        <f>'AN-A14'!M67*1.09</f>
        <v>0</v>
      </c>
      <c r="N67" s="62">
        <f>'AN-A14'!N67*1.09</f>
        <v>0</v>
      </c>
      <c r="O67" s="62">
        <f>'AN-A14'!O67*1.09</f>
        <v>0</v>
      </c>
      <c r="P67" s="62">
        <f>'AN-A14'!P67*1.09</f>
        <v>0</v>
      </c>
      <c r="Q67" s="65">
        <f>'AN-A14'!Q67*1.09</f>
        <v>0</v>
      </c>
      <c r="R67" s="301" t="str">
        <f t="shared" si="0"/>
        <v xml:space="preserve">     -</v>
      </c>
      <c r="S67" s="300" t="str">
        <f t="shared" si="1"/>
        <v xml:space="preserve">     -</v>
      </c>
    </row>
    <row r="68" spans="1:19" ht="15" customHeight="1">
      <c r="A68" s="16"/>
      <c r="B68" s="605" t="s">
        <v>436</v>
      </c>
      <c r="C68" s="606"/>
      <c r="D68" s="181">
        <f>'AN-A14'!D68*1.09</f>
        <v>1638.2700000000002</v>
      </c>
      <c r="E68" s="67">
        <f>'AN-A14'!E68*1.09</f>
        <v>1789.7800000000002</v>
      </c>
      <c r="F68" s="67">
        <f>'AN-A14'!F68*1.09</f>
        <v>1793.0500000000002</v>
      </c>
      <c r="G68" s="67">
        <f>'AN-A14'!G68*1.09</f>
        <v>1971.8100000000002</v>
      </c>
      <c r="H68" s="67">
        <f>'AN-A14'!H68*1.09</f>
        <v>2003.42</v>
      </c>
      <c r="I68" s="182">
        <f>'AN-A14'!I68*1.09</f>
        <v>2137.4900000000002</v>
      </c>
      <c r="J68" s="182">
        <f>'AN-A14'!J68*1.09</f>
        <v>2249.7600000000002</v>
      </c>
      <c r="K68" s="183">
        <f>'AN-A14'!K68*1.09</f>
        <v>2290.09</v>
      </c>
      <c r="L68" s="184">
        <f>'AN-A14'!L68*1.09</f>
        <v>2477.5700000000002</v>
      </c>
      <c r="M68" s="182">
        <f>'AN-A14'!M68*1.09</f>
        <v>2578.94</v>
      </c>
      <c r="N68" s="182">
        <f>'AN-A14'!N68*1.09</f>
        <v>2687.94</v>
      </c>
      <c r="O68" s="182">
        <f>'AN-A14'!O68*1.09</f>
        <v>2784.9500000000003</v>
      </c>
      <c r="P68" s="182">
        <f>'AN-A14'!P68*1.09</f>
        <v>2855.8</v>
      </c>
      <c r="Q68" s="185">
        <f>'AN-A14'!Q68*1.09</f>
        <v>2944.09</v>
      </c>
      <c r="R68" s="299">
        <f t="shared" si="0"/>
        <v>4.9000000000000004</v>
      </c>
      <c r="S68" s="300">
        <f t="shared" si="1"/>
        <v>3.5</v>
      </c>
    </row>
    <row r="69" spans="1:19" ht="15" customHeight="1">
      <c r="A69" s="16"/>
      <c r="B69" s="605" t="s">
        <v>437</v>
      </c>
      <c r="C69" s="606"/>
      <c r="D69" s="181">
        <f>'AN-A14'!D69*1.09</f>
        <v>153.69</v>
      </c>
      <c r="E69" s="67">
        <f>'AN-A14'!E69*1.09</f>
        <v>134.07000000000002</v>
      </c>
      <c r="F69" s="67">
        <f>'AN-A14'!F69*1.09</f>
        <v>135.16</v>
      </c>
      <c r="G69" s="67">
        <f>'AN-A14'!G69*1.09</f>
        <v>130.80000000000001</v>
      </c>
      <c r="H69" s="67">
        <f>'AN-A14'!H69*1.09</f>
        <v>159.14000000000001</v>
      </c>
      <c r="I69" s="182">
        <f>'AN-A14'!I69*1.09</f>
        <v>163.627748</v>
      </c>
      <c r="J69" s="182">
        <f>'AN-A14'!J69*1.09</f>
        <v>170.04000000000002</v>
      </c>
      <c r="K69" s="183">
        <f>'AN-A14'!K69*1.09</f>
        <v>170.04000000000002</v>
      </c>
      <c r="L69" s="184">
        <f>'AN-A14'!L69*1.09</f>
        <v>177.86184000000003</v>
      </c>
      <c r="M69" s="182">
        <f>'AN-A14'!M69*1.09</f>
        <v>184.72730702400003</v>
      </c>
      <c r="N69" s="182">
        <f>'AN-A14'!N69*1.09</f>
        <v>191.54374465318563</v>
      </c>
      <c r="O69" s="182">
        <f>'AN-A14'!O69*1.09</f>
        <v>198.34354758837375</v>
      </c>
      <c r="P69" s="182">
        <f>'AN-A14'!P69*1.09</f>
        <v>198.34354758837375</v>
      </c>
      <c r="Q69" s="185">
        <f>'AN-A14'!Q69*1.09</f>
        <v>198.34354758837375</v>
      </c>
      <c r="R69" s="299">
        <f t="shared" si="0"/>
        <v>1.5</v>
      </c>
      <c r="S69" s="300">
        <f t="shared" si="1"/>
        <v>2.2000000000000002</v>
      </c>
    </row>
    <row r="70" spans="1:19" ht="15" customHeight="1">
      <c r="A70" s="16"/>
      <c r="B70" s="605" t="s">
        <v>438</v>
      </c>
      <c r="C70" s="606"/>
      <c r="D70" s="181">
        <f>'AN-A14'!D70*1.09</f>
        <v>9.7522299999999991</v>
      </c>
      <c r="E70" s="67">
        <f>'AN-A14'!E70*1.09</f>
        <v>8.5857119999999991</v>
      </c>
      <c r="F70" s="67">
        <f>'AN-A14'!F70*1.09</f>
        <v>9.1180261440000017</v>
      </c>
      <c r="G70" s="67">
        <f>'AN-A14'!G70*1.09</f>
        <v>7.6300000000000008</v>
      </c>
      <c r="H70" s="67">
        <f>'AN-A14'!H70*1.09</f>
        <v>7.6300000000000008</v>
      </c>
      <c r="I70" s="67">
        <f>'AN-A14'!I70*1.09</f>
        <v>7.6300000000000008</v>
      </c>
      <c r="J70" s="67">
        <f>'AN-A14'!J70*1.09</f>
        <v>5.45</v>
      </c>
      <c r="K70" s="186">
        <f>'AN-A14'!K70*1.09</f>
        <v>8.7200000000000006</v>
      </c>
      <c r="L70" s="187">
        <f>'AN-A14'!L70*1.09</f>
        <v>9.81</v>
      </c>
      <c r="M70" s="67">
        <f>'AN-A14'!M70*1.09</f>
        <v>9.81</v>
      </c>
      <c r="N70" s="67">
        <f>'AN-A14'!N70*1.09</f>
        <v>10.9</v>
      </c>
      <c r="O70" s="67">
        <f>'AN-A14'!O70*1.09</f>
        <v>10.9</v>
      </c>
      <c r="P70" s="67">
        <f>'AN-A14'!P70*1.09</f>
        <v>10.9</v>
      </c>
      <c r="Q70" s="68">
        <f>'AN-A14'!Q70*1.09</f>
        <v>10.9</v>
      </c>
      <c r="R70" s="299">
        <f t="shared" si="0"/>
        <v>-1.6</v>
      </c>
      <c r="S70" s="300">
        <f t="shared" si="1"/>
        <v>2.1</v>
      </c>
    </row>
    <row r="71" spans="1:19" ht="15" customHeight="1">
      <c r="A71" s="16"/>
      <c r="B71" s="605" t="s">
        <v>439</v>
      </c>
      <c r="C71" s="606"/>
      <c r="D71" s="181">
        <f>'AN-A14'!D71*1.09</f>
        <v>136.25</v>
      </c>
      <c r="E71" s="67">
        <f>'AN-A14'!E71*1.09</f>
        <v>128.62</v>
      </c>
      <c r="F71" s="67">
        <f>'AN-A14'!F71*1.09</f>
        <v>134.07000000000002</v>
      </c>
      <c r="G71" s="67">
        <f>'AN-A14'!G71*1.09</f>
        <v>160.23000000000002</v>
      </c>
      <c r="H71" s="67">
        <f>'AN-A14'!H71*1.09</f>
        <v>174.4</v>
      </c>
      <c r="I71" s="182">
        <f>'AN-A14'!I71*1.09</f>
        <v>185.3</v>
      </c>
      <c r="J71" s="182">
        <f>'AN-A14'!J71*1.09</f>
        <v>174.4</v>
      </c>
      <c r="K71" s="183">
        <f>'AN-A14'!K71*1.09</f>
        <v>207.10000000000002</v>
      </c>
      <c r="L71" s="184">
        <f>'AN-A14'!L71*1.09</f>
        <v>190.75</v>
      </c>
      <c r="M71" s="182">
        <f>'AN-A14'!M71*1.09</f>
        <v>196.20000000000002</v>
      </c>
      <c r="N71" s="182">
        <f>'AN-A14'!N71*1.09</f>
        <v>201.65</v>
      </c>
      <c r="O71" s="182">
        <f>'AN-A14'!O71*1.09</f>
        <v>207.10000000000002</v>
      </c>
      <c r="P71" s="182">
        <f>'AN-A14'!P71*1.09</f>
        <v>212.55</v>
      </c>
      <c r="Q71" s="185">
        <f>'AN-A14'!Q71*1.09</f>
        <v>212.55</v>
      </c>
      <c r="R71" s="299">
        <f t="shared" si="0"/>
        <v>6.2</v>
      </c>
      <c r="S71" s="300">
        <f t="shared" si="1"/>
        <v>2.2000000000000002</v>
      </c>
    </row>
    <row r="72" spans="1:19" ht="15.75" hidden="1" customHeight="1">
      <c r="A72" s="16"/>
      <c r="B72" s="16"/>
      <c r="C72" s="90" t="s">
        <v>306</v>
      </c>
      <c r="D72" s="181">
        <f>'AN-A14'!D72*1.09</f>
        <v>0</v>
      </c>
      <c r="E72" s="67">
        <f>'AN-A14'!E72*1.09</f>
        <v>0</v>
      </c>
      <c r="F72" s="67">
        <f>'AN-A14'!F72*1.09</f>
        <v>0</v>
      </c>
      <c r="G72" s="67">
        <f>'AN-A14'!G72*1.09</f>
        <v>0</v>
      </c>
      <c r="H72" s="67">
        <f>'AN-A14'!H72*1.09</f>
        <v>0</v>
      </c>
      <c r="I72" s="67">
        <f>'AN-A14'!I72*1.09</f>
        <v>0</v>
      </c>
      <c r="J72" s="67">
        <f>'AN-A14'!J72*1.09</f>
        <v>0</v>
      </c>
      <c r="K72" s="183">
        <f>'AN-A14'!K72*1.09</f>
        <v>0</v>
      </c>
      <c r="L72" s="184">
        <f>'AN-A14'!L72*1.09</f>
        <v>0</v>
      </c>
      <c r="M72" s="182">
        <f>'AN-A14'!M72*1.09</f>
        <v>0</v>
      </c>
      <c r="N72" s="182">
        <f>'AN-A14'!N72*1.09</f>
        <v>0</v>
      </c>
      <c r="O72" s="182">
        <f>'AN-A14'!O72*1.09</f>
        <v>0</v>
      </c>
      <c r="P72" s="182">
        <f>'AN-A14'!P72*1.09</f>
        <v>0</v>
      </c>
      <c r="Q72" s="185">
        <f>'AN-A14'!Q72*1.09</f>
        <v>0</v>
      </c>
      <c r="R72" s="299" t="str">
        <f t="shared" ref="R72:R93" si="4">IF(D72=0,"     -",IF(K72=0,"     -",ROUND(((K72/D72)^(1/7)-1)*100,1)))</f>
        <v xml:space="preserve">     -</v>
      </c>
      <c r="S72" s="300" t="str">
        <f t="shared" ref="S72:S93" si="5">IF(L72=0,"     -",IF(Q72=0,"     -",ROUND(((Q72/L72)^(1/5)-1)*100,1)))</f>
        <v xml:space="preserve">     -</v>
      </c>
    </row>
    <row r="73" spans="1:19" ht="15" customHeight="1">
      <c r="A73" s="16"/>
      <c r="B73" s="605" t="s">
        <v>440</v>
      </c>
      <c r="C73" s="606"/>
      <c r="D73" s="181">
        <f>'AN-A14'!D73*1.09</f>
        <v>0</v>
      </c>
      <c r="E73" s="67">
        <f>'AN-A14'!E73*1.09</f>
        <v>0</v>
      </c>
      <c r="F73" s="67">
        <f>'AN-A14'!F73*1.09</f>
        <v>0</v>
      </c>
      <c r="G73" s="67">
        <f>'AN-A14'!G73*1.09</f>
        <v>0</v>
      </c>
      <c r="H73" s="67">
        <f>'AN-A14'!H73*1.09</f>
        <v>0</v>
      </c>
      <c r="I73" s="67">
        <f>'AN-A14'!I73*1.09</f>
        <v>0</v>
      </c>
      <c r="J73" s="67">
        <f>'AN-A14'!J73*1.09</f>
        <v>0</v>
      </c>
      <c r="K73" s="186">
        <f>'AN-A14'!K73*1.09</f>
        <v>0</v>
      </c>
      <c r="L73" s="187">
        <f>'AN-A14'!L73*1.09</f>
        <v>0</v>
      </c>
      <c r="M73" s="67">
        <f>'AN-A14'!M73*1.09</f>
        <v>0</v>
      </c>
      <c r="N73" s="67">
        <f>'AN-A14'!N73*1.09</f>
        <v>0</v>
      </c>
      <c r="O73" s="67">
        <f>'AN-A14'!O73*1.09</f>
        <v>0</v>
      </c>
      <c r="P73" s="67">
        <f>'AN-A14'!P73*1.09</f>
        <v>0</v>
      </c>
      <c r="Q73" s="68">
        <f>'AN-A14'!Q73*1.09</f>
        <v>0</v>
      </c>
      <c r="R73" s="302" t="str">
        <f t="shared" si="4"/>
        <v xml:space="preserve">     -</v>
      </c>
      <c r="S73" s="300" t="str">
        <f t="shared" si="5"/>
        <v xml:space="preserve">     -</v>
      </c>
    </row>
    <row r="74" spans="1:19" ht="15" customHeight="1">
      <c r="A74" s="16"/>
      <c r="B74" s="605" t="s">
        <v>441</v>
      </c>
      <c r="C74" s="606"/>
      <c r="D74" s="181">
        <f>'AN-A14'!D74*1.09</f>
        <v>38.150000000000006</v>
      </c>
      <c r="E74" s="67">
        <f>'AN-A14'!E74*1.09</f>
        <v>38.150000000000006</v>
      </c>
      <c r="F74" s="67">
        <f>'AN-A14'!F74*1.09</f>
        <v>76.300000000000011</v>
      </c>
      <c r="G74" s="67">
        <f>'AN-A14'!G74*1.09</f>
        <v>95.918909999999997</v>
      </c>
      <c r="H74" s="67">
        <f>'AN-A14'!H74*1.09</f>
        <v>105.73</v>
      </c>
      <c r="I74" s="182">
        <f>'AN-A14'!I74*1.09</f>
        <v>110.98478100000001</v>
      </c>
      <c r="J74" s="182">
        <f>'AN-A14'!J74*1.09</f>
        <v>107.91000000000001</v>
      </c>
      <c r="K74" s="183">
        <f>'AN-A14'!K74*1.09</f>
        <v>104.56370000000001</v>
      </c>
      <c r="L74" s="184">
        <f>'AN-A14'!L74*1.09</f>
        <v>109.47819390000001</v>
      </c>
      <c r="M74" s="182">
        <f>'AN-A14'!M74*1.09</f>
        <v>114.51419081940001</v>
      </c>
      <c r="N74" s="182">
        <f>'AN-A14'!N74*1.09</f>
        <v>120.01087197873122</v>
      </c>
      <c r="O74" s="182">
        <f>'AN-A14'!O74*1.09</f>
        <v>125.81939818250181</v>
      </c>
      <c r="P74" s="182">
        <f>'AN-A14'!P74*1.09</f>
        <v>131.90905705453491</v>
      </c>
      <c r="Q74" s="185">
        <f>'AN-A14'!Q74*1.09</f>
        <v>138.29345541597439</v>
      </c>
      <c r="R74" s="299">
        <f t="shared" si="4"/>
        <v>15.5</v>
      </c>
      <c r="S74" s="300">
        <f t="shared" si="5"/>
        <v>4.8</v>
      </c>
    </row>
    <row r="75" spans="1:19" ht="15" customHeight="1">
      <c r="A75" s="16"/>
      <c r="B75" s="605" t="s">
        <v>442</v>
      </c>
      <c r="C75" s="606"/>
      <c r="D75" s="181">
        <f>'AN-A14'!D75*1.09</f>
        <v>0</v>
      </c>
      <c r="E75" s="67">
        <f>'AN-A14'!E75*1.09</f>
        <v>0</v>
      </c>
      <c r="F75" s="67">
        <f>'AN-A14'!F75*1.09</f>
        <v>0</v>
      </c>
      <c r="G75" s="67">
        <f>'AN-A14'!G75*1.09</f>
        <v>0</v>
      </c>
      <c r="H75" s="67">
        <f>'AN-A14'!H75*1.09</f>
        <v>0</v>
      </c>
      <c r="I75" s="67">
        <f>'AN-A14'!I75*1.09</f>
        <v>0</v>
      </c>
      <c r="J75" s="67">
        <f>'AN-A14'!J75*1.09</f>
        <v>0</v>
      </c>
      <c r="K75" s="186">
        <f>'AN-A14'!K75*1.09</f>
        <v>0</v>
      </c>
      <c r="L75" s="187">
        <f>'AN-A14'!L75*1.09</f>
        <v>0</v>
      </c>
      <c r="M75" s="67">
        <f>'AN-A14'!M75*1.09</f>
        <v>0</v>
      </c>
      <c r="N75" s="67">
        <f>'AN-A14'!N75*1.09</f>
        <v>0</v>
      </c>
      <c r="O75" s="67">
        <f>'AN-A14'!O75*1.09</f>
        <v>0</v>
      </c>
      <c r="P75" s="67">
        <f>'AN-A14'!P75*1.09</f>
        <v>0</v>
      </c>
      <c r="Q75" s="68">
        <f>'AN-A14'!Q75*1.09</f>
        <v>0</v>
      </c>
      <c r="R75" s="302" t="str">
        <f t="shared" si="4"/>
        <v xml:space="preserve">     -</v>
      </c>
      <c r="S75" s="300" t="str">
        <f t="shared" si="5"/>
        <v xml:space="preserve">     -</v>
      </c>
    </row>
    <row r="76" spans="1:19" ht="15" customHeight="1">
      <c r="A76" s="16"/>
      <c r="B76" s="607" t="s">
        <v>443</v>
      </c>
      <c r="C76" s="608"/>
      <c r="D76" s="181">
        <f>'AN-A14'!D76*1.09</f>
        <v>498.56600000000003</v>
      </c>
      <c r="E76" s="67">
        <f>'AN-A14'!E76*1.09</f>
        <v>492.13500000000005</v>
      </c>
      <c r="F76" s="67">
        <f>'AN-A14'!F76*1.09</f>
        <v>467.61</v>
      </c>
      <c r="G76" s="67">
        <f>'AN-A14'!G76*1.09</f>
        <v>463.90400000000005</v>
      </c>
      <c r="H76" s="67">
        <f>'AN-A14'!H76*1.09</f>
        <v>467.61</v>
      </c>
      <c r="I76" s="182">
        <f>'AN-A14'!I76*1.09</f>
        <v>494.53300000000002</v>
      </c>
      <c r="J76" s="182">
        <f>'AN-A14'!J76*1.09</f>
        <v>468.91800000000001</v>
      </c>
      <c r="K76" s="183">
        <f>'AN-A14'!K76*1.09</f>
        <v>467.71900000000005</v>
      </c>
      <c r="L76" s="184">
        <f>'AN-A14'!L76*1.09</f>
        <v>496.27700000000004</v>
      </c>
      <c r="M76" s="182">
        <f>'AN-A14'!M76*1.09</f>
        <v>481.78000000000003</v>
      </c>
      <c r="N76" s="182">
        <f>'AN-A14'!N76*1.09</f>
        <v>471.97</v>
      </c>
      <c r="O76" s="182">
        <f>'AN-A14'!O76*1.09</f>
        <v>471.97</v>
      </c>
      <c r="P76" s="182">
        <f>'AN-A14'!P76*1.09</f>
        <v>471.97</v>
      </c>
      <c r="Q76" s="185">
        <f>'AN-A14'!Q76*1.09</f>
        <v>471.97</v>
      </c>
      <c r="R76" s="299">
        <f t="shared" si="4"/>
        <v>-0.9</v>
      </c>
      <c r="S76" s="300">
        <f t="shared" si="5"/>
        <v>-1</v>
      </c>
    </row>
    <row r="77" spans="1:19" ht="15.75" customHeight="1">
      <c r="A77" s="16"/>
      <c r="B77" s="674" t="s">
        <v>307</v>
      </c>
      <c r="C77" s="675"/>
      <c r="D77" s="189">
        <f>'AN-A14'!D77*1.09</f>
        <v>3531.9782300000006</v>
      </c>
      <c r="E77" s="190">
        <f>'AN-A14'!E77*1.09</f>
        <v>3554.9007120000001</v>
      </c>
      <c r="F77" s="190">
        <f>'AN-A14'!F77*1.09</f>
        <v>3588.6780261440003</v>
      </c>
      <c r="G77" s="190">
        <f>'AN-A14'!G77*1.09</f>
        <v>3786.22291</v>
      </c>
      <c r="H77" s="190">
        <f>'AN-A14'!H77*1.09</f>
        <v>3902.2000000000003</v>
      </c>
      <c r="I77" s="190">
        <f>'AN-A14'!I77*1.09</f>
        <v>4066.3955290000004</v>
      </c>
      <c r="J77" s="190">
        <f>'AN-A14'!J77*1.09</f>
        <v>4213.0680000000002</v>
      </c>
      <c r="K77" s="191">
        <f>'AN-A14'!K77*1.09</f>
        <v>4415.6226999999999</v>
      </c>
      <c r="L77" s="192">
        <f>'AN-A14'!L77*1.09</f>
        <v>4622.5970339000005</v>
      </c>
      <c r="M77" s="190">
        <f>'AN-A14'!M77*1.09</f>
        <v>4721.3714978434009</v>
      </c>
      <c r="N77" s="190">
        <f>'AN-A14'!N77*1.09</f>
        <v>4839.4146166319169</v>
      </c>
      <c r="O77" s="190">
        <f>'AN-A14'!O77*1.09</f>
        <v>4976.2829457708758</v>
      </c>
      <c r="P77" s="190">
        <f>'AN-A14'!P77*1.09</f>
        <v>5058.6726046429094</v>
      </c>
      <c r="Q77" s="193">
        <f>'AN-A14'!Q77*1.09</f>
        <v>5153.3470030043482</v>
      </c>
      <c r="R77" s="303">
        <f t="shared" si="4"/>
        <v>3.2</v>
      </c>
      <c r="S77" s="304">
        <f t="shared" si="5"/>
        <v>2.2000000000000002</v>
      </c>
    </row>
    <row r="78" spans="1:19" ht="15" customHeight="1">
      <c r="A78" s="16"/>
      <c r="B78" s="672" t="s">
        <v>308</v>
      </c>
      <c r="C78" s="673"/>
      <c r="D78" s="194">
        <f>'AN-A14'!D78*1.09</f>
        <v>0</v>
      </c>
      <c r="E78" s="195">
        <f>'AN-A14'!E78*1.09</f>
        <v>0</v>
      </c>
      <c r="F78" s="195">
        <f>'AN-A14'!F78*1.09</f>
        <v>0</v>
      </c>
      <c r="G78" s="195">
        <f>'AN-A14'!G78*1.09</f>
        <v>0</v>
      </c>
      <c r="H78" s="195">
        <f>'AN-A14'!H78*1.09</f>
        <v>0</v>
      </c>
      <c r="I78" s="195">
        <f>'AN-A14'!I78*1.09</f>
        <v>0.32700000000000001</v>
      </c>
      <c r="J78" s="195">
        <f>'AN-A14'!J78*1.09</f>
        <v>0.43600000000000005</v>
      </c>
      <c r="K78" s="196">
        <f>'AN-A14'!K78*1.09</f>
        <v>0.43600000000000005</v>
      </c>
      <c r="L78" s="197">
        <f>'AN-A14'!L78*1.09</f>
        <v>0.43600000000000005</v>
      </c>
      <c r="M78" s="195">
        <f>'AN-A14'!M78*1.09</f>
        <v>0.43600000000000005</v>
      </c>
      <c r="N78" s="195">
        <f>'AN-A14'!N78*1.09</f>
        <v>0.43600000000000005</v>
      </c>
      <c r="O78" s="195">
        <f>'AN-A14'!O78*1.09</f>
        <v>0.49050000000000005</v>
      </c>
      <c r="P78" s="195">
        <f>'AN-A14'!P78*1.09</f>
        <v>0.49050000000000005</v>
      </c>
      <c r="Q78" s="198">
        <f>'AN-A14'!Q78*1.09</f>
        <v>0</v>
      </c>
      <c r="R78" s="305" t="str">
        <f t="shared" si="4"/>
        <v xml:space="preserve">     -</v>
      </c>
      <c r="S78" s="304" t="str">
        <f t="shared" si="5"/>
        <v xml:space="preserve">     -</v>
      </c>
    </row>
    <row r="79" spans="1:19" ht="15" customHeight="1">
      <c r="A79" s="16"/>
      <c r="B79" s="105"/>
      <c r="C79" s="97" t="s">
        <v>309</v>
      </c>
      <c r="D79" s="194">
        <f>'AN-A14'!D79*1.09</f>
        <v>0</v>
      </c>
      <c r="E79" s="195">
        <f>'AN-A14'!E79*1.09</f>
        <v>0</v>
      </c>
      <c r="F79" s="195">
        <f>'AN-A14'!F79*1.09</f>
        <v>0</v>
      </c>
      <c r="G79" s="195">
        <f>'AN-A14'!G79*1.09</f>
        <v>0</v>
      </c>
      <c r="H79" s="195">
        <f>'AN-A14'!H79*1.09</f>
        <v>0</v>
      </c>
      <c r="I79" s="195">
        <f>'AN-A14'!I79*1.09</f>
        <v>0.32700000000000001</v>
      </c>
      <c r="J79" s="195">
        <f>'AN-A14'!J79*1.09</f>
        <v>0.43600000000000005</v>
      </c>
      <c r="K79" s="196">
        <f>'AN-A14'!K79*1.09</f>
        <v>0.43600000000000005</v>
      </c>
      <c r="L79" s="197">
        <f>'AN-A14'!L79*1.09</f>
        <v>0.43600000000000005</v>
      </c>
      <c r="M79" s="195">
        <f>'AN-A14'!M79*1.09</f>
        <v>0.43600000000000005</v>
      </c>
      <c r="N79" s="195">
        <f>'AN-A14'!N79*1.09</f>
        <v>0.43600000000000005</v>
      </c>
      <c r="O79" s="195">
        <f>'AN-A14'!O79*1.09</f>
        <v>0.49050000000000005</v>
      </c>
      <c r="P79" s="195">
        <f>'AN-A14'!P79*1.09</f>
        <v>0.49050000000000005</v>
      </c>
      <c r="Q79" s="198">
        <f>'AN-A14'!Q79*1.09</f>
        <v>0</v>
      </c>
      <c r="R79" s="305" t="str">
        <f t="shared" si="4"/>
        <v xml:space="preserve">     -</v>
      </c>
      <c r="S79" s="304" t="str">
        <f t="shared" si="5"/>
        <v xml:space="preserve">     -</v>
      </c>
    </row>
    <row r="80" spans="1:19" ht="15.75" customHeight="1">
      <c r="A80" s="16"/>
      <c r="B80" s="672" t="s">
        <v>310</v>
      </c>
      <c r="C80" s="673"/>
      <c r="D80" s="181">
        <f>'AN-A14'!D80*1.09</f>
        <v>965.74000000000012</v>
      </c>
      <c r="E80" s="67">
        <f>'AN-A14'!E80*1.09</f>
        <v>828.40000000000009</v>
      </c>
      <c r="F80" s="67">
        <f>'AN-A14'!F80*1.09</f>
        <v>823.58372093023263</v>
      </c>
      <c r="G80" s="67">
        <f>'AN-A14'!G80*1.09</f>
        <v>823.58372093023263</v>
      </c>
      <c r="H80" s="182">
        <f>'AN-A14'!H80*1.09</f>
        <v>823.58372093023263</v>
      </c>
      <c r="I80" s="182">
        <f>'AN-A14'!I80*1.09</f>
        <v>744.47</v>
      </c>
      <c r="J80" s="182">
        <f>'AN-A14'!J80*1.09</f>
        <v>751.0100000000001</v>
      </c>
      <c r="K80" s="183">
        <f>'AN-A14'!K80*1.09</f>
        <v>760.82</v>
      </c>
      <c r="L80" s="184">
        <f>'AN-A14'!L80*1.09</f>
        <v>777.17000000000007</v>
      </c>
      <c r="M80" s="182">
        <f>'AN-A14'!M80*1.09</f>
        <v>789.16000000000008</v>
      </c>
      <c r="N80" s="182">
        <f>'AN-A14'!N80*1.09</f>
        <v>825.13000000000011</v>
      </c>
      <c r="O80" s="182">
        <f>'AN-A14'!O80*1.09</f>
        <v>844.75000000000011</v>
      </c>
      <c r="P80" s="182">
        <f>'AN-A14'!P80*1.09</f>
        <v>844.75000000000011</v>
      </c>
      <c r="Q80" s="185">
        <f>'AN-A14'!Q80*1.09</f>
        <v>844.75000000000011</v>
      </c>
      <c r="R80" s="299">
        <f t="shared" si="4"/>
        <v>-3.3</v>
      </c>
      <c r="S80" s="300">
        <f t="shared" si="5"/>
        <v>1.7</v>
      </c>
    </row>
    <row r="81" spans="1:19" ht="15" customHeight="1">
      <c r="A81" s="16"/>
      <c r="B81" s="105"/>
      <c r="C81" s="615" t="s">
        <v>311</v>
      </c>
      <c r="D81" s="194">
        <f>'AN-A14'!D81*1.09</f>
        <v>962.47</v>
      </c>
      <c r="E81" s="195">
        <f>'AN-A14'!E81*1.09</f>
        <v>822.95</v>
      </c>
      <c r="F81" s="195">
        <f>'AN-A14'!F81*1.09</f>
        <v>818.16540697674429</v>
      </c>
      <c r="G81" s="195">
        <f>'AN-A14'!G81*1.09</f>
        <v>818.16540697674429</v>
      </c>
      <c r="H81" s="190">
        <f>'AN-A14'!H81*1.09</f>
        <v>818.16540697674429</v>
      </c>
      <c r="I81" s="190">
        <f>'AN-A14'!I81*1.09</f>
        <v>716.13000000000011</v>
      </c>
      <c r="J81" s="190">
        <f>'AN-A14'!J81*1.09</f>
        <v>721.58</v>
      </c>
      <c r="K81" s="191">
        <f>'AN-A14'!K81*1.09</f>
        <v>731.3900000000001</v>
      </c>
      <c r="L81" s="192">
        <f>'AN-A14'!L81*1.09</f>
        <v>746.65000000000009</v>
      </c>
      <c r="M81" s="190">
        <f>'AN-A14'!M81*1.09</f>
        <v>757.55000000000007</v>
      </c>
      <c r="N81" s="190">
        <f>'AN-A14'!N81*1.09</f>
        <v>791.34</v>
      </c>
      <c r="O81" s="190">
        <f>'AN-A14'!O81*1.09</f>
        <v>807.69</v>
      </c>
      <c r="P81" s="190">
        <f>'AN-A14'!P81*1.09</f>
        <v>807.69</v>
      </c>
      <c r="Q81" s="193">
        <f>'AN-A14'!Q81*1.09</f>
        <v>807.69</v>
      </c>
      <c r="R81" s="303">
        <f t="shared" si="4"/>
        <v>-3.8</v>
      </c>
      <c r="S81" s="304">
        <f t="shared" si="5"/>
        <v>1.6</v>
      </c>
    </row>
    <row r="82" spans="1:19" ht="15.75" customHeight="1">
      <c r="A82" s="16"/>
      <c r="B82" s="672" t="s">
        <v>312</v>
      </c>
      <c r="C82" s="673"/>
      <c r="D82" s="181">
        <f>'AN-A14'!D82*1.09</f>
        <v>63.220000000000006</v>
      </c>
      <c r="E82" s="67">
        <f>'AN-A14'!E82*1.09</f>
        <v>348.8</v>
      </c>
      <c r="F82" s="67">
        <f>'AN-A14'!F82*1.09</f>
        <v>361.00800000000004</v>
      </c>
      <c r="G82" s="67">
        <f>'AN-A14'!G82*1.09</f>
        <v>373.64328</v>
      </c>
      <c r="H82" s="182">
        <f>'AN-A14'!H82*1.09</f>
        <v>386.72079479999996</v>
      </c>
      <c r="I82" s="182">
        <f>'AN-A14'!I82*1.09</f>
        <v>400.25602261799997</v>
      </c>
      <c r="J82" s="182">
        <f>'AN-A14'!J82*1.09</f>
        <v>414.26498340962991</v>
      </c>
      <c r="K82" s="183">
        <f>'AN-A14'!K82*1.09</f>
        <v>428.76425782896695</v>
      </c>
      <c r="L82" s="184">
        <f>'AN-A14'!L82*1.09</f>
        <v>443.77100685298075</v>
      </c>
      <c r="M82" s="182">
        <f>'AN-A14'!M82*1.09</f>
        <v>459.30299209283504</v>
      </c>
      <c r="N82" s="182">
        <f>'AN-A14'!N82*1.09</f>
        <v>459.30299209283504</v>
      </c>
      <c r="O82" s="182">
        <f>'AN-A14'!O82*1.09</f>
        <v>459.30299209283504</v>
      </c>
      <c r="P82" s="182">
        <f>'AN-A14'!P82*1.09</f>
        <v>458.89000000000004</v>
      </c>
      <c r="Q82" s="185">
        <f>'AN-A14'!Q82*1.09</f>
        <v>458.89000000000004</v>
      </c>
      <c r="R82" s="299">
        <f t="shared" si="4"/>
        <v>31.5</v>
      </c>
      <c r="S82" s="300">
        <f t="shared" si="5"/>
        <v>0.7</v>
      </c>
    </row>
    <row r="83" spans="1:19" ht="15" customHeight="1">
      <c r="A83" s="16"/>
      <c r="B83" s="16"/>
      <c r="C83" s="615" t="s">
        <v>313</v>
      </c>
      <c r="D83" s="194">
        <f>'AN-A14'!D83*1.09</f>
        <v>0</v>
      </c>
      <c r="E83" s="195">
        <f>'AN-A14'!E83*1.09</f>
        <v>0</v>
      </c>
      <c r="F83" s="195">
        <f>'AN-A14'!F83*1.09</f>
        <v>0</v>
      </c>
      <c r="G83" s="195">
        <f>'AN-A14'!G83*1.09</f>
        <v>0</v>
      </c>
      <c r="H83" s="190">
        <f>'AN-A14'!H83*1.09</f>
        <v>0</v>
      </c>
      <c r="I83" s="190">
        <f>'AN-A14'!I83*1.09</f>
        <v>0</v>
      </c>
      <c r="J83" s="190">
        <f>'AN-A14'!J83*1.09</f>
        <v>0</v>
      </c>
      <c r="K83" s="191">
        <f>'AN-A14'!K83*1.09</f>
        <v>0</v>
      </c>
      <c r="L83" s="192">
        <f>'AN-A14'!L83*1.09</f>
        <v>0</v>
      </c>
      <c r="M83" s="190">
        <f>'AN-A14'!M83*1.09</f>
        <v>0</v>
      </c>
      <c r="N83" s="190">
        <f>'AN-A14'!N83*1.09</f>
        <v>0</v>
      </c>
      <c r="O83" s="190">
        <f>'AN-A14'!O83*1.09</f>
        <v>0</v>
      </c>
      <c r="P83" s="190">
        <f>'AN-A14'!P83*1.09</f>
        <v>0</v>
      </c>
      <c r="Q83" s="193">
        <f>'AN-A14'!Q83*1.09</f>
        <v>0</v>
      </c>
      <c r="R83" s="303" t="str">
        <f t="shared" si="4"/>
        <v xml:space="preserve">     -</v>
      </c>
      <c r="S83" s="304" t="str">
        <f t="shared" si="5"/>
        <v xml:space="preserve">     -</v>
      </c>
    </row>
    <row r="84" spans="1:19" ht="15.75" customHeight="1">
      <c r="A84" s="16"/>
      <c r="B84" s="674" t="s">
        <v>314</v>
      </c>
      <c r="C84" s="675"/>
      <c r="D84" s="194">
        <f>'AN-A14'!D84*1.09</f>
        <v>21.8</v>
      </c>
      <c r="E84" s="195">
        <f>'AN-A14'!E84*1.09</f>
        <v>27.250000000000004</v>
      </c>
      <c r="F84" s="195">
        <f>'AN-A14'!F84*1.09</f>
        <v>30.792499999999997</v>
      </c>
      <c r="G84" s="195">
        <f>'AN-A14'!G84*1.09</f>
        <v>34.795524999999991</v>
      </c>
      <c r="H84" s="190">
        <f>'AN-A14'!H84*1.09</f>
        <v>39.31894324999999</v>
      </c>
      <c r="I84" s="190">
        <f>'AN-A14'!I84*1.09</f>
        <v>44.430405872499989</v>
      </c>
      <c r="J84" s="190">
        <f>'AN-A14'!J84*1.09</f>
        <v>50.206358635924978</v>
      </c>
      <c r="K84" s="191">
        <f>'AN-A14'!K84*1.09</f>
        <v>56.733185258595221</v>
      </c>
      <c r="L84" s="192">
        <f>'AN-A14'!L84*1.09</f>
        <v>64.108499342212596</v>
      </c>
      <c r="M84" s="190">
        <f>'AN-A14'!M84*1.09</f>
        <v>64.108499342212596</v>
      </c>
      <c r="N84" s="190">
        <f>'AN-A14'!N84*1.09</f>
        <v>64.108499342212596</v>
      </c>
      <c r="O84" s="190">
        <f>'AN-A14'!O84*1.09</f>
        <v>64.108499342212596</v>
      </c>
      <c r="P84" s="190">
        <f>'AN-A14'!P84*1.09</f>
        <v>64.31</v>
      </c>
      <c r="Q84" s="193">
        <f>'AN-A14'!Q84*1.09</f>
        <v>64.31</v>
      </c>
      <c r="R84" s="303">
        <f t="shared" si="4"/>
        <v>14.6</v>
      </c>
      <c r="S84" s="304">
        <f t="shared" si="5"/>
        <v>0.1</v>
      </c>
    </row>
    <row r="85" spans="1:19" ht="15.75" customHeight="1">
      <c r="A85" s="16"/>
      <c r="B85" s="674" t="s">
        <v>315</v>
      </c>
      <c r="C85" s="675"/>
      <c r="D85" s="189">
        <f>'AN-A14'!D85*1.09</f>
        <v>110.09</v>
      </c>
      <c r="E85" s="190">
        <f>'AN-A14'!E85*1.09</f>
        <v>88.29</v>
      </c>
      <c r="F85" s="190">
        <f>'AN-A14'!F85*1.09</f>
        <v>107.25600000000001</v>
      </c>
      <c r="G85" s="190">
        <f>'AN-A14'!G85*1.09</f>
        <v>132.22970939999999</v>
      </c>
      <c r="H85" s="190">
        <f>'AN-A14'!H85*1.09</f>
        <v>133.15531736579999</v>
      </c>
      <c r="I85" s="190">
        <f>'AN-A14'!I85*1.09</f>
        <v>100.28</v>
      </c>
      <c r="J85" s="190">
        <f>'AN-A14'!J85*1.09</f>
        <v>99.578040000000001</v>
      </c>
      <c r="K85" s="191">
        <f>'AN-A14'!K85*1.09</f>
        <v>101.5696008</v>
      </c>
      <c r="L85" s="192">
        <f>'AN-A14'!L85*1.09</f>
        <v>103.19471441280001</v>
      </c>
      <c r="M85" s="190">
        <f>'AN-A14'!M85*1.09</f>
        <v>104.5362457001664</v>
      </c>
      <c r="N85" s="190">
        <f>'AN-A14'!N85*1.09</f>
        <v>106.10428938566889</v>
      </c>
      <c r="O85" s="190">
        <f>'AN-A14'!O85*1.09</f>
        <v>107.69585372645392</v>
      </c>
      <c r="P85" s="190">
        <f>'AN-A14'!P85*1.09</f>
        <v>109.31129153235071</v>
      </c>
      <c r="Q85" s="193">
        <f>'AN-A14'!Q85*1.09</f>
        <v>110.09</v>
      </c>
      <c r="R85" s="303">
        <f t="shared" si="4"/>
        <v>-1.1000000000000001</v>
      </c>
      <c r="S85" s="304">
        <f t="shared" si="5"/>
        <v>1.3</v>
      </c>
    </row>
    <row r="86" spans="1:19" ht="15" customHeight="1">
      <c r="A86" s="16"/>
      <c r="B86" s="672" t="s">
        <v>316</v>
      </c>
      <c r="C86" s="673"/>
      <c r="D86" s="181">
        <f>'AN-A14'!D86*1.09</f>
        <v>499.22</v>
      </c>
      <c r="E86" s="67">
        <f>'AN-A14'!E86*1.09</f>
        <v>504.67</v>
      </c>
      <c r="F86" s="67">
        <f>'AN-A14'!F86*1.09</f>
        <v>510.12000000000006</v>
      </c>
      <c r="G86" s="67">
        <f>'AN-A14'!G86*1.09</f>
        <v>515.57000000000005</v>
      </c>
      <c r="H86" s="67">
        <f>'AN-A14'!H86*1.09</f>
        <v>521.02</v>
      </c>
      <c r="I86" s="182">
        <f>'AN-A14'!I86*1.09</f>
        <v>534.1</v>
      </c>
      <c r="J86" s="182">
        <f>'AN-A14'!J86*1.09</f>
        <v>542.82000000000005</v>
      </c>
      <c r="K86" s="183">
        <f>'AN-A14'!K86*1.09</f>
        <v>554.81000000000006</v>
      </c>
      <c r="L86" s="184">
        <f>'AN-A14'!L86*1.09</f>
        <v>571.16000000000008</v>
      </c>
      <c r="M86" s="182">
        <f>'AN-A14'!M86*1.09</f>
        <v>585.33000000000004</v>
      </c>
      <c r="N86" s="182">
        <f>'AN-A14'!N86*1.09</f>
        <v>596.23</v>
      </c>
      <c r="O86" s="182">
        <f>'AN-A14'!O86*1.09</f>
        <v>606.04000000000008</v>
      </c>
      <c r="P86" s="182">
        <f>'AN-A14'!P86*1.09</f>
        <v>614.76</v>
      </c>
      <c r="Q86" s="185">
        <f>'AN-A14'!Q86*1.09</f>
        <v>623.48</v>
      </c>
      <c r="R86" s="299">
        <f t="shared" si="4"/>
        <v>1.5</v>
      </c>
      <c r="S86" s="300">
        <f t="shared" si="5"/>
        <v>1.8</v>
      </c>
    </row>
    <row r="87" spans="1:19" ht="15" customHeight="1">
      <c r="A87" s="16"/>
      <c r="B87" s="670" t="s">
        <v>317</v>
      </c>
      <c r="C87" s="671"/>
      <c r="D87" s="181">
        <f>'AN-A14'!D87*1.09</f>
        <v>0</v>
      </c>
      <c r="E87" s="67">
        <f>'AN-A14'!E87*1.09</f>
        <v>0</v>
      </c>
      <c r="F87" s="67">
        <f>'AN-A14'!F87*1.09</f>
        <v>0</v>
      </c>
      <c r="G87" s="67">
        <f>'AN-A14'!G87*1.09</f>
        <v>0</v>
      </c>
      <c r="H87" s="67">
        <f>'AN-A14'!H87*1.09</f>
        <v>0</v>
      </c>
      <c r="I87" s="182">
        <f>'AN-A14'!I87*1.09</f>
        <v>0</v>
      </c>
      <c r="J87" s="182">
        <f>'AN-A14'!J87*1.09</f>
        <v>0</v>
      </c>
      <c r="K87" s="183">
        <f>'AN-A14'!K87*1.09</f>
        <v>0</v>
      </c>
      <c r="L87" s="184">
        <f>'AN-A14'!L87*1.09</f>
        <v>0</v>
      </c>
      <c r="M87" s="182">
        <f>'AN-A14'!M87*1.09</f>
        <v>0</v>
      </c>
      <c r="N87" s="182">
        <f>'AN-A14'!N87*1.09</f>
        <v>0</v>
      </c>
      <c r="O87" s="182">
        <f>'AN-A14'!O87*1.09</f>
        <v>0</v>
      </c>
      <c r="P87" s="182">
        <f>'AN-A14'!P87*1.09</f>
        <v>0</v>
      </c>
      <c r="Q87" s="185">
        <f>'AN-A14'!Q87*1.09</f>
        <v>0</v>
      </c>
      <c r="R87" s="299" t="str">
        <f t="shared" si="4"/>
        <v xml:space="preserve">     -</v>
      </c>
      <c r="S87" s="300" t="str">
        <f t="shared" si="5"/>
        <v xml:space="preserve">     -</v>
      </c>
    </row>
    <row r="88" spans="1:19" ht="15.75" customHeight="1">
      <c r="A88" s="16"/>
      <c r="B88" s="674" t="s">
        <v>318</v>
      </c>
      <c r="C88" s="675"/>
      <c r="D88" s="189">
        <f>'AN-A14'!D88*1.09</f>
        <v>499.22</v>
      </c>
      <c r="E88" s="190">
        <f>'AN-A14'!E88*1.09</f>
        <v>504.67</v>
      </c>
      <c r="F88" s="190">
        <f>'AN-A14'!F88*1.09</f>
        <v>510.12000000000006</v>
      </c>
      <c r="G88" s="190">
        <f>'AN-A14'!G88*1.09</f>
        <v>515.57000000000005</v>
      </c>
      <c r="H88" s="190">
        <f>'AN-A14'!H88*1.09</f>
        <v>521.02</v>
      </c>
      <c r="I88" s="190">
        <f>'AN-A14'!I88*1.09</f>
        <v>534.1</v>
      </c>
      <c r="J88" s="190">
        <f>'AN-A14'!J88*1.09</f>
        <v>542.82000000000005</v>
      </c>
      <c r="K88" s="191">
        <f>'AN-A14'!K88*1.09</f>
        <v>554.81000000000006</v>
      </c>
      <c r="L88" s="192">
        <f>'AN-A14'!L88*1.09</f>
        <v>571.16000000000008</v>
      </c>
      <c r="M88" s="190">
        <f>'AN-A14'!M88*1.09</f>
        <v>585.33000000000004</v>
      </c>
      <c r="N88" s="190">
        <f>'AN-A14'!N88*1.09</f>
        <v>596.23</v>
      </c>
      <c r="O88" s="190">
        <f>'AN-A14'!O88*1.09</f>
        <v>606.04000000000008</v>
      </c>
      <c r="P88" s="190">
        <f>'AN-A14'!P88*1.09</f>
        <v>614.76</v>
      </c>
      <c r="Q88" s="193">
        <f>'AN-A14'!Q88*1.09</f>
        <v>623.48</v>
      </c>
      <c r="R88" s="303">
        <f t="shared" si="4"/>
        <v>1.5</v>
      </c>
      <c r="S88" s="304">
        <f t="shared" si="5"/>
        <v>1.8</v>
      </c>
    </row>
    <row r="89" spans="1:19" ht="15" customHeight="1">
      <c r="A89" s="16"/>
      <c r="B89" s="672" t="s">
        <v>319</v>
      </c>
      <c r="C89" s="673"/>
      <c r="D89" s="181">
        <f>'AN-A14'!D89*1.09</f>
        <v>92.65</v>
      </c>
      <c r="E89" s="67">
        <f>'AN-A14'!E89*1.09</f>
        <v>92.65</v>
      </c>
      <c r="F89" s="67">
        <f>'AN-A14'!F89*1.09</f>
        <v>92.65</v>
      </c>
      <c r="G89" s="67">
        <f>'AN-A14'!G89*1.09</f>
        <v>93.740000000000009</v>
      </c>
      <c r="H89" s="67">
        <f>'AN-A14'!H89*1.09</f>
        <v>95.92</v>
      </c>
      <c r="I89" s="182">
        <f>'AN-A14'!I89*1.09</f>
        <v>98.100000000000009</v>
      </c>
      <c r="J89" s="182">
        <f>'AN-A14'!J89*1.09</f>
        <v>100.28</v>
      </c>
      <c r="K89" s="183">
        <f>'AN-A14'!K89*1.09</f>
        <v>102.46000000000001</v>
      </c>
      <c r="L89" s="184">
        <f>'AN-A14'!L89*1.09</f>
        <v>104.64000000000001</v>
      </c>
      <c r="M89" s="182">
        <f>'AN-A14'!M89*1.09</f>
        <v>106.82000000000001</v>
      </c>
      <c r="N89" s="182">
        <f>'AN-A14'!N89*1.09</f>
        <v>110.09</v>
      </c>
      <c r="O89" s="182">
        <f>'AN-A14'!O89*1.09</f>
        <v>113.36000000000001</v>
      </c>
      <c r="P89" s="182">
        <f>'AN-A14'!P89*1.09</f>
        <v>116.63000000000001</v>
      </c>
      <c r="Q89" s="185">
        <f>'AN-A14'!Q89*1.09</f>
        <v>119.9</v>
      </c>
      <c r="R89" s="299">
        <f t="shared" si="4"/>
        <v>1.4</v>
      </c>
      <c r="S89" s="300">
        <f t="shared" si="5"/>
        <v>2.8</v>
      </c>
    </row>
    <row r="90" spans="1:19" ht="15" customHeight="1">
      <c r="A90" s="16"/>
      <c r="B90" s="668" t="s">
        <v>320</v>
      </c>
      <c r="C90" s="669"/>
      <c r="D90" s="181">
        <f>'AN-A14'!D90*1.09</f>
        <v>10.9</v>
      </c>
      <c r="E90" s="67">
        <f>'AN-A14'!E90*1.09</f>
        <v>10.9</v>
      </c>
      <c r="F90" s="67">
        <f>'AN-A14'!F90*1.09</f>
        <v>10.9</v>
      </c>
      <c r="G90" s="67">
        <f>'AN-A14'!G90*1.09</f>
        <v>10.9</v>
      </c>
      <c r="H90" s="67">
        <f>'AN-A14'!H90*1.09</f>
        <v>10.9</v>
      </c>
      <c r="I90" s="182">
        <f>'AN-A14'!I90*1.09</f>
        <v>10.9</v>
      </c>
      <c r="J90" s="182">
        <f>'AN-A14'!J90*1.09</f>
        <v>10.9</v>
      </c>
      <c r="K90" s="183">
        <f>'AN-A14'!K90*1.09</f>
        <v>10.9</v>
      </c>
      <c r="L90" s="184">
        <f>'AN-A14'!L90*1.09</f>
        <v>10.9</v>
      </c>
      <c r="M90" s="182">
        <f>'AN-A14'!M90*1.09</f>
        <v>10.9</v>
      </c>
      <c r="N90" s="182">
        <f>'AN-A14'!N90*1.09</f>
        <v>10.9</v>
      </c>
      <c r="O90" s="182">
        <f>'AN-A14'!O90*1.09</f>
        <v>10.9</v>
      </c>
      <c r="P90" s="182">
        <f>'AN-A14'!P90*1.09</f>
        <v>10.9</v>
      </c>
      <c r="Q90" s="185">
        <f>'AN-A14'!Q90*1.09</f>
        <v>10.9</v>
      </c>
      <c r="R90" s="299">
        <f t="shared" si="4"/>
        <v>0</v>
      </c>
      <c r="S90" s="300">
        <f t="shared" si="5"/>
        <v>0</v>
      </c>
    </row>
    <row r="91" spans="1:19" ht="15" customHeight="1">
      <c r="A91" s="16"/>
      <c r="B91" s="670" t="s">
        <v>321</v>
      </c>
      <c r="C91" s="671"/>
      <c r="D91" s="181">
        <f>'AN-A14'!D91*1.09</f>
        <v>51.230000000000004</v>
      </c>
      <c r="E91" s="67">
        <f>'AN-A14'!E91*1.09</f>
        <v>53.410000000000004</v>
      </c>
      <c r="F91" s="67">
        <f>'AN-A14'!F91*1.09</f>
        <v>56.680000000000007</v>
      </c>
      <c r="G91" s="67">
        <f>'AN-A14'!G91*1.09</f>
        <v>61.040000000000006</v>
      </c>
      <c r="H91" s="67">
        <f>'AN-A14'!H91*1.09</f>
        <v>62.13</v>
      </c>
      <c r="I91" s="182">
        <f>'AN-A14'!I91*1.09</f>
        <v>62.13</v>
      </c>
      <c r="J91" s="182">
        <f>'AN-A14'!J91*1.09</f>
        <v>62.13</v>
      </c>
      <c r="K91" s="183">
        <f>'AN-A14'!K91*1.09</f>
        <v>63.220000000000006</v>
      </c>
      <c r="L91" s="184">
        <f>'AN-A14'!L91*1.09</f>
        <v>64.31</v>
      </c>
      <c r="M91" s="182">
        <f>'AN-A14'!M91*1.09</f>
        <v>65.400000000000006</v>
      </c>
      <c r="N91" s="182">
        <f>'AN-A14'!N91*1.09</f>
        <v>67.58</v>
      </c>
      <c r="O91" s="182">
        <f>'AN-A14'!O91*1.09</f>
        <v>69.760000000000005</v>
      </c>
      <c r="P91" s="182">
        <f>'AN-A14'!P91*1.09</f>
        <v>71.940000000000012</v>
      </c>
      <c r="Q91" s="185">
        <f>'AN-A14'!Q91*1.09</f>
        <v>74.12</v>
      </c>
      <c r="R91" s="299">
        <f t="shared" si="4"/>
        <v>3</v>
      </c>
      <c r="S91" s="300">
        <f t="shared" si="5"/>
        <v>2.9</v>
      </c>
    </row>
    <row r="92" spans="1:19" ht="15.75" customHeight="1" thickBot="1">
      <c r="A92" s="16"/>
      <c r="B92" s="678" t="s">
        <v>322</v>
      </c>
      <c r="C92" s="679"/>
      <c r="D92" s="199">
        <f>'AN-A14'!D92*1.09</f>
        <v>154.78</v>
      </c>
      <c r="E92" s="200">
        <f>'AN-A14'!E92*1.09</f>
        <v>156.96</v>
      </c>
      <c r="F92" s="200">
        <f>'AN-A14'!F92*1.09</f>
        <v>160.23000000000002</v>
      </c>
      <c r="G92" s="200">
        <f>'AN-A14'!G92*1.09</f>
        <v>165.68</v>
      </c>
      <c r="H92" s="200">
        <f>'AN-A14'!H92*1.09</f>
        <v>168.95000000000002</v>
      </c>
      <c r="I92" s="200">
        <f>'AN-A14'!I92*1.09</f>
        <v>171.13000000000002</v>
      </c>
      <c r="J92" s="200">
        <f>'AN-A14'!J92*1.09</f>
        <v>173.31</v>
      </c>
      <c r="K92" s="201">
        <f>'AN-A14'!K92*1.09</f>
        <v>176.58</v>
      </c>
      <c r="L92" s="202">
        <f>'AN-A14'!L92*1.09</f>
        <v>179.85000000000002</v>
      </c>
      <c r="M92" s="200">
        <f>'AN-A14'!M92*1.09</f>
        <v>183.12</v>
      </c>
      <c r="N92" s="200">
        <f>'AN-A14'!N92*1.09</f>
        <v>188.57000000000002</v>
      </c>
      <c r="O92" s="200">
        <f>'AN-A14'!O92*1.09</f>
        <v>194.02</v>
      </c>
      <c r="P92" s="200">
        <f>'AN-A14'!P92*1.09</f>
        <v>199.47000000000003</v>
      </c>
      <c r="Q92" s="203">
        <f>'AN-A14'!Q92*1.09</f>
        <v>204.92000000000002</v>
      </c>
      <c r="R92" s="306">
        <f t="shared" si="4"/>
        <v>1.9</v>
      </c>
      <c r="S92" s="307">
        <f t="shared" si="5"/>
        <v>2.6</v>
      </c>
    </row>
    <row r="93" spans="1:19" ht="18" customHeight="1" thickTop="1" thickBot="1">
      <c r="A93" s="21"/>
      <c r="B93" s="625"/>
      <c r="C93" s="626" t="s">
        <v>343</v>
      </c>
      <c r="D93" s="204">
        <f t="shared" ref="D93:Q93" si="6">D92+D88+D85+D84+D82+D80+D78+D77</f>
        <v>5346.828230000001</v>
      </c>
      <c r="E93" s="205">
        <f t="shared" si="6"/>
        <v>5509.2707120000005</v>
      </c>
      <c r="F93" s="205">
        <f t="shared" si="6"/>
        <v>5581.6682470742326</v>
      </c>
      <c r="G93" s="205">
        <f t="shared" si="6"/>
        <v>5831.7251453302324</v>
      </c>
      <c r="H93" s="205">
        <f t="shared" si="6"/>
        <v>5974.9487763460329</v>
      </c>
      <c r="I93" s="205">
        <f t="shared" si="6"/>
        <v>6061.3889574905006</v>
      </c>
      <c r="J93" s="205">
        <f t="shared" si="6"/>
        <v>6244.6933820455552</v>
      </c>
      <c r="K93" s="206">
        <f t="shared" si="6"/>
        <v>6495.3357438875628</v>
      </c>
      <c r="L93" s="207">
        <f t="shared" si="6"/>
        <v>6762.2872545079936</v>
      </c>
      <c r="M93" s="205">
        <f t="shared" si="6"/>
        <v>6907.3652349786153</v>
      </c>
      <c r="N93" s="205">
        <f t="shared" si="6"/>
        <v>7079.2963974526338</v>
      </c>
      <c r="O93" s="205">
        <f t="shared" si="6"/>
        <v>7252.6907909323772</v>
      </c>
      <c r="P93" s="205">
        <f t="shared" si="6"/>
        <v>7350.6543961752595</v>
      </c>
      <c r="Q93" s="208">
        <f t="shared" si="6"/>
        <v>7459.7870030043487</v>
      </c>
      <c r="R93" s="308">
        <f t="shared" si="4"/>
        <v>2.8</v>
      </c>
      <c r="S93" s="309">
        <f t="shared" si="5"/>
        <v>2</v>
      </c>
    </row>
    <row r="94" spans="1:19" ht="9" customHeight="1">
      <c r="R94" s="26"/>
      <c r="S94" s="26"/>
    </row>
    <row r="95" spans="1:19" ht="13.5" customHeight="1">
      <c r="C95" t="s">
        <v>330</v>
      </c>
      <c r="R95" s="26"/>
      <c r="S95" s="26"/>
    </row>
    <row r="96" spans="1:19" ht="13.5" customHeight="1">
      <c r="C96" s="617" t="s">
        <v>331</v>
      </c>
      <c r="R96" s="26"/>
      <c r="S96" s="26"/>
    </row>
    <row r="97" spans="3:19" ht="13.5" customHeight="1">
      <c r="C97" t="s">
        <v>332</v>
      </c>
      <c r="R97" s="26"/>
      <c r="S97" s="26"/>
    </row>
    <row r="98" spans="3:19" ht="13.5" customHeight="1">
      <c r="C98" s="617" t="s">
        <v>333</v>
      </c>
      <c r="R98" s="26"/>
      <c r="S98" s="26"/>
    </row>
    <row r="99" spans="3:19">
      <c r="R99" s="26"/>
      <c r="S99" s="26"/>
    </row>
    <row r="100" spans="3:19">
      <c r="R100" s="26"/>
      <c r="S100" s="26"/>
    </row>
    <row r="101" spans="3:19">
      <c r="R101" s="26"/>
      <c r="S101" s="26"/>
    </row>
    <row r="102" spans="3:19">
      <c r="R102" s="26"/>
      <c r="S102" s="26"/>
    </row>
    <row r="103" spans="3:19">
      <c r="R103" s="26"/>
      <c r="S103" s="26"/>
    </row>
    <row r="104" spans="3:19">
      <c r="R104" s="26"/>
      <c r="S104" s="26"/>
    </row>
    <row r="105" spans="3:19">
      <c r="R105" s="26"/>
      <c r="S105" s="26"/>
    </row>
    <row r="106" spans="3:19">
      <c r="R106" s="26"/>
      <c r="S106" s="26"/>
    </row>
    <row r="107" spans="3:19">
      <c r="R107" s="26"/>
      <c r="S107" s="26"/>
    </row>
    <row r="108" spans="3:19">
      <c r="R108" s="26"/>
      <c r="S108" s="26"/>
    </row>
    <row r="109" spans="3:19">
      <c r="R109" s="26"/>
      <c r="S109" s="26"/>
    </row>
    <row r="110" spans="3:19">
      <c r="R110" s="26"/>
      <c r="S110" s="26"/>
    </row>
    <row r="111" spans="3:19">
      <c r="R111" s="26"/>
      <c r="S111" s="26"/>
    </row>
    <row r="112" spans="3:19">
      <c r="R112" s="26"/>
      <c r="S112" s="26"/>
    </row>
    <row r="113" spans="18:19">
      <c r="R113" s="26"/>
      <c r="S113" s="26"/>
    </row>
    <row r="114" spans="18:19">
      <c r="R114" s="26"/>
      <c r="S114" s="26"/>
    </row>
    <row r="115" spans="18:19">
      <c r="R115" s="26"/>
      <c r="S115" s="26"/>
    </row>
    <row r="116" spans="18:19">
      <c r="R116" s="26"/>
      <c r="S116" s="26"/>
    </row>
    <row r="117" spans="18:19">
      <c r="R117" s="26"/>
      <c r="S117" s="26"/>
    </row>
    <row r="118" spans="18:19">
      <c r="R118" s="26"/>
      <c r="S118" s="26"/>
    </row>
    <row r="119" spans="18:19">
      <c r="R119" s="26"/>
      <c r="S119" s="26"/>
    </row>
    <row r="120" spans="18:19">
      <c r="R120" s="26"/>
      <c r="S120" s="26"/>
    </row>
    <row r="121" spans="18:19">
      <c r="R121" s="26"/>
      <c r="S121" s="26"/>
    </row>
    <row r="122" spans="18:19">
      <c r="R122" s="26"/>
      <c r="S122" s="26"/>
    </row>
    <row r="123" spans="18:19">
      <c r="R123" s="26"/>
      <c r="S123" s="26"/>
    </row>
    <row r="124" spans="18:19">
      <c r="R124" s="26"/>
      <c r="S124" s="26"/>
    </row>
    <row r="125" spans="18:19">
      <c r="R125" s="26"/>
      <c r="S125" s="26"/>
    </row>
    <row r="126" spans="18:19">
      <c r="R126" s="26"/>
      <c r="S126" s="26"/>
    </row>
    <row r="127" spans="18:19">
      <c r="R127" s="26"/>
      <c r="S127" s="26"/>
    </row>
    <row r="128" spans="18:19">
      <c r="R128" s="26"/>
      <c r="S128" s="26"/>
    </row>
    <row r="129" spans="18:19">
      <c r="R129" s="26"/>
      <c r="S129" s="26"/>
    </row>
    <row r="130" spans="18:19">
      <c r="R130" s="26"/>
      <c r="S130" s="26"/>
    </row>
    <row r="131" spans="18:19">
      <c r="R131" s="26"/>
      <c r="S131" s="26"/>
    </row>
    <row r="132" spans="18:19">
      <c r="R132" s="26"/>
      <c r="S132" s="26"/>
    </row>
    <row r="133" spans="18:19">
      <c r="R133" s="26"/>
      <c r="S133" s="26"/>
    </row>
    <row r="134" spans="18:19">
      <c r="R134" s="26"/>
      <c r="S134" s="26"/>
    </row>
    <row r="135" spans="18:19">
      <c r="R135" s="26"/>
      <c r="S135" s="26"/>
    </row>
    <row r="136" spans="18:19">
      <c r="R136" s="26"/>
      <c r="S136" s="26"/>
    </row>
    <row r="137" spans="18:19">
      <c r="R137" s="26"/>
      <c r="S137" s="26"/>
    </row>
    <row r="138" spans="18:19">
      <c r="R138" s="26"/>
      <c r="S138" s="26"/>
    </row>
    <row r="139" spans="18:19">
      <c r="R139" s="26"/>
      <c r="S139" s="26"/>
    </row>
    <row r="140" spans="18:19">
      <c r="R140" s="26"/>
      <c r="S140" s="26"/>
    </row>
    <row r="141" spans="18:19">
      <c r="R141" s="26"/>
      <c r="S141" s="26"/>
    </row>
    <row r="142" spans="18:19">
      <c r="R142" s="26"/>
      <c r="S142" s="26"/>
    </row>
    <row r="143" spans="18:19">
      <c r="R143" s="26"/>
      <c r="S143" s="26"/>
    </row>
    <row r="144" spans="18:19">
      <c r="R144" s="26"/>
      <c r="S144" s="26"/>
    </row>
    <row r="145" spans="18:19">
      <c r="R145" s="26"/>
      <c r="S145" s="26"/>
    </row>
    <row r="146" spans="18:19">
      <c r="R146" s="26"/>
      <c r="S146" s="26"/>
    </row>
    <row r="147" spans="18:19">
      <c r="R147" s="26"/>
      <c r="S147" s="26"/>
    </row>
    <row r="148" spans="18:19">
      <c r="R148" s="26"/>
      <c r="S148" s="26"/>
    </row>
    <row r="149" spans="18:19">
      <c r="R149" s="26"/>
      <c r="S149" s="26"/>
    </row>
    <row r="150" spans="18:19">
      <c r="R150" s="26"/>
      <c r="S150" s="26"/>
    </row>
    <row r="151" spans="18:19">
      <c r="R151" s="26"/>
      <c r="S151" s="26"/>
    </row>
    <row r="152" spans="18:19">
      <c r="R152" s="26"/>
      <c r="S152" s="26"/>
    </row>
    <row r="153" spans="18:19">
      <c r="R153" s="26"/>
      <c r="S153" s="26"/>
    </row>
  </sheetData>
  <mergeCells count="45">
    <mergeCell ref="B49:C49"/>
    <mergeCell ref="B51:C51"/>
    <mergeCell ref="B53:C53"/>
    <mergeCell ref="B55:C55"/>
    <mergeCell ref="R3:S3"/>
    <mergeCell ref="D4:K4"/>
    <mergeCell ref="L4:Q4"/>
    <mergeCell ref="B48:C48"/>
    <mergeCell ref="B28:C28"/>
    <mergeCell ref="B29:C29"/>
    <mergeCell ref="S5:S6"/>
    <mergeCell ref="B27:C27"/>
    <mergeCell ref="B26:C26"/>
    <mergeCell ref="B31:C31"/>
    <mergeCell ref="B32:C32"/>
    <mergeCell ref="R4:S4"/>
    <mergeCell ref="B91:C91"/>
    <mergeCell ref="B92:C92"/>
    <mergeCell ref="B89:C89"/>
    <mergeCell ref="B90:C90"/>
    <mergeCell ref="B85:C85"/>
    <mergeCell ref="B86:C86"/>
    <mergeCell ref="B87:C87"/>
    <mergeCell ref="B88:C88"/>
    <mergeCell ref="B80:C80"/>
    <mergeCell ref="B82:C82"/>
    <mergeCell ref="B84:C84"/>
    <mergeCell ref="B60:C60"/>
    <mergeCell ref="B30:C30"/>
    <mergeCell ref="B57:C57"/>
    <mergeCell ref="B58:C58"/>
    <mergeCell ref="B33:C33"/>
    <mergeCell ref="B34:C34"/>
    <mergeCell ref="B78:C78"/>
    <mergeCell ref="B77:C77"/>
    <mergeCell ref="B61:C61"/>
    <mergeCell ref="B62:C62"/>
    <mergeCell ref="B63:C63"/>
    <mergeCell ref="B56:C56"/>
    <mergeCell ref="B59:C59"/>
    <mergeCell ref="B19:C19"/>
    <mergeCell ref="B24:C24"/>
    <mergeCell ref="B22:C22"/>
    <mergeCell ref="B20:C20"/>
    <mergeCell ref="R5:R6"/>
  </mergeCells>
  <phoneticPr fontId="6"/>
  <conditionalFormatting sqref="C97:C98">
    <cfRule type="expression" dxfId="59" priority="5">
      <formula>CELL("protect",C97)=0</formula>
    </cfRule>
    <cfRule type="expression" dxfId="58" priority="6">
      <formula>CELL("protect",C97)=0</formula>
    </cfRule>
  </conditionalFormatting>
  <conditionalFormatting sqref="C95">
    <cfRule type="expression" dxfId="57" priority="3">
      <formula>CELL("protect",C95)=0</formula>
    </cfRule>
    <cfRule type="expression" dxfId="56" priority="4">
      <formula>CELL("protect",C95)=0</formula>
    </cfRule>
  </conditionalFormatting>
  <conditionalFormatting sqref="C97">
    <cfRule type="expression" dxfId="55" priority="1">
      <formula>CELL("protect",C97)=0</formula>
    </cfRule>
    <cfRule type="expression" dxfId="54" priority="2">
      <formula>CELL("protect",C97)=0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51" firstPageNumber="139" orientation="portrait" useFirstPageNumber="1" r:id="rId1"/>
  <headerFooter scaleWithDoc="0" alignWithMargins="0">
    <oddFooter>&amp;C193</oddFooter>
  </headerFooter>
  <ignoredErrors>
    <ignoredError sqref="D65:Q78 D7:Q20 D62:Q63 D87:Q92 D55:Q61 E26:Q34 D26:D34 D36:D49 D23:Q24 D52:Q53 E36:Q49 D21:Q22 D50:Q51 D54:Q54 D25:Q25 D35:Q35 D84:Q86 D81:Q82 D79:Q80 D83:Q83" unlockedFormula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1">
    <pageSetUpPr fitToPage="1"/>
  </sheetPr>
  <dimension ref="A16:AB57"/>
  <sheetViews>
    <sheetView view="pageBreakPreview" zoomScale="70" zoomScaleNormal="70" zoomScaleSheetLayoutView="70" workbookViewId="0"/>
  </sheetViews>
  <sheetFormatPr defaultColWidth="9" defaultRowHeight="13.5"/>
  <sheetData>
    <row r="16" ht="2.25" customHeight="1"/>
    <row r="17" spans="1:16" hidden="1"/>
    <row r="18" spans="1:16" ht="34.5" customHeight="1">
      <c r="A18" s="701" t="s">
        <v>347</v>
      </c>
      <c r="B18" s="701"/>
      <c r="C18" s="701"/>
      <c r="D18" s="701"/>
      <c r="E18" s="701"/>
      <c r="F18" s="701"/>
      <c r="G18" s="701"/>
      <c r="H18" s="701"/>
      <c r="I18" s="701"/>
      <c r="J18" s="701"/>
      <c r="K18" s="701"/>
      <c r="L18" s="701"/>
      <c r="M18" s="701"/>
      <c r="N18" s="701"/>
      <c r="O18" s="701"/>
      <c r="P18" s="701"/>
    </row>
    <row r="19" spans="1:16" ht="286.5" customHeight="1">
      <c r="A19" s="701"/>
      <c r="B19" s="701"/>
      <c r="C19" s="701"/>
      <c r="D19" s="701"/>
      <c r="E19" s="701"/>
      <c r="F19" s="701"/>
      <c r="G19" s="701"/>
      <c r="H19" s="701"/>
      <c r="I19" s="701"/>
      <c r="J19" s="701"/>
      <c r="K19" s="701"/>
      <c r="L19" s="701"/>
      <c r="M19" s="701"/>
      <c r="N19" s="701"/>
      <c r="O19" s="701"/>
      <c r="P19" s="701"/>
    </row>
    <row r="57" spans="28:28">
      <c r="AB57">
        <v>5</v>
      </c>
    </row>
  </sheetData>
  <mergeCells count="1">
    <mergeCell ref="A18:P19"/>
  </mergeCells>
  <phoneticPr fontId="4"/>
  <printOptions horizontalCentered="1"/>
  <pageMargins left="0.39370078740157483" right="0.39370078740157483" top="0.78740157480314965" bottom="0.39370078740157483" header="0.51181102362204722" footer="0.31496062992125984"/>
  <pageSetup paperSize="9" scale="67" firstPageNumber="194" fitToHeight="0" orientation="portrait" useFirstPageNumber="1" r:id="rId1"/>
  <headerFooter scaleWithDoc="0" alignWithMargins="0">
    <oddFooter>&amp;C&amp;P</oddFooter>
    <firstFooter>&amp;C196</first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>
    <tabColor rgb="FF00B050"/>
    <pageSetUpPr fitToPage="1"/>
  </sheetPr>
  <dimension ref="B1:S48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2" t="s">
        <v>20</v>
      </c>
      <c r="J2" s="2" t="s">
        <v>29</v>
      </c>
    </row>
    <row r="3" spans="2:19" ht="30.95" customHeight="1" thickBot="1">
      <c r="G3" s="624" t="s">
        <v>348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'ETHYLENE-C1'!D36-'ETHYLENE-C1'!D65</f>
        <v>2529.7200000000003</v>
      </c>
      <c r="E7" s="151">
        <f>'ETHYLENE-C1'!E36-'ETHYLENE-C1'!E65</f>
        <v>2373.1999999999998</v>
      </c>
      <c r="F7" s="151">
        <f>'ETHYLENE-C1'!F36-'ETHYLENE-C1'!F65</f>
        <v>2680.8099999999995</v>
      </c>
      <c r="G7" s="151">
        <f>'ETHYLENE-C1'!G36-'ETHYLENE-C1'!G65</f>
        <v>2803.8600000000006</v>
      </c>
      <c r="H7" s="151">
        <f>'ETHYLENE-C1'!H36-'ETHYLENE-C1'!H65</f>
        <v>3231.7000000000007</v>
      </c>
      <c r="I7" s="151">
        <f>'ETHYLENE-C1'!I36-'ETHYLENE-C1'!I65</f>
        <v>3148.8399999999992</v>
      </c>
      <c r="J7" s="152">
        <f>'ETHYLENE-C1'!J36-'ETHYLENE-C1'!J65</f>
        <v>3026.2100000000009</v>
      </c>
      <c r="K7" s="153">
        <f>'ETHYLENE-C1'!K36-'ETHYLENE-C1'!K65</f>
        <v>3065.58</v>
      </c>
      <c r="L7" s="152">
        <f>'ETHYLENE-C1'!L36-'ETHYLENE-C1'!L65</f>
        <v>2973.7999999999993</v>
      </c>
      <c r="M7" s="151">
        <f>'ETHYLENE-C1'!M36-'ETHYLENE-C1'!M65</f>
        <v>3216</v>
      </c>
      <c r="N7" s="151">
        <f>'ETHYLENE-C1'!N36-'ETHYLENE-C1'!N65</f>
        <v>3670.2999999999993</v>
      </c>
      <c r="O7" s="151">
        <f>'ETHYLENE-C1'!O36-'ETHYLENE-C1'!O65</f>
        <v>4390.6000000000004</v>
      </c>
      <c r="P7" s="151">
        <f>'ETHYLENE-C1'!P36-'ETHYLENE-C1'!P65</f>
        <v>5046.6000000000004</v>
      </c>
      <c r="Q7" s="154">
        <f>'ETHYLENE-C1'!Q36-'ETHYLENE-C1'!Q65</f>
        <v>5478.6</v>
      </c>
    </row>
    <row r="8" spans="2:19" ht="18" customHeight="1">
      <c r="B8" s="605" t="s">
        <v>434</v>
      </c>
      <c r="C8" s="606"/>
      <c r="D8" s="155">
        <f>'ETHYLENE-C1'!D37-'ETHYLENE-C1'!D66</f>
        <v>1725.3600000000001</v>
      </c>
      <c r="E8" s="156">
        <f>'ETHYLENE-C1'!E37-'ETHYLENE-C1'!E66</f>
        <v>1471.7600000000007</v>
      </c>
      <c r="F8" s="156">
        <f>'ETHYLENE-C1'!F37-'ETHYLENE-C1'!F66</f>
        <v>1548.1999999999998</v>
      </c>
      <c r="G8" s="156">
        <f>'ETHYLENE-C1'!G37-'ETHYLENE-C1'!G66</f>
        <v>1774.8000000000011</v>
      </c>
      <c r="H8" s="156">
        <f>'ETHYLENE-C1'!H37-'ETHYLENE-C1'!H66</f>
        <v>1811.0099999999998</v>
      </c>
      <c r="I8" s="156">
        <f>'ETHYLENE-C1'!I37-'ETHYLENE-C1'!I66</f>
        <v>1971.8400000000001</v>
      </c>
      <c r="J8" s="157">
        <f>'ETHYLENE-C1'!J37-'ETHYLENE-C1'!J66</f>
        <v>1938.5999999999995</v>
      </c>
      <c r="K8" s="158">
        <f>'ETHYLENE-C1'!K37-'ETHYLENE-C1'!K66</f>
        <v>2059.4100000000003</v>
      </c>
      <c r="L8" s="157">
        <f>'ETHYLENE-C1'!L37-'ETHYLENE-C1'!L66</f>
        <v>1931.5999999999995</v>
      </c>
      <c r="M8" s="156">
        <f>'ETHYLENE-C1'!M37-'ETHYLENE-C1'!M66</f>
        <v>1949.8999999999996</v>
      </c>
      <c r="N8" s="156">
        <f>'ETHYLENE-C1'!N37-'ETHYLENE-C1'!N66</f>
        <v>1896.1</v>
      </c>
      <c r="O8" s="156">
        <f>'ETHYLENE-C1'!O37-'ETHYLENE-C1'!O66</f>
        <v>1945.6</v>
      </c>
      <c r="P8" s="156">
        <f>'ETHYLENE-C1'!P37-'ETHYLENE-C1'!P66</f>
        <v>1943.1</v>
      </c>
      <c r="Q8" s="159">
        <f>'ETHYLENE-C1'!Q37-'ETHYLENE-C1'!Q66</f>
        <v>1943.1</v>
      </c>
    </row>
    <row r="9" spans="2:19" ht="18" customHeight="1">
      <c r="B9" s="605" t="s">
        <v>435</v>
      </c>
      <c r="C9" s="606"/>
      <c r="D9" s="155">
        <f>'ETHYLENE-C1'!D38-'ETHYLENE-C1'!D67</f>
        <v>1843.7500000000002</v>
      </c>
      <c r="E9" s="156">
        <f>'ETHYLENE-C1'!E38-'ETHYLENE-C1'!E67</f>
        <v>1918.0178599999999</v>
      </c>
      <c r="F9" s="156">
        <f>'ETHYLENE-C1'!F38-'ETHYLENE-C1'!F67</f>
        <v>2133.5686223466669</v>
      </c>
      <c r="G9" s="156">
        <f>'ETHYLENE-C1'!G38-'ETHYLENE-C1'!G67</f>
        <v>3108.72888899584</v>
      </c>
      <c r="H9" s="156">
        <f>'ETHYLENE-C1'!H38-'ETHYLENE-C1'!H67</f>
        <v>3371.4691506439658</v>
      </c>
      <c r="I9" s="156">
        <f>'ETHYLENE-C1'!I38-'ETHYLENE-C1'!I67</f>
        <v>3434.4883725682721</v>
      </c>
      <c r="J9" s="157">
        <f>'ETHYLENE-C1'!J38-'ETHYLENE-C1'!J67</f>
        <v>3154.66</v>
      </c>
      <c r="K9" s="158">
        <f>'ETHYLENE-C1'!K38-'ETHYLENE-C1'!K67</f>
        <v>3380.84</v>
      </c>
      <c r="L9" s="157">
        <f>'ETHYLENE-C1'!L38-'ETHYLENE-C1'!L67</f>
        <v>3601.53</v>
      </c>
      <c r="M9" s="156">
        <f>'ETHYLENE-C1'!M38-'ETHYLENE-C1'!M67</f>
        <v>3652.7500000000005</v>
      </c>
      <c r="N9" s="156">
        <f>'ETHYLENE-C1'!N38-'ETHYLENE-C1'!N67</f>
        <v>3757.01</v>
      </c>
      <c r="O9" s="156">
        <f>'ETHYLENE-C1'!O38-'ETHYLENE-C1'!O67</f>
        <v>3722.9299999999994</v>
      </c>
      <c r="P9" s="156">
        <f>'ETHYLENE-C1'!P38-'ETHYLENE-C1'!P67</f>
        <v>3640.71</v>
      </c>
      <c r="Q9" s="159">
        <f>'ETHYLENE-C1'!Q38-'ETHYLENE-C1'!Q67</f>
        <v>3657.2899999999995</v>
      </c>
    </row>
    <row r="10" spans="2:19" ht="18" customHeight="1">
      <c r="B10" s="605" t="s">
        <v>436</v>
      </c>
      <c r="C10" s="606"/>
      <c r="D10" s="367">
        <f>'ETHYLENE-C1'!D39-'ETHYLENE-C1'!D68</f>
        <v>-13516.490000000002</v>
      </c>
      <c r="E10" s="368">
        <f>'ETHYLENE-C1'!E39-'ETHYLENE-C1'!E68</f>
        <v>-13716.59</v>
      </c>
      <c r="F10" s="368">
        <f>'ETHYLENE-C1'!F39-'ETHYLENE-C1'!F68</f>
        <v>-14639.309999999998</v>
      </c>
      <c r="G10" s="368">
        <f>'ETHYLENE-C1'!G39-'ETHYLENE-C1'!G68</f>
        <v>-15833.690000000002</v>
      </c>
      <c r="H10" s="368">
        <f>'ETHYLENE-C1'!H39-'ETHYLENE-C1'!H68</f>
        <v>-15899.669999999998</v>
      </c>
      <c r="I10" s="368">
        <f>'ETHYLENE-C1'!I39-'ETHYLENE-C1'!I68</f>
        <v>-16971.02</v>
      </c>
      <c r="J10" s="369">
        <f>'ETHYLENE-C1'!J39-'ETHYLENE-C1'!J68</f>
        <v>-16450.509999999998</v>
      </c>
      <c r="K10" s="370">
        <f>'ETHYLENE-C1'!K39-'ETHYLENE-C1'!K68</f>
        <v>-19074.040000000008</v>
      </c>
      <c r="L10" s="369">
        <f>'ETHYLENE-C1'!L39-'ETHYLENE-C1'!L68</f>
        <v>-18948.21</v>
      </c>
      <c r="M10" s="368">
        <f>'ETHYLENE-C1'!M39-'ETHYLENE-C1'!M68</f>
        <v>-19366.53</v>
      </c>
      <c r="N10" s="368">
        <f>'ETHYLENE-C1'!N39-'ETHYLENE-C1'!N68</f>
        <v>-19316.820000000007</v>
      </c>
      <c r="O10" s="368">
        <f>'ETHYLENE-C1'!O39-'ETHYLENE-C1'!O68</f>
        <v>-19186.360000000008</v>
      </c>
      <c r="P10" s="368">
        <f>'ETHYLENE-C1'!P39-'ETHYLENE-C1'!P68</f>
        <v>-19653.270000000004</v>
      </c>
      <c r="Q10" s="371">
        <f>'ETHYLENE-C1'!Q39-'ETHYLENE-C1'!Q68</f>
        <v>-19969.449999999997</v>
      </c>
    </row>
    <row r="11" spans="2:19" ht="18" customHeight="1">
      <c r="B11" s="605" t="s">
        <v>437</v>
      </c>
      <c r="C11" s="606"/>
      <c r="D11" s="367">
        <f>'ETHYLENE-C1'!D40-'ETHYLENE-C1'!D69</f>
        <v>1028.9649999999999</v>
      </c>
      <c r="E11" s="368">
        <f>'ETHYLENE-C1'!E40-'ETHYLENE-C1'!E69</f>
        <v>1738.5650000000001</v>
      </c>
      <c r="F11" s="368">
        <f>'ETHYLENE-C1'!F40-'ETHYLENE-C1'!F69</f>
        <v>1843.9949999999999</v>
      </c>
      <c r="G11" s="368">
        <f>'ETHYLENE-C1'!G40-'ETHYLENE-C1'!G69</f>
        <v>1884.2804600000004</v>
      </c>
      <c r="H11" s="368">
        <f>'ETHYLENE-C1'!H40-'ETHYLENE-C1'!H69</f>
        <v>1772.2348703946132</v>
      </c>
      <c r="I11" s="368">
        <f>'ETHYLENE-C1'!I40-'ETHYLENE-C1'!I69</f>
        <v>1989.2451013220584</v>
      </c>
      <c r="J11" s="369">
        <f>'ETHYLENE-C1'!J40-'ETHYLENE-C1'!J69</f>
        <v>1596.0449025516814</v>
      </c>
      <c r="K11" s="370">
        <f>'ETHYLENE-C1'!K40-'ETHYLENE-C1'!K69</f>
        <v>1541.1266258803748</v>
      </c>
      <c r="L11" s="369">
        <f>'ETHYLENE-C1'!L40-'ETHYLENE-C1'!L69</f>
        <v>1728.8294120590199</v>
      </c>
      <c r="M11" s="368">
        <f>'ETHYLENE-C1'!M40-'ETHYLENE-C1'!M69</f>
        <v>1633.4798793211298</v>
      </c>
      <c r="N11" s="368">
        <f>'ETHYLENE-C1'!N40-'ETHYLENE-C1'!N69</f>
        <v>1538.890307661617</v>
      </c>
      <c r="O11" s="368">
        <f>'ETHYLENE-C1'!O40-'ETHYLENE-C1'!O69</f>
        <v>1444.6056535243297</v>
      </c>
      <c r="P11" s="368">
        <f>'ETHYLENE-C1'!P40-'ETHYLENE-C1'!P69</f>
        <v>1348.4205543251187</v>
      </c>
      <c r="Q11" s="371">
        <f>'ETHYLENE-C1'!Q40-'ETHYLENE-C1'!Q69</f>
        <v>1247.2354185849581</v>
      </c>
    </row>
    <row r="12" spans="2:19" ht="18" customHeight="1">
      <c r="B12" s="605" t="s">
        <v>438</v>
      </c>
      <c r="C12" s="606"/>
      <c r="D12" s="367">
        <f>'ETHYLENE-C1'!D41-'ETHYLENE-C1'!D70</f>
        <v>-273.34418609103068</v>
      </c>
      <c r="E12" s="368">
        <f>'ETHYLENE-C1'!E41-'ETHYLENE-C1'!E70</f>
        <v>-370.76354646361506</v>
      </c>
      <c r="F12" s="368">
        <f>'ETHYLENE-C1'!F41-'ETHYLENE-C1'!F70</f>
        <v>-596.56298534782582</v>
      </c>
      <c r="G12" s="368">
        <f>'ETHYLENE-C1'!G41-'ETHYLENE-C1'!G70</f>
        <v>-691.8748192771086</v>
      </c>
      <c r="H12" s="368">
        <f>'ETHYLENE-C1'!H41-'ETHYLENE-C1'!H70</f>
        <v>-776.2348192771085</v>
      </c>
      <c r="I12" s="368">
        <f>'ETHYLENE-C1'!I41-'ETHYLENE-C1'!I70</f>
        <v>-523.36000000000013</v>
      </c>
      <c r="J12" s="369">
        <f>'ETHYLENE-C1'!J41-'ETHYLENE-C1'!J70</f>
        <v>-496.84500000000003</v>
      </c>
      <c r="K12" s="370">
        <f>'ETHYLENE-C1'!K41-'ETHYLENE-C1'!K70</f>
        <v>-700.89000000000033</v>
      </c>
      <c r="L12" s="369">
        <f>'ETHYLENE-C1'!L41-'ETHYLENE-C1'!L70</f>
        <v>-671.61999999999989</v>
      </c>
      <c r="M12" s="368">
        <f>'ETHYLENE-C1'!M41-'ETHYLENE-C1'!M70</f>
        <v>-805.42000000000007</v>
      </c>
      <c r="N12" s="368">
        <f>'ETHYLENE-C1'!N41-'ETHYLENE-C1'!N70</f>
        <v>-934.36999999999989</v>
      </c>
      <c r="O12" s="368">
        <f>'ETHYLENE-C1'!O41-'ETHYLENE-C1'!O70</f>
        <v>-265.40000000000009</v>
      </c>
      <c r="P12" s="368">
        <f>'ETHYLENE-C1'!P41-'ETHYLENE-C1'!P70</f>
        <v>-411.54999999999973</v>
      </c>
      <c r="Q12" s="371">
        <f>'ETHYLENE-C1'!Q41-'ETHYLENE-C1'!Q70</f>
        <v>-561.90000000000009</v>
      </c>
    </row>
    <row r="13" spans="2:19" ht="18" customHeight="1">
      <c r="B13" s="605" t="s">
        <v>439</v>
      </c>
      <c r="C13" s="606"/>
      <c r="D13" s="367">
        <f>'ETHYLENE-C1'!D42-'ETHYLENE-C1'!D71</f>
        <v>-1746.3900000000003</v>
      </c>
      <c r="E13" s="368">
        <f>'ETHYLENE-C1'!E42-'ETHYLENE-C1'!E71</f>
        <v>-1224.7900000000009</v>
      </c>
      <c r="F13" s="368">
        <f>'ETHYLENE-C1'!F42-'ETHYLENE-C1'!F71</f>
        <v>-2310.105</v>
      </c>
      <c r="G13" s="368">
        <f>'ETHYLENE-C1'!G42-'ETHYLENE-C1'!G71</f>
        <v>-2584.9650000000006</v>
      </c>
      <c r="H13" s="368">
        <f>'ETHYLENE-C1'!H42-'ETHYLENE-C1'!H71</f>
        <v>-2056.3599999999992</v>
      </c>
      <c r="I13" s="368">
        <f>'ETHYLENE-C1'!I42-'ETHYLENE-C1'!I71</f>
        <v>-2476.12</v>
      </c>
      <c r="J13" s="369">
        <f>'ETHYLENE-C1'!J42-'ETHYLENE-C1'!J71</f>
        <v>-2942.5800000000008</v>
      </c>
      <c r="K13" s="370">
        <f>'ETHYLENE-C1'!K42-'ETHYLENE-C1'!K71</f>
        <v>-3461.2</v>
      </c>
      <c r="L13" s="369">
        <f>'ETHYLENE-C1'!L42-'ETHYLENE-C1'!L71</f>
        <v>-3591.2</v>
      </c>
      <c r="M13" s="368">
        <f>'ETHYLENE-C1'!M42-'ETHYLENE-C1'!M71</f>
        <v>-3461</v>
      </c>
      <c r="N13" s="368">
        <f>'ETHYLENE-C1'!N42-'ETHYLENE-C1'!N71</f>
        <v>-3321.7</v>
      </c>
      <c r="O13" s="368">
        <f>'ETHYLENE-C1'!O42-'ETHYLENE-C1'!O71</f>
        <v>-3455</v>
      </c>
      <c r="P13" s="368">
        <f>'ETHYLENE-C1'!P42-'ETHYLENE-C1'!P71</f>
        <v>-3455.5</v>
      </c>
      <c r="Q13" s="371">
        <f>'ETHYLENE-C1'!Q42-'ETHYLENE-C1'!Q71</f>
        <v>-3504.5</v>
      </c>
    </row>
    <row r="14" spans="2:19" ht="18" hidden="1" customHeight="1">
      <c r="B14" s="16"/>
      <c r="C14" s="90" t="s">
        <v>306</v>
      </c>
      <c r="D14" s="367">
        <f>'ETHYLENE-C1'!D43-'ETHYLENE-C1'!D72</f>
        <v>0</v>
      </c>
      <c r="E14" s="368">
        <f>'ETHYLENE-C1'!E43-'ETHYLENE-C1'!E72</f>
        <v>0</v>
      </c>
      <c r="F14" s="368">
        <f>'ETHYLENE-C1'!F43-'ETHYLENE-C1'!F72</f>
        <v>0</v>
      </c>
      <c r="G14" s="368">
        <f>'ETHYLENE-C1'!G43-'ETHYLENE-C1'!G72</f>
        <v>0</v>
      </c>
      <c r="H14" s="368">
        <f>'ETHYLENE-C1'!H43-'ETHYLENE-C1'!H72</f>
        <v>0</v>
      </c>
      <c r="I14" s="368">
        <f>'ETHYLENE-C1'!I43-'ETHYLENE-C1'!I72</f>
        <v>0</v>
      </c>
      <c r="J14" s="369">
        <f>'ETHYLENE-C1'!J43-'ETHYLENE-C1'!J72</f>
        <v>0</v>
      </c>
      <c r="K14" s="370">
        <f>'ETHYLENE-C1'!K43-'ETHYLENE-C1'!K72</f>
        <v>0</v>
      </c>
      <c r="L14" s="369">
        <f>'ETHYLENE-C1'!L43-'ETHYLENE-C1'!L72</f>
        <v>0</v>
      </c>
      <c r="M14" s="368">
        <f>'ETHYLENE-C1'!M43-'ETHYLENE-C1'!M72</f>
        <v>0</v>
      </c>
      <c r="N14" s="368">
        <f>'ETHYLENE-C1'!N43-'ETHYLENE-C1'!N72</f>
        <v>0</v>
      </c>
      <c r="O14" s="368">
        <f>'ETHYLENE-C1'!O43-'ETHYLENE-C1'!O72</f>
        <v>0</v>
      </c>
      <c r="P14" s="368">
        <f>'ETHYLENE-C1'!P43-'ETHYLENE-C1'!P72</f>
        <v>0</v>
      </c>
      <c r="Q14" s="371">
        <f>'ETHYLENE-C1'!Q43-'ETHYLENE-C1'!Q72</f>
        <v>0</v>
      </c>
    </row>
    <row r="15" spans="2:19" ht="18" customHeight="1">
      <c r="B15" s="605" t="s">
        <v>440</v>
      </c>
      <c r="C15" s="606"/>
      <c r="D15" s="367">
        <f>'ETHYLENE-C1'!D44-'ETHYLENE-C1'!D73</f>
        <v>-245.86</v>
      </c>
      <c r="E15" s="368">
        <f>'ETHYLENE-C1'!E44-'ETHYLENE-C1'!E73</f>
        <v>-274.90999999999997</v>
      </c>
      <c r="F15" s="368">
        <f>'ETHYLENE-C1'!F44-'ETHYLENE-C1'!F73</f>
        <v>-349.39</v>
      </c>
      <c r="G15" s="368">
        <f>'ETHYLENE-C1'!G44-'ETHYLENE-C1'!G73</f>
        <v>-322.71000000000004</v>
      </c>
      <c r="H15" s="368">
        <f>'ETHYLENE-C1'!H44-'ETHYLENE-C1'!H73</f>
        <v>-388.52</v>
      </c>
      <c r="I15" s="368">
        <f>'ETHYLENE-C1'!I44-'ETHYLENE-C1'!I73</f>
        <v>-302.45179999999999</v>
      </c>
      <c r="J15" s="369">
        <f>'ETHYLENE-C1'!J44-'ETHYLENE-C1'!J73</f>
        <v>-268.27000000000004</v>
      </c>
      <c r="K15" s="370">
        <f>'ETHYLENE-C1'!K44-'ETHYLENE-C1'!K73</f>
        <v>-242.3</v>
      </c>
      <c r="L15" s="369">
        <f>'ETHYLENE-C1'!L44-'ETHYLENE-C1'!L73</f>
        <v>-202.61000000000013</v>
      </c>
      <c r="M15" s="368">
        <f>'ETHYLENE-C1'!M44-'ETHYLENE-C1'!M73</f>
        <v>-232.41000000000008</v>
      </c>
      <c r="N15" s="368">
        <f>'ETHYLENE-C1'!N44-'ETHYLENE-C1'!N73</f>
        <v>-229.65000000000009</v>
      </c>
      <c r="O15" s="368">
        <f>'ETHYLENE-C1'!O44-'ETHYLENE-C1'!O73</f>
        <v>-228.42999999999995</v>
      </c>
      <c r="P15" s="368">
        <f>'ETHYLENE-C1'!P44-'ETHYLENE-C1'!P73</f>
        <v>-229.25000000000011</v>
      </c>
      <c r="Q15" s="371">
        <f>'ETHYLENE-C1'!Q44-'ETHYLENE-C1'!Q73</f>
        <v>-232.10000000000002</v>
      </c>
    </row>
    <row r="16" spans="2:19" ht="18" customHeight="1">
      <c r="B16" s="605" t="s">
        <v>441</v>
      </c>
      <c r="C16" s="606"/>
      <c r="D16" s="367">
        <f>'ETHYLENE-C1'!D45-'ETHYLENE-C1'!D74</f>
        <v>166.75424287951864</v>
      </c>
      <c r="E16" s="368">
        <f>'ETHYLENE-C1'!E45-'ETHYLENE-C1'!E74</f>
        <v>88.288848012012522</v>
      </c>
      <c r="F16" s="368">
        <f>'ETHYLENE-C1'!F45-'ETHYLENE-C1'!F74</f>
        <v>163.69499999999994</v>
      </c>
      <c r="G16" s="368">
        <f>'ETHYLENE-C1'!G45-'ETHYLENE-C1'!G74</f>
        <v>-16.309999999999945</v>
      </c>
      <c r="H16" s="368">
        <f>'ETHYLENE-C1'!H45-'ETHYLENE-C1'!H74</f>
        <v>-417.94441999999981</v>
      </c>
      <c r="I16" s="368">
        <f>'ETHYLENE-C1'!I45-'ETHYLENE-C1'!I74</f>
        <v>-303.74297999999976</v>
      </c>
      <c r="J16" s="369">
        <f>'ETHYLENE-C1'!J45-'ETHYLENE-C1'!J74</f>
        <v>-347.58373999999981</v>
      </c>
      <c r="K16" s="370">
        <f>'ETHYLENE-C1'!K45-'ETHYLENE-C1'!K74</f>
        <v>-435.0138215999998</v>
      </c>
      <c r="L16" s="369">
        <f>'ETHYLENE-C1'!L45-'ETHYLENE-C1'!L74</f>
        <v>-501.98993455999994</v>
      </c>
      <c r="M16" s="368">
        <f>'ETHYLENE-C1'!M45-'ETHYLENE-C1'!M74</f>
        <v>-570.62192503615984</v>
      </c>
      <c r="N16" s="368">
        <f>'ETHYLENE-C1'!N45-'ETHYLENE-C1'!N74</f>
        <v>192.27774935890466</v>
      </c>
      <c r="O16" s="368">
        <f>'ETHYLENE-C1'!O45-'ETHYLENE-C1'!O74</f>
        <v>333.23751128131562</v>
      </c>
      <c r="P16" s="368">
        <f>'ETHYLENE-C1'!P45-'ETHYLENE-C1'!P74</f>
        <v>279.23091768077165</v>
      </c>
      <c r="Q16" s="371">
        <f>'ETHYLENE-C1'!Q45-'ETHYLENE-C1'!Q74</f>
        <v>233.36253094996027</v>
      </c>
    </row>
    <row r="17" spans="2:17" ht="18" customHeight="1">
      <c r="B17" s="605" t="s">
        <v>442</v>
      </c>
      <c r="C17" s="606"/>
      <c r="D17" s="367">
        <f>'ETHYLENE-C1'!D46-'ETHYLENE-C1'!D75</f>
        <v>-751.22</v>
      </c>
      <c r="E17" s="368">
        <f>'ETHYLENE-C1'!E46-'ETHYLENE-C1'!E75</f>
        <v>-812.91999999999985</v>
      </c>
      <c r="F17" s="368">
        <f>'ETHYLENE-C1'!F46-'ETHYLENE-C1'!F75</f>
        <v>-915.90000000000009</v>
      </c>
      <c r="G17" s="368">
        <f>'ETHYLENE-C1'!G46-'ETHYLENE-C1'!G75</f>
        <v>-980.1099999999999</v>
      </c>
      <c r="H17" s="368">
        <f>'ETHYLENE-C1'!H46-'ETHYLENE-C1'!H75</f>
        <v>-1044.8999999999999</v>
      </c>
      <c r="I17" s="368">
        <f>'ETHYLENE-C1'!I46-'ETHYLENE-C1'!I75</f>
        <v>-1126.4599999999998</v>
      </c>
      <c r="J17" s="369">
        <f>'ETHYLENE-C1'!J46-'ETHYLENE-C1'!J75</f>
        <v>-1072.2699999999998</v>
      </c>
      <c r="K17" s="370">
        <f>'ETHYLENE-C1'!K46-'ETHYLENE-C1'!K75</f>
        <v>-2334.2300000000005</v>
      </c>
      <c r="L17" s="369">
        <f>'ETHYLENE-C1'!L46-'ETHYLENE-C1'!L75</f>
        <v>-2657.9539999999997</v>
      </c>
      <c r="M17" s="368">
        <f>'ETHYLENE-C1'!M46-'ETHYLENE-C1'!M75</f>
        <v>-2817.41</v>
      </c>
      <c r="N17" s="368">
        <f>'ETHYLENE-C1'!N46-'ETHYLENE-C1'!N75</f>
        <v>-2988.25</v>
      </c>
      <c r="O17" s="368">
        <f>'ETHYLENE-C1'!O46-'ETHYLENE-C1'!O75</f>
        <v>-3168.7500000000005</v>
      </c>
      <c r="P17" s="368">
        <f>'ETHYLENE-C1'!P46-'ETHYLENE-C1'!P75</f>
        <v>-3362.34</v>
      </c>
      <c r="Q17" s="371">
        <f>'ETHYLENE-C1'!Q46-'ETHYLENE-C1'!Q75</f>
        <v>-2605.73</v>
      </c>
    </row>
    <row r="18" spans="2:17" ht="18" customHeight="1">
      <c r="B18" s="607" t="s">
        <v>443</v>
      </c>
      <c r="C18" s="608"/>
      <c r="D18" s="367">
        <f>'ETHYLENE-C1'!D47-'ETHYLENE-C1'!D76</f>
        <v>1693.1524999999983</v>
      </c>
      <c r="E18" s="368">
        <f>'ETHYLENE-C1'!E47-'ETHYLENE-C1'!E76</f>
        <v>1097.9620000000014</v>
      </c>
      <c r="F18" s="368">
        <f>'ETHYLENE-C1'!F47-'ETHYLENE-C1'!F76</f>
        <v>803.46599999999944</v>
      </c>
      <c r="G18" s="368">
        <f>'ETHYLENE-C1'!G47-'ETHYLENE-C1'!G76</f>
        <v>990.61899999999969</v>
      </c>
      <c r="H18" s="368">
        <f>'ETHYLENE-C1'!H47-'ETHYLENE-C1'!H76</f>
        <v>902.0733333333319</v>
      </c>
      <c r="I18" s="368">
        <f>'ETHYLENE-C1'!I47-'ETHYLENE-C1'!I76</f>
        <v>1222.6458599999996</v>
      </c>
      <c r="J18" s="369">
        <f>'ETHYLENE-C1'!J47-'ETHYLENE-C1'!J76</f>
        <v>1057.0087700000004</v>
      </c>
      <c r="K18" s="370">
        <f>'ETHYLENE-C1'!K47-'ETHYLENE-C1'!K76</f>
        <v>1031.5879999999997</v>
      </c>
      <c r="L18" s="369">
        <f>'ETHYLENE-C1'!L47-'ETHYLENE-C1'!L76</f>
        <v>887.80299999999988</v>
      </c>
      <c r="M18" s="368">
        <f>'ETHYLENE-C1'!M47-'ETHYLENE-C1'!M76</f>
        <v>831.28699999999935</v>
      </c>
      <c r="N18" s="368">
        <f>'ETHYLENE-C1'!N47-'ETHYLENE-C1'!N76</f>
        <v>796.37899999999991</v>
      </c>
      <c r="O18" s="368">
        <f>'ETHYLENE-C1'!O47-'ETHYLENE-C1'!O76</f>
        <v>833.43700000000081</v>
      </c>
      <c r="P18" s="368">
        <f>'ETHYLENE-C1'!P47-'ETHYLENE-C1'!P76</f>
        <v>765.89100000000053</v>
      </c>
      <c r="Q18" s="371">
        <f>'ETHYLENE-C1'!Q47-'ETHYLENE-C1'!Q76</f>
        <v>819.59100000000035</v>
      </c>
    </row>
    <row r="19" spans="2:17" ht="21" customHeight="1">
      <c r="B19" s="674" t="s">
        <v>307</v>
      </c>
      <c r="C19" s="675"/>
      <c r="D19" s="160">
        <f t="shared" ref="D19:K19" si="0">SUM(D7:D18)</f>
        <v>-7545.6024432115155</v>
      </c>
      <c r="E19" s="161">
        <f t="shared" si="0"/>
        <v>-7712.1798384516005</v>
      </c>
      <c r="F19" s="161">
        <f t="shared" si="0"/>
        <v>-9637.5333630011592</v>
      </c>
      <c r="G19" s="161">
        <f t="shared" si="0"/>
        <v>-9867.3714702812686</v>
      </c>
      <c r="H19" s="161">
        <f t="shared" si="0"/>
        <v>-9495.1418849051952</v>
      </c>
      <c r="I19" s="161">
        <f t="shared" si="0"/>
        <v>-9936.0954461096735</v>
      </c>
      <c r="J19" s="162">
        <f t="shared" si="0"/>
        <v>-10805.535067448318</v>
      </c>
      <c r="K19" s="163">
        <f t="shared" si="0"/>
        <v>-15169.129195719634</v>
      </c>
      <c r="L19" s="162">
        <f t="shared" ref="L19:Q19" si="1">SUM(L7:L18)</f>
        <v>-15450.021522500982</v>
      </c>
      <c r="M19" s="161">
        <f t="shared" si="1"/>
        <v>-15969.975045715026</v>
      </c>
      <c r="N19" s="161">
        <f t="shared" si="1"/>
        <v>-14939.832942979487</v>
      </c>
      <c r="O19" s="161">
        <f t="shared" si="1"/>
        <v>-13633.52983519436</v>
      </c>
      <c r="P19" s="161">
        <f t="shared" si="1"/>
        <v>-14087.957527994113</v>
      </c>
      <c r="Q19" s="164">
        <f t="shared" si="1"/>
        <v>-13494.501050465078</v>
      </c>
    </row>
    <row r="20" spans="2:17" ht="21" customHeight="1">
      <c r="B20" s="672" t="s">
        <v>308</v>
      </c>
      <c r="C20" s="673"/>
      <c r="D20" s="160">
        <f>'ETHYLENE-C1'!D49-'ETHYLENE-C1'!D78</f>
        <v>-621.13598000000002</v>
      </c>
      <c r="E20" s="161">
        <f>'ETHYLENE-C1'!E49-'ETHYLENE-C1'!E78</f>
        <v>-509.03409999999997</v>
      </c>
      <c r="F20" s="161">
        <f>'ETHYLENE-C1'!F49-'ETHYLENE-C1'!F78</f>
        <v>-338.13999999999987</v>
      </c>
      <c r="G20" s="161">
        <f>'ETHYLENE-C1'!G49-'ETHYLENE-C1'!G78</f>
        <v>-377.4559999999999</v>
      </c>
      <c r="H20" s="161">
        <f>'ETHYLENE-C1'!H49-'ETHYLENE-C1'!H78</f>
        <v>-370.21600000000001</v>
      </c>
      <c r="I20" s="161">
        <f>'ETHYLENE-C1'!I49-'ETHYLENE-C1'!I78</f>
        <v>-370.62</v>
      </c>
      <c r="J20" s="162">
        <f>'ETHYLENE-C1'!J49-'ETHYLENE-C1'!J78</f>
        <v>-367.72875999999997</v>
      </c>
      <c r="K20" s="163">
        <f>'ETHYLENE-C1'!K49-'ETHYLENE-C1'!K78</f>
        <v>-401.12000000000006</v>
      </c>
      <c r="L20" s="162">
        <f>'ETHYLENE-C1'!L49-'ETHYLENE-C1'!L78</f>
        <v>-416.64000000000004</v>
      </c>
      <c r="M20" s="161">
        <f>'ETHYLENE-C1'!M49-'ETHYLENE-C1'!M78</f>
        <v>-417.64000000000004</v>
      </c>
      <c r="N20" s="161">
        <f>'ETHYLENE-C1'!N49-'ETHYLENE-C1'!N78</f>
        <v>-427.28000000000003</v>
      </c>
      <c r="O20" s="161">
        <f>'ETHYLENE-C1'!O49-'ETHYLENE-C1'!O78</f>
        <v>-429.28000000000003</v>
      </c>
      <c r="P20" s="161">
        <f>'ETHYLENE-C1'!P49-'ETHYLENE-C1'!P78</f>
        <v>-438.26000000000005</v>
      </c>
      <c r="Q20" s="164">
        <f>'ETHYLENE-C1'!Q49-'ETHYLENE-C1'!Q78</f>
        <v>-440.26000000000005</v>
      </c>
    </row>
    <row r="21" spans="2:17" ht="18" customHeight="1">
      <c r="B21" s="105"/>
      <c r="C21" s="97" t="s">
        <v>309</v>
      </c>
      <c r="D21" s="160">
        <f>'ETHYLENE-C1'!D50-'ETHYLENE-C1'!D79</f>
        <v>-419.26898</v>
      </c>
      <c r="E21" s="161">
        <f>'ETHYLENE-C1'!E50-'ETHYLENE-C1'!E79</f>
        <v>-509.03409999999997</v>
      </c>
      <c r="F21" s="161">
        <f>'ETHYLENE-C1'!F50-'ETHYLENE-C1'!F79</f>
        <v>-337.77599999999984</v>
      </c>
      <c r="G21" s="161">
        <f>'ETHYLENE-C1'!G50-'ETHYLENE-C1'!G79</f>
        <v>-377.4559999999999</v>
      </c>
      <c r="H21" s="161">
        <f>'ETHYLENE-C1'!H50-'ETHYLENE-C1'!H79</f>
        <v>-370.21600000000001</v>
      </c>
      <c r="I21" s="161">
        <f>'ETHYLENE-C1'!I50-'ETHYLENE-C1'!I79</f>
        <v>-370.62</v>
      </c>
      <c r="J21" s="162">
        <f>'ETHYLENE-C1'!J50-'ETHYLENE-C1'!J79</f>
        <v>-367.72875999999997</v>
      </c>
      <c r="K21" s="163">
        <f>'ETHYLENE-C1'!K50-'ETHYLENE-C1'!K79</f>
        <v>-401.12000000000006</v>
      </c>
      <c r="L21" s="162">
        <f>'ETHYLENE-C1'!L50-'ETHYLENE-C1'!L79</f>
        <v>-416.64000000000004</v>
      </c>
      <c r="M21" s="161">
        <f>'ETHYLENE-C1'!M50-'ETHYLENE-C1'!M79</f>
        <v>-417.64000000000004</v>
      </c>
      <c r="N21" s="161">
        <f>'ETHYLENE-C1'!N50-'ETHYLENE-C1'!N79</f>
        <v>-427.28000000000003</v>
      </c>
      <c r="O21" s="161">
        <f>'ETHYLENE-C1'!O50-'ETHYLENE-C1'!O79</f>
        <v>-429.28000000000003</v>
      </c>
      <c r="P21" s="161">
        <f>'ETHYLENE-C1'!P50-'ETHYLENE-C1'!P79</f>
        <v>-438.26000000000005</v>
      </c>
      <c r="Q21" s="164">
        <f>'ETHYLENE-C1'!Q50-'ETHYLENE-C1'!Q79</f>
        <v>-440.26000000000005</v>
      </c>
    </row>
    <row r="22" spans="2:17" ht="21" customHeight="1">
      <c r="B22" s="672" t="s">
        <v>310</v>
      </c>
      <c r="C22" s="673"/>
      <c r="D22" s="155">
        <f>'ETHYLENE-C1'!D51-'ETHYLENE-C1'!D80</f>
        <v>-3337.4674999999988</v>
      </c>
      <c r="E22" s="156">
        <f>'ETHYLENE-C1'!E51-'ETHYLENE-C1'!E80</f>
        <v>-783.66184000000067</v>
      </c>
      <c r="F22" s="156">
        <f>'ETHYLENE-C1'!F51-'ETHYLENE-C1'!F80</f>
        <v>-939.25986000000557</v>
      </c>
      <c r="G22" s="156">
        <f>'ETHYLENE-C1'!G51-'ETHYLENE-C1'!G80</f>
        <v>-664.10195999999632</v>
      </c>
      <c r="H22" s="156">
        <f>'ETHYLENE-C1'!H51-'ETHYLENE-C1'!H80</f>
        <v>-119.29954400000133</v>
      </c>
      <c r="I22" s="156">
        <f>'ETHYLENE-C1'!I51-'ETHYLENE-C1'!I80</f>
        <v>-622.65119999999297</v>
      </c>
      <c r="J22" s="157">
        <f>'ETHYLENE-C1'!J51-'ETHYLENE-C1'!J80</f>
        <v>-1093.1353023200027</v>
      </c>
      <c r="K22" s="158">
        <f>'ETHYLENE-C1'!K51-'ETHYLENE-C1'!K80</f>
        <v>-1338.233987940006</v>
      </c>
      <c r="L22" s="157">
        <f>'ETHYLENE-C1'!L51-'ETHYLENE-C1'!L80</f>
        <v>-1879.5630901399963</v>
      </c>
      <c r="M22" s="156">
        <f>'ETHYLENE-C1'!M51-'ETHYLENE-C1'!M80</f>
        <v>-1971.4677521599988</v>
      </c>
      <c r="N22" s="156">
        <f>'ETHYLENE-C1'!N51-'ETHYLENE-C1'!N80</f>
        <v>-2089.8618177999961</v>
      </c>
      <c r="O22" s="156">
        <f>'ETHYLENE-C1'!O51-'ETHYLENE-C1'!O80</f>
        <v>-2280.9264624799907</v>
      </c>
      <c r="P22" s="156">
        <f>'ETHYLENE-C1'!P51-'ETHYLENE-C1'!P80</f>
        <v>-2401.0566584200023</v>
      </c>
      <c r="Q22" s="159">
        <f>'ETHYLENE-C1'!Q51-'ETHYLENE-C1'!Q80</f>
        <v>-2373.5835948999993</v>
      </c>
    </row>
    <row r="23" spans="2:17" ht="21" customHeight="1">
      <c r="B23" s="105"/>
      <c r="C23" s="615" t="s">
        <v>311</v>
      </c>
      <c r="D23" s="160">
        <f>'ETHYLENE-C1'!D52-'ETHYLENE-C1'!D81</f>
        <v>-1319.9727200000016</v>
      </c>
      <c r="E23" s="161">
        <f>'ETHYLENE-C1'!E52-'ETHYLENE-C1'!E81</f>
        <v>485.7791199999956</v>
      </c>
      <c r="F23" s="161">
        <f>'ETHYLENE-C1'!F52-'ETHYLENE-C1'!F81</f>
        <v>-46.955560000002151</v>
      </c>
      <c r="G23" s="161">
        <f>'ETHYLENE-C1'!G52-'ETHYLENE-C1'!G81</f>
        <v>86.052279999999882</v>
      </c>
      <c r="H23" s="161">
        <f>'ETHYLENE-C1'!H52-'ETHYLENE-C1'!H81</f>
        <v>629.14470000000074</v>
      </c>
      <c r="I23" s="161">
        <f>'ETHYLENE-C1'!I52-'ETHYLENE-C1'!I81</f>
        <v>246.0691599999991</v>
      </c>
      <c r="J23" s="162">
        <f>'ETHYLENE-C1'!J52-'ETHYLENE-C1'!J81</f>
        <v>73.088790940000763</v>
      </c>
      <c r="K23" s="163">
        <f>'ETHYLENE-C1'!K52-'ETHYLENE-C1'!K81</f>
        <v>-333.4608065800021</v>
      </c>
      <c r="L23" s="162">
        <f>'ETHYLENE-C1'!L52-'ETHYLENE-C1'!L81</f>
        <v>-784.54681204000008</v>
      </c>
      <c r="M23" s="161">
        <f>'ETHYLENE-C1'!M52-'ETHYLENE-C1'!M81</f>
        <v>-859.32983388000139</v>
      </c>
      <c r="N23" s="161">
        <f>'ETHYLENE-C1'!N52-'ETHYLENE-C1'!N81</f>
        <v>-975.07261318000019</v>
      </c>
      <c r="O23" s="161">
        <f>'ETHYLENE-C1'!O52-'ETHYLENE-C1'!O81</f>
        <v>-1110.4132348999992</v>
      </c>
      <c r="P23" s="161">
        <f>'ETHYLENE-C1'!P52-'ETHYLENE-C1'!P81</f>
        <v>-1161.0169111200012</v>
      </c>
      <c r="Q23" s="164">
        <f>'ETHYLENE-C1'!Q52-'ETHYLENE-C1'!Q81</f>
        <v>-1035.8980685999959</v>
      </c>
    </row>
    <row r="24" spans="2:17" ht="21" customHeight="1">
      <c r="B24" s="672" t="s">
        <v>312</v>
      </c>
      <c r="C24" s="673"/>
      <c r="D24" s="155">
        <f>'ETHYLENE-C1'!D53-'ETHYLENE-C1'!D82</f>
        <v>12202.09</v>
      </c>
      <c r="E24" s="156">
        <f>'ETHYLENE-C1'!E53-'ETHYLENE-C1'!E82</f>
        <v>12759.4</v>
      </c>
      <c r="F24" s="156">
        <f>'ETHYLENE-C1'!F53-'ETHYLENE-C1'!F82</f>
        <v>14156.727261616161</v>
      </c>
      <c r="G24" s="156">
        <f>'ETHYLENE-C1'!G53-'ETHYLENE-C1'!G82</f>
        <v>15111.65744741751</v>
      </c>
      <c r="H24" s="156">
        <f>'ETHYLENE-C1'!H53-'ETHYLENE-C1'!H82</f>
        <v>16618.756371976939</v>
      </c>
      <c r="I24" s="156">
        <f>'ETHYLENE-C1'!I53-'ETHYLENE-C1'!I82</f>
        <v>16796.005881747496</v>
      </c>
      <c r="J24" s="157">
        <f>'ETHYLENE-C1'!J53-'ETHYLENE-C1'!J82</f>
        <v>17779.988175834875</v>
      </c>
      <c r="K24" s="158">
        <f>'ETHYLENE-C1'!K53-'ETHYLENE-C1'!K82</f>
        <v>18455.436084626614</v>
      </c>
      <c r="L24" s="157">
        <f>'ETHYLENE-C1'!L53-'ETHYLENE-C1'!L82</f>
        <v>18899.006388857953</v>
      </c>
      <c r="M24" s="156">
        <f>'ETHYLENE-C1'!M53-'ETHYLENE-C1'!M82</f>
        <v>19071.990000000005</v>
      </c>
      <c r="N24" s="156">
        <f>'ETHYLENE-C1'!N53-'ETHYLENE-C1'!N82</f>
        <v>19241.03</v>
      </c>
      <c r="O24" s="156">
        <f>'ETHYLENE-C1'!O53-'ETHYLENE-C1'!O82</f>
        <v>19347.704708300851</v>
      </c>
      <c r="P24" s="156">
        <f>'ETHYLENE-C1'!P53-'ETHYLENE-C1'!P82</f>
        <v>19885.52</v>
      </c>
      <c r="Q24" s="159">
        <f>'ETHYLENE-C1'!Q53-'ETHYLENE-C1'!Q82</f>
        <v>19969.199999999997</v>
      </c>
    </row>
    <row r="25" spans="2:17" ht="21" customHeight="1">
      <c r="B25" s="16"/>
      <c r="C25" s="615" t="s">
        <v>313</v>
      </c>
      <c r="D25" s="160">
        <f>'ETHYLENE-C1'!D54-'ETHYLENE-C1'!D83</f>
        <v>2645.41</v>
      </c>
      <c r="E25" s="161">
        <f>'ETHYLENE-C1'!E54-'ETHYLENE-C1'!E83</f>
        <v>10341.51</v>
      </c>
      <c r="F25" s="161">
        <f>'ETHYLENE-C1'!F54-'ETHYLENE-C1'!F83</f>
        <v>10902.894348484848</v>
      </c>
      <c r="G25" s="161">
        <f>'ETHYLENE-C1'!G54-'ETHYLENE-C1'!G83</f>
        <v>11572.89</v>
      </c>
      <c r="H25" s="161">
        <f>'ETHYLENE-C1'!H54-'ETHYLENE-C1'!H83</f>
        <v>12440.006756649833</v>
      </c>
      <c r="I25" s="161">
        <f>'ETHYLENE-C1'!I54-'ETHYLENE-C1'!I83</f>
        <v>11983.322629939252</v>
      </c>
      <c r="J25" s="162">
        <f>'ETHYLENE-C1'!J54-'ETHYLENE-C1'!J83</f>
        <v>12542.71172941656</v>
      </c>
      <c r="K25" s="163">
        <f>'ETHYLENE-C1'!K54-'ETHYLENE-C1'!K83</f>
        <v>12963.833459528225</v>
      </c>
      <c r="L25" s="162">
        <f>'ETHYLENE-C1'!L54-'ETHYLENE-C1'!L83</f>
        <v>13392.613591199495</v>
      </c>
      <c r="M25" s="161">
        <f>'ETHYLENE-C1'!M54-'ETHYLENE-C1'!M83</f>
        <v>13667.292484780228</v>
      </c>
      <c r="N25" s="161">
        <f>'ETHYLENE-C1'!N54-'ETHYLENE-C1'!N83</f>
        <v>13802.136480275507</v>
      </c>
      <c r="O25" s="161">
        <f>'ETHYLENE-C1'!O54-'ETHYLENE-C1'!O83</f>
        <v>13858.789534674959</v>
      </c>
      <c r="P25" s="161">
        <f>'ETHYLENE-C1'!P54-'ETHYLENE-C1'!P83</f>
        <v>14101.422240611075</v>
      </c>
      <c r="Q25" s="164">
        <f>'ETHYLENE-C1'!Q54-'ETHYLENE-C1'!Q83</f>
        <v>14264.35</v>
      </c>
    </row>
    <row r="26" spans="2:17" ht="21" customHeight="1">
      <c r="B26" s="674" t="s">
        <v>314</v>
      </c>
      <c r="C26" s="675"/>
      <c r="D26" s="160">
        <f>'ETHYLENE-C1'!D55-'ETHYLENE-C1'!D84</f>
        <v>-1522.8799999999999</v>
      </c>
      <c r="E26" s="161">
        <f>'ETHYLENE-C1'!E55-'ETHYLENE-C1'!E84</f>
        <v>-1918.3700000000003</v>
      </c>
      <c r="F26" s="161">
        <f>'ETHYLENE-C1'!F55-'ETHYLENE-C1'!F84</f>
        <v>-2050.3941</v>
      </c>
      <c r="G26" s="161">
        <f>'ETHYLENE-C1'!G55-'ETHYLENE-C1'!G84</f>
        <v>-2402.0354108673982</v>
      </c>
      <c r="H26" s="161">
        <f>'ETHYLENE-C1'!H55-'ETHYLENE-C1'!H84</f>
        <v>-2677.4426052173476</v>
      </c>
      <c r="I26" s="161">
        <f>'ETHYLENE-C1'!I55-'ETHYLENE-C1'!I84</f>
        <v>-2921.5200000000004</v>
      </c>
      <c r="J26" s="162">
        <f>'ETHYLENE-C1'!J55-'ETHYLENE-C1'!J84</f>
        <v>-2971.2699999999995</v>
      </c>
      <c r="K26" s="163">
        <f>'ETHYLENE-C1'!K55-'ETHYLENE-C1'!K84</f>
        <v>-3026.7900000000009</v>
      </c>
      <c r="L26" s="162">
        <f>'ETHYLENE-C1'!L55-'ETHYLENE-C1'!L84</f>
        <v>-3214.66</v>
      </c>
      <c r="M26" s="161">
        <f>'ETHYLENE-C1'!M55-'ETHYLENE-C1'!M84</f>
        <v>-3529.75</v>
      </c>
      <c r="N26" s="161">
        <f>'ETHYLENE-C1'!N55-'ETHYLENE-C1'!N84</f>
        <v>-3825.16</v>
      </c>
      <c r="O26" s="161">
        <f>'ETHYLENE-C1'!O55-'ETHYLENE-C1'!O84</f>
        <v>-4116.8999999999996</v>
      </c>
      <c r="P26" s="161">
        <f>'ETHYLENE-C1'!P55-'ETHYLENE-C1'!P84</f>
        <v>-4389.3600000000006</v>
      </c>
      <c r="Q26" s="164">
        <f>'ETHYLENE-C1'!Q55-'ETHYLENE-C1'!Q84</f>
        <v>-4874.8799999999992</v>
      </c>
    </row>
    <row r="27" spans="2:17" ht="21" customHeight="1">
      <c r="B27" s="674" t="s">
        <v>315</v>
      </c>
      <c r="C27" s="675"/>
      <c r="D27" s="160">
        <f>'ETHYLENE-C1'!D56-'ETHYLENE-C1'!D85</f>
        <v>-502.93000000000029</v>
      </c>
      <c r="E27" s="161">
        <f>'ETHYLENE-C1'!E56-'ETHYLENE-C1'!E85</f>
        <v>-825.88000000000056</v>
      </c>
      <c r="F27" s="161">
        <f>'ETHYLENE-C1'!F56-'ETHYLENE-C1'!F85</f>
        <v>-819.19796000000042</v>
      </c>
      <c r="G27" s="161">
        <f>'ETHYLENE-C1'!G56-'ETHYLENE-C1'!G85</f>
        <v>-836.8779999999997</v>
      </c>
      <c r="H27" s="161">
        <f>'ETHYLENE-C1'!H56-'ETHYLENE-C1'!H85</f>
        <v>-753.06</v>
      </c>
      <c r="I27" s="161">
        <f>'ETHYLENE-C1'!I56-'ETHYLENE-C1'!I85</f>
        <v>-370.99000000000069</v>
      </c>
      <c r="J27" s="162">
        <f>'ETHYLENE-C1'!J56-'ETHYLENE-C1'!J85</f>
        <v>-610.64525000000094</v>
      </c>
      <c r="K27" s="163">
        <f>'ETHYLENE-C1'!K56-'ETHYLENE-C1'!K85</f>
        <v>165.45963279999978</v>
      </c>
      <c r="L27" s="162">
        <f>'ETHYLENE-C1'!L56-'ETHYLENE-C1'!L85</f>
        <v>504.26986692479977</v>
      </c>
      <c r="M27" s="161">
        <f>'ETHYLENE-C1'!M56-'ETHYLENE-C1'!M85</f>
        <v>1191.5461096412232</v>
      </c>
      <c r="N27" s="161">
        <f>'ETHYLENE-C1'!N56-'ETHYLENE-C1'!N85</f>
        <v>1175.5271012858416</v>
      </c>
      <c r="O27" s="161">
        <f>'ETHYLENE-C1'!O56-'ETHYLENE-C1'!O85</f>
        <v>1681.0475078051277</v>
      </c>
      <c r="P27" s="161">
        <f>'ETHYLENE-C1'!P56-'ETHYLENE-C1'!P85</f>
        <v>2134.4455204222054</v>
      </c>
      <c r="Q27" s="164">
        <f>'ETHYLENE-C1'!Q56-'ETHYLENE-C1'!Q85</f>
        <v>2497.4234222656205</v>
      </c>
    </row>
    <row r="28" spans="2:17" ht="18" customHeight="1">
      <c r="B28" s="672" t="s">
        <v>316</v>
      </c>
      <c r="C28" s="673"/>
      <c r="D28" s="155">
        <f>'ETHYLENE-C1'!D57-'ETHYLENE-C1'!D86</f>
        <v>4619.7599999999984</v>
      </c>
      <c r="E28" s="156">
        <f>'ETHYLENE-C1'!E57-'ETHYLENE-C1'!E86</f>
        <v>5382.0796000000046</v>
      </c>
      <c r="F28" s="156">
        <f>'ETHYLENE-C1'!F57-'ETHYLENE-C1'!F86</f>
        <v>4963.0599999999977</v>
      </c>
      <c r="G28" s="156">
        <f>'ETHYLENE-C1'!G57-'ETHYLENE-C1'!G86</f>
        <v>5797.2426280000072</v>
      </c>
      <c r="H28" s="156">
        <f>'ETHYLENE-C1'!H57-'ETHYLENE-C1'!H86</f>
        <v>5490.34</v>
      </c>
      <c r="I28" s="156">
        <f>'ETHYLENE-C1'!I57-'ETHYLENE-C1'!I86</f>
        <v>6025.0600000000013</v>
      </c>
      <c r="J28" s="157">
        <f>'ETHYLENE-C1'!J57-'ETHYLENE-C1'!J86</f>
        <v>5623.2719999999972</v>
      </c>
      <c r="K28" s="158">
        <f>'ETHYLENE-C1'!K57-'ETHYLENE-C1'!K86</f>
        <v>6094.5480000000025</v>
      </c>
      <c r="L28" s="157">
        <f>'ETHYLENE-C1'!L57-'ETHYLENE-C1'!L86</f>
        <v>7707.2200000000012</v>
      </c>
      <c r="M28" s="156">
        <f>'ETHYLENE-C1'!M57-'ETHYLENE-C1'!M86</f>
        <v>8999.4590000000062</v>
      </c>
      <c r="N28" s="156">
        <f>'ETHYLENE-C1'!N57-'ETHYLENE-C1'!N86</f>
        <v>10527.840999999997</v>
      </c>
      <c r="O28" s="156">
        <f>'ETHYLENE-C1'!O57-'ETHYLENE-C1'!O86</f>
        <v>11558.690999999999</v>
      </c>
      <c r="P28" s="156">
        <f>'ETHYLENE-C1'!P57-'ETHYLENE-C1'!P86</f>
        <v>11869.823000000015</v>
      </c>
      <c r="Q28" s="159">
        <f>'ETHYLENE-C1'!Q57-'ETHYLENE-C1'!Q86</f>
        <v>11393.609000000004</v>
      </c>
    </row>
    <row r="29" spans="2:17" ht="18" customHeight="1">
      <c r="B29" s="670" t="s">
        <v>317</v>
      </c>
      <c r="C29" s="671"/>
      <c r="D29" s="155">
        <f>'ETHYLENE-C1'!D58-'ETHYLENE-C1'!D87</f>
        <v>1692.12</v>
      </c>
      <c r="E29" s="156">
        <f>'ETHYLENE-C1'!E58-'ETHYLENE-C1'!E87</f>
        <v>1553.6336280245946</v>
      </c>
      <c r="F29" s="156">
        <f>'ETHYLENE-C1'!F58-'ETHYLENE-C1'!F87</f>
        <v>1943.0500000000002</v>
      </c>
      <c r="G29" s="156">
        <f>'ETHYLENE-C1'!G58-'ETHYLENE-C1'!G87</f>
        <v>1971.1468024316378</v>
      </c>
      <c r="H29" s="156">
        <f>'ETHYLENE-C1'!H58-'ETHYLENE-C1'!H87</f>
        <v>1863.6101544681119</v>
      </c>
      <c r="I29" s="156">
        <f>'ETHYLENE-C1'!I58-'ETHYLENE-C1'!I87</f>
        <v>2022.2900000000009</v>
      </c>
      <c r="J29" s="157">
        <f>'ETHYLENE-C1'!J58-'ETHYLENE-C1'!J87</f>
        <v>2158.2299999999996</v>
      </c>
      <c r="K29" s="158">
        <f>'ETHYLENE-C1'!K58-'ETHYLENE-C1'!K87</f>
        <v>2085.7599999999993</v>
      </c>
      <c r="L29" s="157">
        <f>'ETHYLENE-C1'!L58-'ETHYLENE-C1'!L87</f>
        <v>2026.0199999999995</v>
      </c>
      <c r="M29" s="156">
        <f>'ETHYLENE-C1'!M58-'ETHYLENE-C1'!M87</f>
        <v>1964.2599999999998</v>
      </c>
      <c r="N29" s="156">
        <f>'ETHYLENE-C1'!N58-'ETHYLENE-C1'!N87</f>
        <v>1908.2499999999995</v>
      </c>
      <c r="O29" s="156">
        <f>'ETHYLENE-C1'!O58-'ETHYLENE-C1'!O87</f>
        <v>1946.3199999999993</v>
      </c>
      <c r="P29" s="156">
        <f>'ETHYLENE-C1'!P58-'ETHYLENE-C1'!P87</f>
        <v>2175.8500000000008</v>
      </c>
      <c r="Q29" s="159">
        <f>'ETHYLENE-C1'!Q58-'ETHYLENE-C1'!Q87</f>
        <v>2124.3200000000006</v>
      </c>
    </row>
    <row r="30" spans="2:17" ht="21" customHeight="1">
      <c r="B30" s="674" t="s">
        <v>318</v>
      </c>
      <c r="C30" s="675"/>
      <c r="D30" s="160">
        <f t="shared" ref="D30:K30" si="2">D29+D28</f>
        <v>6311.8799999999983</v>
      </c>
      <c r="E30" s="161">
        <f t="shared" si="2"/>
        <v>6935.7132280245987</v>
      </c>
      <c r="F30" s="161">
        <f t="shared" si="2"/>
        <v>6906.1099999999979</v>
      </c>
      <c r="G30" s="161">
        <f t="shared" si="2"/>
        <v>7768.3894304316455</v>
      </c>
      <c r="H30" s="161">
        <f t="shared" si="2"/>
        <v>7353.9501544681116</v>
      </c>
      <c r="I30" s="161">
        <f t="shared" si="2"/>
        <v>8047.3500000000022</v>
      </c>
      <c r="J30" s="162">
        <f t="shared" si="2"/>
        <v>7781.5019999999968</v>
      </c>
      <c r="K30" s="163">
        <f t="shared" si="2"/>
        <v>8180.3080000000018</v>
      </c>
      <c r="L30" s="162">
        <f t="shared" ref="L30:Q30" si="3">L29+L28</f>
        <v>9733.2400000000016</v>
      </c>
      <c r="M30" s="161">
        <f t="shared" si="3"/>
        <v>10963.719000000006</v>
      </c>
      <c r="N30" s="161">
        <f t="shared" si="3"/>
        <v>12436.090999999997</v>
      </c>
      <c r="O30" s="161">
        <f t="shared" si="3"/>
        <v>13505.010999999999</v>
      </c>
      <c r="P30" s="161">
        <f t="shared" si="3"/>
        <v>14045.673000000015</v>
      </c>
      <c r="Q30" s="164">
        <f t="shared" si="3"/>
        <v>13517.929000000004</v>
      </c>
    </row>
    <row r="31" spans="2:17" ht="18" customHeight="1">
      <c r="B31" s="672" t="s">
        <v>319</v>
      </c>
      <c r="C31" s="673"/>
      <c r="D31" s="155">
        <f>'ETHYLENE-C1'!D60-'ETHYLENE-C1'!D89</f>
        <v>-927.26885000000016</v>
      </c>
      <c r="E31" s="156">
        <f>'ETHYLENE-C1'!E60-'ETHYLENE-C1'!E89</f>
        <v>-1009.3121654999998</v>
      </c>
      <c r="F31" s="156">
        <f>'ETHYLENE-C1'!F60-'ETHYLENE-C1'!F89</f>
        <v>-1315.2249999999999</v>
      </c>
      <c r="G31" s="156">
        <f>'ETHYLENE-C1'!G60-'ETHYLENE-C1'!G89</f>
        <v>-1432.8550000000007</v>
      </c>
      <c r="H31" s="156">
        <f>'ETHYLENE-C1'!H60-'ETHYLENE-C1'!H89</f>
        <v>-1540.7150000000001</v>
      </c>
      <c r="I31" s="156">
        <f>'ETHYLENE-C1'!I60-'ETHYLENE-C1'!I89</f>
        <v>-1528.4000000000003</v>
      </c>
      <c r="J31" s="157">
        <f>'ETHYLENE-C1'!J60-'ETHYLENE-C1'!J89</f>
        <v>-1173.8799999999999</v>
      </c>
      <c r="K31" s="158">
        <f>'ETHYLENE-C1'!K60-'ETHYLENE-C1'!K89</f>
        <v>-828.03</v>
      </c>
      <c r="L31" s="157">
        <f>'ETHYLENE-C1'!L60-'ETHYLENE-C1'!L89</f>
        <v>-893.79800000000023</v>
      </c>
      <c r="M31" s="156">
        <f>'ETHYLENE-C1'!M60-'ETHYLENE-C1'!M89</f>
        <v>-970.08799999999997</v>
      </c>
      <c r="N31" s="156">
        <f>'ETHYLENE-C1'!N60-'ETHYLENE-C1'!N89</f>
        <v>-1039.568</v>
      </c>
      <c r="O31" s="156">
        <f>'ETHYLENE-C1'!O60-'ETHYLENE-C1'!O89</f>
        <v>-1124.3980000000004</v>
      </c>
      <c r="P31" s="156">
        <f>'ETHYLENE-C1'!P60-'ETHYLENE-C1'!P89</f>
        <v>-1215.0679999999995</v>
      </c>
      <c r="Q31" s="159">
        <f>'ETHYLENE-C1'!Q60-'ETHYLENE-C1'!Q89</f>
        <v>-1309.1980000000001</v>
      </c>
    </row>
    <row r="32" spans="2:17" ht="18" customHeight="1">
      <c r="B32" s="668" t="s">
        <v>320</v>
      </c>
      <c r="C32" s="669"/>
      <c r="D32" s="155">
        <f>'ETHYLENE-C1'!D61-'ETHYLENE-C1'!D90</f>
        <v>9.4400000000000546</v>
      </c>
      <c r="E32" s="156">
        <f>'ETHYLENE-C1'!E61-'ETHYLENE-C1'!E90</f>
        <v>46</v>
      </c>
      <c r="F32" s="156">
        <f>'ETHYLENE-C1'!F61-'ETHYLENE-C1'!F90</f>
        <v>85.389999999999873</v>
      </c>
      <c r="G32" s="156">
        <f>'ETHYLENE-C1'!G61-'ETHYLENE-C1'!G90</f>
        <v>33.099999999999909</v>
      </c>
      <c r="H32" s="156">
        <f>'ETHYLENE-C1'!H61-'ETHYLENE-C1'!H90</f>
        <v>-13.650000000000091</v>
      </c>
      <c r="I32" s="156">
        <f>'ETHYLENE-C1'!I61-'ETHYLENE-C1'!I90</f>
        <v>149.33999999999969</v>
      </c>
      <c r="J32" s="157">
        <f>'ETHYLENE-C1'!J61-'ETHYLENE-C1'!J90</f>
        <v>313.73000000000047</v>
      </c>
      <c r="K32" s="158">
        <f>'ETHYLENE-C1'!K61-'ETHYLENE-C1'!K90</f>
        <v>248.87100000000009</v>
      </c>
      <c r="L32" s="157">
        <f>'ETHYLENE-C1'!L61-'ETHYLENE-C1'!L90</f>
        <v>232.68299999999954</v>
      </c>
      <c r="M32" s="156">
        <f>'ETHYLENE-C1'!M61-'ETHYLENE-C1'!M90</f>
        <v>175.47400000000016</v>
      </c>
      <c r="N32" s="156">
        <f>'ETHYLENE-C1'!N61-'ETHYLENE-C1'!N90</f>
        <v>100.00399999999991</v>
      </c>
      <c r="O32" s="156">
        <f>'ETHYLENE-C1'!O61-'ETHYLENE-C1'!O90</f>
        <v>14.674000000000433</v>
      </c>
      <c r="P32" s="156">
        <f>'ETHYLENE-C1'!P61-'ETHYLENE-C1'!P90</f>
        <v>-71.986000000000786</v>
      </c>
      <c r="Q32" s="159">
        <f>'ETHYLENE-C1'!Q61-'ETHYLENE-C1'!Q90</f>
        <v>-160.34100000000035</v>
      </c>
    </row>
    <row r="33" spans="2:17" ht="18" customHeight="1">
      <c r="B33" s="670" t="s">
        <v>321</v>
      </c>
      <c r="C33" s="671"/>
      <c r="D33" s="155">
        <f>'ETHYLENE-C1'!D62-'ETHYLENE-C1'!D91</f>
        <v>-1402.4900000000002</v>
      </c>
      <c r="E33" s="156">
        <f>'ETHYLENE-C1'!E62-'ETHYLENE-C1'!E91</f>
        <v>-1328.9799999999998</v>
      </c>
      <c r="F33" s="156">
        <f>'ETHYLENE-C1'!F62-'ETHYLENE-C1'!F91</f>
        <v>-1510.68</v>
      </c>
      <c r="G33" s="156">
        <f>'ETHYLENE-C1'!G62-'ETHYLENE-C1'!G91</f>
        <v>-1779.96</v>
      </c>
      <c r="H33" s="156">
        <f>'ETHYLENE-C1'!H62-'ETHYLENE-C1'!H91</f>
        <v>-1920.9199999999996</v>
      </c>
      <c r="I33" s="156">
        <f>'ETHYLENE-C1'!I62-'ETHYLENE-C1'!I91</f>
        <v>-1861.4999999999998</v>
      </c>
      <c r="J33" s="157">
        <f>'ETHYLENE-C1'!J62-'ETHYLENE-C1'!J91</f>
        <v>-1896.0602009368843</v>
      </c>
      <c r="K33" s="158">
        <f>'ETHYLENE-C1'!K62-'ETHYLENE-C1'!K91</f>
        <v>-1940.6899999999994</v>
      </c>
      <c r="L33" s="157">
        <f>'ETHYLENE-C1'!L62-'ETHYLENE-C1'!L91</f>
        <v>-1970.0200000000002</v>
      </c>
      <c r="M33" s="156">
        <f>'ETHYLENE-C1'!M62-'ETHYLENE-C1'!M91</f>
        <v>-2036.88</v>
      </c>
      <c r="N33" s="156">
        <f>'ETHYLENE-C1'!N62-'ETHYLENE-C1'!N91</f>
        <v>-2136.21</v>
      </c>
      <c r="O33" s="156">
        <f>'ETHYLENE-C1'!O62-'ETHYLENE-C1'!O91</f>
        <v>-2238.84</v>
      </c>
      <c r="P33" s="156">
        <f>'ETHYLENE-C1'!P62-'ETHYLENE-C1'!P91</f>
        <v>-2347.17</v>
      </c>
      <c r="Q33" s="159">
        <f>'ETHYLENE-C1'!Q62-'ETHYLENE-C1'!Q91</f>
        <v>-2461.2699999999995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-2320.3188500000006</v>
      </c>
      <c r="E34" s="166">
        <f t="shared" si="4"/>
        <v>-2292.2921654999996</v>
      </c>
      <c r="F34" s="166">
        <f t="shared" si="4"/>
        <v>-2740.5150000000003</v>
      </c>
      <c r="G34" s="166">
        <f t="shared" si="4"/>
        <v>-3179.7150000000011</v>
      </c>
      <c r="H34" s="166">
        <f t="shared" si="4"/>
        <v>-3475.2849999999999</v>
      </c>
      <c r="I34" s="166">
        <f t="shared" si="4"/>
        <v>-3240.5600000000004</v>
      </c>
      <c r="J34" s="167">
        <f t="shared" si="4"/>
        <v>-2756.2102009368837</v>
      </c>
      <c r="K34" s="168">
        <f t="shared" si="4"/>
        <v>-2519.8489999999993</v>
      </c>
      <c r="L34" s="167">
        <f t="shared" ref="L34:Q34" si="5">L33+L32+L31</f>
        <v>-2631.1350000000011</v>
      </c>
      <c r="M34" s="166">
        <f t="shared" si="5"/>
        <v>-2831.4939999999997</v>
      </c>
      <c r="N34" s="166">
        <f t="shared" si="5"/>
        <v>-3075.7740000000003</v>
      </c>
      <c r="O34" s="166">
        <f t="shared" si="5"/>
        <v>-3348.5640000000003</v>
      </c>
      <c r="P34" s="166">
        <f t="shared" si="5"/>
        <v>-3634.2240000000002</v>
      </c>
      <c r="Q34" s="169">
        <f t="shared" si="5"/>
        <v>-3930.8090000000002</v>
      </c>
    </row>
    <row r="35" spans="2:17" ht="24" customHeight="1" thickTop="1" thickBot="1">
      <c r="B35" s="702" t="s">
        <v>337</v>
      </c>
      <c r="C35" s="703"/>
      <c r="D35" s="170">
        <f t="shared" ref="D35:Q35" si="6">SUM(D19+D20+D22+D24+D26+D27+D30+D34)</f>
        <v>2663.635226788484</v>
      </c>
      <c r="E35" s="171">
        <f t="shared" si="6"/>
        <v>5653.6952840729955</v>
      </c>
      <c r="F35" s="171">
        <f t="shared" si="6"/>
        <v>4537.7969786149943</v>
      </c>
      <c r="G35" s="171">
        <f t="shared" si="6"/>
        <v>5552.4890367004909</v>
      </c>
      <c r="H35" s="171">
        <f t="shared" si="6"/>
        <v>7082.2614923225065</v>
      </c>
      <c r="I35" s="171">
        <f t="shared" si="6"/>
        <v>7380.9192356378308</v>
      </c>
      <c r="J35" s="172">
        <f t="shared" si="6"/>
        <v>6956.9655951296672</v>
      </c>
      <c r="K35" s="173">
        <f t="shared" si="6"/>
        <v>4346.0815337669728</v>
      </c>
      <c r="L35" s="172">
        <f t="shared" si="6"/>
        <v>5544.496643141777</v>
      </c>
      <c r="M35" s="171">
        <f t="shared" si="6"/>
        <v>6506.9283117662117</v>
      </c>
      <c r="N35" s="171">
        <f t="shared" si="6"/>
        <v>8494.7393405063522</v>
      </c>
      <c r="O35" s="171">
        <f t="shared" si="6"/>
        <v>10724.562918431626</v>
      </c>
      <c r="P35" s="171">
        <f t="shared" si="6"/>
        <v>11114.780334008106</v>
      </c>
      <c r="Q35" s="174">
        <f t="shared" si="6"/>
        <v>10870.518776900542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41"/>
      <c r="O40" s="441"/>
      <c r="P40" s="441"/>
      <c r="Q40" s="441"/>
    </row>
    <row r="42" spans="2:17">
      <c r="D42" s="441"/>
      <c r="E42" s="441"/>
      <c r="F42" s="441"/>
      <c r="G42" s="441"/>
      <c r="H42" s="441"/>
      <c r="I42" s="441"/>
      <c r="J42" s="441"/>
      <c r="K42" s="441"/>
      <c r="L42" s="441"/>
      <c r="M42" s="441"/>
      <c r="N42" s="441"/>
      <c r="O42" s="441"/>
      <c r="P42" s="441"/>
      <c r="Q42" s="441"/>
    </row>
    <row r="44" spans="2:17">
      <c r="D44" s="441"/>
      <c r="E44" s="441"/>
      <c r="F44" s="441"/>
      <c r="G44" s="441"/>
      <c r="H44" s="441"/>
      <c r="I44" s="441"/>
      <c r="J44" s="441"/>
      <c r="K44" s="441"/>
      <c r="L44" s="441"/>
      <c r="M44" s="441"/>
      <c r="N44" s="441"/>
      <c r="O44" s="441"/>
      <c r="P44" s="441"/>
      <c r="Q44" s="441"/>
    </row>
    <row r="46" spans="2:17" s="425" customFormat="1"/>
    <row r="48" spans="2:17">
      <c r="D48" s="441"/>
      <c r="E48" s="441"/>
      <c r="F48" s="441"/>
      <c r="G48" s="441"/>
      <c r="H48" s="441"/>
      <c r="I48" s="441"/>
      <c r="J48" s="441"/>
      <c r="K48" s="441"/>
      <c r="L48" s="441"/>
      <c r="M48" s="441"/>
      <c r="N48" s="441"/>
      <c r="O48" s="441"/>
      <c r="P48" s="441"/>
      <c r="Q48" s="441"/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53" priority="5">
      <formula>CELL("protect",C39)=0</formula>
    </cfRule>
    <cfRule type="expression" dxfId="52" priority="6">
      <formula>CELL("protect",C39)=0</formula>
    </cfRule>
  </conditionalFormatting>
  <conditionalFormatting sqref="C37">
    <cfRule type="expression" dxfId="51" priority="3">
      <formula>CELL("protect",C37)=0</formula>
    </cfRule>
    <cfRule type="expression" dxfId="50" priority="4">
      <formula>CELL("protect",C37)=0</formula>
    </cfRule>
  </conditionalFormatting>
  <conditionalFormatting sqref="C39">
    <cfRule type="expression" dxfId="49" priority="1">
      <formula>CELL("protect",C39)=0</formula>
    </cfRule>
    <cfRule type="expression" dxfId="48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&amp;C196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1</v>
      </c>
      <c r="H2" s="397" t="s">
        <v>59</v>
      </c>
    </row>
    <row r="3" spans="2:19" ht="30.95" customHeight="1" thickBot="1">
      <c r="H3" s="624" t="s">
        <v>349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'LDPE-C2'!D36-'LDPE-C2'!D65</f>
        <v>966.28</v>
      </c>
      <c r="E7" s="151">
        <f>'LDPE-C2'!E36-'LDPE-C2'!E65</f>
        <v>936.87999999999988</v>
      </c>
      <c r="F7" s="151">
        <f>'LDPE-C2'!F36-'LDPE-C2'!F65</f>
        <v>931.97999999999979</v>
      </c>
      <c r="G7" s="151">
        <f>'LDPE-C2'!G36-'LDPE-C2'!G65</f>
        <v>909.44</v>
      </c>
      <c r="H7" s="151">
        <f>'LDPE-C2'!H36-'LDPE-C2'!H65</f>
        <v>1361.2199999999998</v>
      </c>
      <c r="I7" s="151">
        <f>'LDPE-C2'!I36-'LDPE-C2'!I65</f>
        <v>1421.9799999999998</v>
      </c>
      <c r="J7" s="152">
        <f>'LDPE-C2'!J36-'LDPE-C2'!J65</f>
        <v>1385.72</v>
      </c>
      <c r="K7" s="153">
        <f>'LDPE-C2'!K36-'LDPE-C2'!K65</f>
        <v>1502.3400000000001</v>
      </c>
      <c r="L7" s="152">
        <f>'LDPE-C2'!L36-'LDPE-C2'!L65</f>
        <v>1450.4</v>
      </c>
      <c r="M7" s="151">
        <f>'LDPE-C2'!M36-'LDPE-C2'!M65</f>
        <v>1401.4</v>
      </c>
      <c r="N7" s="151">
        <f>'LDPE-C2'!N36-'LDPE-C2'!N65</f>
        <v>1352.4</v>
      </c>
      <c r="O7" s="151">
        <f>'LDPE-C2'!O36-'LDPE-C2'!O65</f>
        <v>2048.1999999999998</v>
      </c>
      <c r="P7" s="151">
        <f>'LDPE-C2'!P36-'LDPE-C2'!P65</f>
        <v>1999.2</v>
      </c>
      <c r="Q7" s="154">
        <f>'LDPE-C2'!Q36-'LDPE-C2'!Q65</f>
        <v>2254</v>
      </c>
    </row>
    <row r="8" spans="2:19" ht="18" customHeight="1">
      <c r="B8" s="605" t="s">
        <v>434</v>
      </c>
      <c r="C8" s="606"/>
      <c r="D8" s="155">
        <f>'LDPE-C2'!D37-'LDPE-C2'!D66</f>
        <v>307.71999999999991</v>
      </c>
      <c r="E8" s="156">
        <f>'LDPE-C2'!E37-'LDPE-C2'!E66</f>
        <v>127.40000000000003</v>
      </c>
      <c r="F8" s="156">
        <f>'LDPE-C2'!F37-'LDPE-C2'!F66</f>
        <v>69.579999999999984</v>
      </c>
      <c r="G8" s="156">
        <f>'LDPE-C2'!G37-'LDPE-C2'!G66</f>
        <v>189.14000000000004</v>
      </c>
      <c r="H8" s="156">
        <f>'LDPE-C2'!H37-'LDPE-C2'!H66</f>
        <v>123.48000000000002</v>
      </c>
      <c r="I8" s="156">
        <f>'LDPE-C2'!I37-'LDPE-C2'!I66</f>
        <v>186.2</v>
      </c>
      <c r="J8" s="157">
        <f>'LDPE-C2'!J37-'LDPE-C2'!J66</f>
        <v>209.71999999999997</v>
      </c>
      <c r="K8" s="158">
        <f>'LDPE-C2'!K37-'LDPE-C2'!K66</f>
        <v>192.07999999999998</v>
      </c>
      <c r="L8" s="157">
        <f>'LDPE-C2'!L37-'LDPE-C2'!L66</f>
        <v>186.19999999999993</v>
      </c>
      <c r="M8" s="156">
        <f>'LDPE-C2'!M37-'LDPE-C2'!M66</f>
        <v>186.19999999999993</v>
      </c>
      <c r="N8" s="156">
        <f>'LDPE-C2'!N37-'LDPE-C2'!N66</f>
        <v>186.19999999999993</v>
      </c>
      <c r="O8" s="156">
        <f>'LDPE-C2'!O37-'LDPE-C2'!O66</f>
        <v>186.2</v>
      </c>
      <c r="P8" s="156">
        <f>'LDPE-C2'!P37-'LDPE-C2'!P66</f>
        <v>186.2</v>
      </c>
      <c r="Q8" s="159">
        <f>'LDPE-C2'!Q37-'LDPE-C2'!Q66</f>
        <v>186.2</v>
      </c>
    </row>
    <row r="9" spans="2:19" ht="18" customHeight="1">
      <c r="B9" s="605" t="s">
        <v>435</v>
      </c>
      <c r="C9" s="606"/>
      <c r="D9" s="155">
        <f>'LDPE-C2'!D38-'LDPE-C2'!D67</f>
        <v>653.66</v>
      </c>
      <c r="E9" s="156">
        <f>'LDPE-C2'!E38-'LDPE-C2'!E67</f>
        <v>675.49146000000007</v>
      </c>
      <c r="F9" s="156">
        <f>'LDPE-C2'!F38-'LDPE-C2'!F67</f>
        <v>919.69236898000008</v>
      </c>
      <c r="G9" s="156">
        <f>'LDPE-C2'!G38-'LDPE-C2'!G67</f>
        <v>1569.2711990012401</v>
      </c>
      <c r="H9" s="156">
        <f>'LDPE-C2'!H38-'LDPE-C2'!H67</f>
        <v>1931.1238187722759</v>
      </c>
      <c r="I9" s="156">
        <f>'LDPE-C2'!I38-'LDPE-C2'!I67</f>
        <v>1848.3972715860777</v>
      </c>
      <c r="J9" s="157">
        <f>'LDPE-C2'!J38-'LDPE-C2'!J67</f>
        <v>1907.08</v>
      </c>
      <c r="K9" s="158">
        <f>'LDPE-C2'!K38-'LDPE-C2'!K67</f>
        <v>1782.62</v>
      </c>
      <c r="L9" s="157">
        <f>'LDPE-C2'!L38-'LDPE-C2'!L67</f>
        <v>2027.62</v>
      </c>
      <c r="M9" s="156">
        <f>'LDPE-C2'!M38-'LDPE-C2'!M67</f>
        <v>2113.86</v>
      </c>
      <c r="N9" s="156">
        <f>'LDPE-C2'!N38-'LDPE-C2'!N67</f>
        <v>2138.3599999999997</v>
      </c>
      <c r="O9" s="156">
        <f>'LDPE-C2'!O38-'LDPE-C2'!O67</f>
        <v>2136.3999999999996</v>
      </c>
      <c r="P9" s="156">
        <f>'LDPE-C2'!P38-'LDPE-C2'!P67</f>
        <v>2018.8</v>
      </c>
      <c r="Q9" s="159">
        <f>'LDPE-C2'!Q38-'LDPE-C2'!Q67</f>
        <v>2062.8999999999996</v>
      </c>
    </row>
    <row r="10" spans="2:19" ht="18" customHeight="1">
      <c r="B10" s="605" t="s">
        <v>436</v>
      </c>
      <c r="C10" s="606"/>
      <c r="D10" s="155">
        <f>'LDPE-C2'!D39-'LDPE-C2'!D68</f>
        <v>-3679.8999999999996</v>
      </c>
      <c r="E10" s="156">
        <f>'LDPE-C2'!E39-'LDPE-C2'!E68</f>
        <v>-3695.5800000000008</v>
      </c>
      <c r="F10" s="156">
        <f>'LDPE-C2'!F39-'LDPE-C2'!F68</f>
        <v>-3709.2999999999993</v>
      </c>
      <c r="G10" s="156">
        <f>'LDPE-C2'!G39-'LDPE-C2'!G68</f>
        <v>-3907.26</v>
      </c>
      <c r="H10" s="156">
        <f>'LDPE-C2'!H39-'LDPE-C2'!H68</f>
        <v>-4331.5999999999995</v>
      </c>
      <c r="I10" s="156">
        <f>'LDPE-C2'!I39-'LDPE-C2'!I68</f>
        <v>-4530.54</v>
      </c>
      <c r="J10" s="157">
        <f>'LDPE-C2'!J39-'LDPE-C2'!J68</f>
        <v>-4441.3599999999988</v>
      </c>
      <c r="K10" s="158">
        <f>'LDPE-C2'!K39-'LDPE-C2'!K68</f>
        <v>-5428.2200000000012</v>
      </c>
      <c r="L10" s="157">
        <f>'LDPE-C2'!L39-'LDPE-C2'!L68</f>
        <v>-5736.92</v>
      </c>
      <c r="M10" s="156">
        <f>'LDPE-C2'!M39-'LDPE-C2'!M68</f>
        <v>-6228.8799999999992</v>
      </c>
      <c r="N10" s="156">
        <f>'LDPE-C2'!N39-'LDPE-C2'!N68</f>
        <v>-6454.2800000000007</v>
      </c>
      <c r="O10" s="156">
        <f>'LDPE-C2'!O39-'LDPE-C2'!O68</f>
        <v>-6856.0799999999981</v>
      </c>
      <c r="P10" s="156">
        <f>'LDPE-C2'!P39-'LDPE-C2'!P68</f>
        <v>-7269.6399999999994</v>
      </c>
      <c r="Q10" s="159">
        <f>'LDPE-C2'!Q39-'LDPE-C2'!Q68</f>
        <v>-7707.6999999999989</v>
      </c>
    </row>
    <row r="11" spans="2:19" ht="18" customHeight="1">
      <c r="B11" s="605" t="s">
        <v>437</v>
      </c>
      <c r="C11" s="606"/>
      <c r="D11" s="155">
        <f>'LDPE-C2'!D40-'LDPE-C2'!D69</f>
        <v>377.30000000000007</v>
      </c>
      <c r="E11" s="156">
        <f>'LDPE-C2'!E40-'LDPE-C2'!E69</f>
        <v>805.55999999999983</v>
      </c>
      <c r="F11" s="156">
        <f>'LDPE-C2'!F40-'LDPE-C2'!F69</f>
        <v>802.62000000000012</v>
      </c>
      <c r="G11" s="156">
        <f>'LDPE-C2'!G40-'LDPE-C2'!G69</f>
        <v>720.90956000000006</v>
      </c>
      <c r="H11" s="156">
        <f>'LDPE-C2'!H40-'LDPE-C2'!H69</f>
        <v>836.68088</v>
      </c>
      <c r="I11" s="156">
        <f>'LDPE-C2'!I40-'LDPE-C2'!I69</f>
        <v>824.01927999999998</v>
      </c>
      <c r="J11" s="157">
        <f>'LDPE-C2'!J40-'LDPE-C2'!J69</f>
        <v>571.38409999999988</v>
      </c>
      <c r="K11" s="158">
        <f>'LDPE-C2'!K40-'LDPE-C2'!K69</f>
        <v>377.30196000000001</v>
      </c>
      <c r="L11" s="157">
        <f>'LDPE-C2'!L40-'LDPE-C2'!L69</f>
        <v>621.03785016000006</v>
      </c>
      <c r="M11" s="156">
        <f>'LDPE-C2'!M40-'LDPE-C2'!M69</f>
        <v>576.919511176176</v>
      </c>
      <c r="N11" s="156">
        <f>'LDPE-C2'!N40-'LDPE-C2'!N69</f>
        <v>533.11624113857692</v>
      </c>
      <c r="O11" s="156">
        <f>'LDPE-C2'!O40-'LDPE-C2'!O69</f>
        <v>489.41986769899631</v>
      </c>
      <c r="P11" s="156">
        <f>'LDPE-C2'!P40-'LDPE-C2'!P69</f>
        <v>444.80956306846133</v>
      </c>
      <c r="Q11" s="159">
        <f>'LDPE-C2'!Q40-'LDPE-C2'!Q69</f>
        <v>397.84638351369836</v>
      </c>
    </row>
    <row r="12" spans="2:19" ht="18" customHeight="1">
      <c r="B12" s="605" t="s">
        <v>438</v>
      </c>
      <c r="C12" s="606"/>
      <c r="D12" s="155">
        <f>'LDPE-C2'!D41-'LDPE-C2'!D70</f>
        <v>-61.297925449423531</v>
      </c>
      <c r="E12" s="156">
        <f>'LDPE-C2'!E41-'LDPE-C2'!E70</f>
        <v>-55.499392678186666</v>
      </c>
      <c r="F12" s="156">
        <f>'LDPE-C2'!F41-'LDPE-C2'!F70</f>
        <v>-249.90000000000003</v>
      </c>
      <c r="G12" s="156">
        <f>'LDPE-C2'!G41-'LDPE-C2'!G70</f>
        <v>-276.36000000000007</v>
      </c>
      <c r="H12" s="156">
        <f>'LDPE-C2'!H41-'LDPE-C2'!H70</f>
        <v>-285.18</v>
      </c>
      <c r="I12" s="156">
        <f>'LDPE-C2'!I41-'LDPE-C2'!I70</f>
        <v>-303.8</v>
      </c>
      <c r="J12" s="157">
        <f>'LDPE-C2'!J41-'LDPE-C2'!J70</f>
        <v>-323.40000000000003</v>
      </c>
      <c r="K12" s="158">
        <f>'LDPE-C2'!K41-'LDPE-C2'!K70</f>
        <v>-460.59999999999997</v>
      </c>
      <c r="L12" s="157">
        <f>'LDPE-C2'!L41-'LDPE-C2'!L70</f>
        <v>-372.4</v>
      </c>
      <c r="M12" s="156">
        <f>'LDPE-C2'!M41-'LDPE-C2'!M70</f>
        <v>-416.5</v>
      </c>
      <c r="N12" s="156">
        <f>'LDPE-C2'!N41-'LDPE-C2'!N70</f>
        <v>-460.6</v>
      </c>
      <c r="O12" s="156">
        <f>'LDPE-C2'!O41-'LDPE-C2'!O70</f>
        <v>176.39999999999998</v>
      </c>
      <c r="P12" s="156">
        <f>'LDPE-C2'!P41-'LDPE-C2'!P70</f>
        <v>127.40000000000009</v>
      </c>
      <c r="Q12" s="159">
        <f>'LDPE-C2'!Q41-'LDPE-C2'!Q70</f>
        <v>78.400000000000091</v>
      </c>
    </row>
    <row r="13" spans="2:19" ht="18" customHeight="1">
      <c r="B13" s="605" t="s">
        <v>439</v>
      </c>
      <c r="C13" s="606"/>
      <c r="D13" s="155">
        <f>'LDPE-C2'!D42-'LDPE-C2'!D71</f>
        <v>-611.52</v>
      </c>
      <c r="E13" s="156">
        <f>'LDPE-C2'!E42-'LDPE-C2'!E71</f>
        <v>15.680000000000064</v>
      </c>
      <c r="F13" s="156">
        <f>'LDPE-C2'!F42-'LDPE-C2'!F71</f>
        <v>-741.86</v>
      </c>
      <c r="G13" s="156">
        <f>'LDPE-C2'!G42-'LDPE-C2'!G71</f>
        <v>-743.81999999999994</v>
      </c>
      <c r="H13" s="156">
        <f>'LDPE-C2'!H42-'LDPE-C2'!H71</f>
        <v>-186.19999999999993</v>
      </c>
      <c r="I13" s="156">
        <f>'LDPE-C2'!I42-'LDPE-C2'!I71</f>
        <v>-200.90000000000009</v>
      </c>
      <c r="J13" s="157">
        <f>'LDPE-C2'!J42-'LDPE-C2'!J71</f>
        <v>-343</v>
      </c>
      <c r="K13" s="158">
        <f>'LDPE-C2'!K42-'LDPE-C2'!K71</f>
        <v>-1078</v>
      </c>
      <c r="L13" s="157">
        <f>'LDPE-C2'!L42-'LDPE-C2'!L71</f>
        <v>-1078</v>
      </c>
      <c r="M13" s="156">
        <f>'LDPE-C2'!M42-'LDPE-C2'!M71</f>
        <v>-980</v>
      </c>
      <c r="N13" s="156">
        <f>'LDPE-C2'!N42-'LDPE-C2'!N71</f>
        <v>-882</v>
      </c>
      <c r="O13" s="156">
        <f>'LDPE-C2'!O42-'LDPE-C2'!O71</f>
        <v>-686</v>
      </c>
      <c r="P13" s="156">
        <f>'LDPE-C2'!P42-'LDPE-C2'!P71</f>
        <v>-686</v>
      </c>
      <c r="Q13" s="159">
        <f>'LDPE-C2'!Q42-'LDPE-C2'!Q71</f>
        <v>-686</v>
      </c>
    </row>
    <row r="14" spans="2:19" ht="18" hidden="1" customHeight="1">
      <c r="B14" s="16"/>
      <c r="C14" s="90" t="s">
        <v>306</v>
      </c>
      <c r="D14" s="155">
        <f>'LDPE-C2'!D43-'LDPE-C2'!D72</f>
        <v>0</v>
      </c>
      <c r="E14" s="156">
        <f>'LDPE-C2'!E43-'LDPE-C2'!E72</f>
        <v>0</v>
      </c>
      <c r="F14" s="156">
        <f>'LDPE-C2'!F43-'LDPE-C2'!F72</f>
        <v>0</v>
      </c>
      <c r="G14" s="156">
        <f>'LDPE-C2'!G43-'LDPE-C2'!G72</f>
        <v>0</v>
      </c>
      <c r="H14" s="156">
        <f>'LDPE-C2'!H43-'LDPE-C2'!H72</f>
        <v>0</v>
      </c>
      <c r="I14" s="156">
        <f>'LDPE-C2'!I43-'LDPE-C2'!I72</f>
        <v>0</v>
      </c>
      <c r="J14" s="157">
        <f>'LDPE-C2'!J43-'LDPE-C2'!J72</f>
        <v>0</v>
      </c>
      <c r="K14" s="158">
        <f>'LDPE-C2'!K43-'LDPE-C2'!K72</f>
        <v>0</v>
      </c>
      <c r="L14" s="157">
        <f>'LDPE-C2'!L43-'LDPE-C2'!L72</f>
        <v>0</v>
      </c>
      <c r="M14" s="156">
        <f>'LDPE-C2'!M43-'LDPE-C2'!M72</f>
        <v>0</v>
      </c>
      <c r="N14" s="156">
        <f>'LDPE-C2'!N43-'LDPE-C2'!N72</f>
        <v>0</v>
      </c>
      <c r="O14" s="156">
        <f>'LDPE-C2'!O43-'LDPE-C2'!O72</f>
        <v>0</v>
      </c>
      <c r="P14" s="156">
        <f>'LDPE-C2'!P43-'LDPE-C2'!P72</f>
        <v>0</v>
      </c>
      <c r="Q14" s="159">
        <f>'LDPE-C2'!Q43-'LDPE-C2'!Q72</f>
        <v>0</v>
      </c>
    </row>
    <row r="15" spans="2:19" ht="18" customHeight="1">
      <c r="B15" s="605" t="s">
        <v>440</v>
      </c>
      <c r="C15" s="606"/>
      <c r="D15" s="155">
        <f>'LDPE-C2'!D44-'LDPE-C2'!D73</f>
        <v>-122.49999999999999</v>
      </c>
      <c r="E15" s="156">
        <f>'LDPE-C2'!E44-'LDPE-C2'!E73</f>
        <v>-147.97999999999999</v>
      </c>
      <c r="F15" s="156">
        <f>'LDPE-C2'!F44-'LDPE-C2'!F73</f>
        <v>-206.78</v>
      </c>
      <c r="G15" s="156">
        <f>'LDPE-C2'!G44-'LDPE-C2'!G73</f>
        <v>-166.6</v>
      </c>
      <c r="H15" s="156">
        <f>'LDPE-C2'!H44-'LDPE-C2'!H73</f>
        <v>-216.57999999999998</v>
      </c>
      <c r="I15" s="156">
        <f>'LDPE-C2'!I44-'LDPE-C2'!I73</f>
        <v>-158.82859999999999</v>
      </c>
      <c r="J15" s="157">
        <f>'LDPE-C2'!J44-'LDPE-C2'!J73</f>
        <v>-147.00000000000003</v>
      </c>
      <c r="K15" s="158">
        <f>'LDPE-C2'!K44-'LDPE-C2'!K73</f>
        <v>-147</v>
      </c>
      <c r="L15" s="157">
        <f>'LDPE-C2'!L44-'LDPE-C2'!L73</f>
        <v>-147</v>
      </c>
      <c r="M15" s="156">
        <f>'LDPE-C2'!M44-'LDPE-C2'!M73</f>
        <v>-146.99999999999997</v>
      </c>
      <c r="N15" s="156">
        <f>'LDPE-C2'!N44-'LDPE-C2'!N73</f>
        <v>-147</v>
      </c>
      <c r="O15" s="156">
        <f>'LDPE-C2'!O44-'LDPE-C2'!O73</f>
        <v>-146.99999999999997</v>
      </c>
      <c r="P15" s="156">
        <f>'LDPE-C2'!P44-'LDPE-C2'!P73</f>
        <v>-147</v>
      </c>
      <c r="Q15" s="159">
        <f>'LDPE-C2'!Q44-'LDPE-C2'!Q73</f>
        <v>-147.00000000000003</v>
      </c>
    </row>
    <row r="16" spans="2:19" ht="18" customHeight="1">
      <c r="B16" s="605" t="s">
        <v>441</v>
      </c>
      <c r="C16" s="606"/>
      <c r="D16" s="155">
        <f>'LDPE-C2'!D45-'LDPE-C2'!D74</f>
        <v>87.665454545454452</v>
      </c>
      <c r="E16" s="156">
        <f>'LDPE-C2'!E45-'LDPE-C2'!E74</f>
        <v>71.765845454545342</v>
      </c>
      <c r="F16" s="156">
        <f>'LDPE-C2'!F45-'LDPE-C2'!F74</f>
        <v>103.88000000000005</v>
      </c>
      <c r="G16" s="156">
        <f>'LDPE-C2'!G45-'LDPE-C2'!G74</f>
        <v>50.884540000000015</v>
      </c>
      <c r="H16" s="156">
        <f>'LDPE-C2'!H45-'LDPE-C2'!H74</f>
        <v>-179.55069999999995</v>
      </c>
      <c r="I16" s="156">
        <f>'LDPE-C2'!I45-'LDPE-C2'!I74</f>
        <v>-135.10672000000005</v>
      </c>
      <c r="J16" s="157">
        <f>'LDPE-C2'!J45-'LDPE-C2'!J74</f>
        <v>-182.16141999999996</v>
      </c>
      <c r="K16" s="158">
        <f>'LDPE-C2'!K45-'LDPE-C2'!K74</f>
        <v>-167.62018</v>
      </c>
      <c r="L16" s="157">
        <f>'LDPE-C2'!L45-'LDPE-C2'!L74</f>
        <v>-198.11189999999988</v>
      </c>
      <c r="M16" s="156">
        <f>'LDPE-C2'!M45-'LDPE-C2'!M74</f>
        <v>-229.35747911999988</v>
      </c>
      <c r="N16" s="156">
        <f>'LDPE-C2'!N45-'LDPE-C2'!N74</f>
        <v>-91.961349477759882</v>
      </c>
      <c r="O16" s="156">
        <f>'LDPE-C2'!O45-'LDPE-C2'!O74</f>
        <v>43.499953919516543</v>
      </c>
      <c r="P16" s="156">
        <f>'LDPE-C2'!P45-'LDPE-C2'!P74</f>
        <v>5.7169844012212252</v>
      </c>
      <c r="Q16" s="159">
        <f>'LDPE-C2'!Q45-'LDPE-C2'!Q74</f>
        <v>-33.894680841759737</v>
      </c>
    </row>
    <row r="17" spans="2:17" ht="18" customHeight="1">
      <c r="B17" s="605" t="s">
        <v>442</v>
      </c>
      <c r="C17" s="606"/>
      <c r="D17" s="155">
        <f>'LDPE-C2'!D46-'LDPE-C2'!D75</f>
        <v>-209.72</v>
      </c>
      <c r="E17" s="156">
        <f>'LDPE-C2'!E46-'LDPE-C2'!E75</f>
        <v>-224.42</v>
      </c>
      <c r="F17" s="156">
        <f>'LDPE-C2'!F46-'LDPE-C2'!F75</f>
        <v>-239.12</v>
      </c>
      <c r="G17" s="156">
        <f>'LDPE-C2'!G46-'LDPE-C2'!G75</f>
        <v>-255.78</v>
      </c>
      <c r="H17" s="156">
        <f>'LDPE-C2'!H46-'LDPE-C2'!H75</f>
        <v>-272.44</v>
      </c>
      <c r="I17" s="156">
        <f>'LDPE-C2'!I46-'LDPE-C2'!I75</f>
        <v>-291.06</v>
      </c>
      <c r="J17" s="157">
        <f>'LDPE-C2'!J46-'LDPE-C2'!J75</f>
        <v>-308.7</v>
      </c>
      <c r="K17" s="158">
        <f>'LDPE-C2'!K46-'LDPE-C2'!K75</f>
        <v>-578.68999999999994</v>
      </c>
      <c r="L17" s="157">
        <f>'LDPE-C2'!L46-'LDPE-C2'!L75</f>
        <v>-675.5139999999999</v>
      </c>
      <c r="M17" s="156">
        <f>'LDPE-C2'!M46-'LDPE-C2'!M75</f>
        <v>-715.4</v>
      </c>
      <c r="N17" s="156">
        <f>'LDPE-C2'!N46-'LDPE-C2'!N75</f>
        <v>-758.52</v>
      </c>
      <c r="O17" s="156">
        <f>'LDPE-C2'!O46-'LDPE-C2'!O75</f>
        <v>-803.6</v>
      </c>
      <c r="P17" s="156">
        <f>'LDPE-C2'!P46-'LDPE-C2'!P75</f>
        <v>-851.62</v>
      </c>
      <c r="Q17" s="159">
        <f>'LDPE-C2'!Q46-'LDPE-C2'!Q75</f>
        <v>-412.57999999999993</v>
      </c>
    </row>
    <row r="18" spans="2:17" ht="18" customHeight="1">
      <c r="B18" s="607" t="s">
        <v>443</v>
      </c>
      <c r="C18" s="608"/>
      <c r="D18" s="155">
        <f>'LDPE-C2'!D47-'LDPE-C2'!D76</f>
        <v>73.304000000000087</v>
      </c>
      <c r="E18" s="156">
        <f>'LDPE-C2'!E47-'LDPE-C2'!E76</f>
        <v>-100.25399999999991</v>
      </c>
      <c r="F18" s="156">
        <f>'LDPE-C2'!F47-'LDPE-C2'!F76</f>
        <v>-94.373999999999796</v>
      </c>
      <c r="G18" s="156">
        <f>'LDPE-C2'!G47-'LDPE-C2'!G76</f>
        <v>-75.852000000000089</v>
      </c>
      <c r="H18" s="156">
        <f>'LDPE-C2'!H47-'LDPE-C2'!H76</f>
        <v>-136.61199999999985</v>
      </c>
      <c r="I18" s="156">
        <f>'LDPE-C2'!I47-'LDPE-C2'!I76</f>
        <v>-23.029999999999973</v>
      </c>
      <c r="J18" s="157">
        <f>'LDPE-C2'!J47-'LDPE-C2'!J76</f>
        <v>-16.758000000000038</v>
      </c>
      <c r="K18" s="158">
        <f>'LDPE-C2'!K47-'LDPE-C2'!K76</f>
        <v>-73.990000000000009</v>
      </c>
      <c r="L18" s="157">
        <f>'LDPE-C2'!L47-'LDPE-C2'!L76</f>
        <v>-133.18199999999979</v>
      </c>
      <c r="M18" s="156">
        <f>'LDPE-C2'!M47-'LDPE-C2'!M76</f>
        <v>-149.74399999999991</v>
      </c>
      <c r="N18" s="156">
        <f>'LDPE-C2'!N47-'LDPE-C2'!N76</f>
        <v>-160.13200000000029</v>
      </c>
      <c r="O18" s="156">
        <f>'LDPE-C2'!O47-'LDPE-C2'!O76</f>
        <v>-165.42399999999998</v>
      </c>
      <c r="P18" s="156">
        <f>'LDPE-C2'!P47-'LDPE-C2'!P76</f>
        <v>-170.71600000000012</v>
      </c>
      <c r="Q18" s="159">
        <f>'LDPE-C2'!Q47-'LDPE-C2'!Q76</f>
        <v>-176.10599999999999</v>
      </c>
    </row>
    <row r="19" spans="2:17" ht="21" customHeight="1">
      <c r="B19" s="674" t="s">
        <v>307</v>
      </c>
      <c r="C19" s="675"/>
      <c r="D19" s="160">
        <f t="shared" ref="D19:K19" si="0">SUM(D7:D18)</f>
        <v>-2219.0084709039684</v>
      </c>
      <c r="E19" s="161">
        <f t="shared" si="0"/>
        <v>-1590.9560872236423</v>
      </c>
      <c r="F19" s="161">
        <f t="shared" si="0"/>
        <v>-2413.5816310199993</v>
      </c>
      <c r="G19" s="161">
        <f t="shared" si="0"/>
        <v>-1986.0267009987599</v>
      </c>
      <c r="H19" s="161">
        <f t="shared" si="0"/>
        <v>-1355.6580012277238</v>
      </c>
      <c r="I19" s="161">
        <f t="shared" si="0"/>
        <v>-1362.6687684139224</v>
      </c>
      <c r="J19" s="162">
        <f t="shared" si="0"/>
        <v>-1688.4753199999989</v>
      </c>
      <c r="K19" s="163">
        <f t="shared" si="0"/>
        <v>-4079.7782200000011</v>
      </c>
      <c r="L19" s="162">
        <f t="shared" ref="L19:Q19" si="1">SUM(L7:L18)</f>
        <v>-4055.8700498399994</v>
      </c>
      <c r="M19" s="161">
        <f t="shared" si="1"/>
        <v>-4588.5019679438228</v>
      </c>
      <c r="N19" s="161">
        <f t="shared" si="1"/>
        <v>-4744.4171083391839</v>
      </c>
      <c r="O19" s="161">
        <f t="shared" si="1"/>
        <v>-3577.9841783814859</v>
      </c>
      <c r="P19" s="161">
        <f t="shared" si="1"/>
        <v>-4342.8494525303176</v>
      </c>
      <c r="Q19" s="164">
        <f t="shared" si="1"/>
        <v>-4183.9342973280609</v>
      </c>
    </row>
    <row r="20" spans="2:17" ht="21" customHeight="1">
      <c r="B20" s="672" t="s">
        <v>308</v>
      </c>
      <c r="C20" s="673"/>
      <c r="D20" s="160">
        <f>'LDPE-C2'!D49-'LDPE-C2'!D78</f>
        <v>-240.1</v>
      </c>
      <c r="E20" s="161">
        <f>'LDPE-C2'!E49-'LDPE-C2'!E78</f>
        <v>-158.76</v>
      </c>
      <c r="F20" s="161">
        <f>'LDPE-C2'!F49-'LDPE-C2'!F78</f>
        <v>-44.099999999999994</v>
      </c>
      <c r="G20" s="161">
        <f>'LDPE-C2'!G49-'LDPE-C2'!G78</f>
        <v>-49</v>
      </c>
      <c r="H20" s="161">
        <f>'LDPE-C2'!H49-'LDPE-C2'!H78</f>
        <v>-58.800000000000011</v>
      </c>
      <c r="I20" s="161">
        <f>'LDPE-C2'!I49-'LDPE-C2'!I78</f>
        <v>-58.800000000000011</v>
      </c>
      <c r="J20" s="162">
        <f>'LDPE-C2'!J49-'LDPE-C2'!J78</f>
        <v>-74.47999999999999</v>
      </c>
      <c r="K20" s="163">
        <f>'LDPE-C2'!K49-'LDPE-C2'!K78</f>
        <v>-54.879999999999995</v>
      </c>
      <c r="L20" s="162">
        <f>'LDPE-C2'!L49-'LDPE-C2'!L78</f>
        <v>-68.599999999999994</v>
      </c>
      <c r="M20" s="161">
        <f>'LDPE-C2'!M49-'LDPE-C2'!M78</f>
        <v>-68.599999999999994</v>
      </c>
      <c r="N20" s="161">
        <f>'LDPE-C2'!N49-'LDPE-C2'!N78</f>
        <v>-73.5</v>
      </c>
      <c r="O20" s="161">
        <f>'LDPE-C2'!O49-'LDPE-C2'!O78</f>
        <v>-73.5</v>
      </c>
      <c r="P20" s="161">
        <f>'LDPE-C2'!P49-'LDPE-C2'!P78</f>
        <v>-78.400000000000006</v>
      </c>
      <c r="Q20" s="164">
        <f>'LDPE-C2'!Q49-'LDPE-C2'!Q78</f>
        <v>-78.400000000000006</v>
      </c>
    </row>
    <row r="21" spans="2:17" ht="18" customHeight="1">
      <c r="B21" s="105"/>
      <c r="C21" s="97" t="s">
        <v>309</v>
      </c>
      <c r="D21" s="160">
        <f>'LDPE-C2'!D50-'LDPE-C2'!D79</f>
        <v>-147.97999999999999</v>
      </c>
      <c r="E21" s="161">
        <f>'LDPE-C2'!E50-'LDPE-C2'!E79</f>
        <v>-158.76</v>
      </c>
      <c r="F21" s="161">
        <f>'LDPE-C2'!F50-'LDPE-C2'!F79</f>
        <v>-44.099999999999994</v>
      </c>
      <c r="G21" s="161">
        <f>'LDPE-C2'!G50-'LDPE-C2'!G79</f>
        <v>-49</v>
      </c>
      <c r="H21" s="161">
        <f>'LDPE-C2'!H50-'LDPE-C2'!H79</f>
        <v>-58.800000000000011</v>
      </c>
      <c r="I21" s="161">
        <f>'LDPE-C2'!I50-'LDPE-C2'!I79</f>
        <v>-58.800000000000011</v>
      </c>
      <c r="J21" s="162">
        <f>'LDPE-C2'!J50-'LDPE-C2'!J79</f>
        <v>-74.47999999999999</v>
      </c>
      <c r="K21" s="163">
        <f>'LDPE-C2'!K50-'LDPE-C2'!K79</f>
        <v>-54.879999999999995</v>
      </c>
      <c r="L21" s="162">
        <f>'LDPE-C2'!L50-'LDPE-C2'!L79</f>
        <v>-68.599999999999994</v>
      </c>
      <c r="M21" s="161">
        <f>'LDPE-C2'!M50-'LDPE-C2'!M79</f>
        <v>-68.599999999999994</v>
      </c>
      <c r="N21" s="161">
        <f>'LDPE-C2'!N50-'LDPE-C2'!N79</f>
        <v>-73.5</v>
      </c>
      <c r="O21" s="161">
        <f>'LDPE-C2'!O50-'LDPE-C2'!O79</f>
        <v>-73.5</v>
      </c>
      <c r="P21" s="161">
        <f>'LDPE-C2'!P50-'LDPE-C2'!P79</f>
        <v>-78.400000000000006</v>
      </c>
      <c r="Q21" s="164">
        <f>'LDPE-C2'!Q50-'LDPE-C2'!Q79</f>
        <v>-78.400000000000006</v>
      </c>
    </row>
    <row r="22" spans="2:17" ht="21" customHeight="1">
      <c r="B22" s="672" t="s">
        <v>310</v>
      </c>
      <c r="C22" s="673"/>
      <c r="D22" s="155">
        <f>'LDPE-C2'!D51-'LDPE-C2'!D80</f>
        <v>-1327.8999999999996</v>
      </c>
      <c r="E22" s="156">
        <f>'LDPE-C2'!E51-'LDPE-C2'!E80</f>
        <v>-360.64000000000033</v>
      </c>
      <c r="F22" s="156">
        <f>'LDPE-C2'!F51-'LDPE-C2'!F80</f>
        <v>-689.92000000000007</v>
      </c>
      <c r="G22" s="156">
        <f>'LDPE-C2'!G51-'LDPE-C2'!G80</f>
        <v>-417.47999999999956</v>
      </c>
      <c r="H22" s="156">
        <f>'LDPE-C2'!H51-'LDPE-C2'!H80</f>
        <v>3.9200000000000728</v>
      </c>
      <c r="I22" s="156">
        <f>'LDPE-C2'!I51-'LDPE-C2'!I80</f>
        <v>-58.202199999999721</v>
      </c>
      <c r="J22" s="157">
        <f>'LDPE-C2'!J51-'LDPE-C2'!J80</f>
        <v>-230.46992709999995</v>
      </c>
      <c r="K22" s="158">
        <f>'LDPE-C2'!K51-'LDPE-C2'!K80</f>
        <v>-528.60931186000016</v>
      </c>
      <c r="L22" s="157">
        <f>'LDPE-C2'!L51-'LDPE-C2'!L80</f>
        <v>-725.11715962000017</v>
      </c>
      <c r="M22" s="156">
        <f>'LDPE-C2'!M51-'LDPE-C2'!M80</f>
        <v>-691.57629995999923</v>
      </c>
      <c r="N22" s="156">
        <f>'LDPE-C2'!N51-'LDPE-C2'!N80</f>
        <v>-790.59488844000043</v>
      </c>
      <c r="O22" s="156">
        <f>'LDPE-C2'!O51-'LDPE-C2'!O80</f>
        <v>-844.73003943999993</v>
      </c>
      <c r="P22" s="156">
        <f>'LDPE-C2'!P51-'LDPE-C2'!P80</f>
        <v>-771.2704095600011</v>
      </c>
      <c r="Q22" s="159">
        <f>'LDPE-C2'!Q51-'LDPE-C2'!Q80</f>
        <v>-681.69088414000089</v>
      </c>
    </row>
    <row r="23" spans="2:17" ht="21" customHeight="1">
      <c r="B23" s="105"/>
      <c r="C23" s="615" t="s">
        <v>311</v>
      </c>
      <c r="D23" s="160">
        <f>'LDPE-C2'!D52-'LDPE-C2'!D81</f>
        <v>-72.519999999999527</v>
      </c>
      <c r="E23" s="161">
        <f>'LDPE-C2'!E52-'LDPE-C2'!E81</f>
        <v>-27.4399999999996</v>
      </c>
      <c r="F23" s="161">
        <f>'LDPE-C2'!F52-'LDPE-C2'!F81</f>
        <v>-23.520000000000437</v>
      </c>
      <c r="G23" s="161">
        <f>'LDPE-C2'!G52-'LDPE-C2'!G81</f>
        <v>241.07999999999993</v>
      </c>
      <c r="H23" s="161">
        <f>'LDPE-C2'!H52-'LDPE-C2'!H81</f>
        <v>582.11999999999989</v>
      </c>
      <c r="I23" s="161">
        <f>'LDPE-C2'!I52-'LDPE-C2'!I81</f>
        <v>627.19999999999982</v>
      </c>
      <c r="J23" s="162">
        <f>'LDPE-C2'!J52-'LDPE-C2'!J81</f>
        <v>481.17996374000086</v>
      </c>
      <c r="K23" s="163">
        <f>'LDPE-C2'!K52-'LDPE-C2'!K81</f>
        <v>200.95288765999976</v>
      </c>
      <c r="L23" s="162">
        <f>'LDPE-C2'!L52-'LDPE-C2'!L81</f>
        <v>31.21393296000042</v>
      </c>
      <c r="M23" s="161">
        <f>'LDPE-C2'!M52-'LDPE-C2'!M81</f>
        <v>84.560470119999991</v>
      </c>
      <c r="N23" s="161">
        <f>'LDPE-C2'!N52-'LDPE-C2'!N81</f>
        <v>10.028789820000384</v>
      </c>
      <c r="O23" s="161">
        <f>'LDPE-C2'!O52-'LDPE-C2'!O81</f>
        <v>-22.495198319999872</v>
      </c>
      <c r="P23" s="161">
        <f>'LDPE-C2'!P52-'LDPE-C2'!P81</f>
        <v>70.020413960000042</v>
      </c>
      <c r="Q23" s="164">
        <f>'LDPE-C2'!Q52-'LDPE-C2'!Q81</f>
        <v>181.93271740000091</v>
      </c>
    </row>
    <row r="24" spans="2:17" ht="21" customHeight="1">
      <c r="B24" s="672" t="s">
        <v>312</v>
      </c>
      <c r="C24" s="673"/>
      <c r="D24" s="155">
        <f>'LDPE-C2'!D53-'LDPE-C2'!D82</f>
        <v>3138.9400000000005</v>
      </c>
      <c r="E24" s="156">
        <f>'LDPE-C2'!E53-'LDPE-C2'!E82</f>
        <v>3731.8399999999997</v>
      </c>
      <c r="F24" s="156">
        <f>'LDPE-C2'!F53-'LDPE-C2'!F82</f>
        <v>4147.38</v>
      </c>
      <c r="G24" s="156">
        <f>'LDPE-C2'!G53-'LDPE-C2'!G82</f>
        <v>4471.96</v>
      </c>
      <c r="H24" s="156">
        <f>'LDPE-C2'!H53-'LDPE-C2'!H82</f>
        <v>5083.26</v>
      </c>
      <c r="I24" s="156">
        <f>'LDPE-C2'!I53-'LDPE-C2'!I82</f>
        <v>4958.7999999999993</v>
      </c>
      <c r="J24" s="157">
        <f>'LDPE-C2'!J53-'LDPE-C2'!J82</f>
        <v>5483.1</v>
      </c>
      <c r="K24" s="158">
        <f>'LDPE-C2'!K53-'LDPE-C2'!K82</f>
        <v>6071.1</v>
      </c>
      <c r="L24" s="157">
        <f>'LDPE-C2'!L53-'LDPE-C2'!L82</f>
        <v>6495.4400000000005</v>
      </c>
      <c r="M24" s="156">
        <f>'LDPE-C2'!M53-'LDPE-C2'!M82</f>
        <v>6611.08</v>
      </c>
      <c r="N24" s="156">
        <f>'LDPE-C2'!N53-'LDPE-C2'!N82</f>
        <v>6750.2400000000007</v>
      </c>
      <c r="O24" s="156">
        <f>'LDPE-C2'!O53-'LDPE-C2'!O82</f>
        <v>6746.32</v>
      </c>
      <c r="P24" s="156">
        <f>'LDPE-C2'!P53-'LDPE-C2'!P82</f>
        <v>7045.2199999999993</v>
      </c>
      <c r="Q24" s="159">
        <f>'LDPE-C2'!Q53-'LDPE-C2'!Q82</f>
        <v>7063.84</v>
      </c>
    </row>
    <row r="25" spans="2:17" ht="21" customHeight="1">
      <c r="B25" s="16"/>
      <c r="C25" s="615" t="s">
        <v>313</v>
      </c>
      <c r="D25" s="160">
        <f>'LDPE-C2'!D54-'LDPE-C2'!D83</f>
        <v>2957.64</v>
      </c>
      <c r="E25" s="161">
        <f>'LDPE-C2'!E54-'LDPE-C2'!E83</f>
        <v>2957.64</v>
      </c>
      <c r="F25" s="161">
        <f>'LDPE-C2'!F54-'LDPE-C2'!F83</f>
        <v>3086.18</v>
      </c>
      <c r="G25" s="161">
        <f>'LDPE-C2'!G54-'LDPE-C2'!G83</f>
        <v>3387.56</v>
      </c>
      <c r="H25" s="161">
        <f>'LDPE-C2'!H54-'LDPE-C2'!H83</f>
        <v>3753.3999999999996</v>
      </c>
      <c r="I25" s="161">
        <f>'LDPE-C2'!I54-'LDPE-C2'!I83</f>
        <v>3242.8199999999997</v>
      </c>
      <c r="J25" s="162">
        <f>'LDPE-C2'!J54-'LDPE-C2'!J83</f>
        <v>3479.9799999999996</v>
      </c>
      <c r="K25" s="163">
        <f>'LDPE-C2'!K54-'LDPE-C2'!K83</f>
        <v>3851.4</v>
      </c>
      <c r="L25" s="162">
        <f>'LDPE-C2'!L54-'LDPE-C2'!L83</f>
        <v>4225.76</v>
      </c>
      <c r="M25" s="161">
        <f>'LDPE-C2'!M54-'LDPE-C2'!M83</f>
        <v>4422.74</v>
      </c>
      <c r="N25" s="161">
        <f>'LDPE-C2'!N54-'LDPE-C2'!N83</f>
        <v>4520.74</v>
      </c>
      <c r="O25" s="161">
        <f>'LDPE-C2'!O54-'LDPE-C2'!O83</f>
        <v>4564.8399999999992</v>
      </c>
      <c r="P25" s="161">
        <f>'LDPE-C2'!P54-'LDPE-C2'!P83</f>
        <v>4590.32</v>
      </c>
      <c r="Q25" s="164">
        <f>'LDPE-C2'!Q54-'LDPE-C2'!Q83</f>
        <v>4594.24</v>
      </c>
    </row>
    <row r="26" spans="2:17" ht="21" customHeight="1">
      <c r="B26" s="674" t="s">
        <v>314</v>
      </c>
      <c r="C26" s="675"/>
      <c r="D26" s="160">
        <f>'LDPE-C2'!D55-'LDPE-C2'!D84</f>
        <v>-534.1</v>
      </c>
      <c r="E26" s="161">
        <f>'LDPE-C2'!E55-'LDPE-C2'!E84</f>
        <v>-744.8</v>
      </c>
      <c r="F26" s="161">
        <f>'LDPE-C2'!F55-'LDPE-C2'!F84</f>
        <v>-765.39999999999986</v>
      </c>
      <c r="G26" s="161">
        <f>'LDPE-C2'!G55-'LDPE-C2'!G84</f>
        <v>-934.62971086739788</v>
      </c>
      <c r="H26" s="161">
        <f>'LDPE-C2'!H55-'LDPE-C2'!H84</f>
        <v>-1029.468594217348</v>
      </c>
      <c r="I26" s="161">
        <f>'LDPE-C2'!I55-'LDPE-C2'!I84</f>
        <v>-1080.94</v>
      </c>
      <c r="J26" s="162">
        <f>'LDPE-C2'!J55-'LDPE-C2'!J84</f>
        <v>-1129.9399999999998</v>
      </c>
      <c r="K26" s="163">
        <f>'LDPE-C2'!K55-'LDPE-C2'!K84</f>
        <v>-1055.46</v>
      </c>
      <c r="L26" s="162">
        <f>'LDPE-C2'!L55-'LDPE-C2'!L84</f>
        <v>-1134.8400000000001</v>
      </c>
      <c r="M26" s="161">
        <f>'LDPE-C2'!M55-'LDPE-C2'!M84</f>
        <v>-1232.8400000000001</v>
      </c>
      <c r="N26" s="161">
        <f>'LDPE-C2'!N55-'LDPE-C2'!N84</f>
        <v>-1338.6799999999998</v>
      </c>
      <c r="O26" s="161">
        <f>'LDPE-C2'!O55-'LDPE-C2'!O84</f>
        <v>-1453.34</v>
      </c>
      <c r="P26" s="161">
        <f>'LDPE-C2'!P55-'LDPE-C2'!P84</f>
        <v>-1519</v>
      </c>
      <c r="Q26" s="164">
        <f>'LDPE-C2'!Q55-'LDPE-C2'!Q84</f>
        <v>-1809.08</v>
      </c>
    </row>
    <row r="27" spans="2:17" ht="21" customHeight="1">
      <c r="B27" s="674" t="s">
        <v>315</v>
      </c>
      <c r="C27" s="675"/>
      <c r="D27" s="160">
        <f>'LDPE-C2'!D56-'LDPE-C2'!D85</f>
        <v>41.160000000000082</v>
      </c>
      <c r="E27" s="161">
        <f>'LDPE-C2'!E56-'LDPE-C2'!E85</f>
        <v>49</v>
      </c>
      <c r="F27" s="161">
        <f>'LDPE-C2'!F56-'LDPE-C2'!F85</f>
        <v>-7.6440000000000055</v>
      </c>
      <c r="G27" s="161">
        <f>'LDPE-C2'!G56-'LDPE-C2'!G85</f>
        <v>-191.09999999999991</v>
      </c>
      <c r="H27" s="161">
        <f>'LDPE-C2'!H56-'LDPE-C2'!H85</f>
        <v>-6.8600000000000136</v>
      </c>
      <c r="I27" s="161">
        <f>'LDPE-C2'!I56-'LDPE-C2'!I85</f>
        <v>76.439999999999941</v>
      </c>
      <c r="J27" s="162">
        <f>'LDPE-C2'!J56-'LDPE-C2'!J85</f>
        <v>-284.20000000000005</v>
      </c>
      <c r="K27" s="163">
        <f>'LDPE-C2'!K56-'LDPE-C2'!K85</f>
        <v>101.22420000000011</v>
      </c>
      <c r="L27" s="162">
        <f>'LDPE-C2'!L56-'LDPE-C2'!L85</f>
        <v>102.84378720000007</v>
      </c>
      <c r="M27" s="161">
        <f>'LDPE-C2'!M56-'LDPE-C2'!M85</f>
        <v>210.5834976000001</v>
      </c>
      <c r="N27" s="161">
        <f>'LDPE-C2'!N56-'LDPE-C2'!N85</f>
        <v>295.57225006400017</v>
      </c>
      <c r="O27" s="161">
        <f>'LDPE-C2'!O56-'LDPE-C2'!O85</f>
        <v>380.3658338149603</v>
      </c>
      <c r="P27" s="161">
        <f>'LDPE-C2'!P56-'LDPE-C2'!P85</f>
        <v>464.96132132218474</v>
      </c>
      <c r="Q27" s="164">
        <f>'LDPE-C2'!Q56-'LDPE-C2'!Q85</f>
        <v>659.11574114201767</v>
      </c>
    </row>
    <row r="28" spans="2:17" ht="18" customHeight="1">
      <c r="B28" s="672" t="s">
        <v>316</v>
      </c>
      <c r="C28" s="673"/>
      <c r="D28" s="155">
        <f>'LDPE-C2'!D57-'LDPE-C2'!D86</f>
        <v>1044.6800000000003</v>
      </c>
      <c r="E28" s="156">
        <f>'LDPE-C2'!E57-'LDPE-C2'!E86</f>
        <v>984.89999999999964</v>
      </c>
      <c r="F28" s="156">
        <f>'LDPE-C2'!F57-'LDPE-C2'!F86</f>
        <v>1016.2600000000002</v>
      </c>
      <c r="G28" s="156">
        <f>'LDPE-C2'!G57-'LDPE-C2'!G86</f>
        <v>1264.2980000000007</v>
      </c>
      <c r="H28" s="156">
        <f>'LDPE-C2'!H57-'LDPE-C2'!H86</f>
        <v>1144.6400000000003</v>
      </c>
      <c r="I28" s="156">
        <f>'LDPE-C2'!I57-'LDPE-C2'!I86</f>
        <v>1205.4000000000005</v>
      </c>
      <c r="J28" s="157">
        <f>'LDPE-C2'!J57-'LDPE-C2'!J86</f>
        <v>753.52199999999993</v>
      </c>
      <c r="K28" s="158">
        <f>'LDPE-C2'!K57-'LDPE-C2'!K86</f>
        <v>1026.3540000000003</v>
      </c>
      <c r="L28" s="157">
        <f>'LDPE-C2'!L57-'LDPE-C2'!L86</f>
        <v>2687.6500000000005</v>
      </c>
      <c r="M28" s="156">
        <f>'LDPE-C2'!M57-'LDPE-C2'!M86</f>
        <v>3873.5479999999998</v>
      </c>
      <c r="N28" s="156">
        <f>'LDPE-C2'!N57-'LDPE-C2'!N86</f>
        <v>4274.6619999999994</v>
      </c>
      <c r="O28" s="156">
        <f>'LDPE-C2'!O57-'LDPE-C2'!O86</f>
        <v>4660.2919999999995</v>
      </c>
      <c r="P28" s="156">
        <f>'LDPE-C2'!P57-'LDPE-C2'!P86</f>
        <v>4580.9120000000003</v>
      </c>
      <c r="Q28" s="159">
        <f>'LDPE-C2'!Q57-'LDPE-C2'!Q86</f>
        <v>4168.9199999999992</v>
      </c>
    </row>
    <row r="29" spans="2:17" ht="18" customHeight="1">
      <c r="B29" s="670" t="s">
        <v>317</v>
      </c>
      <c r="C29" s="671"/>
      <c r="D29" s="155">
        <f>'LDPE-C2'!D58-'LDPE-C2'!D87</f>
        <v>245</v>
      </c>
      <c r="E29" s="156">
        <f>'LDPE-C2'!E58-'LDPE-C2'!E87</f>
        <v>63.700000000000045</v>
      </c>
      <c r="F29" s="156">
        <f>'LDPE-C2'!F58-'LDPE-C2'!F87</f>
        <v>250.87999999999988</v>
      </c>
      <c r="G29" s="156">
        <f>'LDPE-C2'!G58-'LDPE-C2'!G87</f>
        <v>64.679999999999836</v>
      </c>
      <c r="H29" s="156">
        <f>'LDPE-C2'!H58-'LDPE-C2'!H87</f>
        <v>-1.9600000000000364</v>
      </c>
      <c r="I29" s="156">
        <f>'LDPE-C2'!I58-'LDPE-C2'!I87</f>
        <v>125.44000000000005</v>
      </c>
      <c r="J29" s="157">
        <f>'LDPE-C2'!J58-'LDPE-C2'!J87</f>
        <v>267.53999999999996</v>
      </c>
      <c r="K29" s="158">
        <f>'LDPE-C2'!K58-'LDPE-C2'!K87</f>
        <v>207.75999999999976</v>
      </c>
      <c r="L29" s="157">
        <f>'LDPE-C2'!L58-'LDPE-C2'!L87</f>
        <v>165.61999999999989</v>
      </c>
      <c r="M29" s="156">
        <f>'LDPE-C2'!M58-'LDPE-C2'!M87</f>
        <v>122.5</v>
      </c>
      <c r="N29" s="156">
        <f>'LDPE-C2'!N58-'LDPE-C2'!N87</f>
        <v>83.299999999999727</v>
      </c>
      <c r="O29" s="156">
        <f>'LDPE-C2'!O58-'LDPE-C2'!O87</f>
        <v>138.17999999999984</v>
      </c>
      <c r="P29" s="156">
        <f>'LDPE-C2'!P58-'LDPE-C2'!P87</f>
        <v>383.17999999999984</v>
      </c>
      <c r="Q29" s="159">
        <f>'LDPE-C2'!Q58-'LDPE-C2'!Q87</f>
        <v>346.92000000000007</v>
      </c>
    </row>
    <row r="30" spans="2:17" ht="21" customHeight="1">
      <c r="B30" s="674" t="s">
        <v>318</v>
      </c>
      <c r="C30" s="675"/>
      <c r="D30" s="160">
        <f t="shared" ref="D30:K30" si="2">D29+D28</f>
        <v>1289.6800000000003</v>
      </c>
      <c r="E30" s="161">
        <f t="shared" si="2"/>
        <v>1048.5999999999997</v>
      </c>
      <c r="F30" s="161">
        <f t="shared" si="2"/>
        <v>1267.1400000000001</v>
      </c>
      <c r="G30" s="161">
        <f t="shared" si="2"/>
        <v>1328.9780000000005</v>
      </c>
      <c r="H30" s="161">
        <f t="shared" si="2"/>
        <v>1142.6800000000003</v>
      </c>
      <c r="I30" s="161">
        <f t="shared" si="2"/>
        <v>1330.8400000000006</v>
      </c>
      <c r="J30" s="162">
        <f t="shared" si="2"/>
        <v>1021.0619999999999</v>
      </c>
      <c r="K30" s="163">
        <f t="shared" si="2"/>
        <v>1234.114</v>
      </c>
      <c r="L30" s="162">
        <f t="shared" ref="L30:Q30" si="3">L29+L28</f>
        <v>2853.2700000000004</v>
      </c>
      <c r="M30" s="161">
        <f t="shared" si="3"/>
        <v>3996.0479999999998</v>
      </c>
      <c r="N30" s="161">
        <f t="shared" si="3"/>
        <v>4357.9619999999995</v>
      </c>
      <c r="O30" s="161">
        <f t="shared" si="3"/>
        <v>4798.4719999999998</v>
      </c>
      <c r="P30" s="161">
        <f t="shared" si="3"/>
        <v>4964.0920000000006</v>
      </c>
      <c r="Q30" s="164">
        <f t="shared" si="3"/>
        <v>4515.8399999999992</v>
      </c>
    </row>
    <row r="31" spans="2:17" ht="18" customHeight="1">
      <c r="B31" s="672" t="s">
        <v>319</v>
      </c>
      <c r="C31" s="673"/>
      <c r="D31" s="155">
        <f>'LDPE-C2'!D60-'LDPE-C2'!D89</f>
        <v>-240.09999999999997</v>
      </c>
      <c r="E31" s="156">
        <f>'LDPE-C2'!E60-'LDPE-C2'!E89</f>
        <v>-238.14</v>
      </c>
      <c r="F31" s="156">
        <f>'LDPE-C2'!F60-'LDPE-C2'!F89</f>
        <v>-269.50000000000006</v>
      </c>
      <c r="G31" s="156">
        <f>'LDPE-C2'!G60-'LDPE-C2'!G89</f>
        <v>-319.48</v>
      </c>
      <c r="H31" s="156">
        <f>'LDPE-C2'!H60-'LDPE-C2'!H89</f>
        <v>-341.03999999999996</v>
      </c>
      <c r="I31" s="156">
        <f>'LDPE-C2'!I60-'LDPE-C2'!I89</f>
        <v>-351.82</v>
      </c>
      <c r="J31" s="157">
        <f>'LDPE-C2'!J60-'LDPE-C2'!J89</f>
        <v>-236.18000000000006</v>
      </c>
      <c r="K31" s="158">
        <f>'LDPE-C2'!K60-'LDPE-C2'!K89</f>
        <v>-156.80000000000007</v>
      </c>
      <c r="L31" s="157">
        <f>'LDPE-C2'!L60-'LDPE-C2'!L89</f>
        <v>-175.42000000000007</v>
      </c>
      <c r="M31" s="156">
        <f>'LDPE-C2'!M60-'LDPE-C2'!M89</f>
        <v>-196.98000000000002</v>
      </c>
      <c r="N31" s="156">
        <f>'LDPE-C2'!N60-'LDPE-C2'!N89</f>
        <v>-220.5</v>
      </c>
      <c r="O31" s="156">
        <f>'LDPE-C2'!O60-'LDPE-C2'!O89</f>
        <v>-245.98000000000002</v>
      </c>
      <c r="P31" s="156">
        <f>'LDPE-C2'!P60-'LDPE-C2'!P89</f>
        <v>-273.41999999999996</v>
      </c>
      <c r="Q31" s="159">
        <f>'LDPE-C2'!Q60-'LDPE-C2'!Q89</f>
        <v>-301.84000000000003</v>
      </c>
    </row>
    <row r="32" spans="2:17" ht="18" customHeight="1">
      <c r="B32" s="668" t="s">
        <v>320</v>
      </c>
      <c r="C32" s="669"/>
      <c r="D32" s="155">
        <f>'LDPE-C2'!D61-'LDPE-C2'!D90</f>
        <v>293.02</v>
      </c>
      <c r="E32" s="156">
        <f>'LDPE-C2'!E61-'LDPE-C2'!E90</f>
        <v>279.29999999999995</v>
      </c>
      <c r="F32" s="156">
        <f>'LDPE-C2'!F61-'LDPE-C2'!F90</f>
        <v>262.6400000000001</v>
      </c>
      <c r="G32" s="156">
        <f>'LDPE-C2'!G61-'LDPE-C2'!G90</f>
        <v>282.24</v>
      </c>
      <c r="H32" s="156">
        <f>'LDPE-C2'!H61-'LDPE-C2'!H90</f>
        <v>246.96000000000004</v>
      </c>
      <c r="I32" s="156">
        <f>'LDPE-C2'!I61-'LDPE-C2'!I90</f>
        <v>217.56000000000017</v>
      </c>
      <c r="J32" s="157">
        <f>'LDPE-C2'!J61-'LDPE-C2'!J90</f>
        <v>277.34000000000015</v>
      </c>
      <c r="K32" s="158">
        <f>'LDPE-C2'!K61-'LDPE-C2'!K90</f>
        <v>245.24499999999989</v>
      </c>
      <c r="L32" s="157">
        <f>'LDPE-C2'!L61-'LDPE-C2'!L90</f>
        <v>228.58500000000004</v>
      </c>
      <c r="M32" s="156">
        <f>'LDPE-C2'!M61-'LDPE-C2'!M90</f>
        <v>200.16499999999996</v>
      </c>
      <c r="N32" s="156">
        <f>'LDPE-C2'!N61-'LDPE-C2'!N90</f>
        <v>171.74499999999989</v>
      </c>
      <c r="O32" s="156">
        <f>'LDPE-C2'!O61-'LDPE-C2'!O90</f>
        <v>143.32500000000005</v>
      </c>
      <c r="P32" s="156">
        <f>'LDPE-C2'!P61-'LDPE-C2'!P90</f>
        <v>114.90499999999997</v>
      </c>
      <c r="Q32" s="159">
        <f>'LDPE-C2'!Q61-'LDPE-C2'!Q90</f>
        <v>85.259999999999991</v>
      </c>
    </row>
    <row r="33" spans="2:17" ht="18" customHeight="1">
      <c r="B33" s="670" t="s">
        <v>321</v>
      </c>
      <c r="C33" s="671"/>
      <c r="D33" s="155">
        <f>'LDPE-C2'!D62-'LDPE-C2'!D91</f>
        <v>-587.02</v>
      </c>
      <c r="E33" s="156">
        <f>'LDPE-C2'!E62-'LDPE-C2'!E91</f>
        <v>-577.21999999999991</v>
      </c>
      <c r="F33" s="156">
        <f>'LDPE-C2'!F62-'LDPE-C2'!F91</f>
        <v>-678.16</v>
      </c>
      <c r="G33" s="156">
        <f>'LDPE-C2'!G62-'LDPE-C2'!G91</f>
        <v>-867.3</v>
      </c>
      <c r="H33" s="156">
        <f>'LDPE-C2'!H62-'LDPE-C2'!H91</f>
        <v>-985.87999999999988</v>
      </c>
      <c r="I33" s="156">
        <f>'LDPE-C2'!I62-'LDPE-C2'!I91</f>
        <v>-945.69999999999982</v>
      </c>
      <c r="J33" s="157">
        <f>'LDPE-C2'!J62-'LDPE-C2'!J91</f>
        <v>-957.46</v>
      </c>
      <c r="K33" s="158">
        <f>'LDPE-C2'!K62-'LDPE-C2'!K91</f>
        <v>-976.07999999999993</v>
      </c>
      <c r="L33" s="157">
        <f>'LDPE-C2'!L62-'LDPE-C2'!L91</f>
        <v>-994.69999999999982</v>
      </c>
      <c r="M33" s="156">
        <f>'LDPE-C2'!M62-'LDPE-C2'!M91</f>
        <v>-1029.98</v>
      </c>
      <c r="N33" s="156">
        <f>'LDPE-C2'!N62-'LDPE-C2'!N91</f>
        <v>-1074.08</v>
      </c>
      <c r="O33" s="156">
        <f>'LDPE-C2'!O62-'LDPE-C2'!O91</f>
        <v>-1120.1399999999999</v>
      </c>
      <c r="P33" s="156">
        <f>'LDPE-C2'!P62-'LDPE-C2'!P91</f>
        <v>-1168.1599999999999</v>
      </c>
      <c r="Q33" s="159">
        <f>'LDPE-C2'!Q62-'LDPE-C2'!Q91</f>
        <v>-1219.1199999999999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-534.09999999999991</v>
      </c>
      <c r="E34" s="166">
        <f t="shared" si="4"/>
        <v>-536.05999999999995</v>
      </c>
      <c r="F34" s="166">
        <f t="shared" si="4"/>
        <v>-685.02</v>
      </c>
      <c r="G34" s="166">
        <f t="shared" si="4"/>
        <v>-904.54</v>
      </c>
      <c r="H34" s="166">
        <f t="shared" si="4"/>
        <v>-1079.9599999999998</v>
      </c>
      <c r="I34" s="166">
        <f t="shared" si="4"/>
        <v>-1079.9599999999996</v>
      </c>
      <c r="J34" s="167">
        <f t="shared" si="4"/>
        <v>-916.3</v>
      </c>
      <c r="K34" s="168">
        <f t="shared" si="4"/>
        <v>-887.6350000000001</v>
      </c>
      <c r="L34" s="167">
        <f t="shared" ref="L34:Q34" si="5">L33+L32+L31</f>
        <v>-941.53499999999985</v>
      </c>
      <c r="M34" s="166">
        <f t="shared" si="5"/>
        <v>-1026.7950000000001</v>
      </c>
      <c r="N34" s="166">
        <f t="shared" si="5"/>
        <v>-1122.835</v>
      </c>
      <c r="O34" s="166">
        <f t="shared" si="5"/>
        <v>-1222.7949999999998</v>
      </c>
      <c r="P34" s="166">
        <f t="shared" si="5"/>
        <v>-1326.6749999999997</v>
      </c>
      <c r="Q34" s="169">
        <f t="shared" si="5"/>
        <v>-1435.6999999999998</v>
      </c>
    </row>
    <row r="35" spans="2:17" ht="24" customHeight="1" thickTop="1" thickBot="1">
      <c r="B35" s="702" t="s">
        <v>337</v>
      </c>
      <c r="C35" s="703"/>
      <c r="D35" s="170">
        <f>SUM(D19+D20+D22+D24+D26+D27+D30+D34)</f>
        <v>-385.42847090396685</v>
      </c>
      <c r="E35" s="171">
        <f t="shared" ref="E35:Q35" si="6">SUM(E19+E20+E22+E24+E26+E27+E30+E34)</f>
        <v>1438.2239127763569</v>
      </c>
      <c r="F35" s="171">
        <f t="shared" si="6"/>
        <v>808.85436898000103</v>
      </c>
      <c r="G35" s="171">
        <f t="shared" si="6"/>
        <v>1318.161588133843</v>
      </c>
      <c r="H35" s="171">
        <f t="shared" si="6"/>
        <v>2699.1134045549288</v>
      </c>
      <c r="I35" s="171">
        <f t="shared" si="6"/>
        <v>2725.509031586078</v>
      </c>
      <c r="J35" s="172">
        <f t="shared" si="6"/>
        <v>2180.2967529000016</v>
      </c>
      <c r="K35" s="173">
        <f t="shared" si="6"/>
        <v>800.07566813999904</v>
      </c>
      <c r="L35" s="172">
        <f t="shared" si="6"/>
        <v>2525.591577740001</v>
      </c>
      <c r="M35" s="171">
        <f t="shared" si="6"/>
        <v>3209.3982296961767</v>
      </c>
      <c r="N35" s="171">
        <f t="shared" si="6"/>
        <v>3333.747253284816</v>
      </c>
      <c r="O35" s="171">
        <f t="shared" si="6"/>
        <v>4752.8086159934746</v>
      </c>
      <c r="P35" s="171">
        <f t="shared" si="6"/>
        <v>4436.0784592318669</v>
      </c>
      <c r="Q35" s="174">
        <f t="shared" si="6"/>
        <v>4049.9905596739563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47" priority="5">
      <formula>CELL("protect",C39)=0</formula>
    </cfRule>
    <cfRule type="expression" dxfId="46" priority="6">
      <formula>CELL("protect",C39)=0</formula>
    </cfRule>
  </conditionalFormatting>
  <conditionalFormatting sqref="C37">
    <cfRule type="expression" dxfId="45" priority="3">
      <formula>CELL("protect",C37)=0</formula>
    </cfRule>
    <cfRule type="expression" dxfId="44" priority="4">
      <formula>CELL("protect",C37)=0</formula>
    </cfRule>
  </conditionalFormatting>
  <conditionalFormatting sqref="C39">
    <cfRule type="expression" dxfId="43" priority="1">
      <formula>CELL("protect",C39)=0</formula>
    </cfRule>
    <cfRule type="expression" dxfId="42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&amp;C197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21</v>
      </c>
      <c r="H2" s="397" t="s">
        <v>59</v>
      </c>
    </row>
    <row r="3" spans="2:19" ht="30.95" customHeight="1" thickBot="1">
      <c r="H3" s="624" t="s">
        <v>349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'HDPE-C3'!D36-'HDPE-C3'!D65</f>
        <v>1148.1600000000001</v>
      </c>
      <c r="E7" s="151">
        <f>'HDPE-C3'!E36-'HDPE-C3'!E65</f>
        <v>1082.6400000000003</v>
      </c>
      <c r="F7" s="151">
        <f>'HDPE-C3'!F36-'HDPE-C3'!F65</f>
        <v>1253.2</v>
      </c>
      <c r="G7" s="151">
        <f>'HDPE-C3'!G36-'HDPE-C3'!G65</f>
        <v>1407.12</v>
      </c>
      <c r="H7" s="151">
        <f>'HDPE-C3'!H36-'HDPE-C3'!H65</f>
        <v>1199.1200000000001</v>
      </c>
      <c r="I7" s="151">
        <f>'HDPE-C3'!I36-'HDPE-C3'!I65</f>
        <v>1212.6400000000001</v>
      </c>
      <c r="J7" s="152">
        <f>'HDPE-C3'!J36-'HDPE-C3'!J65</f>
        <v>1099.2799999999997</v>
      </c>
      <c r="K7" s="153">
        <f>'HDPE-C3'!K36-'HDPE-C3'!K65</f>
        <v>1095.1200000000001</v>
      </c>
      <c r="L7" s="152">
        <f>'HDPE-C3'!L36-'HDPE-C3'!L65</f>
        <v>1092</v>
      </c>
      <c r="M7" s="151">
        <f>'HDPE-C3'!M36-'HDPE-C3'!M65</f>
        <v>1383.2</v>
      </c>
      <c r="N7" s="151">
        <f>'HDPE-C3'!N36-'HDPE-C3'!N65</f>
        <v>1872</v>
      </c>
      <c r="O7" s="151">
        <f>'HDPE-C3'!O36-'HDPE-C3'!O65</f>
        <v>1851.2</v>
      </c>
      <c r="P7" s="151">
        <f>'HDPE-C3'!P36-'HDPE-C3'!P65</f>
        <v>2350.3999999999996</v>
      </c>
      <c r="Q7" s="154">
        <f>'HDPE-C3'!Q36-'HDPE-C3'!Q65</f>
        <v>2537.6</v>
      </c>
    </row>
    <row r="8" spans="2:19" ht="18" customHeight="1">
      <c r="B8" s="605" t="s">
        <v>434</v>
      </c>
      <c r="C8" s="606"/>
      <c r="D8" s="155">
        <f>'HDPE-C3'!D37-'HDPE-C3'!D66</f>
        <v>215.27999999999997</v>
      </c>
      <c r="E8" s="156">
        <f>'HDPE-C3'!E37-'HDPE-C3'!E66</f>
        <v>212.16000000000008</v>
      </c>
      <c r="F8" s="156">
        <f>'HDPE-C3'!F37-'HDPE-C3'!F66</f>
        <v>187.2</v>
      </c>
      <c r="G8" s="156">
        <f>'HDPE-C3'!G37-'HDPE-C3'!G66</f>
        <v>262.08</v>
      </c>
      <c r="H8" s="156">
        <f>'HDPE-C3'!H37-'HDPE-C3'!H66</f>
        <v>231.92000000000007</v>
      </c>
      <c r="I8" s="156">
        <f>'HDPE-C3'!I37-'HDPE-C3'!I66</f>
        <v>264.16000000000003</v>
      </c>
      <c r="J8" s="157">
        <f>'HDPE-C3'!J37-'HDPE-C3'!J66</f>
        <v>275.60000000000002</v>
      </c>
      <c r="K8" s="158">
        <f>'HDPE-C3'!K37-'HDPE-C3'!K66</f>
        <v>277.67999999999995</v>
      </c>
      <c r="L8" s="157">
        <f>'HDPE-C3'!L37-'HDPE-C3'!L66</f>
        <v>270.40000000000003</v>
      </c>
      <c r="M8" s="156">
        <f>'HDPE-C3'!M37-'HDPE-C3'!M66</f>
        <v>291.2</v>
      </c>
      <c r="N8" s="156">
        <f>'HDPE-C3'!N37-'HDPE-C3'!N66</f>
        <v>270.39999999999998</v>
      </c>
      <c r="O8" s="156">
        <f>'HDPE-C3'!O37-'HDPE-C3'!O66</f>
        <v>270.39999999999998</v>
      </c>
      <c r="P8" s="156">
        <f>'HDPE-C3'!P37-'HDPE-C3'!P66</f>
        <v>270.39999999999998</v>
      </c>
      <c r="Q8" s="159">
        <f>'HDPE-C3'!Q37-'HDPE-C3'!Q66</f>
        <v>270.39999999999998</v>
      </c>
    </row>
    <row r="9" spans="2:19" ht="18" customHeight="1">
      <c r="B9" s="605" t="s">
        <v>435</v>
      </c>
      <c r="C9" s="606"/>
      <c r="D9" s="155">
        <f>'HDPE-C3'!D38-'HDPE-C3'!D67</f>
        <v>354.64000000000004</v>
      </c>
      <c r="E9" s="156">
        <f>'HDPE-C3'!E38-'HDPE-C3'!E67</f>
        <v>334.41408000000001</v>
      </c>
      <c r="F9" s="156">
        <f>'HDPE-C3'!F38-'HDPE-C3'!F67</f>
        <v>300.87096970666664</v>
      </c>
      <c r="G9" s="156">
        <f>'HDPE-C3'!G38-'HDPE-C3'!G67</f>
        <v>358.97718655552001</v>
      </c>
      <c r="H9" s="156">
        <f>'HDPE-C3'!H38-'HDPE-C3'!H67</f>
        <v>333.62368000000009</v>
      </c>
      <c r="I9" s="156">
        <f>'HDPE-C3'!I38-'HDPE-C3'!I67</f>
        <v>371.9475122649427</v>
      </c>
      <c r="J9" s="157">
        <f>'HDPE-C3'!J38-'HDPE-C3'!J67</f>
        <v>351.52000000000004</v>
      </c>
      <c r="K9" s="158">
        <f>'HDPE-C3'!K38-'HDPE-C3'!K67</f>
        <v>321.36</v>
      </c>
      <c r="L9" s="157">
        <f>'HDPE-C3'!L38-'HDPE-C3'!L67</f>
        <v>330.72</v>
      </c>
      <c r="M9" s="156">
        <f>'HDPE-C3'!M38-'HDPE-C3'!M67</f>
        <v>348.40000000000003</v>
      </c>
      <c r="N9" s="156">
        <f>'HDPE-C3'!N38-'HDPE-C3'!N67</f>
        <v>347.36</v>
      </c>
      <c r="O9" s="156">
        <f>'HDPE-C3'!O38-'HDPE-C3'!O67</f>
        <v>327.60000000000002</v>
      </c>
      <c r="P9" s="156">
        <f>'HDPE-C3'!P38-'HDPE-C3'!P67</f>
        <v>345.28000000000003</v>
      </c>
      <c r="Q9" s="159">
        <f>'HDPE-C3'!Q38-'HDPE-C3'!Q67</f>
        <v>325.52</v>
      </c>
    </row>
    <row r="10" spans="2:19" ht="18" customHeight="1">
      <c r="B10" s="605" t="s">
        <v>436</v>
      </c>
      <c r="C10" s="606"/>
      <c r="D10" s="155">
        <f>'HDPE-C3'!D39-'HDPE-C3'!D68</f>
        <v>-3572.3999999999996</v>
      </c>
      <c r="E10" s="156">
        <f>'HDPE-C3'!E39-'HDPE-C3'!E68</f>
        <v>-3484</v>
      </c>
      <c r="F10" s="156">
        <f>'HDPE-C3'!F39-'HDPE-C3'!F68</f>
        <v>-4029.9999999999991</v>
      </c>
      <c r="G10" s="156">
        <f>'HDPE-C3'!G39-'HDPE-C3'!G68</f>
        <v>-4811.0400000000009</v>
      </c>
      <c r="H10" s="156">
        <f>'HDPE-C3'!H39-'HDPE-C3'!H68</f>
        <v>-4616.5599999999995</v>
      </c>
      <c r="I10" s="156">
        <f>'HDPE-C3'!I39-'HDPE-C3'!I68</f>
        <v>-5172.9599999999991</v>
      </c>
      <c r="J10" s="157">
        <f>'HDPE-C3'!J39-'HDPE-C3'!J68</f>
        <v>-5317.52</v>
      </c>
      <c r="K10" s="158">
        <f>'HDPE-C3'!K39-'HDPE-C3'!K68</f>
        <v>-6489.6</v>
      </c>
      <c r="L10" s="157">
        <f>'HDPE-C3'!L39-'HDPE-C3'!L68</f>
        <v>-6596.72</v>
      </c>
      <c r="M10" s="156">
        <f>'HDPE-C3'!M39-'HDPE-C3'!M68</f>
        <v>-6777.68</v>
      </c>
      <c r="N10" s="156">
        <f>'HDPE-C3'!N39-'HDPE-C3'!N68</f>
        <v>-6585.2800000000007</v>
      </c>
      <c r="O10" s="156">
        <f>'HDPE-C3'!O39-'HDPE-C3'!O68</f>
        <v>-6292.0000000000018</v>
      </c>
      <c r="P10" s="156">
        <f>'HDPE-C3'!P39-'HDPE-C3'!P68</f>
        <v>-6671.6</v>
      </c>
      <c r="Q10" s="159">
        <f>'HDPE-C3'!Q39-'HDPE-C3'!Q68</f>
        <v>-6845.2800000000007</v>
      </c>
    </row>
    <row r="11" spans="2:19" ht="18" customHeight="1">
      <c r="B11" s="605" t="s">
        <v>437</v>
      </c>
      <c r="C11" s="606"/>
      <c r="D11" s="155">
        <f>'HDPE-C3'!D40-'HDPE-C3'!D69</f>
        <v>662.48</v>
      </c>
      <c r="E11" s="156">
        <f>'HDPE-C3'!E40-'HDPE-C3'!E69</f>
        <v>940.16000000000008</v>
      </c>
      <c r="F11" s="156">
        <f>'HDPE-C3'!F40-'HDPE-C3'!F69</f>
        <v>965.12</v>
      </c>
      <c r="G11" s="156">
        <f>'HDPE-C3'!G40-'HDPE-C3'!G69</f>
        <v>1037.1587200000001</v>
      </c>
      <c r="H11" s="156">
        <f>'HDPE-C3'!H40-'HDPE-C3'!H69</f>
        <v>887.90624000000003</v>
      </c>
      <c r="I11" s="156">
        <f>'HDPE-C3'!I40-'HDPE-C3'!I69</f>
        <v>1113.5456799999997</v>
      </c>
      <c r="J11" s="157">
        <f>'HDPE-C3'!J40-'HDPE-C3'!J69</f>
        <v>1019.2000000000002</v>
      </c>
      <c r="K11" s="158">
        <f>'HDPE-C3'!K40-'HDPE-C3'!K69</f>
        <v>1051.2226400000002</v>
      </c>
      <c r="L11" s="157">
        <f>'HDPE-C3'!L40-'HDPE-C3'!L69</f>
        <v>1012.6536014400001</v>
      </c>
      <c r="M11" s="156">
        <f>'HDPE-C3'!M40-'HDPE-C3'!M69</f>
        <v>978.8003824555841</v>
      </c>
      <c r="N11" s="156">
        <f>'HDPE-C3'!N40-'HDPE-C3'!N69</f>
        <v>945.18892456819526</v>
      </c>
      <c r="O11" s="156">
        <f>'HDPE-C3'!O40-'HDPE-C3'!O69</f>
        <v>911.65949139036616</v>
      </c>
      <c r="P11" s="156">
        <f>'HDPE-C3'!P40-'HDPE-C3'!P69</f>
        <v>877.42877358902899</v>
      </c>
      <c r="Q11" s="159">
        <f>'HDPE-C3'!Q40-'HDPE-C3'!Q69</f>
        <v>841.39262992879844</v>
      </c>
    </row>
    <row r="12" spans="2:19" ht="18" customHeight="1">
      <c r="B12" s="605" t="s">
        <v>438</v>
      </c>
      <c r="C12" s="606"/>
      <c r="D12" s="155">
        <f>'HDPE-C3'!D41-'HDPE-C3'!D70</f>
        <v>-115.4508522212156</v>
      </c>
      <c r="E12" s="156">
        <f>'HDPE-C3'!E41-'HDPE-C3'!E70</f>
        <v>-159.34102266545869</v>
      </c>
      <c r="F12" s="156">
        <f>'HDPE-C3'!F41-'HDPE-C3'!F70</f>
        <v>-175.66816607071718</v>
      </c>
      <c r="G12" s="156">
        <f>'HDPE-C3'!G41-'HDPE-C3'!G70</f>
        <v>-238.16000000000003</v>
      </c>
      <c r="H12" s="156">
        <f>'HDPE-C3'!H41-'HDPE-C3'!H70</f>
        <v>-247.52000000000004</v>
      </c>
      <c r="I12" s="156">
        <f>'HDPE-C3'!I41-'HDPE-C3'!I70</f>
        <v>-258.96000000000004</v>
      </c>
      <c r="J12" s="157">
        <f>'HDPE-C3'!J41-'HDPE-C3'!J70</f>
        <v>-269.36</v>
      </c>
      <c r="K12" s="158">
        <f>'HDPE-C3'!K41-'HDPE-C3'!K70</f>
        <v>-343.2</v>
      </c>
      <c r="L12" s="157">
        <f>'HDPE-C3'!L41-'HDPE-C3'!L70</f>
        <v>-301.60000000000002</v>
      </c>
      <c r="M12" s="156">
        <f>'HDPE-C3'!M41-'HDPE-C3'!M70</f>
        <v>-322.40000000000003</v>
      </c>
      <c r="N12" s="156">
        <f>'HDPE-C3'!N41-'HDPE-C3'!N70</f>
        <v>-343.2</v>
      </c>
      <c r="O12" s="156">
        <f>'HDPE-C3'!O41-'HDPE-C3'!O70</f>
        <v>-364</v>
      </c>
      <c r="P12" s="156">
        <f>'HDPE-C3'!P41-'HDPE-C3'!P70</f>
        <v>-384.8</v>
      </c>
      <c r="Q12" s="159">
        <f>'HDPE-C3'!Q41-'HDPE-C3'!Q70</f>
        <v>-405.6</v>
      </c>
    </row>
    <row r="13" spans="2:19" ht="18" customHeight="1">
      <c r="B13" s="605" t="s">
        <v>439</v>
      </c>
      <c r="C13" s="606"/>
      <c r="D13" s="155">
        <f>'HDPE-C3'!D42-'HDPE-C3'!D71</f>
        <v>-19.759999999999991</v>
      </c>
      <c r="E13" s="156">
        <f>'HDPE-C3'!E42-'HDPE-C3'!E71</f>
        <v>-93.600000000000136</v>
      </c>
      <c r="F13" s="156">
        <f>'HDPE-C3'!F42-'HDPE-C3'!F71</f>
        <v>-289.12000000000012</v>
      </c>
      <c r="G13" s="156">
        <f>'HDPE-C3'!G42-'HDPE-C3'!G71</f>
        <v>-306.79999999999995</v>
      </c>
      <c r="H13" s="156">
        <f>'HDPE-C3'!H42-'HDPE-C3'!H71</f>
        <v>-238.15999999999985</v>
      </c>
      <c r="I13" s="156">
        <f>'HDPE-C3'!I42-'HDPE-C3'!I71</f>
        <v>-262.07999999999993</v>
      </c>
      <c r="J13" s="157">
        <f>'HDPE-C3'!J42-'HDPE-C3'!J71</f>
        <v>-717.60000000000014</v>
      </c>
      <c r="K13" s="158">
        <f>'HDPE-C3'!K42-'HDPE-C3'!K71</f>
        <v>-468</v>
      </c>
      <c r="L13" s="157">
        <f>'HDPE-C3'!L42-'HDPE-C3'!L71</f>
        <v>-416</v>
      </c>
      <c r="M13" s="156">
        <f>'HDPE-C3'!M42-'HDPE-C3'!M71</f>
        <v>-416</v>
      </c>
      <c r="N13" s="156">
        <f>'HDPE-C3'!N42-'HDPE-C3'!N71</f>
        <v>-312</v>
      </c>
      <c r="O13" s="156">
        <f>'HDPE-C3'!O42-'HDPE-C3'!O71</f>
        <v>-416</v>
      </c>
      <c r="P13" s="156">
        <f>'HDPE-C3'!P42-'HDPE-C3'!P71</f>
        <v>-312</v>
      </c>
      <c r="Q13" s="159">
        <f>'HDPE-C3'!Q42-'HDPE-C3'!Q71</f>
        <v>-312</v>
      </c>
    </row>
    <row r="14" spans="2:19" ht="18" hidden="1" customHeight="1">
      <c r="B14" s="16"/>
      <c r="C14" s="90" t="s">
        <v>306</v>
      </c>
      <c r="D14" s="155">
        <f>'HDPE-C3'!D43-'HDPE-C3'!D72</f>
        <v>0</v>
      </c>
      <c r="E14" s="156">
        <f>'HDPE-C3'!E43-'HDPE-C3'!E72</f>
        <v>0</v>
      </c>
      <c r="F14" s="156">
        <f>'HDPE-C3'!F43-'HDPE-C3'!F72</f>
        <v>0</v>
      </c>
      <c r="G14" s="156">
        <f>'HDPE-C3'!G43-'HDPE-C3'!G72</f>
        <v>0</v>
      </c>
      <c r="H14" s="156">
        <f>'HDPE-C3'!H43-'HDPE-C3'!H72</f>
        <v>0</v>
      </c>
      <c r="I14" s="156">
        <f>'HDPE-C3'!I43-'HDPE-C3'!I72</f>
        <v>0</v>
      </c>
      <c r="J14" s="157">
        <f>'HDPE-C3'!J43-'HDPE-C3'!J72</f>
        <v>0</v>
      </c>
      <c r="K14" s="158">
        <f>'HDPE-C3'!K43-'HDPE-C3'!K72</f>
        <v>0</v>
      </c>
      <c r="L14" s="157">
        <f>'HDPE-C3'!L43-'HDPE-C3'!L72</f>
        <v>0</v>
      </c>
      <c r="M14" s="156">
        <f>'HDPE-C3'!M43-'HDPE-C3'!M72</f>
        <v>0</v>
      </c>
      <c r="N14" s="156">
        <f>'HDPE-C3'!N43-'HDPE-C3'!N72</f>
        <v>0</v>
      </c>
      <c r="O14" s="156">
        <f>'HDPE-C3'!O43-'HDPE-C3'!O72</f>
        <v>0</v>
      </c>
      <c r="P14" s="156">
        <f>'HDPE-C3'!P43-'HDPE-C3'!P72</f>
        <v>0</v>
      </c>
      <c r="Q14" s="159">
        <f>'HDPE-C3'!Q43-'HDPE-C3'!Q72</f>
        <v>0</v>
      </c>
    </row>
    <row r="15" spans="2:19" ht="18" customHeight="1">
      <c r="B15" s="605" t="s">
        <v>440</v>
      </c>
      <c r="C15" s="606"/>
      <c r="D15" s="155">
        <f>'HDPE-C3'!D44-'HDPE-C3'!D73</f>
        <v>-64.47999999999999</v>
      </c>
      <c r="E15" s="156">
        <f>'HDPE-C3'!E44-'HDPE-C3'!E73</f>
        <v>-78</v>
      </c>
      <c r="F15" s="156">
        <f>'HDPE-C3'!F44-'HDPE-C3'!F73</f>
        <v>-84.240000000000009</v>
      </c>
      <c r="G15" s="156">
        <f>'HDPE-C3'!G44-'HDPE-C3'!G73</f>
        <v>-88.4</v>
      </c>
      <c r="H15" s="156">
        <f>'HDPE-C3'!H44-'HDPE-C3'!H73</f>
        <v>-113.36</v>
      </c>
      <c r="I15" s="156">
        <f>'HDPE-C3'!I44-'HDPE-C3'!I73</f>
        <v>-82.243200000000002</v>
      </c>
      <c r="J15" s="157">
        <f>'HDPE-C3'!J44-'HDPE-C3'!J73</f>
        <v>-54.600000000000009</v>
      </c>
      <c r="K15" s="158">
        <f>'HDPE-C3'!K44-'HDPE-C3'!K73</f>
        <v>-21.840000000000003</v>
      </c>
      <c r="L15" s="157">
        <f>'HDPE-C3'!L44-'HDPE-C3'!L73</f>
        <v>-9.3600000000000136</v>
      </c>
      <c r="M15" s="156">
        <f>'HDPE-C3'!M44-'HDPE-C3'!M73</f>
        <v>2.0800000000000125</v>
      </c>
      <c r="N15" s="156">
        <f>'HDPE-C3'!N44-'HDPE-C3'!N73</f>
        <v>13.52000000000001</v>
      </c>
      <c r="O15" s="156">
        <f>'HDPE-C3'!O44-'HDPE-C3'!O73</f>
        <v>23.919999999999987</v>
      </c>
      <c r="P15" s="156">
        <f>'HDPE-C3'!P44-'HDPE-C3'!P73</f>
        <v>33.28</v>
      </c>
      <c r="Q15" s="159">
        <f>'HDPE-C3'!Q44-'HDPE-C3'!Q73</f>
        <v>41.600000000000023</v>
      </c>
    </row>
    <row r="16" spans="2:19" ht="18" customHeight="1">
      <c r="B16" s="605" t="s">
        <v>441</v>
      </c>
      <c r="C16" s="606"/>
      <c r="D16" s="155">
        <f>'HDPE-C3'!D45-'HDPE-C3'!D74</f>
        <v>52</v>
      </c>
      <c r="E16" s="156">
        <f>'HDPE-C3'!E45-'HDPE-C3'!E74</f>
        <v>-50.959999999999923</v>
      </c>
      <c r="F16" s="156">
        <f>'HDPE-C3'!F45-'HDPE-C3'!F74</f>
        <v>-3.1200000000000045</v>
      </c>
      <c r="G16" s="156">
        <f>'HDPE-C3'!G45-'HDPE-C3'!G74</f>
        <v>-42.10647999999992</v>
      </c>
      <c r="H16" s="156">
        <f>'HDPE-C3'!H45-'HDPE-C3'!H74</f>
        <v>-190.54359999999991</v>
      </c>
      <c r="I16" s="156">
        <f>'HDPE-C3'!I45-'HDPE-C3'!I74</f>
        <v>-120.39455999999996</v>
      </c>
      <c r="J16" s="157">
        <f>'HDPE-C3'!J45-'HDPE-C3'!J74</f>
        <v>-144.37487999999985</v>
      </c>
      <c r="K16" s="158">
        <f>'HDPE-C3'!K45-'HDPE-C3'!K74</f>
        <v>-168.78367999999989</v>
      </c>
      <c r="L16" s="157">
        <f>'HDPE-C3'!L45-'HDPE-C3'!L74</f>
        <v>-199.29907295999988</v>
      </c>
      <c r="M16" s="156">
        <f>'HDPE-C3'!M45-'HDPE-C3'!M74</f>
        <v>-230.56891031615999</v>
      </c>
      <c r="N16" s="156">
        <f>'HDPE-C3'!N45-'HDPE-C3'!N74</f>
        <v>47.300741988664299</v>
      </c>
      <c r="O16" s="156">
        <f>'HDPE-C3'!O45-'HDPE-C3'!O74</f>
        <v>11.234065900915652</v>
      </c>
      <c r="P16" s="156">
        <f>'HDPE-C3'!P45-'HDPE-C3'!P74</f>
        <v>-26.57823730947996</v>
      </c>
      <c r="Q16" s="159">
        <f>'HDPE-C3'!Q45-'HDPE-C3'!Q74</f>
        <v>-66.220655995258767</v>
      </c>
    </row>
    <row r="17" spans="2:17" ht="18" customHeight="1">
      <c r="B17" s="605" t="s">
        <v>442</v>
      </c>
      <c r="C17" s="606"/>
      <c r="D17" s="155">
        <f>'HDPE-C3'!D46-'HDPE-C3'!D75</f>
        <v>-222.56</v>
      </c>
      <c r="E17" s="156">
        <f>'HDPE-C3'!E46-'HDPE-C3'!E75</f>
        <v>-238.16</v>
      </c>
      <c r="F17" s="156">
        <f>'HDPE-C3'!F46-'HDPE-C3'!F75</f>
        <v>-253.76000000000002</v>
      </c>
      <c r="G17" s="156">
        <f>'HDPE-C3'!G46-'HDPE-C3'!G75</f>
        <v>-271.44</v>
      </c>
      <c r="H17" s="156">
        <f>'HDPE-C3'!H46-'HDPE-C3'!H75</f>
        <v>-289.12</v>
      </c>
      <c r="I17" s="156">
        <f>'HDPE-C3'!I46-'HDPE-C3'!I75</f>
        <v>-308.88</v>
      </c>
      <c r="J17" s="157">
        <f>'HDPE-C3'!J46-'HDPE-C3'!J75</f>
        <v>-327.60000000000002</v>
      </c>
      <c r="K17" s="158">
        <f>'HDPE-C3'!K46-'HDPE-C3'!K75</f>
        <v>-1140.8800000000001</v>
      </c>
      <c r="L17" s="157">
        <f>'HDPE-C3'!L46-'HDPE-C3'!L75</f>
        <v>-1331.2</v>
      </c>
      <c r="M17" s="156">
        <f>'HDPE-C3'!M46-'HDPE-C3'!M75</f>
        <v>-1410.24</v>
      </c>
      <c r="N17" s="156">
        <f>'HDPE-C3'!N46-'HDPE-C3'!N75</f>
        <v>-1494.48</v>
      </c>
      <c r="O17" s="156">
        <f>'HDPE-C3'!O46-'HDPE-C3'!O75</f>
        <v>-1583.92</v>
      </c>
      <c r="P17" s="156">
        <f>'HDPE-C3'!P46-'HDPE-C3'!P75</f>
        <v>-1678.56</v>
      </c>
      <c r="Q17" s="159">
        <f>'HDPE-C3'!Q46-'HDPE-C3'!Q75</f>
        <v>-1310.4000000000001</v>
      </c>
    </row>
    <row r="18" spans="2:17" ht="18" customHeight="1">
      <c r="B18" s="607" t="s">
        <v>443</v>
      </c>
      <c r="C18" s="608"/>
      <c r="D18" s="155">
        <f>'HDPE-C3'!D47-'HDPE-C3'!D76</f>
        <v>197.39200000000005</v>
      </c>
      <c r="E18" s="156">
        <f>'HDPE-C3'!E47-'HDPE-C3'!E76</f>
        <v>85.175999999999931</v>
      </c>
      <c r="F18" s="156">
        <f>'HDPE-C3'!F47-'HDPE-C3'!F76</f>
        <v>71.240000000000009</v>
      </c>
      <c r="G18" s="156">
        <f>'HDPE-C3'!G47-'HDPE-C3'!G76</f>
        <v>35.984000000000037</v>
      </c>
      <c r="H18" s="156">
        <f>'HDPE-C3'!H47-'HDPE-C3'!H76</f>
        <v>-31.408000000000015</v>
      </c>
      <c r="I18" s="156">
        <f>'HDPE-C3'!I47-'HDPE-C3'!I76</f>
        <v>4.5760000000000218</v>
      </c>
      <c r="J18" s="157">
        <f>'HDPE-C3'!J47-'HDPE-C3'!J76</f>
        <v>-19.031999999999925</v>
      </c>
      <c r="K18" s="158">
        <f>'HDPE-C3'!K47-'HDPE-C3'!K76</f>
        <v>-62.816000000000031</v>
      </c>
      <c r="L18" s="157">
        <f>'HDPE-C3'!L47-'HDPE-C3'!L76</f>
        <v>-74.567999999999984</v>
      </c>
      <c r="M18" s="156">
        <f>'HDPE-C3'!M47-'HDPE-C3'!M76</f>
        <v>-82.576000000000022</v>
      </c>
      <c r="N18" s="156">
        <f>'HDPE-C3'!N47-'HDPE-C3'!N76</f>
        <v>-90.37600000000009</v>
      </c>
      <c r="O18" s="156">
        <f>'HDPE-C3'!O47-'HDPE-C3'!O76</f>
        <v>-91.41599999999994</v>
      </c>
      <c r="P18" s="156">
        <f>'HDPE-C3'!P47-'HDPE-C3'!P76</f>
        <v>-92.560000000000173</v>
      </c>
      <c r="Q18" s="159">
        <f>'HDPE-C3'!Q47-'HDPE-C3'!Q76</f>
        <v>-93.599999999999909</v>
      </c>
    </row>
    <row r="19" spans="2:17" ht="21" customHeight="1">
      <c r="B19" s="674" t="s">
        <v>307</v>
      </c>
      <c r="C19" s="675"/>
      <c r="D19" s="160">
        <f t="shared" ref="D19:K19" si="0">SUM(D7:D18)</f>
        <v>-1364.698852221215</v>
      </c>
      <c r="E19" s="161">
        <f t="shared" si="0"/>
        <v>-1449.5109426654583</v>
      </c>
      <c r="F19" s="161">
        <f t="shared" si="0"/>
        <v>-2058.2771963640498</v>
      </c>
      <c r="G19" s="161">
        <f t="shared" si="0"/>
        <v>-2656.6265734444814</v>
      </c>
      <c r="H19" s="161">
        <f t="shared" si="0"/>
        <v>-3074.1016799999989</v>
      </c>
      <c r="I19" s="161">
        <f t="shared" si="0"/>
        <v>-3238.6485677350565</v>
      </c>
      <c r="J19" s="162">
        <f t="shared" si="0"/>
        <v>-4104.4868800000004</v>
      </c>
      <c r="K19" s="163">
        <f t="shared" si="0"/>
        <v>-5949.73704</v>
      </c>
      <c r="L19" s="162">
        <f t="shared" ref="L19:Q19" si="1">SUM(L7:L18)</f>
        <v>-6222.9734715200002</v>
      </c>
      <c r="M19" s="161">
        <f t="shared" si="1"/>
        <v>-6235.7845278605764</v>
      </c>
      <c r="N19" s="161">
        <f t="shared" si="1"/>
        <v>-5329.566333443141</v>
      </c>
      <c r="O19" s="161">
        <f t="shared" si="1"/>
        <v>-5351.3224427087198</v>
      </c>
      <c r="P19" s="161">
        <f t="shared" si="1"/>
        <v>-5289.3094637204513</v>
      </c>
      <c r="Q19" s="164">
        <f t="shared" si="1"/>
        <v>-5016.5880260664617</v>
      </c>
    </row>
    <row r="20" spans="2:17" ht="21" customHeight="1">
      <c r="B20" s="672" t="s">
        <v>308</v>
      </c>
      <c r="C20" s="673"/>
      <c r="D20" s="160">
        <f>'HDPE-C3'!D49-'HDPE-C3'!D78</f>
        <v>-133.12</v>
      </c>
      <c r="E20" s="161">
        <f>'HDPE-C3'!E49-'HDPE-C3'!E78</f>
        <v>-139.35999999999999</v>
      </c>
      <c r="F20" s="161">
        <f>'HDPE-C3'!F49-'HDPE-C3'!F78</f>
        <v>-166.4</v>
      </c>
      <c r="G20" s="161">
        <f>'HDPE-C3'!G49-'HDPE-C3'!G78</f>
        <v>-197.6</v>
      </c>
      <c r="H20" s="161">
        <f>'HDPE-C3'!H49-'HDPE-C3'!H78</f>
        <v>-171.6</v>
      </c>
      <c r="I20" s="161">
        <f>'HDPE-C3'!I49-'HDPE-C3'!I78</f>
        <v>-148.72</v>
      </c>
      <c r="J20" s="162">
        <f>'HDPE-C3'!J49-'HDPE-C3'!J78</f>
        <v>-144.55999999999997</v>
      </c>
      <c r="K20" s="163">
        <f>'HDPE-C3'!K49-'HDPE-C3'!K78</f>
        <v>-187.20000000000002</v>
      </c>
      <c r="L20" s="162">
        <f>'HDPE-C3'!L49-'HDPE-C3'!L78</f>
        <v>-182</v>
      </c>
      <c r="M20" s="161">
        <f>'HDPE-C3'!M49-'HDPE-C3'!M78</f>
        <v>-182</v>
      </c>
      <c r="N20" s="161">
        <f>'HDPE-C3'!N49-'HDPE-C3'!N78</f>
        <v>-184.07999999999998</v>
      </c>
      <c r="O20" s="161">
        <f>'HDPE-C3'!O49-'HDPE-C3'!O78</f>
        <v>-184.07999999999998</v>
      </c>
      <c r="P20" s="161">
        <f>'HDPE-C3'!P49-'HDPE-C3'!P78</f>
        <v>-186.16000000000003</v>
      </c>
      <c r="Q20" s="164">
        <f>'HDPE-C3'!Q49-'HDPE-C3'!Q78</f>
        <v>-186.16000000000003</v>
      </c>
    </row>
    <row r="21" spans="2:17" ht="18" customHeight="1">
      <c r="B21" s="105"/>
      <c r="C21" s="97" t="s">
        <v>309</v>
      </c>
      <c r="D21" s="160">
        <f>'HDPE-C3'!D50-'HDPE-C3'!D79</f>
        <v>-69.680000000000007</v>
      </c>
      <c r="E21" s="161">
        <f>'HDPE-C3'!E50-'HDPE-C3'!E79</f>
        <v>-139.35999999999999</v>
      </c>
      <c r="F21" s="161">
        <f>'HDPE-C3'!F50-'HDPE-C3'!F79</f>
        <v>-166.4</v>
      </c>
      <c r="G21" s="161">
        <f>'HDPE-C3'!G50-'HDPE-C3'!G79</f>
        <v>-197.6</v>
      </c>
      <c r="H21" s="161">
        <f>'HDPE-C3'!H50-'HDPE-C3'!H79</f>
        <v>-171.6</v>
      </c>
      <c r="I21" s="161">
        <f>'HDPE-C3'!I50-'HDPE-C3'!I79</f>
        <v>-148.72</v>
      </c>
      <c r="J21" s="162">
        <f>'HDPE-C3'!J50-'HDPE-C3'!J79</f>
        <v>-144.55999999999997</v>
      </c>
      <c r="K21" s="163">
        <f>'HDPE-C3'!K50-'HDPE-C3'!K79</f>
        <v>-187.20000000000002</v>
      </c>
      <c r="L21" s="162">
        <f>'HDPE-C3'!L50-'HDPE-C3'!L79</f>
        <v>-182</v>
      </c>
      <c r="M21" s="161">
        <f>'HDPE-C3'!M50-'HDPE-C3'!M79</f>
        <v>-182</v>
      </c>
      <c r="N21" s="161">
        <f>'HDPE-C3'!N50-'HDPE-C3'!N79</f>
        <v>-184.07999999999998</v>
      </c>
      <c r="O21" s="161">
        <f>'HDPE-C3'!O50-'HDPE-C3'!O79</f>
        <v>-184.07999999999998</v>
      </c>
      <c r="P21" s="161">
        <f>'HDPE-C3'!P50-'HDPE-C3'!P79</f>
        <v>-186.16000000000003</v>
      </c>
      <c r="Q21" s="164">
        <f>'HDPE-C3'!Q50-'HDPE-C3'!Q79</f>
        <v>-186.16000000000003</v>
      </c>
    </row>
    <row r="22" spans="2:17" ht="21" customHeight="1">
      <c r="B22" s="672" t="s">
        <v>310</v>
      </c>
      <c r="C22" s="673"/>
      <c r="D22" s="155">
        <f>'HDPE-C3'!D51-'HDPE-C3'!D80</f>
        <v>-1546.4800000000005</v>
      </c>
      <c r="E22" s="156">
        <f>'HDPE-C3'!E51-'HDPE-C3'!E80</f>
        <v>-349.44000000000051</v>
      </c>
      <c r="F22" s="156">
        <f>'HDPE-C3'!F51-'HDPE-C3'!F80</f>
        <v>-159.11999999999989</v>
      </c>
      <c r="G22" s="156">
        <f>'HDPE-C3'!G51-'HDPE-C3'!G80</f>
        <v>-236.07999999999993</v>
      </c>
      <c r="H22" s="156">
        <f>'HDPE-C3'!H51-'HDPE-C3'!H80</f>
        <v>-54.079999999999927</v>
      </c>
      <c r="I22" s="156">
        <f>'HDPE-C3'!I51-'HDPE-C3'!I80</f>
        <v>-322.0047999999997</v>
      </c>
      <c r="J22" s="157">
        <f>'HDPE-C3'!J51-'HDPE-C3'!J80</f>
        <v>-761.19830072000059</v>
      </c>
      <c r="K22" s="158">
        <f>'HDPE-C3'!K51-'HDPE-C3'!K80</f>
        <v>-784.13579608000055</v>
      </c>
      <c r="L22" s="157">
        <f>'HDPE-C3'!L51-'HDPE-C3'!L80</f>
        <v>-996.64038552000056</v>
      </c>
      <c r="M22" s="156">
        <f>'HDPE-C3'!M51-'HDPE-C3'!M80</f>
        <v>-981.91860519999955</v>
      </c>
      <c r="N22" s="156">
        <f>'HDPE-C3'!N51-'HDPE-C3'!N80</f>
        <v>-970.0040053599987</v>
      </c>
      <c r="O22" s="156">
        <f>'HDPE-C3'!O51-'HDPE-C3'!O80</f>
        <v>-1081.2380550399994</v>
      </c>
      <c r="P22" s="156">
        <f>'HDPE-C3'!P51-'HDPE-C3'!P80</f>
        <v>-1214.592687360001</v>
      </c>
      <c r="Q22" s="159">
        <f>'HDPE-C3'!Q51-'HDPE-C3'!Q80</f>
        <v>-1144.4283437600006</v>
      </c>
    </row>
    <row r="23" spans="2:17" ht="21" customHeight="1">
      <c r="B23" s="105"/>
      <c r="C23" s="615" t="s">
        <v>311</v>
      </c>
      <c r="D23" s="160">
        <f>'HDPE-C3'!D52-'HDPE-C3'!D81</f>
        <v>-853.83999999999924</v>
      </c>
      <c r="E23" s="161">
        <f>'HDPE-C3'!E52-'HDPE-C3'!E81</f>
        <v>425.35999999999967</v>
      </c>
      <c r="F23" s="161">
        <f>'HDPE-C3'!F52-'HDPE-C3'!F81</f>
        <v>-131.03999999999996</v>
      </c>
      <c r="G23" s="161">
        <f>'HDPE-C3'!G52-'HDPE-C3'!G81</f>
        <v>-300.5600000000004</v>
      </c>
      <c r="H23" s="161">
        <f>'HDPE-C3'!H52-'HDPE-C3'!H81</f>
        <v>-61.359999999999673</v>
      </c>
      <c r="I23" s="161">
        <f>'HDPE-C3'!I52-'HDPE-C3'!I81</f>
        <v>-287.03999999999996</v>
      </c>
      <c r="J23" s="162">
        <f>'HDPE-C3'!J52-'HDPE-C3'!J81</f>
        <v>-541.51611280000088</v>
      </c>
      <c r="K23" s="163">
        <f>'HDPE-C3'!K52-'HDPE-C3'!K81</f>
        <v>-700.06165424000028</v>
      </c>
      <c r="L23" s="162">
        <f>'HDPE-C3'!L52-'HDPE-C3'!L81</f>
        <v>-877.75999999999931</v>
      </c>
      <c r="M23" s="161">
        <f>'HDPE-C3'!M52-'HDPE-C3'!M81</f>
        <v>-884</v>
      </c>
      <c r="N23" s="161">
        <f>'HDPE-C3'!N52-'HDPE-C3'!N81</f>
        <v>-904.80000000000018</v>
      </c>
      <c r="O23" s="161">
        <f>'HDPE-C3'!O52-'HDPE-C3'!O81</f>
        <v>-987.47124007999992</v>
      </c>
      <c r="P23" s="161">
        <f>'HDPE-C3'!P52-'HDPE-C3'!P81</f>
        <v>-1081.0712400800012</v>
      </c>
      <c r="Q23" s="164">
        <f>'HDPE-C3'!Q52-'HDPE-C3'!Q81</f>
        <v>-960.96</v>
      </c>
    </row>
    <row r="24" spans="2:17" ht="21" customHeight="1">
      <c r="B24" s="672" t="s">
        <v>312</v>
      </c>
      <c r="C24" s="673"/>
      <c r="D24" s="155">
        <f>'HDPE-C3'!D53-'HDPE-C3'!D82</f>
        <v>4300.3999999999996</v>
      </c>
      <c r="E24" s="156">
        <f>'HDPE-C3'!E53-'HDPE-C3'!E82</f>
        <v>4116.32</v>
      </c>
      <c r="F24" s="156">
        <f>'HDPE-C3'!F53-'HDPE-C3'!F82</f>
        <v>4688.3600000000006</v>
      </c>
      <c r="G24" s="156">
        <f>'HDPE-C3'!G53-'HDPE-C3'!G82</f>
        <v>5200.3999999999996</v>
      </c>
      <c r="H24" s="156">
        <f>'HDPE-C3'!H53-'HDPE-C3'!H82</f>
        <v>5924.880000000001</v>
      </c>
      <c r="I24" s="156">
        <f>'HDPE-C3'!I53-'HDPE-C3'!I82</f>
        <v>6003.920000000001</v>
      </c>
      <c r="J24" s="157">
        <f>'HDPE-C3'!J53-'HDPE-C3'!J82</f>
        <v>6334.6400000000012</v>
      </c>
      <c r="K24" s="158">
        <f>'HDPE-C3'!K53-'HDPE-C3'!K82</f>
        <v>6417.8399999999992</v>
      </c>
      <c r="L24" s="157">
        <f>'HDPE-C3'!L53-'HDPE-C3'!L82</f>
        <v>6399.1200000000008</v>
      </c>
      <c r="M24" s="156">
        <f>'HDPE-C3'!M53-'HDPE-C3'!M82</f>
        <v>6378.3200000000015</v>
      </c>
      <c r="N24" s="156">
        <f>'HDPE-C3'!N53-'HDPE-C3'!N82</f>
        <v>6405.3600000000006</v>
      </c>
      <c r="O24" s="156">
        <f>'HDPE-C3'!O53-'HDPE-C3'!O82</f>
        <v>6425.12</v>
      </c>
      <c r="P24" s="156">
        <f>'HDPE-C3'!P53-'HDPE-C3'!P82</f>
        <v>6491.68</v>
      </c>
      <c r="Q24" s="159">
        <f>'HDPE-C3'!Q53-'HDPE-C3'!Q82</f>
        <v>6472.9599999999991</v>
      </c>
    </row>
    <row r="25" spans="2:17" ht="21" customHeight="1">
      <c r="B25" s="16"/>
      <c r="C25" s="615" t="s">
        <v>313</v>
      </c>
      <c r="D25" s="160">
        <f>'HDPE-C3'!D54-'HDPE-C3'!D83</f>
        <v>-512.72</v>
      </c>
      <c r="E25" s="161">
        <f>'HDPE-C3'!E54-'HDPE-C3'!E83</f>
        <v>2837.2799999999997</v>
      </c>
      <c r="F25" s="161">
        <f>'HDPE-C3'!F54-'HDPE-C3'!F83</f>
        <v>3270.4</v>
      </c>
      <c r="G25" s="161">
        <f>'HDPE-C3'!G54-'HDPE-C3'!G83</f>
        <v>3610.2</v>
      </c>
      <c r="H25" s="161">
        <f>'HDPE-C3'!H54-'HDPE-C3'!H83</f>
        <v>4113.2000000000007</v>
      </c>
      <c r="I25" s="161">
        <f>'HDPE-C3'!I54-'HDPE-C3'!I83</f>
        <v>4191.2</v>
      </c>
      <c r="J25" s="162">
        <f>'HDPE-C3'!J54-'HDPE-C3'!J83</f>
        <v>4236.96</v>
      </c>
      <c r="K25" s="163">
        <f>'HDPE-C3'!K54-'HDPE-C3'!K83</f>
        <v>4243.2000000000007</v>
      </c>
      <c r="L25" s="162">
        <f>'HDPE-C3'!L54-'HDPE-C3'!L83</f>
        <v>4252.5600000000004</v>
      </c>
      <c r="M25" s="161">
        <f>'HDPE-C3'!M54-'HDPE-C3'!M83</f>
        <v>4295.2</v>
      </c>
      <c r="N25" s="161">
        <f>'HDPE-C3'!N54-'HDPE-C3'!N83</f>
        <v>4327.4399999999996</v>
      </c>
      <c r="O25" s="161">
        <f>'HDPE-C3'!O54-'HDPE-C3'!O83</f>
        <v>4336.8000000000011</v>
      </c>
      <c r="P25" s="161">
        <f>'HDPE-C3'!P54-'HDPE-C3'!P83</f>
        <v>4364.88</v>
      </c>
      <c r="Q25" s="164">
        <f>'HDPE-C3'!Q54-'HDPE-C3'!Q83</f>
        <v>4463.68</v>
      </c>
    </row>
    <row r="26" spans="2:17" ht="21" customHeight="1">
      <c r="B26" s="674" t="s">
        <v>314</v>
      </c>
      <c r="C26" s="675"/>
      <c r="D26" s="160">
        <f>'HDPE-C3'!D55-'HDPE-C3'!D84</f>
        <v>-604.24000000000012</v>
      </c>
      <c r="E26" s="161">
        <f>'HDPE-C3'!E55-'HDPE-C3'!E84</f>
        <v>-787.28</v>
      </c>
      <c r="F26" s="161">
        <f>'HDPE-C3'!F55-'HDPE-C3'!F84</f>
        <v>-834.96</v>
      </c>
      <c r="G26" s="161">
        <f>'HDPE-C3'!G55-'HDPE-C3'!G84</f>
        <v>-973.35160000000008</v>
      </c>
      <c r="H26" s="161">
        <f>'HDPE-C3'!H55-'HDPE-C3'!H84</f>
        <v>-1110.72</v>
      </c>
      <c r="I26" s="161">
        <f>'HDPE-C3'!I55-'HDPE-C3'!I84</f>
        <v>-1287.52</v>
      </c>
      <c r="J26" s="162">
        <f>'HDPE-C3'!J55-'HDPE-C3'!J84</f>
        <v>-1281.28</v>
      </c>
      <c r="K26" s="163">
        <f>'HDPE-C3'!K55-'HDPE-C3'!K84</f>
        <v>-1385.2800000000002</v>
      </c>
      <c r="L26" s="162">
        <f>'HDPE-C3'!L55-'HDPE-C3'!L84</f>
        <v>-1402.9600000000003</v>
      </c>
      <c r="M26" s="161">
        <f>'HDPE-C3'!M55-'HDPE-C3'!M84</f>
        <v>-1557.92</v>
      </c>
      <c r="N26" s="161">
        <f>'HDPE-C3'!N55-'HDPE-C3'!N84</f>
        <v>-1693.12</v>
      </c>
      <c r="O26" s="161">
        <f>'HDPE-C3'!O55-'HDPE-C3'!O84</f>
        <v>-1817.9200000000003</v>
      </c>
      <c r="P26" s="161">
        <f>'HDPE-C3'!P55-'HDPE-C3'!P84</f>
        <v>-1970.8000000000002</v>
      </c>
      <c r="Q26" s="164">
        <f>'HDPE-C3'!Q55-'HDPE-C3'!Q84</f>
        <v>-2134.08</v>
      </c>
    </row>
    <row r="27" spans="2:17" ht="21" customHeight="1">
      <c r="B27" s="674" t="s">
        <v>315</v>
      </c>
      <c r="C27" s="675"/>
      <c r="D27" s="160">
        <f>'HDPE-C3'!D56-'HDPE-C3'!D85</f>
        <v>-319.28000000000009</v>
      </c>
      <c r="E27" s="161">
        <f>'HDPE-C3'!E56-'HDPE-C3'!E85</f>
        <v>-523.12000000000012</v>
      </c>
      <c r="F27" s="161">
        <f>'HDPE-C3'!F56-'HDPE-C3'!F85</f>
        <v>-511.05600000000015</v>
      </c>
      <c r="G27" s="161">
        <f>'HDPE-C3'!G56-'HDPE-C3'!G85</f>
        <v>-315.11999999999989</v>
      </c>
      <c r="H27" s="161">
        <f>'HDPE-C3'!H56-'HDPE-C3'!H85</f>
        <v>-429.5200000000001</v>
      </c>
      <c r="I27" s="161">
        <f>'HDPE-C3'!I56-'HDPE-C3'!I85</f>
        <v>-318.24000000000012</v>
      </c>
      <c r="J27" s="162">
        <f>'HDPE-C3'!J56-'HDPE-C3'!J85</f>
        <v>-228.79999999999995</v>
      </c>
      <c r="K27" s="163">
        <f>'HDPE-C3'!K56-'HDPE-C3'!K85</f>
        <v>-76.960000000000036</v>
      </c>
      <c r="L27" s="162">
        <f>'HDPE-C3'!L56-'HDPE-C3'!L85</f>
        <v>256.39743999999996</v>
      </c>
      <c r="M27" s="161">
        <f>'HDPE-C3'!M56-'HDPE-C3'!M85</f>
        <v>832</v>
      </c>
      <c r="N27" s="161">
        <f>'HDPE-C3'!N56-'HDPE-C3'!N85</f>
        <v>728</v>
      </c>
      <c r="O27" s="161">
        <f>'HDPE-C3'!O56-'HDPE-C3'!O85</f>
        <v>1144</v>
      </c>
      <c r="P27" s="161">
        <f>'HDPE-C3'!P56-'HDPE-C3'!P85</f>
        <v>1508</v>
      </c>
      <c r="Q27" s="164">
        <f>'HDPE-C3'!Q56-'HDPE-C3'!Q85</f>
        <v>1664</v>
      </c>
    </row>
    <row r="28" spans="2:17" ht="18" customHeight="1">
      <c r="B28" s="672" t="s">
        <v>316</v>
      </c>
      <c r="C28" s="673"/>
      <c r="D28" s="155">
        <f>'HDPE-C3'!D57-'HDPE-C3'!D86</f>
        <v>703.04</v>
      </c>
      <c r="E28" s="156">
        <f>'HDPE-C3'!E57-'HDPE-C3'!E86</f>
        <v>762.04960000000119</v>
      </c>
      <c r="F28" s="156">
        <f>'HDPE-C3'!F57-'HDPE-C3'!F86</f>
        <v>374.39999999999964</v>
      </c>
      <c r="G28" s="156">
        <f>'HDPE-C3'!G57-'HDPE-C3'!G86</f>
        <v>586.5600000000004</v>
      </c>
      <c r="H28" s="156">
        <f>'HDPE-C3'!H57-'HDPE-C3'!H86</f>
        <v>581.35999999999967</v>
      </c>
      <c r="I28" s="156">
        <f>'HDPE-C3'!I57-'HDPE-C3'!I86</f>
        <v>944.31999999999971</v>
      </c>
      <c r="J28" s="157">
        <f>'HDPE-C3'!J57-'HDPE-C3'!J86</f>
        <v>1046.2399999999998</v>
      </c>
      <c r="K28" s="158">
        <f>'HDPE-C3'!K57-'HDPE-C3'!K86</f>
        <v>946.50400000000081</v>
      </c>
      <c r="L28" s="157">
        <f>'HDPE-C3'!L57-'HDPE-C3'!L86</f>
        <v>1350.96</v>
      </c>
      <c r="M28" s="156">
        <f>'HDPE-C3'!M57-'HDPE-C3'!M86</f>
        <v>1511.5360000000001</v>
      </c>
      <c r="N28" s="156">
        <f>'HDPE-C3'!N57-'HDPE-C3'!N86</f>
        <v>1950.6239999999998</v>
      </c>
      <c r="O28" s="156">
        <f>'HDPE-C3'!O57-'HDPE-C3'!O86</f>
        <v>2292.7839999999997</v>
      </c>
      <c r="P28" s="156">
        <f>'HDPE-C3'!P57-'HDPE-C3'!P86</f>
        <v>2951.9359999999997</v>
      </c>
      <c r="Q28" s="159">
        <f>'HDPE-C3'!Q57-'HDPE-C3'!Q86</f>
        <v>3131.5439999999999</v>
      </c>
    </row>
    <row r="29" spans="2:17" ht="18" customHeight="1">
      <c r="B29" s="670" t="s">
        <v>317</v>
      </c>
      <c r="C29" s="671"/>
      <c r="D29" s="155">
        <f>'HDPE-C3'!D58-'HDPE-C3'!D87</f>
        <v>786.24</v>
      </c>
      <c r="E29" s="156">
        <f>'HDPE-C3'!E58-'HDPE-C3'!E87</f>
        <v>777.92000000000007</v>
      </c>
      <c r="F29" s="156">
        <f>'HDPE-C3'!F58-'HDPE-C3'!F87</f>
        <v>822.64</v>
      </c>
      <c r="G29" s="156">
        <f>'HDPE-C3'!G58-'HDPE-C3'!G87</f>
        <v>994.24</v>
      </c>
      <c r="H29" s="156">
        <f>'HDPE-C3'!H58-'HDPE-C3'!H87</f>
        <v>957.83999999999992</v>
      </c>
      <c r="I29" s="156">
        <f>'HDPE-C3'!I58-'HDPE-C3'!I87</f>
        <v>990.08</v>
      </c>
      <c r="J29" s="157">
        <f>'HDPE-C3'!J58-'HDPE-C3'!J87</f>
        <v>984.88000000000011</v>
      </c>
      <c r="K29" s="158">
        <f>'HDPE-C3'!K58-'HDPE-C3'!K87</f>
        <v>879.84000000000015</v>
      </c>
      <c r="L29" s="157">
        <f>'HDPE-C3'!L58-'HDPE-C3'!L87</f>
        <v>870.48</v>
      </c>
      <c r="M29" s="156">
        <f>'HDPE-C3'!M58-'HDPE-C3'!M87</f>
        <v>860.08</v>
      </c>
      <c r="N29" s="156">
        <f>'HDPE-C3'!N58-'HDPE-C3'!N87</f>
        <v>850.72</v>
      </c>
      <c r="O29" s="156">
        <f>'HDPE-C3'!O58-'HDPE-C3'!O87</f>
        <v>841.36</v>
      </c>
      <c r="P29" s="156">
        <f>'HDPE-C3'!P58-'HDPE-C3'!P87</f>
        <v>833.04000000000008</v>
      </c>
      <c r="Q29" s="159">
        <f>'HDPE-C3'!Q58-'HDPE-C3'!Q87</f>
        <v>824.72</v>
      </c>
    </row>
    <row r="30" spans="2:17" ht="21" customHeight="1">
      <c r="B30" s="674" t="s">
        <v>318</v>
      </c>
      <c r="C30" s="675"/>
      <c r="D30" s="160">
        <f t="shared" ref="D30:K30" si="2">D29+D28</f>
        <v>1489.28</v>
      </c>
      <c r="E30" s="161">
        <f t="shared" si="2"/>
        <v>1539.9696000000013</v>
      </c>
      <c r="F30" s="161">
        <f t="shared" si="2"/>
        <v>1197.0399999999995</v>
      </c>
      <c r="G30" s="161">
        <f t="shared" si="2"/>
        <v>1580.8000000000004</v>
      </c>
      <c r="H30" s="161">
        <f t="shared" si="2"/>
        <v>1539.1999999999996</v>
      </c>
      <c r="I30" s="161">
        <f t="shared" si="2"/>
        <v>1934.3999999999996</v>
      </c>
      <c r="J30" s="162">
        <f t="shared" si="2"/>
        <v>2031.12</v>
      </c>
      <c r="K30" s="163">
        <f t="shared" si="2"/>
        <v>1826.344000000001</v>
      </c>
      <c r="L30" s="162">
        <f t="shared" ref="L30:Q30" si="3">L29+L28</f>
        <v>2221.44</v>
      </c>
      <c r="M30" s="161">
        <f t="shared" si="3"/>
        <v>2371.616</v>
      </c>
      <c r="N30" s="161">
        <f t="shared" si="3"/>
        <v>2801.3440000000001</v>
      </c>
      <c r="O30" s="161">
        <f t="shared" si="3"/>
        <v>3134.1439999999998</v>
      </c>
      <c r="P30" s="161">
        <f t="shared" si="3"/>
        <v>3784.9759999999997</v>
      </c>
      <c r="Q30" s="164">
        <f t="shared" si="3"/>
        <v>3956.2640000000001</v>
      </c>
    </row>
    <row r="31" spans="2:17" ht="18" customHeight="1">
      <c r="B31" s="672" t="s">
        <v>319</v>
      </c>
      <c r="C31" s="673"/>
      <c r="D31" s="155">
        <f>'HDPE-C3'!D60-'HDPE-C3'!D89</f>
        <v>-610.48</v>
      </c>
      <c r="E31" s="156">
        <f>'HDPE-C3'!E60-'HDPE-C3'!E89</f>
        <v>-627.12</v>
      </c>
      <c r="F31" s="156">
        <f>'HDPE-C3'!F60-'HDPE-C3'!F89</f>
        <v>-643.76</v>
      </c>
      <c r="G31" s="156">
        <f>'HDPE-C3'!G60-'HDPE-C3'!G89</f>
        <v>-661.44</v>
      </c>
      <c r="H31" s="156">
        <f>'HDPE-C3'!H60-'HDPE-C3'!H89</f>
        <v>-681.2</v>
      </c>
      <c r="I31" s="156">
        <f>'HDPE-C3'!I60-'HDPE-C3'!I89</f>
        <v>-764.40000000000009</v>
      </c>
      <c r="J31" s="157">
        <f>'HDPE-C3'!J60-'HDPE-C3'!J89</f>
        <v>-503.35999999999996</v>
      </c>
      <c r="K31" s="158">
        <f>'HDPE-C3'!K60-'HDPE-C3'!K89</f>
        <v>-126.88</v>
      </c>
      <c r="L31" s="157">
        <f>'HDPE-C3'!L60-'HDPE-C3'!L89</f>
        <v>-147.68000000000006</v>
      </c>
      <c r="M31" s="156">
        <f>'HDPE-C3'!M60-'HDPE-C3'!M89</f>
        <v>-171.60000000000002</v>
      </c>
      <c r="N31" s="156">
        <f>'HDPE-C3'!N60-'HDPE-C3'!N89</f>
        <v>-198.64</v>
      </c>
      <c r="O31" s="156">
        <f>'HDPE-C3'!O60-'HDPE-C3'!O89</f>
        <v>-227.7600000000001</v>
      </c>
      <c r="P31" s="156">
        <f>'HDPE-C3'!P60-'HDPE-C3'!P89</f>
        <v>-258.95999999999992</v>
      </c>
      <c r="Q31" s="159">
        <f>'HDPE-C3'!Q60-'HDPE-C3'!Q89</f>
        <v>-291.19999999999993</v>
      </c>
    </row>
    <row r="32" spans="2:17" ht="18" customHeight="1">
      <c r="B32" s="668" t="s">
        <v>320</v>
      </c>
      <c r="C32" s="669"/>
      <c r="D32" s="155">
        <f>'HDPE-C3'!D61-'HDPE-C3'!D90</f>
        <v>-8.3199999999999363</v>
      </c>
      <c r="E32" s="156">
        <f>'HDPE-C3'!E61-'HDPE-C3'!E90</f>
        <v>78</v>
      </c>
      <c r="F32" s="156">
        <f>'HDPE-C3'!F61-'HDPE-C3'!F90</f>
        <v>65.519999999999982</v>
      </c>
      <c r="G32" s="156">
        <f>'HDPE-C3'!G61-'HDPE-C3'!G90</f>
        <v>28.080000000000155</v>
      </c>
      <c r="H32" s="156">
        <f>'HDPE-C3'!H61-'HDPE-C3'!H90</f>
        <v>-7.2800000000002001</v>
      </c>
      <c r="I32" s="156">
        <f>'HDPE-C3'!I61-'HDPE-C3'!I90</f>
        <v>112.31999999999994</v>
      </c>
      <c r="J32" s="157">
        <f>'HDPE-C3'!J61-'HDPE-C3'!J90</f>
        <v>136.2399999999999</v>
      </c>
      <c r="K32" s="158">
        <f>'HDPE-C3'!K61-'HDPE-C3'!K90</f>
        <v>148.20000000000005</v>
      </c>
      <c r="L32" s="157">
        <f>'HDPE-C3'!L61-'HDPE-C3'!L90</f>
        <v>133.6400000000001</v>
      </c>
      <c r="M32" s="156">
        <f>'HDPE-C3'!M61-'HDPE-C3'!M90</f>
        <v>108.68000000000006</v>
      </c>
      <c r="N32" s="156">
        <f>'HDPE-C3'!N61-'HDPE-C3'!N90</f>
        <v>84.759999999999991</v>
      </c>
      <c r="O32" s="156">
        <f>'HDPE-C3'!O61-'HDPE-C3'!O90</f>
        <v>60.839999999999918</v>
      </c>
      <c r="P32" s="156">
        <f>'HDPE-C3'!P61-'HDPE-C3'!P90</f>
        <v>35.879999999999882</v>
      </c>
      <c r="Q32" s="159">
        <f>'HDPE-C3'!Q61-'HDPE-C3'!Q90</f>
        <v>11.440000000000055</v>
      </c>
    </row>
    <row r="33" spans="2:17" ht="18" customHeight="1">
      <c r="B33" s="670" t="s">
        <v>321</v>
      </c>
      <c r="C33" s="671"/>
      <c r="D33" s="155">
        <f>'HDPE-C3'!D62-'HDPE-C3'!D91</f>
        <v>-541.84</v>
      </c>
      <c r="E33" s="156">
        <f>'HDPE-C3'!E62-'HDPE-C3'!E91</f>
        <v>-587.6</v>
      </c>
      <c r="F33" s="156">
        <f>'HDPE-C3'!F62-'HDPE-C3'!F91</f>
        <v>-661.44</v>
      </c>
      <c r="G33" s="156">
        <f>'HDPE-C3'!G62-'HDPE-C3'!G91</f>
        <v>-754</v>
      </c>
      <c r="H33" s="156">
        <f>'HDPE-C3'!H62-'HDPE-C3'!H91</f>
        <v>-785.2</v>
      </c>
      <c r="I33" s="156">
        <f>'HDPE-C3'!I62-'HDPE-C3'!I91</f>
        <v>-782.07999999999993</v>
      </c>
      <c r="J33" s="157">
        <f>'HDPE-C3'!J62-'HDPE-C3'!J91</f>
        <v>-791.44</v>
      </c>
      <c r="K33" s="158">
        <f>'HDPE-C3'!K62-'HDPE-C3'!K91</f>
        <v>-806</v>
      </c>
      <c r="L33" s="157">
        <f>'HDPE-C3'!L62-'HDPE-C3'!L91</f>
        <v>-821.59999999999991</v>
      </c>
      <c r="M33" s="156">
        <f>'HDPE-C3'!M62-'HDPE-C3'!M91</f>
        <v>-836.16000000000008</v>
      </c>
      <c r="N33" s="156">
        <f>'HDPE-C3'!N62-'HDPE-C3'!N91</f>
        <v>-869.44</v>
      </c>
      <c r="O33" s="156">
        <f>'HDPE-C3'!O62-'HDPE-C3'!O91</f>
        <v>-903.76</v>
      </c>
      <c r="P33" s="156">
        <f>'HDPE-C3'!P62-'HDPE-C3'!P91</f>
        <v>-940.16000000000008</v>
      </c>
      <c r="Q33" s="159">
        <f>'HDPE-C3'!Q62-'HDPE-C3'!Q91</f>
        <v>-977.59999999999991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-1160.6399999999999</v>
      </c>
      <c r="E34" s="166">
        <f t="shared" si="4"/>
        <v>-1136.72</v>
      </c>
      <c r="F34" s="166">
        <f t="shared" si="4"/>
        <v>-1239.68</v>
      </c>
      <c r="G34" s="166">
        <f t="shared" si="4"/>
        <v>-1387.36</v>
      </c>
      <c r="H34" s="166">
        <f t="shared" si="4"/>
        <v>-1473.6800000000003</v>
      </c>
      <c r="I34" s="166">
        <f t="shared" si="4"/>
        <v>-1434.16</v>
      </c>
      <c r="J34" s="167">
        <f t="shared" si="4"/>
        <v>-1158.5600000000002</v>
      </c>
      <c r="K34" s="168">
        <f t="shared" si="4"/>
        <v>-784.68</v>
      </c>
      <c r="L34" s="167">
        <f t="shared" ref="L34:Q34" si="5">L33+L32+L31</f>
        <v>-835.63999999999987</v>
      </c>
      <c r="M34" s="166">
        <f t="shared" si="5"/>
        <v>-899.08</v>
      </c>
      <c r="N34" s="166">
        <f t="shared" si="5"/>
        <v>-983.32</v>
      </c>
      <c r="O34" s="166">
        <f t="shared" si="5"/>
        <v>-1070.6800000000003</v>
      </c>
      <c r="P34" s="166">
        <f t="shared" si="5"/>
        <v>-1163.2400000000002</v>
      </c>
      <c r="Q34" s="169">
        <f t="shared" si="5"/>
        <v>-1257.3599999999997</v>
      </c>
    </row>
    <row r="35" spans="2:17" ht="24" customHeight="1" thickTop="1" thickBot="1">
      <c r="B35" s="702" t="s">
        <v>337</v>
      </c>
      <c r="C35" s="703"/>
      <c r="D35" s="170">
        <f>SUM(D19+D20+D22+D24+D26+D27+D30+D34)</f>
        <v>661.22114777878414</v>
      </c>
      <c r="E35" s="171">
        <f t="shared" ref="E35:Q35" si="6">SUM(E19+E20+E22+E24+E26+E27+E30+E34)</f>
        <v>1270.8586573345422</v>
      </c>
      <c r="F35" s="171">
        <f t="shared" si="6"/>
        <v>915.90680363595015</v>
      </c>
      <c r="G35" s="171">
        <f t="shared" si="6"/>
        <v>1015.0618265555192</v>
      </c>
      <c r="H35" s="171">
        <f t="shared" si="6"/>
        <v>1150.3783200000016</v>
      </c>
      <c r="I35" s="171">
        <f t="shared" si="6"/>
        <v>1189.0266322649443</v>
      </c>
      <c r="J35" s="172">
        <f t="shared" si="6"/>
        <v>686.87481927999966</v>
      </c>
      <c r="K35" s="173">
        <f t="shared" si="6"/>
        <v>-923.80883608000033</v>
      </c>
      <c r="L35" s="172">
        <f t="shared" si="6"/>
        <v>-763.25641704000009</v>
      </c>
      <c r="M35" s="171">
        <f t="shared" si="6"/>
        <v>-274.76713306057457</v>
      </c>
      <c r="N35" s="171">
        <f t="shared" si="6"/>
        <v>774.61366119686102</v>
      </c>
      <c r="O35" s="171">
        <f t="shared" si="6"/>
        <v>1198.0235022512798</v>
      </c>
      <c r="P35" s="171">
        <f t="shared" si="6"/>
        <v>1960.5538489195474</v>
      </c>
      <c r="Q35" s="174">
        <f t="shared" si="6"/>
        <v>2354.6076301735375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41" priority="5">
      <formula>CELL("protect",C39)=0</formula>
    </cfRule>
    <cfRule type="expression" dxfId="40" priority="6">
      <formula>CELL("protect",C39)=0</formula>
    </cfRule>
  </conditionalFormatting>
  <conditionalFormatting sqref="C37">
    <cfRule type="expression" dxfId="39" priority="3">
      <formula>CELL("protect",C37)=0</formula>
    </cfRule>
    <cfRule type="expression" dxfId="38" priority="4">
      <formula>CELL("protect",C37)=0</formula>
    </cfRule>
  </conditionalFormatting>
  <conditionalFormatting sqref="C39">
    <cfRule type="expression" dxfId="37" priority="1">
      <formula>CELL("protect",C39)=0</formula>
    </cfRule>
    <cfRule type="expression" dxfId="36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&amp;C198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22</v>
      </c>
      <c r="H2" s="397" t="s">
        <v>59</v>
      </c>
    </row>
    <row r="3" spans="2:19" ht="30.95" customHeight="1" thickBot="1">
      <c r="H3" s="624" t="s">
        <v>349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'SM-C4'!D36-'SM-C4'!D65</f>
        <v>145.87</v>
      </c>
      <c r="E7" s="151">
        <f>'SM-C4'!E36-'SM-C4'!E65</f>
        <v>131.94999999999993</v>
      </c>
      <c r="F7" s="151">
        <f>'SM-C4'!F36-'SM-C4'!F65</f>
        <v>132.81999999999994</v>
      </c>
      <c r="G7" s="151">
        <f>'SM-C4'!G36-'SM-C4'!G65</f>
        <v>92.220000000000027</v>
      </c>
      <c r="H7" s="151">
        <f>'SM-C4'!H36-'SM-C4'!H65</f>
        <v>182.12</v>
      </c>
      <c r="I7" s="151">
        <f>'SM-C4'!I36-'SM-C4'!I65</f>
        <v>108.16999999999996</v>
      </c>
      <c r="J7" s="152">
        <f>'SM-C4'!J36-'SM-C4'!J65</f>
        <v>141.2299999999999</v>
      </c>
      <c r="K7" s="153">
        <f>'SM-C4'!K36-'SM-C4'!K65</f>
        <v>135.72000000000003</v>
      </c>
      <c r="L7" s="152">
        <f>'SM-C4'!L36-'SM-C4'!L65</f>
        <v>115.99999999999989</v>
      </c>
      <c r="M7" s="151">
        <f>'SM-C4'!M36-'SM-C4'!M65</f>
        <v>115.99999999999989</v>
      </c>
      <c r="N7" s="151">
        <f>'SM-C4'!N36-'SM-C4'!N65</f>
        <v>130.49999999999989</v>
      </c>
      <c r="O7" s="151">
        <f>'SM-C4'!O36-'SM-C4'!O65</f>
        <v>115.99999999999989</v>
      </c>
      <c r="P7" s="151">
        <f>'SM-C4'!P36-'SM-C4'!P65</f>
        <v>121.79999999999995</v>
      </c>
      <c r="Q7" s="154">
        <f>'SM-C4'!Q36-'SM-C4'!Q65</f>
        <v>121.79999999999995</v>
      </c>
    </row>
    <row r="8" spans="2:19" ht="18" customHeight="1">
      <c r="B8" s="605" t="s">
        <v>434</v>
      </c>
      <c r="C8" s="606"/>
      <c r="D8" s="155">
        <f>'SM-C4'!D37-'SM-C4'!D66</f>
        <v>-21.170000000000073</v>
      </c>
      <c r="E8" s="156">
        <f>'SM-C4'!E37-'SM-C4'!E66</f>
        <v>-28.420000000000016</v>
      </c>
      <c r="F8" s="156">
        <f>'SM-C4'!F37-'SM-C4'!F66</f>
        <v>-9.2800000000000864</v>
      </c>
      <c r="G8" s="156">
        <f>'SM-C4'!G37-'SM-C4'!G66</f>
        <v>34.800000000000068</v>
      </c>
      <c r="H8" s="156">
        <f>'SM-C4'!H37-'SM-C4'!H66</f>
        <v>52.199999999999932</v>
      </c>
      <c r="I8" s="156">
        <f>'SM-C4'!I37-'SM-C4'!I66</f>
        <v>45.240000000000009</v>
      </c>
      <c r="J8" s="157">
        <f>'SM-C4'!J37-'SM-C4'!J66</f>
        <v>67.57000000000005</v>
      </c>
      <c r="K8" s="158">
        <f>'SM-C4'!K37-'SM-C4'!K66</f>
        <v>-26.100000000000023</v>
      </c>
      <c r="L8" s="157">
        <f>'SM-C4'!L37-'SM-C4'!L66</f>
        <v>14.5</v>
      </c>
      <c r="M8" s="156">
        <f>'SM-C4'!M37-'SM-C4'!M66</f>
        <v>14.5</v>
      </c>
      <c r="N8" s="156">
        <f>'SM-C4'!N37-'SM-C4'!N66</f>
        <v>14.5</v>
      </c>
      <c r="O8" s="156">
        <f>'SM-C4'!O37-'SM-C4'!O66</f>
        <v>14.5</v>
      </c>
      <c r="P8" s="156">
        <f>'SM-C4'!P37-'SM-C4'!P66</f>
        <v>14.5</v>
      </c>
      <c r="Q8" s="159">
        <f>'SM-C4'!Q37-'SM-C4'!Q66</f>
        <v>14.5</v>
      </c>
    </row>
    <row r="9" spans="2:19" ht="18" customHeight="1">
      <c r="B9" s="605" t="s">
        <v>435</v>
      </c>
      <c r="C9" s="606"/>
      <c r="D9" s="155">
        <f>'SM-C4'!D38-'SM-C4'!D67</f>
        <v>181.82999999999996</v>
      </c>
      <c r="E9" s="156">
        <f>'SM-C4'!E38-'SM-C4'!E67</f>
        <v>167.32999999999998</v>
      </c>
      <c r="F9" s="156">
        <f>'SM-C4'!F38-'SM-C4'!F67</f>
        <v>203.57999999999998</v>
      </c>
      <c r="G9" s="156">
        <f>'SM-C4'!G38-'SM-C4'!G67</f>
        <v>204.56599999999997</v>
      </c>
      <c r="H9" s="156">
        <f>'SM-C4'!H38-'SM-C4'!H67</f>
        <v>158.86866999999998</v>
      </c>
      <c r="I9" s="156">
        <f>'SM-C4'!I38-'SM-C4'!I67</f>
        <v>205.92784</v>
      </c>
      <c r="J9" s="157">
        <f>'SM-C4'!J38-'SM-C4'!J67</f>
        <v>141.51999999999998</v>
      </c>
      <c r="K9" s="158">
        <f>'SM-C4'!K38-'SM-C4'!K67</f>
        <v>196.04</v>
      </c>
      <c r="L9" s="157">
        <f>'SM-C4'!L38-'SM-C4'!L67</f>
        <v>181.82999999999996</v>
      </c>
      <c r="M9" s="156">
        <f>'SM-C4'!M38-'SM-C4'!M67</f>
        <v>166.74999999999997</v>
      </c>
      <c r="N9" s="156">
        <f>'SM-C4'!N38-'SM-C4'!N67</f>
        <v>181.82999999999996</v>
      </c>
      <c r="O9" s="156">
        <f>'SM-C4'!O38-'SM-C4'!O67</f>
        <v>171.96999999999997</v>
      </c>
      <c r="P9" s="156">
        <f>'SM-C4'!P38-'SM-C4'!P67</f>
        <v>181.82999999999996</v>
      </c>
      <c r="Q9" s="159">
        <f>'SM-C4'!Q38-'SM-C4'!Q67</f>
        <v>181.82999999999996</v>
      </c>
    </row>
    <row r="10" spans="2:19" ht="18" customHeight="1">
      <c r="B10" s="605" t="s">
        <v>436</v>
      </c>
      <c r="C10" s="606"/>
      <c r="D10" s="155">
        <f>'SM-C4'!D39-'SM-C4'!D68</f>
        <v>-920.45999999999981</v>
      </c>
      <c r="E10" s="156">
        <f>'SM-C4'!E39-'SM-C4'!E68</f>
        <v>-988.31999999999994</v>
      </c>
      <c r="F10" s="156">
        <f>'SM-C4'!F39-'SM-C4'!F68</f>
        <v>-980.49</v>
      </c>
      <c r="G10" s="156">
        <f>'SM-C4'!G39-'SM-C4'!G68</f>
        <v>-1040.2299999999998</v>
      </c>
      <c r="H10" s="156">
        <f>'SM-C4'!H39-'SM-C4'!H68</f>
        <v>-1093.8800000000001</v>
      </c>
      <c r="I10" s="156">
        <f>'SM-C4'!I39-'SM-C4'!I68</f>
        <v>-1057.6299999999999</v>
      </c>
      <c r="J10" s="157">
        <f>'SM-C4'!J39-'SM-C4'!J68</f>
        <v>-1012.97</v>
      </c>
      <c r="K10" s="158">
        <f>'SM-C4'!K39-'SM-C4'!K68</f>
        <v>-924.23</v>
      </c>
      <c r="L10" s="157">
        <f>'SM-C4'!L39-'SM-C4'!L68</f>
        <v>-770.5300000000002</v>
      </c>
      <c r="M10" s="156">
        <f>'SM-C4'!M39-'SM-C4'!M68</f>
        <v>-711.36999999999989</v>
      </c>
      <c r="N10" s="156">
        <f>'SM-C4'!N39-'SM-C4'!N68</f>
        <v>-610.73999999999978</v>
      </c>
      <c r="O10" s="156">
        <f>'SM-C4'!O39-'SM-C4'!O68</f>
        <v>-517.65000000000009</v>
      </c>
      <c r="P10" s="156">
        <f>'SM-C4'!P39-'SM-C4'!P68</f>
        <v>-417.30999999999995</v>
      </c>
      <c r="Q10" s="159">
        <f>'SM-C4'!Q39-'SM-C4'!Q68</f>
        <v>-361.04999999999973</v>
      </c>
    </row>
    <row r="11" spans="2:19" ht="18" customHeight="1">
      <c r="B11" s="605" t="s">
        <v>437</v>
      </c>
      <c r="C11" s="606"/>
      <c r="D11" s="155">
        <f>'SM-C4'!D40-'SM-C4'!D69</f>
        <v>-27.259999999999991</v>
      </c>
      <c r="E11" s="156">
        <f>'SM-C4'!E40-'SM-C4'!E69</f>
        <v>-13.050000000000011</v>
      </c>
      <c r="F11" s="156">
        <f>'SM-C4'!F40-'SM-C4'!F69</f>
        <v>-13.050000000000011</v>
      </c>
      <c r="G11" s="156">
        <f>'SM-C4'!G40-'SM-C4'!G69</f>
        <v>-10.841360000000009</v>
      </c>
      <c r="H11" s="156">
        <f>'SM-C4'!H40-'SM-C4'!H69</f>
        <v>-7.7447400000000073</v>
      </c>
      <c r="I11" s="156">
        <f>'SM-C4'!I40-'SM-C4'!I69</f>
        <v>-8.2258500000000083</v>
      </c>
      <c r="J11" s="157">
        <f>'SM-C4'!J40-'SM-C4'!J69</f>
        <v>-21.920230000000004</v>
      </c>
      <c r="K11" s="158">
        <f>'SM-C4'!K40-'SM-C4'!K69</f>
        <v>-15.996690000000001</v>
      </c>
      <c r="L11" s="157">
        <f>'SM-C4'!L40-'SM-C4'!L69</f>
        <v>-14.836690000000004</v>
      </c>
      <c r="M11" s="156">
        <f>'SM-C4'!M40-'SM-C4'!M69</f>
        <v>-14.836690000000004</v>
      </c>
      <c r="N11" s="156">
        <f>'SM-C4'!N40-'SM-C4'!N69</f>
        <v>-14.836690000000004</v>
      </c>
      <c r="O11" s="156">
        <f>'SM-C4'!O40-'SM-C4'!O69</f>
        <v>-14.836690000000004</v>
      </c>
      <c r="P11" s="156">
        <f>'SM-C4'!P40-'SM-C4'!P69</f>
        <v>-14.836690000000004</v>
      </c>
      <c r="Q11" s="159">
        <f>'SM-C4'!Q40-'SM-C4'!Q69</f>
        <v>-14.836690000000004</v>
      </c>
    </row>
    <row r="12" spans="2:19" ht="18" customHeight="1">
      <c r="B12" s="605" t="s">
        <v>438</v>
      </c>
      <c r="C12" s="606"/>
      <c r="D12" s="155">
        <f>'SM-C4'!D41-'SM-C4'!D70</f>
        <v>13.320714999999993</v>
      </c>
      <c r="E12" s="156">
        <f>'SM-C4'!E41-'SM-C4'!E70</f>
        <v>26.969999999999992</v>
      </c>
      <c r="F12" s="156">
        <f>'SM-C4'!F41-'SM-C4'!F70</f>
        <v>23.199999999999996</v>
      </c>
      <c r="G12" s="156">
        <f>'SM-C4'!G41-'SM-C4'!G70</f>
        <v>21.459999999999994</v>
      </c>
      <c r="H12" s="156">
        <f>'SM-C4'!H41-'SM-C4'!H70</f>
        <v>28.999999999999993</v>
      </c>
      <c r="I12" s="156">
        <f>'SM-C4'!I41-'SM-C4'!I70</f>
        <v>28.999999999999993</v>
      </c>
      <c r="J12" s="157">
        <f>'SM-C4'!J41-'SM-C4'!J70</f>
        <v>4.3499999999999943</v>
      </c>
      <c r="K12" s="158">
        <f>'SM-C4'!K41-'SM-C4'!K70</f>
        <v>52.199999999999996</v>
      </c>
      <c r="L12" s="157">
        <f>'SM-C4'!L41-'SM-C4'!L70</f>
        <v>-2.9000000000000057</v>
      </c>
      <c r="M12" s="156">
        <f>'SM-C4'!M41-'SM-C4'!M70</f>
        <v>-7.25</v>
      </c>
      <c r="N12" s="156">
        <f>'SM-C4'!N41-'SM-C4'!N70</f>
        <v>-5.7999999999999972</v>
      </c>
      <c r="O12" s="156">
        <f>'SM-C4'!O41-'SM-C4'!O70</f>
        <v>-11.599999999999994</v>
      </c>
      <c r="P12" s="156">
        <f>'SM-C4'!P41-'SM-C4'!P70</f>
        <v>-17.399999999999991</v>
      </c>
      <c r="Q12" s="159">
        <f>'SM-C4'!Q41-'SM-C4'!Q70</f>
        <v>-21.749999999999986</v>
      </c>
    </row>
    <row r="13" spans="2:19" ht="18" customHeight="1">
      <c r="B13" s="605" t="s">
        <v>439</v>
      </c>
      <c r="C13" s="606"/>
      <c r="D13" s="155">
        <f>'SM-C4'!D42-'SM-C4'!D71</f>
        <v>-136.88</v>
      </c>
      <c r="E13" s="156">
        <f>'SM-C4'!E42-'SM-C4'!E71</f>
        <v>-152.25</v>
      </c>
      <c r="F13" s="156">
        <f>'SM-C4'!F42-'SM-C4'!F71</f>
        <v>-169.64999999999998</v>
      </c>
      <c r="G13" s="156">
        <f>'SM-C4'!G42-'SM-C4'!G71</f>
        <v>-159.79</v>
      </c>
      <c r="H13" s="156">
        <f>'SM-C4'!H42-'SM-C4'!H71</f>
        <v>-287.09999999999997</v>
      </c>
      <c r="I13" s="156">
        <f>'SM-C4'!I42-'SM-C4'!I71</f>
        <v>-476.76</v>
      </c>
      <c r="J13" s="157">
        <f>'SM-C4'!J42-'SM-C4'!J71</f>
        <v>-176.89999999999998</v>
      </c>
      <c r="K13" s="158">
        <f>'SM-C4'!K42-'SM-C4'!K71</f>
        <v>-231.99999999999997</v>
      </c>
      <c r="L13" s="157">
        <f>'SM-C4'!L42-'SM-C4'!L71</f>
        <v>-261</v>
      </c>
      <c r="M13" s="156">
        <f>'SM-C4'!M42-'SM-C4'!M71</f>
        <v>-261</v>
      </c>
      <c r="N13" s="156">
        <f>'SM-C4'!N42-'SM-C4'!N71</f>
        <v>-261</v>
      </c>
      <c r="O13" s="156">
        <f>'SM-C4'!O42-'SM-C4'!O71</f>
        <v>-290</v>
      </c>
      <c r="P13" s="156">
        <f>'SM-C4'!P42-'SM-C4'!P71</f>
        <v>-290</v>
      </c>
      <c r="Q13" s="159">
        <f>'SM-C4'!Q42-'SM-C4'!Q71</f>
        <v>-290</v>
      </c>
    </row>
    <row r="14" spans="2:19" ht="18" hidden="1" customHeight="1">
      <c r="B14" s="16"/>
      <c r="C14" s="90" t="s">
        <v>306</v>
      </c>
      <c r="D14" s="155">
        <f>'SM-C4'!D43-'SM-C4'!D72</f>
        <v>0</v>
      </c>
      <c r="E14" s="156">
        <f>'SM-C4'!E43-'SM-C4'!E72</f>
        <v>0</v>
      </c>
      <c r="F14" s="156">
        <f>'SM-C4'!F43-'SM-C4'!F72</f>
        <v>0</v>
      </c>
      <c r="G14" s="156">
        <f>'SM-C4'!G43-'SM-C4'!G72</f>
        <v>0</v>
      </c>
      <c r="H14" s="156">
        <f>'SM-C4'!H43-'SM-C4'!H72</f>
        <v>0</v>
      </c>
      <c r="I14" s="156">
        <f>'SM-C4'!I43-'SM-C4'!I72</f>
        <v>0</v>
      </c>
      <c r="J14" s="157">
        <f>'SM-C4'!J43-'SM-C4'!J72</f>
        <v>0</v>
      </c>
      <c r="K14" s="158">
        <f>'SM-C4'!K43-'SM-C4'!K72</f>
        <v>0</v>
      </c>
      <c r="L14" s="157">
        <f>'SM-C4'!L43-'SM-C4'!L72</f>
        <v>0</v>
      </c>
      <c r="M14" s="156">
        <f>'SM-C4'!M43-'SM-C4'!M72</f>
        <v>0</v>
      </c>
      <c r="N14" s="156">
        <f>'SM-C4'!N43-'SM-C4'!N72</f>
        <v>0</v>
      </c>
      <c r="O14" s="156">
        <f>'SM-C4'!O43-'SM-C4'!O72</f>
        <v>0</v>
      </c>
      <c r="P14" s="156">
        <f>'SM-C4'!P43-'SM-C4'!P72</f>
        <v>0</v>
      </c>
      <c r="Q14" s="159">
        <f>'SM-C4'!Q43-'SM-C4'!Q72</f>
        <v>0</v>
      </c>
    </row>
    <row r="15" spans="2:19" ht="18" customHeight="1">
      <c r="B15" s="605" t="s">
        <v>440</v>
      </c>
      <c r="C15" s="606"/>
      <c r="D15" s="155">
        <f>'SM-C4'!D44-'SM-C4'!D73</f>
        <v>-3.4799999999999995</v>
      </c>
      <c r="E15" s="156">
        <f>'SM-C4'!E44-'SM-C4'!E73</f>
        <v>-3.7699999999999996</v>
      </c>
      <c r="F15" s="156">
        <f>'SM-C4'!F44-'SM-C4'!F73</f>
        <v>-4.0599999999999996</v>
      </c>
      <c r="G15" s="156">
        <f>'SM-C4'!G44-'SM-C4'!G73</f>
        <v>-4.3499999999999996</v>
      </c>
      <c r="H15" s="156">
        <f>'SM-C4'!H44-'SM-C4'!H73</f>
        <v>-4.3499999999999996</v>
      </c>
      <c r="I15" s="156">
        <f>'SM-C4'!I44-'SM-C4'!I73</f>
        <v>-4.3499999999999996</v>
      </c>
      <c r="J15" s="157">
        <f>'SM-C4'!J44-'SM-C4'!J73</f>
        <v>-4.3499999999999996</v>
      </c>
      <c r="K15" s="158">
        <f>'SM-C4'!K44-'SM-C4'!K73</f>
        <v>-4.6399999999999997</v>
      </c>
      <c r="L15" s="157">
        <f>'SM-C4'!L44-'SM-C4'!L73</f>
        <v>-4.93</v>
      </c>
      <c r="M15" s="156">
        <f>'SM-C4'!M44-'SM-C4'!M73</f>
        <v>-5.22</v>
      </c>
      <c r="N15" s="156">
        <f>'SM-C4'!N44-'SM-C4'!N73</f>
        <v>-5.51</v>
      </c>
      <c r="O15" s="156">
        <f>'SM-C4'!O44-'SM-C4'!O73</f>
        <v>-5.8</v>
      </c>
      <c r="P15" s="156">
        <f>'SM-C4'!P44-'SM-C4'!P73</f>
        <v>-6.09</v>
      </c>
      <c r="Q15" s="159">
        <f>'SM-C4'!Q44-'SM-C4'!Q73</f>
        <v>-6.38</v>
      </c>
    </row>
    <row r="16" spans="2:19" ht="18" customHeight="1">
      <c r="B16" s="605" t="s">
        <v>441</v>
      </c>
      <c r="C16" s="606"/>
      <c r="D16" s="155">
        <f>'SM-C4'!D45-'SM-C4'!D74</f>
        <v>-32.585454545454553</v>
      </c>
      <c r="E16" s="156">
        <f>'SM-C4'!E45-'SM-C4'!E74</f>
        <v>-32.769999999999996</v>
      </c>
      <c r="F16" s="156">
        <f>'SM-C4'!F45-'SM-C4'!F74</f>
        <v>-32.769999999999996</v>
      </c>
      <c r="G16" s="156">
        <f>'SM-C4'!G45-'SM-C4'!G74</f>
        <v>-19.296310000000005</v>
      </c>
      <c r="H16" s="156">
        <f>'SM-C4'!H45-'SM-C4'!H74</f>
        <v>-23.078780000000009</v>
      </c>
      <c r="I16" s="156">
        <f>'SM-C4'!I45-'SM-C4'!I74</f>
        <v>-24.168599999999998</v>
      </c>
      <c r="J16" s="157">
        <f>'SM-C4'!J45-'SM-C4'!J74</f>
        <v>-36.204179999999994</v>
      </c>
      <c r="K16" s="158">
        <f>'SM-C4'!K45-'SM-C4'!K74</f>
        <v>-41.010350000000003</v>
      </c>
      <c r="L16" s="157">
        <f>'SM-C4'!L45-'SM-C4'!L74</f>
        <v>-41.010350000000003</v>
      </c>
      <c r="M16" s="156">
        <f>'SM-C4'!M45-'SM-C4'!M74</f>
        <v>-41.010350000000003</v>
      </c>
      <c r="N16" s="156">
        <f>'SM-C4'!N45-'SM-C4'!N74</f>
        <v>-41.010350000000003</v>
      </c>
      <c r="O16" s="156">
        <f>'SM-C4'!O45-'SM-C4'!O74</f>
        <v>-41.010350000000003</v>
      </c>
      <c r="P16" s="156">
        <f>'SM-C4'!P45-'SM-C4'!P74</f>
        <v>-41.010350000000003</v>
      </c>
      <c r="Q16" s="159">
        <f>'SM-C4'!Q45-'SM-C4'!Q74</f>
        <v>-41.010350000000003</v>
      </c>
    </row>
    <row r="17" spans="2:17" ht="18" customHeight="1">
      <c r="B17" s="605" t="s">
        <v>442</v>
      </c>
      <c r="C17" s="606"/>
      <c r="D17" s="155">
        <f>'SM-C4'!D46-'SM-C4'!D75</f>
        <v>-5.22</v>
      </c>
      <c r="E17" s="156">
        <f>'SM-C4'!E46-'SM-C4'!E75</f>
        <v>-5.51</v>
      </c>
      <c r="F17" s="156">
        <f>'SM-C4'!F46-'SM-C4'!F75</f>
        <v>-20.59</v>
      </c>
      <c r="G17" s="156">
        <f>'SM-C4'!G46-'SM-C4'!G75</f>
        <v>-20.88</v>
      </c>
      <c r="H17" s="156">
        <f>'SM-C4'!H46-'SM-C4'!H75</f>
        <v>-21.75</v>
      </c>
      <c r="I17" s="156">
        <f>'SM-C4'!I46-'SM-C4'!I75</f>
        <v>-22.91</v>
      </c>
      <c r="J17" s="157">
        <f>'SM-C4'!J46-'SM-C4'!J75</f>
        <v>-20.88</v>
      </c>
      <c r="K17" s="158">
        <f>'SM-C4'!K46-'SM-C4'!K75</f>
        <v>-42.629999999999995</v>
      </c>
      <c r="L17" s="157">
        <f>'SM-C4'!L46-'SM-C4'!L75</f>
        <v>-44.949999999999996</v>
      </c>
      <c r="M17" s="156">
        <f>'SM-C4'!M46-'SM-C4'!M75</f>
        <v>-47.559999999999995</v>
      </c>
      <c r="N17" s="156">
        <f>'SM-C4'!N46-'SM-C4'!N75</f>
        <v>-50.459999999999994</v>
      </c>
      <c r="O17" s="156">
        <f>'SM-C4'!O46-'SM-C4'!O75</f>
        <v>-53.36</v>
      </c>
      <c r="P17" s="156">
        <f>'SM-C4'!P46-'SM-C4'!P75</f>
        <v>-56.55</v>
      </c>
      <c r="Q17" s="159">
        <f>'SM-C4'!Q46-'SM-C4'!Q75</f>
        <v>-59.739999999999995</v>
      </c>
    </row>
    <row r="18" spans="2:17" ht="18" customHeight="1">
      <c r="B18" s="607" t="s">
        <v>443</v>
      </c>
      <c r="C18" s="608"/>
      <c r="D18" s="155">
        <f>'SM-C4'!D47-'SM-C4'!D76</f>
        <v>405.55049999999994</v>
      </c>
      <c r="E18" s="156">
        <f>'SM-C4'!E47-'SM-C4'!E76</f>
        <v>369.86599999999999</v>
      </c>
      <c r="F18" s="156">
        <f>'SM-C4'!F47-'SM-C4'!F76</f>
        <v>290.928</v>
      </c>
      <c r="G18" s="156">
        <f>'SM-C4'!G47-'SM-C4'!G76</f>
        <v>337.93699999999995</v>
      </c>
      <c r="H18" s="156">
        <f>'SM-C4'!H47-'SM-C4'!H76</f>
        <v>307.63199999999989</v>
      </c>
      <c r="I18" s="156">
        <f>'SM-C4'!I47-'SM-C4'!I76</f>
        <v>290.00986000000006</v>
      </c>
      <c r="J18" s="157">
        <f>'SM-C4'!J47-'SM-C4'!J76</f>
        <v>157.27076999999997</v>
      </c>
      <c r="K18" s="158">
        <f>'SM-C4'!K47-'SM-C4'!K76</f>
        <v>178.92999999999995</v>
      </c>
      <c r="L18" s="157">
        <f>'SM-C4'!L47-'SM-C4'!L76</f>
        <v>159.15199999999999</v>
      </c>
      <c r="M18" s="156">
        <f>'SM-C4'!M47-'SM-C4'!M76</f>
        <v>111.94</v>
      </c>
      <c r="N18" s="156">
        <f>'SM-C4'!N47-'SM-C4'!N76</f>
        <v>118.89999999999992</v>
      </c>
      <c r="O18" s="156">
        <f>'SM-C4'!O47-'SM-C4'!O76</f>
        <v>127.30999999999995</v>
      </c>
      <c r="P18" s="156">
        <f>'SM-C4'!P47-'SM-C4'!P76</f>
        <v>103.81999999999994</v>
      </c>
      <c r="Q18" s="159">
        <f>'SM-C4'!Q47-'SM-C4'!Q76</f>
        <v>129.62999999999994</v>
      </c>
    </row>
    <row r="19" spans="2:17" ht="21" customHeight="1">
      <c r="B19" s="674" t="s">
        <v>307</v>
      </c>
      <c r="C19" s="675"/>
      <c r="D19" s="160">
        <f t="shared" ref="D19:K19" si="0">SUM(D7:D18)</f>
        <v>-400.48423954545467</v>
      </c>
      <c r="E19" s="161">
        <f t="shared" si="0"/>
        <v>-527.97399999999993</v>
      </c>
      <c r="F19" s="161">
        <f t="shared" si="0"/>
        <v>-579.36199999999997</v>
      </c>
      <c r="G19" s="161">
        <f t="shared" si="0"/>
        <v>-564.40466999999967</v>
      </c>
      <c r="H19" s="161">
        <f t="shared" si="0"/>
        <v>-708.08285000000024</v>
      </c>
      <c r="I19" s="161">
        <f t="shared" si="0"/>
        <v>-915.69674999999984</v>
      </c>
      <c r="J19" s="162">
        <f t="shared" si="0"/>
        <v>-761.28363999999999</v>
      </c>
      <c r="K19" s="163">
        <f t="shared" si="0"/>
        <v>-723.71704000000011</v>
      </c>
      <c r="L19" s="162">
        <f t="shared" ref="L19:Q19" si="1">SUM(L7:L18)</f>
        <v>-668.67504000000031</v>
      </c>
      <c r="M19" s="161">
        <f t="shared" si="1"/>
        <v>-679.05703999999992</v>
      </c>
      <c r="N19" s="161">
        <f t="shared" si="1"/>
        <v>-543.62704000000008</v>
      </c>
      <c r="O19" s="161">
        <f t="shared" si="1"/>
        <v>-504.47704000000033</v>
      </c>
      <c r="P19" s="161">
        <f t="shared" si="1"/>
        <v>-421.24704000000008</v>
      </c>
      <c r="Q19" s="164">
        <f t="shared" si="1"/>
        <v>-347.0070399999999</v>
      </c>
    </row>
    <row r="20" spans="2:17" ht="21" customHeight="1">
      <c r="B20" s="672" t="s">
        <v>308</v>
      </c>
      <c r="C20" s="673"/>
      <c r="D20" s="160">
        <f>'SM-C4'!D49-'SM-C4'!D78</f>
        <v>-8.41</v>
      </c>
      <c r="E20" s="161">
        <f>'SM-C4'!E49-'SM-C4'!E78</f>
        <v>-7.8299999999999992</v>
      </c>
      <c r="F20" s="161">
        <f>'SM-C4'!F49-'SM-C4'!F78</f>
        <v>-5.8</v>
      </c>
      <c r="G20" s="161">
        <f>'SM-C4'!G49-'SM-C4'!G78</f>
        <v>-5.8</v>
      </c>
      <c r="H20" s="161">
        <f>'SM-C4'!H49-'SM-C4'!H78</f>
        <v>-5.8</v>
      </c>
      <c r="I20" s="161">
        <f>'SM-C4'!I49-'SM-C4'!I78</f>
        <v>-5.8</v>
      </c>
      <c r="J20" s="162">
        <f>'SM-C4'!J49-'SM-C4'!J78</f>
        <v>-4.1887600000000003</v>
      </c>
      <c r="K20" s="163">
        <f>'SM-C4'!K49-'SM-C4'!K78</f>
        <v>-5.8</v>
      </c>
      <c r="L20" s="162">
        <f>'SM-C4'!L49-'SM-C4'!L78</f>
        <v>-5.8</v>
      </c>
      <c r="M20" s="161">
        <f>'SM-C4'!M49-'SM-C4'!M78</f>
        <v>-5.8</v>
      </c>
      <c r="N20" s="161">
        <f>'SM-C4'!N49-'SM-C4'!N78</f>
        <v>-5.8</v>
      </c>
      <c r="O20" s="161">
        <f>'SM-C4'!O49-'SM-C4'!O78</f>
        <v>-5.8</v>
      </c>
      <c r="P20" s="161">
        <f>'SM-C4'!P49-'SM-C4'!P78</f>
        <v>-5.8</v>
      </c>
      <c r="Q20" s="164">
        <f>'SM-C4'!Q49-'SM-C4'!Q78</f>
        <v>-5.8</v>
      </c>
    </row>
    <row r="21" spans="2:17" ht="18" customHeight="1">
      <c r="B21" s="105"/>
      <c r="C21" s="97" t="s">
        <v>309</v>
      </c>
      <c r="D21" s="160">
        <f>'SM-C4'!D50-'SM-C4'!D79</f>
        <v>-7.8299999999999992</v>
      </c>
      <c r="E21" s="161">
        <f>'SM-C4'!E50-'SM-C4'!E79</f>
        <v>-7.8299999999999992</v>
      </c>
      <c r="F21" s="161">
        <f>'SM-C4'!F50-'SM-C4'!F79</f>
        <v>-5.8</v>
      </c>
      <c r="G21" s="161">
        <f>'SM-C4'!G50-'SM-C4'!G79</f>
        <v>-5.8</v>
      </c>
      <c r="H21" s="161">
        <f>'SM-C4'!H50-'SM-C4'!H79</f>
        <v>-5.8</v>
      </c>
      <c r="I21" s="161">
        <f>'SM-C4'!I50-'SM-C4'!I79</f>
        <v>-5.8</v>
      </c>
      <c r="J21" s="162">
        <f>'SM-C4'!J50-'SM-C4'!J79</f>
        <v>-4.1887600000000003</v>
      </c>
      <c r="K21" s="163">
        <f>'SM-C4'!K50-'SM-C4'!K79</f>
        <v>-5.8</v>
      </c>
      <c r="L21" s="162">
        <f>'SM-C4'!L50-'SM-C4'!L79</f>
        <v>-5.8</v>
      </c>
      <c r="M21" s="161">
        <f>'SM-C4'!M50-'SM-C4'!M79</f>
        <v>-5.8</v>
      </c>
      <c r="N21" s="161">
        <f>'SM-C4'!N50-'SM-C4'!N79</f>
        <v>-5.8</v>
      </c>
      <c r="O21" s="161">
        <f>'SM-C4'!O50-'SM-C4'!O79</f>
        <v>-5.8</v>
      </c>
      <c r="P21" s="161">
        <f>'SM-C4'!P50-'SM-C4'!P79</f>
        <v>-5.8</v>
      </c>
      <c r="Q21" s="164">
        <f>'SM-C4'!Q50-'SM-C4'!Q79</f>
        <v>-5.8</v>
      </c>
    </row>
    <row r="22" spans="2:17" ht="21" customHeight="1">
      <c r="B22" s="672" t="s">
        <v>310</v>
      </c>
      <c r="C22" s="673"/>
      <c r="D22" s="155">
        <f>'SM-C4'!D51-'SM-C4'!D80</f>
        <v>-157.47000000000003</v>
      </c>
      <c r="E22" s="156">
        <f>'SM-C4'!E51-'SM-C4'!E80</f>
        <v>-136.87999999999988</v>
      </c>
      <c r="F22" s="156">
        <f>'SM-C4'!F51-'SM-C4'!F80</f>
        <v>-141.23000000000002</v>
      </c>
      <c r="G22" s="156">
        <f>'SM-C4'!G51-'SM-C4'!G80</f>
        <v>-133.98000000000002</v>
      </c>
      <c r="H22" s="156">
        <f>'SM-C4'!H51-'SM-C4'!H80</f>
        <v>-128.17999999999984</v>
      </c>
      <c r="I22" s="156">
        <f>'SM-C4'!I51-'SM-C4'!I80</f>
        <v>-155.73000000000002</v>
      </c>
      <c r="J22" s="157">
        <f>'SM-C4'!J51-'SM-C4'!J80</f>
        <v>-75.980000000000018</v>
      </c>
      <c r="K22" s="158">
        <f>'SM-C4'!K51-'SM-C4'!K80</f>
        <v>-50.460000000000036</v>
      </c>
      <c r="L22" s="157">
        <f>'SM-C4'!L51-'SM-C4'!L80</f>
        <v>-109.91000000000008</v>
      </c>
      <c r="M22" s="156">
        <f>'SM-C4'!M51-'SM-C4'!M80</f>
        <v>-129.33999999999992</v>
      </c>
      <c r="N22" s="156">
        <f>'SM-C4'!N51-'SM-C4'!N80</f>
        <v>-146.45000000000005</v>
      </c>
      <c r="O22" s="156">
        <f>'SM-C4'!O51-'SM-C4'!O80</f>
        <v>-149.35000000000014</v>
      </c>
      <c r="P22" s="156">
        <f>'SM-C4'!P51-'SM-C4'!P80</f>
        <v>-154.86000000000013</v>
      </c>
      <c r="Q22" s="159">
        <f>'SM-C4'!Q51-'SM-C4'!Q80</f>
        <v>-162.11000000000013</v>
      </c>
    </row>
    <row r="23" spans="2:17" ht="21" customHeight="1">
      <c r="B23" s="105"/>
      <c r="C23" s="615" t="s">
        <v>311</v>
      </c>
      <c r="D23" s="160">
        <f>'SM-C4'!D52-'SM-C4'!D81</f>
        <v>-58.579999999999927</v>
      </c>
      <c r="E23" s="161">
        <f>'SM-C4'!E52-'SM-C4'!E81</f>
        <v>-66.990000000000009</v>
      </c>
      <c r="F23" s="161">
        <f>'SM-C4'!F52-'SM-C4'!F81</f>
        <v>-63.799999999999955</v>
      </c>
      <c r="G23" s="161">
        <f>'SM-C4'!G52-'SM-C4'!G81</f>
        <v>-71.049999999999955</v>
      </c>
      <c r="H23" s="161">
        <f>'SM-C4'!H52-'SM-C4'!H81</f>
        <v>-65.539999999999964</v>
      </c>
      <c r="I23" s="161">
        <f>'SM-C4'!I52-'SM-C4'!I81</f>
        <v>-75.399999999999864</v>
      </c>
      <c r="J23" s="162">
        <f>'SM-C4'!J52-'SM-C4'!J81</f>
        <v>10.440000000000055</v>
      </c>
      <c r="K23" s="163">
        <f>'SM-C4'!K52-'SM-C4'!K81</f>
        <v>28.419999999999845</v>
      </c>
      <c r="L23" s="162">
        <f>'SM-C4'!L52-'SM-C4'!L81</f>
        <v>-33.059999999999945</v>
      </c>
      <c r="M23" s="161">
        <f>'SM-C4'!M52-'SM-C4'!M81</f>
        <v>-51.909999999999854</v>
      </c>
      <c r="N23" s="161">
        <f>'SM-C4'!N52-'SM-C4'!N81</f>
        <v>-66.699999999999818</v>
      </c>
      <c r="O23" s="161">
        <f>'SM-C4'!O52-'SM-C4'!O81</f>
        <v>-69.309999999999945</v>
      </c>
      <c r="P23" s="161">
        <f>'SM-C4'!P52-'SM-C4'!P81</f>
        <v>-72.210000000000036</v>
      </c>
      <c r="Q23" s="164">
        <f>'SM-C4'!Q52-'SM-C4'!Q81</f>
        <v>-72.5</v>
      </c>
    </row>
    <row r="24" spans="2:17" ht="21" customHeight="1">
      <c r="B24" s="672" t="s">
        <v>312</v>
      </c>
      <c r="C24" s="673"/>
      <c r="D24" s="155">
        <f>'SM-C4'!D53-'SM-C4'!D82</f>
        <v>542.29999999999995</v>
      </c>
      <c r="E24" s="156">
        <f>'SM-C4'!E53-'SM-C4'!E82</f>
        <v>510.69</v>
      </c>
      <c r="F24" s="156">
        <f>'SM-C4'!F53-'SM-C4'!F82</f>
        <v>520.04326161616268</v>
      </c>
      <c r="G24" s="156">
        <f>'SM-C4'!G53-'SM-C4'!G82</f>
        <v>513.53304741750787</v>
      </c>
      <c r="H24" s="156">
        <f>'SM-C4'!H53-'SM-C4'!H82</f>
        <v>522.11825197693588</v>
      </c>
      <c r="I24" s="156">
        <f>'SM-C4'!I53-'SM-C4'!I82</f>
        <v>510.53588174749996</v>
      </c>
      <c r="J24" s="157">
        <f>'SM-C4'!J53-'SM-C4'!J82</f>
        <v>503.85817583487494</v>
      </c>
      <c r="K24" s="158">
        <f>'SM-C4'!K53-'SM-C4'!K82</f>
        <v>495.5560846266186</v>
      </c>
      <c r="L24" s="157">
        <f>'SM-C4'!L53-'SM-C4'!L82</f>
        <v>490.53638885794959</v>
      </c>
      <c r="M24" s="156">
        <f>'SM-C4'!M53-'SM-C4'!M82</f>
        <v>490.68</v>
      </c>
      <c r="N24" s="156">
        <f>'SM-C4'!N53-'SM-C4'!N82</f>
        <v>498.79999999999995</v>
      </c>
      <c r="O24" s="156">
        <f>'SM-C4'!O53-'SM-C4'!O82</f>
        <v>516.61470830084704</v>
      </c>
      <c r="P24" s="156">
        <f>'SM-C4'!P53-'SM-C4'!P82</f>
        <v>525.4799999999999</v>
      </c>
      <c r="Q24" s="159">
        <f>'SM-C4'!Q53-'SM-C4'!Q82</f>
        <v>540.84999999999991</v>
      </c>
    </row>
    <row r="25" spans="2:17" ht="21" customHeight="1">
      <c r="B25" s="16"/>
      <c r="C25" s="615" t="s">
        <v>313</v>
      </c>
      <c r="D25" s="160">
        <f>'SM-C4'!D54-'SM-C4'!D83</f>
        <v>400.48999999999995</v>
      </c>
      <c r="E25" s="161">
        <f>'SM-C4'!E54-'SM-C4'!E83</f>
        <v>348.57999999999993</v>
      </c>
      <c r="F25" s="161">
        <f>'SM-C4'!F54-'SM-C4'!F83</f>
        <v>342.78834848484905</v>
      </c>
      <c r="G25" s="161">
        <f>'SM-C4'!G54-'SM-C4'!G83</f>
        <v>337.85</v>
      </c>
      <c r="H25" s="161">
        <f>'SM-C4'!H54-'SM-C4'!H83</f>
        <v>326.99885664983037</v>
      </c>
      <c r="I25" s="161">
        <f>'SM-C4'!I54-'SM-C4'!I83</f>
        <v>354.16463930769225</v>
      </c>
      <c r="J25" s="162">
        <f>'SM-C4'!J54-'SM-C4'!J83</f>
        <v>334.84857968307688</v>
      </c>
      <c r="K25" s="163">
        <f>'SM-C4'!K54-'SM-C4'!K83</f>
        <v>341.08364554490254</v>
      </c>
      <c r="L25" s="162">
        <f>'SM-C4'!L54-'SM-C4'!L83</f>
        <v>336.39597821413577</v>
      </c>
      <c r="M25" s="161">
        <f>'SM-C4'!M54-'SM-C4'!M83</f>
        <v>331.1948717948718</v>
      </c>
      <c r="N25" s="161">
        <f>'SM-C4'!N54-'SM-C4'!N83</f>
        <v>332.75641025641022</v>
      </c>
      <c r="O25" s="161">
        <f>'SM-C4'!O54-'SM-C4'!O83</f>
        <v>332.08717948717947</v>
      </c>
      <c r="P25" s="161">
        <f>'SM-C4'!P54-'SM-C4'!P83</f>
        <v>334.07999999999993</v>
      </c>
      <c r="Q25" s="164">
        <f>'SM-C4'!Q54-'SM-C4'!Q83</f>
        <v>340.16999999999996</v>
      </c>
    </row>
    <row r="26" spans="2:17" ht="21" customHeight="1">
      <c r="B26" s="674" t="s">
        <v>314</v>
      </c>
      <c r="C26" s="675"/>
      <c r="D26" s="160">
        <f>'SM-C4'!D55-'SM-C4'!D84</f>
        <v>-11.02</v>
      </c>
      <c r="E26" s="161">
        <f>'SM-C4'!E55-'SM-C4'!E84</f>
        <v>-10.149999999999999</v>
      </c>
      <c r="F26" s="161">
        <f>'SM-C4'!F55-'SM-C4'!F84</f>
        <v>-11.672499999999999</v>
      </c>
      <c r="G26" s="161">
        <f>'SM-C4'!G55-'SM-C4'!G84</f>
        <v>-11.672499999999999</v>
      </c>
      <c r="H26" s="161">
        <f>'SM-C4'!H55-'SM-C4'!H84</f>
        <v>-13.423374999999998</v>
      </c>
      <c r="I26" s="161">
        <f>'SM-C4'!I55-'SM-C4'!I84</f>
        <v>-46.4</v>
      </c>
      <c r="J26" s="162">
        <f>'SM-C4'!J55-'SM-C4'!J84</f>
        <v>-52.199999999999996</v>
      </c>
      <c r="K26" s="163">
        <f>'SM-C4'!K55-'SM-C4'!K84</f>
        <v>-53.65</v>
      </c>
      <c r="L26" s="162">
        <f>'SM-C4'!L55-'SM-C4'!L84</f>
        <v>-55.099999999999994</v>
      </c>
      <c r="M26" s="161">
        <f>'SM-C4'!M55-'SM-C4'!M84</f>
        <v>-56.55</v>
      </c>
      <c r="N26" s="161">
        <f>'SM-C4'!N55-'SM-C4'!N84</f>
        <v>-57.129999999999995</v>
      </c>
      <c r="O26" s="161">
        <f>'SM-C4'!O55-'SM-C4'!O84</f>
        <v>-58.58</v>
      </c>
      <c r="P26" s="161">
        <f>'SM-C4'!P55-'SM-C4'!P84</f>
        <v>-59.16</v>
      </c>
      <c r="Q26" s="164">
        <f>'SM-C4'!Q55-'SM-C4'!Q84</f>
        <v>-59.739999999999995</v>
      </c>
    </row>
    <row r="27" spans="2:17" ht="21" customHeight="1">
      <c r="B27" s="674" t="s">
        <v>315</v>
      </c>
      <c r="C27" s="675"/>
      <c r="D27" s="160">
        <f>'SM-C4'!D56-'SM-C4'!D85</f>
        <v>44.370000000000005</v>
      </c>
      <c r="E27" s="161">
        <f>'SM-C4'!E56-'SM-C4'!E85</f>
        <v>28.42</v>
      </c>
      <c r="F27" s="161">
        <f>'SM-C4'!F56-'SM-C4'!F85</f>
        <v>32.653999999999996</v>
      </c>
      <c r="G27" s="161">
        <f>'SM-C4'!G56-'SM-C4'!G85</f>
        <v>34.394000000000005</v>
      </c>
      <c r="H27" s="161">
        <f>'SM-C4'!H56-'SM-C4'!H85</f>
        <v>24.360000000000014</v>
      </c>
      <c r="I27" s="161">
        <f>'SM-C4'!I56-'SM-C4'!I85</f>
        <v>31.609999999999985</v>
      </c>
      <c r="J27" s="162">
        <f>'SM-C4'!J56-'SM-C4'!J85</f>
        <v>69.599999999999994</v>
      </c>
      <c r="K27" s="163">
        <f>'SM-C4'!K56-'SM-C4'!K85</f>
        <v>58.579999999999984</v>
      </c>
      <c r="L27" s="162">
        <f>'SM-C4'!L56-'SM-C4'!L85</f>
        <v>59.51728</v>
      </c>
      <c r="M27" s="161">
        <f>'SM-C4'!M56-'SM-C4'!M85</f>
        <v>60.291004640000011</v>
      </c>
      <c r="N27" s="161">
        <f>'SM-C4'!N56-'SM-C4'!N85</f>
        <v>61.195369709599987</v>
      </c>
      <c r="O27" s="161">
        <f>'SM-C4'!O56-'SM-C4'!O85</f>
        <v>62.113300255243956</v>
      </c>
      <c r="P27" s="161">
        <f>'SM-C4'!P56-'SM-C4'!P85</f>
        <v>63.044999759072653</v>
      </c>
      <c r="Q27" s="164">
        <f>'SM-C4'!Q56-'SM-C4'!Q85</f>
        <v>63.990674755458741</v>
      </c>
    </row>
    <row r="28" spans="2:17" ht="18" customHeight="1">
      <c r="B28" s="672" t="s">
        <v>316</v>
      </c>
      <c r="C28" s="673"/>
      <c r="D28" s="155">
        <f>'SM-C4'!D57-'SM-C4'!D86</f>
        <v>508.65999999999985</v>
      </c>
      <c r="E28" s="156">
        <f>'SM-C4'!E57-'SM-C4'!E86</f>
        <v>500.53999999999985</v>
      </c>
      <c r="F28" s="156">
        <f>'SM-C4'!F57-'SM-C4'!F86</f>
        <v>492.41999999999985</v>
      </c>
      <c r="G28" s="156">
        <f>'SM-C4'!G57-'SM-C4'!G86</f>
        <v>484.29999999999984</v>
      </c>
      <c r="H28" s="156">
        <f>'SM-C4'!H57-'SM-C4'!H86</f>
        <v>475.88999999999987</v>
      </c>
      <c r="I28" s="156">
        <f>'SM-C4'!I57-'SM-C4'!I86</f>
        <v>455.87999999999988</v>
      </c>
      <c r="J28" s="157">
        <f>'SM-C4'!J57-'SM-C4'!J86</f>
        <v>442.53999999999985</v>
      </c>
      <c r="K28" s="158">
        <f>'SM-C4'!K57-'SM-C4'!K86</f>
        <v>423.68999999999994</v>
      </c>
      <c r="L28" s="157">
        <f>'SM-C4'!L57-'SM-C4'!L86</f>
        <v>398.45999999999992</v>
      </c>
      <c r="M28" s="156">
        <f>'SM-C4'!M57-'SM-C4'!M86</f>
        <v>375.54999999999995</v>
      </c>
      <c r="N28" s="156">
        <f>'SM-C4'!N57-'SM-C4'!N86</f>
        <v>358.7299999999999</v>
      </c>
      <c r="O28" s="156">
        <f>'SM-C4'!O57-'SM-C4'!O86</f>
        <v>328.27999999999986</v>
      </c>
      <c r="P28" s="156">
        <f>'SM-C4'!P57-'SM-C4'!P86</f>
        <v>313.77999999999986</v>
      </c>
      <c r="Q28" s="159">
        <f>'SM-C4'!Q57-'SM-C4'!Q86</f>
        <v>300.14999999999986</v>
      </c>
    </row>
    <row r="29" spans="2:17" ht="18" customHeight="1">
      <c r="B29" s="670" t="s">
        <v>317</v>
      </c>
      <c r="C29" s="671"/>
      <c r="D29" s="155">
        <f>'SM-C4'!D58-'SM-C4'!D87</f>
        <v>96.859999999999985</v>
      </c>
      <c r="E29" s="156">
        <f>'SM-C4'!E58-'SM-C4'!E87</f>
        <v>109.04</v>
      </c>
      <c r="F29" s="156">
        <f>'SM-C4'!F58-'SM-C4'!F87</f>
        <v>112.23</v>
      </c>
      <c r="G29" s="156">
        <f>'SM-C4'!G58-'SM-C4'!G87</f>
        <v>151.66999999999996</v>
      </c>
      <c r="H29" s="156">
        <f>'SM-C4'!H58-'SM-C4'!H87</f>
        <v>149.63999999999999</v>
      </c>
      <c r="I29" s="156">
        <f>'SM-C4'!I58-'SM-C4'!I87</f>
        <v>148.76999999999998</v>
      </c>
      <c r="J29" s="157">
        <f>'SM-C4'!J58-'SM-C4'!J87</f>
        <v>147.60999999999996</v>
      </c>
      <c r="K29" s="158">
        <f>'SM-C4'!K58-'SM-C4'!K87</f>
        <v>146.15999999999997</v>
      </c>
      <c r="L29" s="157">
        <f>'SM-C4'!L58-'SM-C4'!L87</f>
        <v>144.41999999999996</v>
      </c>
      <c r="M29" s="156">
        <f>'SM-C4'!M58-'SM-C4'!M87</f>
        <v>142.67999999999998</v>
      </c>
      <c r="N29" s="156">
        <f>'SM-C4'!N58-'SM-C4'!N87</f>
        <v>141.22999999999996</v>
      </c>
      <c r="O29" s="156">
        <f>'SM-C4'!O58-'SM-C4'!O87</f>
        <v>139.77999999999997</v>
      </c>
      <c r="P29" s="156">
        <f>'SM-C4'!P58-'SM-C4'!P87</f>
        <v>138.32999999999998</v>
      </c>
      <c r="Q29" s="159">
        <f>'SM-C4'!Q58-'SM-C4'!Q87</f>
        <v>136.88</v>
      </c>
    </row>
    <row r="30" spans="2:17" ht="21" customHeight="1">
      <c r="B30" s="674" t="s">
        <v>318</v>
      </c>
      <c r="C30" s="675"/>
      <c r="D30" s="160">
        <f t="shared" ref="D30:K30" si="2">D29+D28</f>
        <v>605.51999999999987</v>
      </c>
      <c r="E30" s="161">
        <f t="shared" si="2"/>
        <v>609.57999999999981</v>
      </c>
      <c r="F30" s="161">
        <f t="shared" si="2"/>
        <v>604.64999999999986</v>
      </c>
      <c r="G30" s="161">
        <f t="shared" si="2"/>
        <v>635.9699999999998</v>
      </c>
      <c r="H30" s="161">
        <f t="shared" si="2"/>
        <v>625.52999999999986</v>
      </c>
      <c r="I30" s="161">
        <f t="shared" si="2"/>
        <v>604.64999999999986</v>
      </c>
      <c r="J30" s="162">
        <f t="shared" si="2"/>
        <v>590.14999999999986</v>
      </c>
      <c r="K30" s="163">
        <f t="shared" si="2"/>
        <v>569.84999999999991</v>
      </c>
      <c r="L30" s="162">
        <f t="shared" ref="L30:Q30" si="3">L29+L28</f>
        <v>542.87999999999988</v>
      </c>
      <c r="M30" s="161">
        <f t="shared" si="3"/>
        <v>518.2299999999999</v>
      </c>
      <c r="N30" s="161">
        <f t="shared" si="3"/>
        <v>499.95999999999987</v>
      </c>
      <c r="O30" s="161">
        <f t="shared" si="3"/>
        <v>468.05999999999983</v>
      </c>
      <c r="P30" s="161">
        <f t="shared" si="3"/>
        <v>452.10999999999984</v>
      </c>
      <c r="Q30" s="164">
        <f t="shared" si="3"/>
        <v>437.02999999999986</v>
      </c>
    </row>
    <row r="31" spans="2:17" ht="18" customHeight="1">
      <c r="B31" s="672" t="s">
        <v>319</v>
      </c>
      <c r="C31" s="673"/>
      <c r="D31" s="155">
        <f>'SM-C4'!D60-'SM-C4'!D89</f>
        <v>-137.46</v>
      </c>
      <c r="E31" s="156">
        <f>'SM-C4'!E60-'SM-C4'!E89</f>
        <v>-136.29999999999998</v>
      </c>
      <c r="F31" s="156">
        <f>'SM-C4'!F60-'SM-C4'!F89</f>
        <v>-165.59</v>
      </c>
      <c r="G31" s="156">
        <f>'SM-C4'!G60-'SM-C4'!G89</f>
        <v>-154.57</v>
      </c>
      <c r="H31" s="156">
        <f>'SM-C4'!H60-'SM-C4'!H89</f>
        <v>-158.91999999999999</v>
      </c>
      <c r="I31" s="156">
        <f>'SM-C4'!I60-'SM-C4'!I89</f>
        <v>-163.85</v>
      </c>
      <c r="J31" s="157">
        <f>'SM-C4'!J60-'SM-C4'!J89</f>
        <v>-168.2</v>
      </c>
      <c r="K31" s="158">
        <f>'SM-C4'!K60-'SM-C4'!K89</f>
        <v>-212.27999999999997</v>
      </c>
      <c r="L31" s="157">
        <f>'SM-C4'!L60-'SM-C4'!L89</f>
        <v>-216.92</v>
      </c>
      <c r="M31" s="156">
        <f>'SM-C4'!M60-'SM-C4'!M89</f>
        <v>-222.42999999999998</v>
      </c>
      <c r="N31" s="156">
        <f>'SM-C4'!N60-'SM-C4'!N89</f>
        <v>-228.51999999999998</v>
      </c>
      <c r="O31" s="156">
        <f>'SM-C4'!O60-'SM-C4'!O89</f>
        <v>-235.19</v>
      </c>
      <c r="P31" s="156">
        <f>'SM-C4'!P60-'SM-C4'!P89</f>
        <v>-242.14999999999998</v>
      </c>
      <c r="Q31" s="159">
        <f>'SM-C4'!Q60-'SM-C4'!Q89</f>
        <v>-249.39999999999998</v>
      </c>
    </row>
    <row r="32" spans="2:17" ht="18" customHeight="1">
      <c r="B32" s="668" t="s">
        <v>320</v>
      </c>
      <c r="C32" s="669"/>
      <c r="D32" s="155">
        <f>'SM-C4'!D61-'SM-C4'!D90</f>
        <v>-57.999999999999986</v>
      </c>
      <c r="E32" s="156">
        <f>'SM-C4'!E61-'SM-C4'!E90</f>
        <v>-49.59</v>
      </c>
      <c r="F32" s="156">
        <f>'SM-C4'!F61-'SM-C4'!F90</f>
        <v>-48.430000000000007</v>
      </c>
      <c r="G32" s="156">
        <f>'SM-C4'!G61-'SM-C4'!G90</f>
        <v>-45.53</v>
      </c>
      <c r="H32" s="156">
        <f>'SM-C4'!H61-'SM-C4'!H90</f>
        <v>-47.27000000000001</v>
      </c>
      <c r="I32" s="156">
        <f>'SM-C4'!I61-'SM-C4'!I90</f>
        <v>-47.56</v>
      </c>
      <c r="J32" s="157">
        <f>'SM-C4'!J61-'SM-C4'!J90</f>
        <v>-41.876000000000033</v>
      </c>
      <c r="K32" s="158">
        <f>'SM-C4'!K61-'SM-C4'!K90</f>
        <v>-42.629999999999995</v>
      </c>
      <c r="L32" s="157">
        <f>'SM-C4'!L61-'SM-C4'!L90</f>
        <v>-45.240000000000009</v>
      </c>
      <c r="M32" s="156">
        <f>'SM-C4'!M61-'SM-C4'!M90</f>
        <v>-20.009999999999991</v>
      </c>
      <c r="N32" s="156">
        <f>'SM-C4'!N61-'SM-C4'!N90</f>
        <v>-14.210000000000008</v>
      </c>
      <c r="O32" s="156">
        <f>'SM-C4'!O61-'SM-C4'!O90</f>
        <v>-18.27000000000001</v>
      </c>
      <c r="P32" s="156">
        <f>'SM-C4'!P61-'SM-C4'!P90</f>
        <v>-22.620000000000005</v>
      </c>
      <c r="Q32" s="159">
        <f>'SM-C4'!Q61-'SM-C4'!Q90</f>
        <v>-26.97</v>
      </c>
    </row>
    <row r="33" spans="2:17" ht="18" customHeight="1">
      <c r="B33" s="670" t="s">
        <v>321</v>
      </c>
      <c r="C33" s="671"/>
      <c r="D33" s="155">
        <f>'SM-C4'!D62-'SM-C4'!D91</f>
        <v>-42.050000000000004</v>
      </c>
      <c r="E33" s="156">
        <f>'SM-C4'!E62-'SM-C4'!E91</f>
        <v>-39.44</v>
      </c>
      <c r="F33" s="156">
        <f>'SM-C4'!F62-'SM-C4'!F91</f>
        <v>-41.179999999999993</v>
      </c>
      <c r="G33" s="156">
        <f>'SM-C4'!G62-'SM-C4'!G91</f>
        <v>-39.44</v>
      </c>
      <c r="H33" s="156">
        <f>'SM-C4'!H62-'SM-C4'!H91</f>
        <v>-40.599999999999994</v>
      </c>
      <c r="I33" s="156">
        <f>'SM-C4'!I62-'SM-C4'!I91</f>
        <v>-38.569999999999993</v>
      </c>
      <c r="J33" s="157">
        <f>'SM-C4'!J62-'SM-C4'!J91</f>
        <v>-46.69</v>
      </c>
      <c r="K33" s="158">
        <f>'SM-C4'!K62-'SM-C4'!K91</f>
        <v>-48.72</v>
      </c>
      <c r="L33" s="157">
        <f>'SM-C4'!L62-'SM-C4'!L91</f>
        <v>-49.879999999999995</v>
      </c>
      <c r="M33" s="156">
        <f>'SM-C4'!M62-'SM-C4'!M91</f>
        <v>-51.91</v>
      </c>
      <c r="N33" s="156">
        <f>'SM-C4'!N62-'SM-C4'!N91</f>
        <v>-54.22999999999999</v>
      </c>
      <c r="O33" s="156">
        <f>'SM-C4'!O62-'SM-C4'!O91</f>
        <v>-56.839999999999989</v>
      </c>
      <c r="P33" s="156">
        <f>'SM-C4'!P62-'SM-C4'!P91</f>
        <v>-59.449999999999989</v>
      </c>
      <c r="Q33" s="159">
        <f>'SM-C4'!Q62-'SM-C4'!Q91</f>
        <v>-62.349999999999994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-237.51</v>
      </c>
      <c r="E34" s="166">
        <f t="shared" si="4"/>
        <v>-225.32999999999998</v>
      </c>
      <c r="F34" s="166">
        <f t="shared" si="4"/>
        <v>-255.2</v>
      </c>
      <c r="G34" s="166">
        <f t="shared" si="4"/>
        <v>-239.54</v>
      </c>
      <c r="H34" s="166">
        <f t="shared" si="4"/>
        <v>-246.79</v>
      </c>
      <c r="I34" s="166">
        <f t="shared" si="4"/>
        <v>-249.98</v>
      </c>
      <c r="J34" s="167">
        <f t="shared" si="4"/>
        <v>-256.76600000000002</v>
      </c>
      <c r="K34" s="168">
        <f t="shared" si="4"/>
        <v>-303.63</v>
      </c>
      <c r="L34" s="167">
        <f t="shared" ref="L34:Q34" si="5">L33+L32+L31</f>
        <v>-312.03999999999996</v>
      </c>
      <c r="M34" s="166">
        <f t="shared" si="5"/>
        <v>-294.34999999999997</v>
      </c>
      <c r="N34" s="166">
        <f t="shared" si="5"/>
        <v>-296.95999999999998</v>
      </c>
      <c r="O34" s="166">
        <f t="shared" si="5"/>
        <v>-310.3</v>
      </c>
      <c r="P34" s="166">
        <f t="shared" si="5"/>
        <v>-324.21999999999997</v>
      </c>
      <c r="Q34" s="169">
        <f t="shared" si="5"/>
        <v>-338.71999999999997</v>
      </c>
    </row>
    <row r="35" spans="2:17" ht="24" customHeight="1" thickTop="1" thickBot="1">
      <c r="B35" s="702" t="s">
        <v>337</v>
      </c>
      <c r="C35" s="703"/>
      <c r="D35" s="170">
        <f>SUM(D19+D20+D22+D24+D26+D27+D30+D34)</f>
        <v>377.29576045454519</v>
      </c>
      <c r="E35" s="171">
        <f t="shared" ref="E35:Q35" si="6">SUM(E19+E20+E22+E24+E26+E27+E30+E34)</f>
        <v>240.52599999999995</v>
      </c>
      <c r="F35" s="171">
        <f t="shared" si="6"/>
        <v>164.0827616161626</v>
      </c>
      <c r="G35" s="171">
        <f t="shared" si="6"/>
        <v>228.49987741750803</v>
      </c>
      <c r="H35" s="171">
        <f t="shared" si="6"/>
        <v>69.732026976935714</v>
      </c>
      <c r="I35" s="171">
        <f t="shared" si="6"/>
        <v>-226.81086825249994</v>
      </c>
      <c r="J35" s="172">
        <f t="shared" si="6"/>
        <v>13.189775834874752</v>
      </c>
      <c r="K35" s="173">
        <f t="shared" si="6"/>
        <v>-13.270955373381582</v>
      </c>
      <c r="L35" s="172">
        <f t="shared" si="6"/>
        <v>-58.591371142050775</v>
      </c>
      <c r="M35" s="171">
        <f t="shared" si="6"/>
        <v>-95.896035359999871</v>
      </c>
      <c r="N35" s="171">
        <f t="shared" si="6"/>
        <v>9.9883297095997818</v>
      </c>
      <c r="O35" s="171">
        <f t="shared" si="6"/>
        <v>18.280968556090272</v>
      </c>
      <c r="P35" s="171">
        <f t="shared" si="6"/>
        <v>75.347959759072126</v>
      </c>
      <c r="Q35" s="174">
        <f t="shared" si="6"/>
        <v>128.49363475545852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35" priority="5">
      <formula>CELL("protect",C39)=0</formula>
    </cfRule>
    <cfRule type="expression" dxfId="34" priority="6">
      <formula>CELL("protect",C39)=0</formula>
    </cfRule>
  </conditionalFormatting>
  <conditionalFormatting sqref="C37">
    <cfRule type="expression" dxfId="33" priority="3">
      <formula>CELL("protect",C37)=0</formula>
    </cfRule>
    <cfRule type="expression" dxfId="32" priority="4">
      <formula>CELL("protect",C37)=0</formula>
    </cfRule>
  </conditionalFormatting>
  <conditionalFormatting sqref="C39">
    <cfRule type="expression" dxfId="31" priority="1">
      <formula>CELL("protect",C39)=0</formula>
    </cfRule>
    <cfRule type="expression" dxfId="30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&amp;C199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23</v>
      </c>
      <c r="H2" s="397" t="s">
        <v>59</v>
      </c>
    </row>
    <row r="3" spans="2:19" ht="30.95" customHeight="1" thickBot="1">
      <c r="H3" s="624" t="s">
        <v>349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'PVC-C5'!D36-'PVC-C5'!D65</f>
        <v>277</v>
      </c>
      <c r="E7" s="151">
        <f>'PVC-C5'!E36-'PVC-C5'!E65</f>
        <v>281.5</v>
      </c>
      <c r="F7" s="151">
        <f>'PVC-C5'!F36-'PVC-C5'!F65</f>
        <v>333</v>
      </c>
      <c r="G7" s="151">
        <f>'PVC-C5'!G36-'PVC-C5'!G65</f>
        <v>292.5</v>
      </c>
      <c r="H7" s="151">
        <f>'PVC-C5'!H36-'PVC-C5'!H65</f>
        <v>238</v>
      </c>
      <c r="I7" s="151">
        <f>'PVC-C5'!I36-'PVC-C5'!I65</f>
        <v>245</v>
      </c>
      <c r="J7" s="152">
        <f>'PVC-C5'!J36-'PVC-C5'!J65</f>
        <v>214.5</v>
      </c>
      <c r="K7" s="153">
        <f>'PVC-C5'!K36-'PVC-C5'!K65</f>
        <v>204</v>
      </c>
      <c r="L7" s="152">
        <f>'PVC-C5'!L36-'PVC-C5'!L65</f>
        <v>190</v>
      </c>
      <c r="M7" s="151">
        <f>'PVC-C5'!M36-'PVC-C5'!M65</f>
        <v>190</v>
      </c>
      <c r="N7" s="151">
        <f>'PVC-C5'!N36-'PVC-C5'!N65</f>
        <v>190</v>
      </c>
      <c r="O7" s="151">
        <f>'PVC-C5'!O36-'PVC-C5'!O65</f>
        <v>210</v>
      </c>
      <c r="P7" s="151">
        <f>'PVC-C5'!P36-'PVC-C5'!P65</f>
        <v>210</v>
      </c>
      <c r="Q7" s="154">
        <f>'PVC-C5'!Q36-'PVC-C5'!Q65</f>
        <v>200</v>
      </c>
    </row>
    <row r="8" spans="2:19" ht="18" customHeight="1">
      <c r="B8" s="605" t="s">
        <v>434</v>
      </c>
      <c r="C8" s="606"/>
      <c r="D8" s="155">
        <f>'PVC-C5'!D37-'PVC-C5'!D66</f>
        <v>401.5</v>
      </c>
      <c r="E8" s="156">
        <f>'PVC-C5'!E37-'PVC-C5'!E66</f>
        <v>415</v>
      </c>
      <c r="F8" s="156">
        <f>'PVC-C5'!F37-'PVC-C5'!F66</f>
        <v>489</v>
      </c>
      <c r="G8" s="156">
        <f>'PVC-C5'!G37-'PVC-C5'!G66</f>
        <v>523</v>
      </c>
      <c r="H8" s="156">
        <f>'PVC-C5'!H37-'PVC-C5'!H66</f>
        <v>474</v>
      </c>
      <c r="I8" s="156">
        <f>'PVC-C5'!I37-'PVC-C5'!I66</f>
        <v>544</v>
      </c>
      <c r="J8" s="157">
        <f>'PVC-C5'!J37-'PVC-C5'!J66</f>
        <v>561.5</v>
      </c>
      <c r="K8" s="158">
        <f>'PVC-C5'!K37-'PVC-C5'!K66</f>
        <v>604</v>
      </c>
      <c r="L8" s="157">
        <f>'PVC-C5'!L37-'PVC-C5'!L66</f>
        <v>565</v>
      </c>
      <c r="M8" s="156">
        <f>'PVC-C5'!M37-'PVC-C5'!M66</f>
        <v>562.5</v>
      </c>
      <c r="N8" s="156">
        <f>'PVC-C5'!N37-'PVC-C5'!N66</f>
        <v>562.5</v>
      </c>
      <c r="O8" s="156">
        <f>'PVC-C5'!O37-'PVC-C5'!O66</f>
        <v>587.5</v>
      </c>
      <c r="P8" s="156">
        <f>'PVC-C5'!P37-'PVC-C5'!P66</f>
        <v>585</v>
      </c>
      <c r="Q8" s="159">
        <f>'PVC-C5'!Q37-'PVC-C5'!Q66</f>
        <v>585</v>
      </c>
    </row>
    <row r="9" spans="2:19" ht="18" customHeight="1">
      <c r="B9" s="605" t="s">
        <v>435</v>
      </c>
      <c r="C9" s="606"/>
      <c r="D9" s="155">
        <f>'PVC-C5'!D38-'PVC-C5'!D67</f>
        <v>-21</v>
      </c>
      <c r="E9" s="156">
        <f>'PVC-C5'!E38-'PVC-C5'!E67</f>
        <v>-18.528500000000001</v>
      </c>
      <c r="F9" s="156">
        <f>'PVC-C5'!F38-'PVC-C5'!F67</f>
        <v>-19.674500000000002</v>
      </c>
      <c r="G9" s="156">
        <f>'PVC-C5'!G38-'PVC-C5'!G67</f>
        <v>-18.2545</v>
      </c>
      <c r="H9" s="156">
        <f>'PVC-C5'!H38-'PVC-C5'!H67</f>
        <v>-18.783880499999999</v>
      </c>
      <c r="I9" s="156">
        <f>'PVC-C5'!I38-'PVC-C5'!I67</f>
        <v>-16.944499999999998</v>
      </c>
      <c r="J9" s="157">
        <f>'PVC-C5'!J38-'PVC-C5'!J67</f>
        <v>-17.5</v>
      </c>
      <c r="K9" s="158">
        <f>'PVC-C5'!K38-'PVC-C5'!K67</f>
        <v>-21.5</v>
      </c>
      <c r="L9" s="157">
        <f>'PVC-C5'!L38-'PVC-C5'!L67</f>
        <v>-22</v>
      </c>
      <c r="M9" s="156">
        <f>'PVC-C5'!M38-'PVC-C5'!M67</f>
        <v>-23</v>
      </c>
      <c r="N9" s="156">
        <f>'PVC-C5'!N38-'PVC-C5'!N67</f>
        <v>-23.5</v>
      </c>
      <c r="O9" s="156">
        <f>'PVC-C5'!O38-'PVC-C5'!O67</f>
        <v>-24</v>
      </c>
      <c r="P9" s="156">
        <f>'PVC-C5'!P38-'PVC-C5'!P67</f>
        <v>-24.5</v>
      </c>
      <c r="Q9" s="159">
        <f>'PVC-C5'!Q38-'PVC-C5'!Q67</f>
        <v>-25</v>
      </c>
    </row>
    <row r="10" spans="2:19" ht="18" customHeight="1">
      <c r="B10" s="605" t="s">
        <v>436</v>
      </c>
      <c r="C10" s="606"/>
      <c r="D10" s="155">
        <f>'PVC-C5'!D39-'PVC-C5'!D68</f>
        <v>-596</v>
      </c>
      <c r="E10" s="156">
        <f>'PVC-C5'!E39-'PVC-C5'!E68</f>
        <v>-407</v>
      </c>
      <c r="F10" s="156">
        <f>'PVC-C5'!F39-'PVC-C5'!F68</f>
        <v>-342</v>
      </c>
      <c r="G10" s="156">
        <f>'PVC-C5'!G39-'PVC-C5'!G68</f>
        <v>-179</v>
      </c>
      <c r="H10" s="156">
        <f>'PVC-C5'!H39-'PVC-C5'!H68</f>
        <v>196</v>
      </c>
      <c r="I10" s="156">
        <f>'PVC-C5'!I39-'PVC-C5'!I68</f>
        <v>-38.5</v>
      </c>
      <c r="J10" s="157">
        <f>'PVC-C5'!J39-'PVC-C5'!J68</f>
        <v>140</v>
      </c>
      <c r="K10" s="158">
        <f>'PVC-C5'!K39-'PVC-C5'!K68</f>
        <v>31.5</v>
      </c>
      <c r="L10" s="157">
        <f>'PVC-C5'!L39-'PVC-C5'!L68</f>
        <v>104.84999999999991</v>
      </c>
      <c r="M10" s="156">
        <f>'PVC-C5'!M39-'PVC-C5'!M68</f>
        <v>256.5</v>
      </c>
      <c r="N10" s="156">
        <f>'PVC-C5'!N39-'PVC-C5'!N68</f>
        <v>431.54999999999995</v>
      </c>
      <c r="O10" s="156">
        <f>'PVC-C5'!O39-'PVC-C5'!O68</f>
        <v>464.84999999999991</v>
      </c>
      <c r="P10" s="156">
        <f>'PVC-C5'!P39-'PVC-C5'!P68</f>
        <v>526.05000000000018</v>
      </c>
      <c r="Q10" s="159">
        <f>'PVC-C5'!Q39-'PVC-C5'!Q68</f>
        <v>603.45000000000005</v>
      </c>
    </row>
    <row r="11" spans="2:19" ht="18" customHeight="1">
      <c r="B11" s="605" t="s">
        <v>437</v>
      </c>
      <c r="C11" s="606"/>
      <c r="D11" s="155">
        <f>'PVC-C5'!D40-'PVC-C5'!D69</f>
        <v>194.5</v>
      </c>
      <c r="E11" s="156">
        <f>'PVC-C5'!E40-'PVC-C5'!E69</f>
        <v>143</v>
      </c>
      <c r="F11" s="156">
        <f>'PVC-C5'!F40-'PVC-C5'!F69</f>
        <v>126</v>
      </c>
      <c r="G11" s="156">
        <f>'PVC-C5'!G40-'PVC-C5'!G69</f>
        <v>157.458</v>
      </c>
      <c r="H11" s="156">
        <f>'PVC-C5'!H40-'PVC-C5'!H69</f>
        <v>103.23600000000002</v>
      </c>
      <c r="I11" s="156">
        <f>'PVC-C5'!I40-'PVC-C5'!I69</f>
        <v>113.077</v>
      </c>
      <c r="J11" s="157">
        <f>'PVC-C5'!J40-'PVC-C5'!J69</f>
        <v>78</v>
      </c>
      <c r="K11" s="158">
        <f>'PVC-C5'!K40-'PVC-C5'!K69</f>
        <v>175.5565</v>
      </c>
      <c r="L11" s="157">
        <f>'PVC-C5'!L40-'PVC-C5'!L69</f>
        <v>183.06679950000003</v>
      </c>
      <c r="M11" s="156">
        <f>'PVC-C5'!M40-'PVC-C5'!M69</f>
        <v>178.78348873035</v>
      </c>
      <c r="N11" s="156">
        <f>'PVC-C5'!N40-'PVC-C5'!N69</f>
        <v>174.60979409742495</v>
      </c>
      <c r="O11" s="156">
        <f>'PVC-C5'!O40-'PVC-C5'!O69</f>
        <v>170.52036794265427</v>
      </c>
      <c r="P11" s="156">
        <f>'PVC-C5'!P40-'PVC-C5'!P69</f>
        <v>166.4169743816507</v>
      </c>
      <c r="Q11" s="159">
        <f>'PVC-C5'!Q40-'PVC-C5'!Q69</f>
        <v>162.17019652564409</v>
      </c>
    </row>
    <row r="12" spans="2:19" ht="18" customHeight="1">
      <c r="B12" s="605" t="s">
        <v>438</v>
      </c>
      <c r="C12" s="606"/>
      <c r="D12" s="155">
        <f>'PVC-C5'!D41-'PVC-C5'!D70</f>
        <v>80.452049999999986</v>
      </c>
      <c r="E12" s="156">
        <f>'PVC-C5'!E41-'PVC-C5'!E70</f>
        <v>39</v>
      </c>
      <c r="F12" s="156">
        <f>'PVC-C5'!F41-'PVC-C5'!F70</f>
        <v>-1</v>
      </c>
      <c r="G12" s="156">
        <f>'PVC-C5'!G41-'PVC-C5'!G70</f>
        <v>-1</v>
      </c>
      <c r="H12" s="156">
        <f>'PVC-C5'!H41-'PVC-C5'!H70</f>
        <v>-14</v>
      </c>
      <c r="I12" s="156">
        <f>'PVC-C5'!I41-'PVC-C5'!I70</f>
        <v>13.5</v>
      </c>
      <c r="J12" s="157">
        <f>'PVC-C5'!J41-'PVC-C5'!J70</f>
        <v>119.75</v>
      </c>
      <c r="K12" s="158">
        <f>'PVC-C5'!K41-'PVC-C5'!K70</f>
        <v>85.75</v>
      </c>
      <c r="L12" s="157">
        <f>'PVC-C5'!L41-'PVC-C5'!L70</f>
        <v>89.25</v>
      </c>
      <c r="M12" s="156">
        <f>'PVC-C5'!M41-'PVC-C5'!M70</f>
        <v>72.25</v>
      </c>
      <c r="N12" s="156">
        <f>'PVC-C5'!N41-'PVC-C5'!N70</f>
        <v>55.75</v>
      </c>
      <c r="O12" s="156">
        <f>'PVC-C5'!O41-'PVC-C5'!O70</f>
        <v>35.75</v>
      </c>
      <c r="P12" s="156">
        <f>'PVC-C5'!P41-'PVC-C5'!P70</f>
        <v>18.5</v>
      </c>
      <c r="Q12" s="159">
        <f>'PVC-C5'!Q41-'PVC-C5'!Q70</f>
        <v>-1.5</v>
      </c>
    </row>
    <row r="13" spans="2:19" ht="18" customHeight="1">
      <c r="B13" s="605" t="s">
        <v>439</v>
      </c>
      <c r="C13" s="606"/>
      <c r="D13" s="155">
        <f>'PVC-C5'!D42-'PVC-C5'!D71</f>
        <v>-329.5</v>
      </c>
      <c r="E13" s="156">
        <f>'PVC-C5'!E42-'PVC-C5'!E71</f>
        <v>-361</v>
      </c>
      <c r="F13" s="156">
        <f>'PVC-C5'!F42-'PVC-C5'!F71</f>
        <v>-494.5</v>
      </c>
      <c r="G13" s="156">
        <f>'PVC-C5'!G42-'PVC-C5'!G71</f>
        <v>-547.5</v>
      </c>
      <c r="H13" s="156">
        <f>'PVC-C5'!H42-'PVC-C5'!H71</f>
        <v>-575</v>
      </c>
      <c r="I13" s="156">
        <f>'PVC-C5'!I42-'PVC-C5'!I71</f>
        <v>-550</v>
      </c>
      <c r="J13" s="157">
        <f>'PVC-C5'!J42-'PVC-C5'!J71</f>
        <v>-768</v>
      </c>
      <c r="K13" s="158">
        <f>'PVC-C5'!K42-'PVC-C5'!K71</f>
        <v>-750</v>
      </c>
      <c r="L13" s="157">
        <f>'PVC-C5'!L42-'PVC-C5'!L71</f>
        <v>-800</v>
      </c>
      <c r="M13" s="156">
        <f>'PVC-C5'!M42-'PVC-C5'!M71</f>
        <v>-900</v>
      </c>
      <c r="N13" s="156">
        <f>'PVC-C5'!N42-'PVC-C5'!N71</f>
        <v>-1000</v>
      </c>
      <c r="O13" s="156">
        <f>'PVC-C5'!O42-'PVC-C5'!O71</f>
        <v>-1100</v>
      </c>
      <c r="P13" s="156">
        <f>'PVC-C5'!P42-'PVC-C5'!P71</f>
        <v>-1200</v>
      </c>
      <c r="Q13" s="159">
        <f>'PVC-C5'!Q42-'PVC-C5'!Q71</f>
        <v>-1200</v>
      </c>
    </row>
    <row r="14" spans="2:19" ht="18" hidden="1" customHeight="1">
      <c r="B14" s="16"/>
      <c r="C14" s="90" t="s">
        <v>306</v>
      </c>
      <c r="D14" s="155">
        <f>'PVC-C5'!D43-'PVC-C5'!D72</f>
        <v>0</v>
      </c>
      <c r="E14" s="156">
        <f>'PVC-C5'!E43-'PVC-C5'!E72</f>
        <v>0</v>
      </c>
      <c r="F14" s="156">
        <f>'PVC-C5'!F43-'PVC-C5'!F72</f>
        <v>0</v>
      </c>
      <c r="G14" s="156">
        <f>'PVC-C5'!G43-'PVC-C5'!G72</f>
        <v>0</v>
      </c>
      <c r="H14" s="156">
        <f>'PVC-C5'!H43-'PVC-C5'!H72</f>
        <v>0</v>
      </c>
      <c r="I14" s="156">
        <f>'PVC-C5'!I43-'PVC-C5'!I72</f>
        <v>0</v>
      </c>
      <c r="J14" s="157">
        <f>'PVC-C5'!J43-'PVC-C5'!J72</f>
        <v>0</v>
      </c>
      <c r="K14" s="158">
        <f>'PVC-C5'!K43-'PVC-C5'!K72</f>
        <v>0</v>
      </c>
      <c r="L14" s="157">
        <f>'PVC-C5'!L43-'PVC-C5'!L72</f>
        <v>0</v>
      </c>
      <c r="M14" s="156">
        <f>'PVC-C5'!M43-'PVC-C5'!M72</f>
        <v>0</v>
      </c>
      <c r="N14" s="156">
        <f>'PVC-C5'!N43-'PVC-C5'!N72</f>
        <v>0</v>
      </c>
      <c r="O14" s="156">
        <f>'PVC-C5'!O43-'PVC-C5'!O72</f>
        <v>0</v>
      </c>
      <c r="P14" s="156">
        <f>'PVC-C5'!P43-'PVC-C5'!P72</f>
        <v>0</v>
      </c>
      <c r="Q14" s="159">
        <f>'PVC-C5'!Q43-'PVC-C5'!Q72</f>
        <v>0</v>
      </c>
    </row>
    <row r="15" spans="2:19" ht="18" customHeight="1">
      <c r="B15" s="605" t="s">
        <v>440</v>
      </c>
      <c r="C15" s="606"/>
      <c r="D15" s="155">
        <f>'PVC-C5'!D44-'PVC-C5'!D73</f>
        <v>-9</v>
      </c>
      <c r="E15" s="156">
        <f>'PVC-C5'!E44-'PVC-C5'!E73</f>
        <v>-11.5</v>
      </c>
      <c r="F15" s="156">
        <f>'PVC-C5'!F44-'PVC-C5'!F73</f>
        <v>-16.240000000000002</v>
      </c>
      <c r="G15" s="156">
        <f>'PVC-C5'!G44-'PVC-C5'!G73</f>
        <v>-15</v>
      </c>
      <c r="H15" s="156">
        <f>'PVC-C5'!H44-'PVC-C5'!H73</f>
        <v>-24</v>
      </c>
      <c r="I15" s="156">
        <f>'PVC-C5'!I44-'PVC-C5'!I73</f>
        <v>-6.7100000000000009</v>
      </c>
      <c r="J15" s="157">
        <f>'PVC-C5'!J44-'PVC-C5'!J73</f>
        <v>-12</v>
      </c>
      <c r="K15" s="158">
        <f>'PVC-C5'!K44-'PVC-C5'!K73</f>
        <v>-18.5</v>
      </c>
      <c r="L15" s="157">
        <f>'PVC-C5'!L44-'PVC-C5'!L73</f>
        <v>-25</v>
      </c>
      <c r="M15" s="156">
        <f>'PVC-C5'!M44-'PVC-C5'!M73</f>
        <v>-5</v>
      </c>
      <c r="N15" s="156">
        <f>'PVC-C5'!N44-'PVC-C5'!N73</f>
        <v>-8</v>
      </c>
      <c r="O15" s="156">
        <f>'PVC-C5'!O44-'PVC-C5'!O73</f>
        <v>-11.5</v>
      </c>
      <c r="P15" s="156">
        <f>'PVC-C5'!P44-'PVC-C5'!P73</f>
        <v>-16</v>
      </c>
      <c r="Q15" s="159">
        <f>'PVC-C5'!Q44-'PVC-C5'!Q73</f>
        <v>-21</v>
      </c>
    </row>
    <row r="16" spans="2:19" ht="18" customHeight="1">
      <c r="B16" s="605" t="s">
        <v>441</v>
      </c>
      <c r="C16" s="606"/>
      <c r="D16" s="155">
        <f>'PVC-C5'!D45-'PVC-C5'!D74</f>
        <v>45</v>
      </c>
      <c r="E16" s="156">
        <f>'PVC-C5'!E45-'PVC-C5'!E74</f>
        <v>46.5</v>
      </c>
      <c r="F16" s="156">
        <f>'PVC-C5'!F45-'PVC-C5'!F74</f>
        <v>-19.5</v>
      </c>
      <c r="G16" s="156">
        <f>'PVC-C5'!G45-'PVC-C5'!G74</f>
        <v>-63.23299999999999</v>
      </c>
      <c r="H16" s="156">
        <f>'PVC-C5'!H45-'PVC-C5'!H74</f>
        <v>-85.322999999999993</v>
      </c>
      <c r="I16" s="156">
        <f>'PVC-C5'!I45-'PVC-C5'!I74</f>
        <v>-82.410500000000013</v>
      </c>
      <c r="J16" s="157">
        <f>'PVC-C5'!J45-'PVC-C5'!J74</f>
        <v>-99.5</v>
      </c>
      <c r="K16" s="158">
        <f>'PVC-C5'!K45-'PVC-C5'!K74</f>
        <v>-89.658000000000001</v>
      </c>
      <c r="L16" s="157">
        <f>'PVC-C5'!L45-'PVC-C5'!L74</f>
        <v>-95.626999999999995</v>
      </c>
      <c r="M16" s="156">
        <f>'PVC-C5'!M45-'PVC-C5'!M74</f>
        <v>-101.74357400000001</v>
      </c>
      <c r="N16" s="156">
        <f>'PVC-C5'!N45-'PVC-C5'!N74</f>
        <v>-108.41968155200003</v>
      </c>
      <c r="O16" s="156">
        <f>'PVC-C5'!O45-'PVC-C5'!O74</f>
        <v>-115.47454693911682</v>
      </c>
      <c r="P16" s="156">
        <f>'PVC-C5'!P45-'PVC-C5'!P74</f>
        <v>-122.87086781097007</v>
      </c>
      <c r="Q16" s="159">
        <f>'PVC-C5'!Q45-'PVC-C5'!Q74</f>
        <v>-130.625170613021</v>
      </c>
    </row>
    <row r="17" spans="2:17" ht="18" customHeight="1">
      <c r="B17" s="605" t="s">
        <v>442</v>
      </c>
      <c r="C17" s="606"/>
      <c r="D17" s="155">
        <f>'PVC-C5'!D46-'PVC-C5'!D75</f>
        <v>20</v>
      </c>
      <c r="E17" s="156">
        <f>'PVC-C5'!E46-'PVC-C5'!E75</f>
        <v>11.5</v>
      </c>
      <c r="F17" s="156">
        <f>'PVC-C5'!F46-'PVC-C5'!F75</f>
        <v>2.5</v>
      </c>
      <c r="G17" s="156">
        <f>'PVC-C5'!G46-'PVC-C5'!G75</f>
        <v>-7.5</v>
      </c>
      <c r="H17" s="156">
        <f>'PVC-C5'!H46-'PVC-C5'!H75</f>
        <v>-17.5</v>
      </c>
      <c r="I17" s="156">
        <f>'PVC-C5'!I46-'PVC-C5'!I75</f>
        <v>-28.5</v>
      </c>
      <c r="J17" s="157">
        <f>'PVC-C5'!J46-'PVC-C5'!J75</f>
        <v>-9.5</v>
      </c>
      <c r="K17" s="158">
        <f>'PVC-C5'!K46-'PVC-C5'!K75</f>
        <v>-99</v>
      </c>
      <c r="L17" s="157">
        <f>'PVC-C5'!L46-'PVC-C5'!L75</f>
        <v>-114</v>
      </c>
      <c r="M17" s="156">
        <f>'PVC-C5'!M46-'PVC-C5'!M75</f>
        <v>-131</v>
      </c>
      <c r="N17" s="156">
        <f>'PVC-C5'!N46-'PVC-C5'!N75</f>
        <v>-149</v>
      </c>
      <c r="O17" s="156">
        <f>'PVC-C5'!O46-'PVC-C5'!O75</f>
        <v>-168.5</v>
      </c>
      <c r="P17" s="156">
        <f>'PVC-C5'!P46-'PVC-C5'!P75</f>
        <v>-189</v>
      </c>
      <c r="Q17" s="159">
        <f>'PVC-C5'!Q46-'PVC-C5'!Q75</f>
        <v>-210.5</v>
      </c>
    </row>
    <row r="18" spans="2:17" ht="18" customHeight="1">
      <c r="B18" s="607" t="s">
        <v>443</v>
      </c>
      <c r="C18" s="608"/>
      <c r="D18" s="155">
        <f>'PVC-C5'!D47-'PVC-C5'!D76</f>
        <v>356.20000000000005</v>
      </c>
      <c r="E18" s="156">
        <f>'PVC-C5'!E47-'PVC-C5'!E76</f>
        <v>229.20000000000005</v>
      </c>
      <c r="F18" s="156">
        <f>'PVC-C5'!F47-'PVC-C5'!F76</f>
        <v>142.35000000000002</v>
      </c>
      <c r="G18" s="156">
        <f>'PVC-C5'!G47-'PVC-C5'!G76</f>
        <v>204.19999999999993</v>
      </c>
      <c r="H18" s="156">
        <f>'PVC-C5'!H47-'PVC-C5'!H76</f>
        <v>207.14999999999998</v>
      </c>
      <c r="I18" s="156">
        <f>'PVC-C5'!I47-'PVC-C5'!I76</f>
        <v>282.39999999999998</v>
      </c>
      <c r="J18" s="157">
        <f>'PVC-C5'!J47-'PVC-C5'!J76</f>
        <v>317.85000000000002</v>
      </c>
      <c r="K18" s="158">
        <f>'PVC-C5'!K47-'PVC-C5'!K76</f>
        <v>328.40000000000009</v>
      </c>
      <c r="L18" s="157">
        <f>'PVC-C5'!L47-'PVC-C5'!L76</f>
        <v>316.25</v>
      </c>
      <c r="M18" s="156">
        <f>'PVC-C5'!M47-'PVC-C5'!M76</f>
        <v>300</v>
      </c>
      <c r="N18" s="156">
        <f>'PVC-C5'!N47-'PVC-C5'!N76</f>
        <v>295</v>
      </c>
      <c r="O18" s="156">
        <f>'PVC-C5'!O47-'PVC-C5'!O76</f>
        <v>295</v>
      </c>
      <c r="P18" s="156">
        <f>'PVC-C5'!P47-'PVC-C5'!P76</f>
        <v>295</v>
      </c>
      <c r="Q18" s="159">
        <f>'PVC-C5'!Q47-'PVC-C5'!Q76</f>
        <v>295</v>
      </c>
    </row>
    <row r="19" spans="2:17" ht="21" customHeight="1">
      <c r="B19" s="674" t="s">
        <v>307</v>
      </c>
      <c r="C19" s="675"/>
      <c r="D19" s="160">
        <f t="shared" ref="D19:K19" si="0">SUM(D7:D18)</f>
        <v>419.15205000000003</v>
      </c>
      <c r="E19" s="161">
        <f t="shared" si="0"/>
        <v>367.67150000000004</v>
      </c>
      <c r="F19" s="161">
        <f t="shared" si="0"/>
        <v>199.93550000000005</v>
      </c>
      <c r="G19" s="161">
        <f t="shared" si="0"/>
        <v>345.67049999999989</v>
      </c>
      <c r="H19" s="161">
        <f t="shared" si="0"/>
        <v>483.77911949999998</v>
      </c>
      <c r="I19" s="161">
        <f t="shared" si="0"/>
        <v>474.91200000000003</v>
      </c>
      <c r="J19" s="162">
        <f t="shared" si="0"/>
        <v>525.1</v>
      </c>
      <c r="K19" s="163">
        <f t="shared" si="0"/>
        <v>450.54850000000022</v>
      </c>
      <c r="L19" s="162">
        <f t="shared" ref="L19:Q19" si="1">SUM(L7:L18)</f>
        <v>391.78979949999979</v>
      </c>
      <c r="M19" s="161">
        <f t="shared" si="1"/>
        <v>399.28991473034995</v>
      </c>
      <c r="N19" s="161">
        <f t="shared" si="1"/>
        <v>420.49011254542495</v>
      </c>
      <c r="O19" s="161">
        <f t="shared" si="1"/>
        <v>344.14582100353738</v>
      </c>
      <c r="P19" s="161">
        <f t="shared" si="1"/>
        <v>248.59610657068089</v>
      </c>
      <c r="Q19" s="164">
        <f t="shared" si="1"/>
        <v>256.99502591262313</v>
      </c>
    </row>
    <row r="20" spans="2:17" ht="21" customHeight="1">
      <c r="B20" s="672" t="s">
        <v>308</v>
      </c>
      <c r="C20" s="673"/>
      <c r="D20" s="160">
        <f>'PVC-C5'!D49-'PVC-C5'!D78</f>
        <v>-92.5</v>
      </c>
      <c r="E20" s="161">
        <f>'PVC-C5'!E49-'PVC-C5'!E78</f>
        <v>-77</v>
      </c>
      <c r="F20" s="161">
        <f>'PVC-C5'!F49-'PVC-C5'!F78</f>
        <v>-17.5</v>
      </c>
      <c r="G20" s="161">
        <f>'PVC-C5'!G49-'PVC-C5'!G78</f>
        <v>-17.5</v>
      </c>
      <c r="H20" s="161">
        <f>'PVC-C5'!H49-'PVC-C5'!H78</f>
        <v>-22.5</v>
      </c>
      <c r="I20" s="161">
        <f>'PVC-C5'!I49-'PVC-C5'!I78</f>
        <v>-37.5</v>
      </c>
      <c r="J20" s="162">
        <f>'PVC-C5'!J49-'PVC-C5'!J78</f>
        <v>-94</v>
      </c>
      <c r="K20" s="163">
        <f>'PVC-C5'!K49-'PVC-C5'!K78</f>
        <v>-109</v>
      </c>
      <c r="L20" s="162">
        <f>'PVC-C5'!L49-'PVC-C5'!L78</f>
        <v>-115</v>
      </c>
      <c r="M20" s="161">
        <f>'PVC-C5'!M49-'PVC-C5'!M78</f>
        <v>-115</v>
      </c>
      <c r="N20" s="161">
        <f>'PVC-C5'!N49-'PVC-C5'!N78</f>
        <v>-116</v>
      </c>
      <c r="O20" s="161">
        <f>'PVC-C5'!O49-'PVC-C5'!O78</f>
        <v>-117</v>
      </c>
      <c r="P20" s="161">
        <f>'PVC-C5'!P49-'PVC-C5'!P78</f>
        <v>-118</v>
      </c>
      <c r="Q20" s="164">
        <f>'PVC-C5'!Q49-'PVC-C5'!Q78</f>
        <v>-119</v>
      </c>
    </row>
    <row r="21" spans="2:17" ht="18" customHeight="1">
      <c r="B21" s="105"/>
      <c r="C21" s="97" t="s">
        <v>309</v>
      </c>
      <c r="D21" s="160">
        <f>'PVC-C5'!D50-'PVC-C5'!D79</f>
        <v>-75</v>
      </c>
      <c r="E21" s="161">
        <f>'PVC-C5'!E50-'PVC-C5'!E79</f>
        <v>-77</v>
      </c>
      <c r="F21" s="161">
        <f>'PVC-C5'!F50-'PVC-C5'!F79</f>
        <v>-17.5</v>
      </c>
      <c r="G21" s="161">
        <f>'PVC-C5'!G50-'PVC-C5'!G79</f>
        <v>-17.5</v>
      </c>
      <c r="H21" s="161">
        <f>'PVC-C5'!H50-'PVC-C5'!H79</f>
        <v>-22.5</v>
      </c>
      <c r="I21" s="161">
        <f>'PVC-C5'!I50-'PVC-C5'!I79</f>
        <v>-37.5</v>
      </c>
      <c r="J21" s="162">
        <f>'PVC-C5'!J50-'PVC-C5'!J79</f>
        <v>-94</v>
      </c>
      <c r="K21" s="163">
        <f>'PVC-C5'!K50-'PVC-C5'!K79</f>
        <v>-109</v>
      </c>
      <c r="L21" s="162">
        <f>'PVC-C5'!L50-'PVC-C5'!L79</f>
        <v>-115</v>
      </c>
      <c r="M21" s="161">
        <f>'PVC-C5'!M50-'PVC-C5'!M79</f>
        <v>-115</v>
      </c>
      <c r="N21" s="161">
        <f>'PVC-C5'!N50-'PVC-C5'!N79</f>
        <v>-116</v>
      </c>
      <c r="O21" s="161">
        <f>'PVC-C5'!O50-'PVC-C5'!O79</f>
        <v>-117</v>
      </c>
      <c r="P21" s="161">
        <f>'PVC-C5'!P50-'PVC-C5'!P79</f>
        <v>-118</v>
      </c>
      <c r="Q21" s="164">
        <f>'PVC-C5'!Q50-'PVC-C5'!Q79</f>
        <v>-119</v>
      </c>
    </row>
    <row r="22" spans="2:17" ht="21" customHeight="1">
      <c r="B22" s="672" t="s">
        <v>310</v>
      </c>
      <c r="C22" s="673"/>
      <c r="D22" s="155">
        <f>'PVC-C5'!D51-'PVC-C5'!D80</f>
        <v>-26</v>
      </c>
      <c r="E22" s="156">
        <f>'PVC-C5'!E51-'PVC-C5'!E80</f>
        <v>400.5</v>
      </c>
      <c r="F22" s="156">
        <f>'PVC-C5'!F51-'PVC-C5'!F80</f>
        <v>479.5</v>
      </c>
      <c r="G22" s="156">
        <f>'PVC-C5'!G51-'PVC-C5'!G80</f>
        <v>439</v>
      </c>
      <c r="H22" s="156">
        <f>'PVC-C5'!H51-'PVC-C5'!H80</f>
        <v>449.46681600000011</v>
      </c>
      <c r="I22" s="156">
        <f>'PVC-C5'!I51-'PVC-C5'!I80</f>
        <v>426.96000000000004</v>
      </c>
      <c r="J22" s="157">
        <f>'PVC-C5'!J51-'PVC-C5'!J80</f>
        <v>346.0329055000002</v>
      </c>
      <c r="K22" s="158">
        <f>'PVC-C5'!K51-'PVC-C5'!K80</f>
        <v>412</v>
      </c>
      <c r="L22" s="157">
        <f>'PVC-C5'!L51-'PVC-C5'!L80</f>
        <v>449.68165500000032</v>
      </c>
      <c r="M22" s="156">
        <f>'PVC-C5'!M51-'PVC-C5'!M80</f>
        <v>431.00149300000021</v>
      </c>
      <c r="N22" s="156">
        <f>'PVC-C5'!N51-'PVC-C5'!N80</f>
        <v>423.91697599999998</v>
      </c>
      <c r="O22" s="156">
        <f>'PVC-C5'!O51-'PVC-C5'!O80</f>
        <v>380.24567200000001</v>
      </c>
      <c r="P22" s="156">
        <f>'PVC-C5'!P51-'PVC-C5'!P80</f>
        <v>358.73633849999987</v>
      </c>
      <c r="Q22" s="159">
        <f>'PVC-C5'!Q51-'PVC-C5'!Q80</f>
        <v>312.52215299999989</v>
      </c>
    </row>
    <row r="23" spans="2:17" ht="21" customHeight="1">
      <c r="B23" s="105"/>
      <c r="C23" s="615" t="s">
        <v>311</v>
      </c>
      <c r="D23" s="160">
        <f>'PVC-C5'!D52-'PVC-C5'!D81</f>
        <v>24.5</v>
      </c>
      <c r="E23" s="161">
        <f>'PVC-C5'!E52-'PVC-C5'!E81</f>
        <v>545.5</v>
      </c>
      <c r="F23" s="161">
        <f>'PVC-C5'!F52-'PVC-C5'!F81</f>
        <v>502</v>
      </c>
      <c r="G23" s="161">
        <f>'PVC-C5'!G52-'PVC-C5'!G81</f>
        <v>470</v>
      </c>
      <c r="H23" s="161">
        <f>'PVC-C5'!H52-'PVC-C5'!H81</f>
        <v>466.5</v>
      </c>
      <c r="I23" s="161">
        <f>'PVC-C5'!I52-'PVC-C5'!I81</f>
        <v>406</v>
      </c>
      <c r="J23" s="162">
        <f>'PVC-C5'!J52-'PVC-C5'!J81</f>
        <v>393</v>
      </c>
      <c r="K23" s="163">
        <f>'PVC-C5'!K52-'PVC-C5'!K81</f>
        <v>435</v>
      </c>
      <c r="L23" s="162">
        <f>'PVC-C5'!L52-'PVC-C5'!L81</f>
        <v>461.81573500000013</v>
      </c>
      <c r="M23" s="161">
        <f>'PVC-C5'!M52-'PVC-C5'!M81</f>
        <v>460.43921600000021</v>
      </c>
      <c r="N23" s="161">
        <f>'PVC-C5'!N52-'PVC-C5'!N81</f>
        <v>463.41979700000002</v>
      </c>
      <c r="O23" s="161">
        <f>'PVC-C5'!O52-'PVC-C5'!O81</f>
        <v>428.62206349999997</v>
      </c>
      <c r="P23" s="161">
        <f>'PVC-C5'!P52-'PVC-C5'!P81</f>
        <v>410.90027499999997</v>
      </c>
      <c r="Q23" s="164">
        <f>'PVC-C5'!Q52-'PVC-C5'!Q81</f>
        <v>383.62021400000003</v>
      </c>
    </row>
    <row r="24" spans="2:17" ht="21" customHeight="1">
      <c r="B24" s="672" t="s">
        <v>312</v>
      </c>
      <c r="C24" s="673"/>
      <c r="D24" s="155">
        <f>'PVC-C5'!D53-'PVC-C5'!D82</f>
        <v>-333</v>
      </c>
      <c r="E24" s="156">
        <f>'PVC-C5'!E53-'PVC-C5'!E82</f>
        <v>-273</v>
      </c>
      <c r="F24" s="156">
        <f>'PVC-C5'!F53-'PVC-C5'!F82</f>
        <v>-276.5</v>
      </c>
      <c r="G24" s="156">
        <f>'PVC-C5'!G53-'PVC-C5'!G82</f>
        <v>-262</v>
      </c>
      <c r="H24" s="156">
        <f>'PVC-C5'!H53-'PVC-C5'!H82</f>
        <v>-306</v>
      </c>
      <c r="I24" s="156">
        <f>'PVC-C5'!I53-'PVC-C5'!I82</f>
        <v>-191.5</v>
      </c>
      <c r="J24" s="157">
        <f>'PVC-C5'!J53-'PVC-C5'!J82</f>
        <v>-220.5</v>
      </c>
      <c r="K24" s="158">
        <f>'PVC-C5'!K53-'PVC-C5'!K82</f>
        <v>-237</v>
      </c>
      <c r="L24" s="157">
        <f>'PVC-C5'!L53-'PVC-C5'!L82</f>
        <v>-255</v>
      </c>
      <c r="M24" s="156">
        <f>'PVC-C5'!M53-'PVC-C5'!M82</f>
        <v>-275.5</v>
      </c>
      <c r="N24" s="156">
        <f>'PVC-C5'!N53-'PVC-C5'!N82</f>
        <v>-309.5</v>
      </c>
      <c r="O24" s="156">
        <f>'PVC-C5'!O53-'PVC-C5'!O82</f>
        <v>-306</v>
      </c>
      <c r="P24" s="156">
        <f>'PVC-C5'!P53-'PVC-C5'!P82</f>
        <v>-336.5</v>
      </c>
      <c r="Q24" s="159">
        <f>'PVC-C5'!Q53-'PVC-C5'!Q82</f>
        <v>-366.5</v>
      </c>
    </row>
    <row r="25" spans="2:17" ht="21" customHeight="1">
      <c r="B25" s="16"/>
      <c r="C25" s="615" t="s">
        <v>313</v>
      </c>
      <c r="D25" s="160">
        <f>'PVC-C5'!D54-'PVC-C5'!D83</f>
        <v>-200</v>
      </c>
      <c r="E25" s="161">
        <f>'PVC-C5'!E54-'PVC-C5'!E83</f>
        <v>0</v>
      </c>
      <c r="F25" s="161">
        <f>'PVC-C5'!F54-'PVC-C5'!F83</f>
        <v>0</v>
      </c>
      <c r="G25" s="161">
        <f>'PVC-C5'!G54-'PVC-C5'!G83</f>
        <v>0</v>
      </c>
      <c r="H25" s="161">
        <f>'PVC-C5'!H54-'PVC-C5'!H83</f>
        <v>-20</v>
      </c>
      <c r="I25" s="161">
        <f>'PVC-C5'!I54-'PVC-C5'!I83</f>
        <v>-50</v>
      </c>
      <c r="J25" s="162">
        <f>'PVC-C5'!J54-'PVC-C5'!J83</f>
        <v>-37.5</v>
      </c>
      <c r="K25" s="163">
        <f>'PVC-C5'!K54-'PVC-C5'!K83</f>
        <v>-40</v>
      </c>
      <c r="L25" s="162">
        <f>'PVC-C5'!L54-'PVC-C5'!L83</f>
        <v>-45</v>
      </c>
      <c r="M25" s="161">
        <f>'PVC-C5'!M54-'PVC-C5'!M83</f>
        <v>-52.5</v>
      </c>
      <c r="N25" s="161">
        <f>'PVC-C5'!N54-'PVC-C5'!N83</f>
        <v>-62.5</v>
      </c>
      <c r="O25" s="161">
        <f>'PVC-C5'!O54-'PVC-C5'!O83</f>
        <v>-72.5</v>
      </c>
      <c r="P25" s="161">
        <f>'PVC-C5'!P54-'PVC-C5'!P83</f>
        <v>-83</v>
      </c>
      <c r="Q25" s="164">
        <f>'PVC-C5'!Q54-'PVC-C5'!Q83</f>
        <v>-94</v>
      </c>
    </row>
    <row r="26" spans="2:17" ht="21" customHeight="1">
      <c r="B26" s="674" t="s">
        <v>314</v>
      </c>
      <c r="C26" s="675"/>
      <c r="D26" s="160">
        <f>'PVC-C5'!D55-'PVC-C5'!D84</f>
        <v>-308.5</v>
      </c>
      <c r="E26" s="161">
        <f>'PVC-C5'!E55-'PVC-C5'!E84</f>
        <v>-306.5</v>
      </c>
      <c r="F26" s="161">
        <f>'PVC-C5'!F55-'PVC-C5'!F84</f>
        <v>-327.5</v>
      </c>
      <c r="G26" s="161">
        <f>'PVC-C5'!G55-'PVC-C5'!G84</f>
        <v>-380.5</v>
      </c>
      <c r="H26" s="161">
        <f>'PVC-C5'!H55-'PVC-C5'!H84</f>
        <v>-406.54972799999996</v>
      </c>
      <c r="I26" s="161">
        <f>'PVC-C5'!I55-'PVC-C5'!I84</f>
        <v>-409</v>
      </c>
      <c r="J26" s="162">
        <f>'PVC-C5'!J55-'PVC-C5'!J84</f>
        <v>-409.5</v>
      </c>
      <c r="K26" s="163">
        <f>'PVC-C5'!K55-'PVC-C5'!K84</f>
        <v>-388.5</v>
      </c>
      <c r="L26" s="162">
        <f>'PVC-C5'!L55-'PVC-C5'!L84</f>
        <v>-426</v>
      </c>
      <c r="M26" s="161">
        <f>'PVC-C5'!M55-'PVC-C5'!M84</f>
        <v>-444.5</v>
      </c>
      <c r="N26" s="161">
        <f>'PVC-C5'!N55-'PVC-C5'!N84</f>
        <v>-468.5</v>
      </c>
      <c r="O26" s="161">
        <f>'PVC-C5'!O55-'PVC-C5'!O84</f>
        <v>-496</v>
      </c>
      <c r="P26" s="161">
        <f>'PVC-C5'!P55-'PVC-C5'!P84</f>
        <v>-526</v>
      </c>
      <c r="Q26" s="164">
        <f>'PVC-C5'!Q55-'PVC-C5'!Q84</f>
        <v>-557.5</v>
      </c>
    </row>
    <row r="27" spans="2:17" ht="21" customHeight="1">
      <c r="B27" s="674" t="s">
        <v>315</v>
      </c>
      <c r="C27" s="675"/>
      <c r="D27" s="160">
        <f>'PVC-C5'!D56-'PVC-C5'!D85</f>
        <v>-303.5</v>
      </c>
      <c r="E27" s="161">
        <f>'PVC-C5'!E56-'PVC-C5'!E85</f>
        <v>-348.5</v>
      </c>
      <c r="F27" s="161">
        <f>'PVC-C5'!F56-'PVC-C5'!F85</f>
        <v>-308.19999999999993</v>
      </c>
      <c r="G27" s="161">
        <f>'PVC-C5'!G56-'PVC-C5'!G85</f>
        <v>-343.79999999999995</v>
      </c>
      <c r="H27" s="161">
        <f>'PVC-C5'!H56-'PVC-C5'!H85</f>
        <v>-328.5</v>
      </c>
      <c r="I27" s="161">
        <f>'PVC-C5'!I56-'PVC-C5'!I85</f>
        <v>-174</v>
      </c>
      <c r="J27" s="162">
        <f>'PVC-C5'!J56-'PVC-C5'!J85</f>
        <v>-180</v>
      </c>
      <c r="K27" s="163">
        <f>'PVC-C5'!K56-'PVC-C5'!K85</f>
        <v>-56.5</v>
      </c>
      <c r="L27" s="162">
        <f>'PVC-C5'!L56-'PVC-C5'!L85</f>
        <v>-57.403999999999996</v>
      </c>
      <c r="M27" s="161">
        <f>'PVC-C5'!M56-'PVC-C5'!M85</f>
        <v>-58.150252000000023</v>
      </c>
      <c r="N27" s="161">
        <f>'PVC-C5'!N56-'PVC-C5'!N85</f>
        <v>-59.022505780000017</v>
      </c>
      <c r="O27" s="161">
        <f>'PVC-C5'!O56-'PVC-C5'!O85</f>
        <v>-59.907843366700092</v>
      </c>
      <c r="P27" s="161">
        <f>'PVC-C5'!P56-'PVC-C5'!P85</f>
        <v>-60.806461017200604</v>
      </c>
      <c r="Q27" s="164">
        <f>'PVC-C5'!Q56-'PVC-C5'!Q85</f>
        <v>-53.434438895376729</v>
      </c>
    </row>
    <row r="28" spans="2:17" ht="18" customHeight="1">
      <c r="B28" s="672" t="s">
        <v>316</v>
      </c>
      <c r="C28" s="673"/>
      <c r="D28" s="155">
        <f>'PVC-C5'!D57-'PVC-C5'!D86</f>
        <v>854.5</v>
      </c>
      <c r="E28" s="156">
        <f>'PVC-C5'!E57-'PVC-C5'!E86</f>
        <v>1156.9499999999998</v>
      </c>
      <c r="F28" s="156">
        <f>'PVC-C5'!F57-'PVC-C5'!F86</f>
        <v>1133.9499999999998</v>
      </c>
      <c r="G28" s="156">
        <f>'PVC-C5'!G57-'PVC-C5'!G86</f>
        <v>1110.9499999999998</v>
      </c>
      <c r="H28" s="156">
        <f>'PVC-C5'!H57-'PVC-C5'!H86</f>
        <v>1087.4499999999998</v>
      </c>
      <c r="I28" s="156">
        <f>'PVC-C5'!I57-'PVC-C5'!I86</f>
        <v>1188.5</v>
      </c>
      <c r="J28" s="157">
        <f>'PVC-C5'!J57-'PVC-C5'!J86</f>
        <v>1184.5</v>
      </c>
      <c r="K28" s="158">
        <f>'PVC-C5'!K57-'PVC-C5'!K86</f>
        <v>1558</v>
      </c>
      <c r="L28" s="157">
        <f>'PVC-C5'!L57-'PVC-C5'!L86</f>
        <v>1486.5</v>
      </c>
      <c r="M28" s="156">
        <f>'PVC-C5'!M57-'PVC-C5'!M86</f>
        <v>1422</v>
      </c>
      <c r="N28" s="156">
        <f>'PVC-C5'!N57-'PVC-C5'!N86</f>
        <v>1505</v>
      </c>
      <c r="O28" s="156">
        <f>'PVC-C5'!O57-'PVC-C5'!O86</f>
        <v>1459</v>
      </c>
      <c r="P28" s="156">
        <f>'PVC-C5'!P57-'PVC-C5'!P86</f>
        <v>1419</v>
      </c>
      <c r="Q28" s="159">
        <f>'PVC-C5'!Q57-'PVC-C5'!Q86</f>
        <v>1381</v>
      </c>
    </row>
    <row r="29" spans="2:17" ht="18" customHeight="1">
      <c r="B29" s="670" t="s">
        <v>317</v>
      </c>
      <c r="C29" s="671"/>
      <c r="D29" s="155">
        <f>'PVC-C5'!D58-'PVC-C5'!D87</f>
        <v>-143.5</v>
      </c>
      <c r="E29" s="156">
        <f>'PVC-C5'!E58-'PVC-C5'!E87</f>
        <v>-127.5</v>
      </c>
      <c r="F29" s="156">
        <f>'PVC-C5'!F58-'PVC-C5'!F87</f>
        <v>-116.5</v>
      </c>
      <c r="G29" s="156">
        <f>'PVC-C5'!G58-'PVC-C5'!G87</f>
        <v>-132</v>
      </c>
      <c r="H29" s="156">
        <f>'PVC-C5'!H58-'PVC-C5'!H87</f>
        <v>-135</v>
      </c>
      <c r="I29" s="156">
        <f>'PVC-C5'!I58-'PVC-C5'!I87</f>
        <v>-133</v>
      </c>
      <c r="J29" s="157">
        <f>'PVC-C5'!J58-'PVC-C5'!J87</f>
        <v>-132</v>
      </c>
      <c r="K29" s="158">
        <f>'PVC-C5'!K58-'PVC-C5'!K87</f>
        <v>-139.5</v>
      </c>
      <c r="L29" s="157">
        <f>'PVC-C5'!L58-'PVC-C5'!L87</f>
        <v>-145</v>
      </c>
      <c r="M29" s="156">
        <f>'PVC-C5'!M58-'PVC-C5'!M87</f>
        <v>-150.5</v>
      </c>
      <c r="N29" s="156">
        <f>'PVC-C5'!N58-'PVC-C5'!N87</f>
        <v>-155.5</v>
      </c>
      <c r="O29" s="156">
        <f>'PVC-C5'!O58-'PVC-C5'!O87</f>
        <v>-160.5</v>
      </c>
      <c r="P29" s="156">
        <f>'PVC-C5'!P58-'PVC-C5'!P87</f>
        <v>-165</v>
      </c>
      <c r="Q29" s="159">
        <f>'PVC-C5'!Q58-'PVC-C5'!Q87</f>
        <v>-169.5</v>
      </c>
    </row>
    <row r="30" spans="2:17" ht="21" customHeight="1">
      <c r="B30" s="674" t="s">
        <v>318</v>
      </c>
      <c r="C30" s="675"/>
      <c r="D30" s="160">
        <f t="shared" ref="D30:K30" si="2">D29+D28</f>
        <v>711</v>
      </c>
      <c r="E30" s="161">
        <f t="shared" si="2"/>
        <v>1029.4499999999998</v>
      </c>
      <c r="F30" s="161">
        <f t="shared" si="2"/>
        <v>1017.4499999999998</v>
      </c>
      <c r="G30" s="161">
        <f t="shared" si="2"/>
        <v>978.94999999999982</v>
      </c>
      <c r="H30" s="161">
        <f t="shared" si="2"/>
        <v>952.44999999999982</v>
      </c>
      <c r="I30" s="161">
        <f t="shared" si="2"/>
        <v>1055.5</v>
      </c>
      <c r="J30" s="162">
        <f t="shared" si="2"/>
        <v>1052.5</v>
      </c>
      <c r="K30" s="163">
        <f t="shared" si="2"/>
        <v>1418.5</v>
      </c>
      <c r="L30" s="162">
        <f t="shared" ref="L30:Q30" si="3">L29+L28</f>
        <v>1341.5</v>
      </c>
      <c r="M30" s="161">
        <f t="shared" si="3"/>
        <v>1271.5</v>
      </c>
      <c r="N30" s="161">
        <f t="shared" si="3"/>
        <v>1349.5</v>
      </c>
      <c r="O30" s="161">
        <f t="shared" si="3"/>
        <v>1298.5</v>
      </c>
      <c r="P30" s="161">
        <f t="shared" si="3"/>
        <v>1254</v>
      </c>
      <c r="Q30" s="164">
        <f t="shared" si="3"/>
        <v>1211.5</v>
      </c>
    </row>
    <row r="31" spans="2:17" ht="18" customHeight="1">
      <c r="B31" s="672" t="s">
        <v>319</v>
      </c>
      <c r="C31" s="673"/>
      <c r="D31" s="155">
        <f>'PVC-C5'!D60-'PVC-C5'!D89</f>
        <v>-93.024999999999977</v>
      </c>
      <c r="E31" s="156">
        <f>'PVC-C5'!E60-'PVC-C5'!E89</f>
        <v>-100.02499999999998</v>
      </c>
      <c r="F31" s="156">
        <f>'PVC-C5'!F60-'PVC-C5'!F89</f>
        <v>-107.02499999999998</v>
      </c>
      <c r="G31" s="156">
        <f>'PVC-C5'!G60-'PVC-C5'!G89</f>
        <v>-114.52499999999998</v>
      </c>
      <c r="H31" s="156">
        <f>'PVC-C5'!H60-'PVC-C5'!H89</f>
        <v>-122.02499999999998</v>
      </c>
      <c r="I31" s="156">
        <f>'PVC-C5'!I60-'PVC-C5'!I89</f>
        <v>7.5</v>
      </c>
      <c r="J31" s="157">
        <f>'PVC-C5'!J60-'PVC-C5'!J89</f>
        <v>0.35000000000002274</v>
      </c>
      <c r="K31" s="158">
        <f>'PVC-C5'!K60-'PVC-C5'!K89</f>
        <v>-6.6499999999999773</v>
      </c>
      <c r="L31" s="157">
        <f>'PVC-C5'!L60-'PVC-C5'!L89</f>
        <v>-14.649999999999977</v>
      </c>
      <c r="M31" s="156">
        <f>'PVC-C5'!M60-'PVC-C5'!M89</f>
        <v>-24.149999999999977</v>
      </c>
      <c r="N31" s="156">
        <f>'PVC-C5'!N60-'PVC-C5'!N89</f>
        <v>-34.649999999999977</v>
      </c>
      <c r="O31" s="156">
        <f>'PVC-C5'!O60-'PVC-C5'!O89</f>
        <v>-45.649999999999977</v>
      </c>
      <c r="P31" s="156">
        <f>'PVC-C5'!P60-'PVC-C5'!P89</f>
        <v>-57.5</v>
      </c>
      <c r="Q31" s="159">
        <f>'PVC-C5'!Q60-'PVC-C5'!Q89</f>
        <v>-69.5</v>
      </c>
    </row>
    <row r="32" spans="2:17" ht="18" customHeight="1">
      <c r="B32" s="668" t="s">
        <v>320</v>
      </c>
      <c r="C32" s="669"/>
      <c r="D32" s="155">
        <f>'PVC-C5'!D61-'PVC-C5'!D90</f>
        <v>-120.5</v>
      </c>
      <c r="E32" s="156">
        <f>'PVC-C5'!E61-'PVC-C5'!E90</f>
        <v>-141</v>
      </c>
      <c r="F32" s="156">
        <f>'PVC-C5'!F61-'PVC-C5'!F90</f>
        <v>-131</v>
      </c>
      <c r="G32" s="156">
        <f>'PVC-C5'!G61-'PVC-C5'!G90</f>
        <v>-165</v>
      </c>
      <c r="H32" s="156">
        <f>'PVC-C5'!H61-'PVC-C5'!H90</f>
        <v>-161.5</v>
      </c>
      <c r="I32" s="156">
        <f>'PVC-C5'!I61-'PVC-C5'!I90</f>
        <v>-161.5</v>
      </c>
      <c r="J32" s="157">
        <f>'PVC-C5'!J61-'PVC-C5'!J90</f>
        <v>-136.5</v>
      </c>
      <c r="K32" s="158">
        <f>'PVC-C5'!K61-'PVC-C5'!K90</f>
        <v>-142</v>
      </c>
      <c r="L32" s="157">
        <f>'PVC-C5'!L61-'PVC-C5'!L90</f>
        <v>-149</v>
      </c>
      <c r="M32" s="156">
        <f>'PVC-C5'!M61-'PVC-C5'!M90</f>
        <v>-161</v>
      </c>
      <c r="N32" s="156">
        <f>'PVC-C5'!N61-'PVC-C5'!N90</f>
        <v>-173</v>
      </c>
      <c r="O32" s="156">
        <f>'PVC-C5'!O61-'PVC-C5'!O90</f>
        <v>-185</v>
      </c>
      <c r="P32" s="156">
        <f>'PVC-C5'!P61-'PVC-C5'!P90</f>
        <v>-197</v>
      </c>
      <c r="Q32" s="159">
        <f>'PVC-C5'!Q61-'PVC-C5'!Q90</f>
        <v>-209.5</v>
      </c>
    </row>
    <row r="33" spans="2:17" ht="18" customHeight="1">
      <c r="B33" s="670" t="s">
        <v>321</v>
      </c>
      <c r="C33" s="671"/>
      <c r="D33" s="155">
        <f>'PVC-C5'!D62-'PVC-C5'!D91</f>
        <v>-170.5</v>
      </c>
      <c r="E33" s="156">
        <f>'PVC-C5'!E62-'PVC-C5'!E91</f>
        <v>-103.5</v>
      </c>
      <c r="F33" s="156">
        <f>'PVC-C5'!F62-'PVC-C5'!F91</f>
        <v>-82.5</v>
      </c>
      <c r="G33" s="156">
        <f>'PVC-C5'!G62-'PVC-C5'!G91</f>
        <v>-70.5</v>
      </c>
      <c r="H33" s="156">
        <f>'PVC-C5'!H62-'PVC-C5'!H91</f>
        <v>-61.5</v>
      </c>
      <c r="I33" s="156">
        <f>'PVC-C5'!I62-'PVC-C5'!I91</f>
        <v>-126</v>
      </c>
      <c r="J33" s="157">
        <f>'PVC-C5'!J62-'PVC-C5'!J91</f>
        <v>-123.5</v>
      </c>
      <c r="K33" s="158">
        <f>'PVC-C5'!K62-'PVC-C5'!K91</f>
        <v>-128.5</v>
      </c>
      <c r="L33" s="157">
        <f>'PVC-C5'!L62-'PVC-C5'!L91</f>
        <v>-133.5</v>
      </c>
      <c r="M33" s="156">
        <f>'PVC-C5'!M62-'PVC-C5'!M91</f>
        <v>-143</v>
      </c>
      <c r="N33" s="156">
        <f>'PVC-C5'!N62-'PVC-C5'!N91</f>
        <v>-154.5</v>
      </c>
      <c r="O33" s="156">
        <f>'PVC-C5'!O62-'PVC-C5'!O91</f>
        <v>-166.5</v>
      </c>
      <c r="P33" s="156">
        <f>'PVC-C5'!P62-'PVC-C5'!P91</f>
        <v>-179.5</v>
      </c>
      <c r="Q33" s="159">
        <f>'PVC-C5'!Q62-'PVC-C5'!Q91</f>
        <v>-193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-384.02499999999998</v>
      </c>
      <c r="E34" s="166">
        <f t="shared" si="4"/>
        <v>-344.52499999999998</v>
      </c>
      <c r="F34" s="166">
        <f t="shared" si="4"/>
        <v>-320.52499999999998</v>
      </c>
      <c r="G34" s="166">
        <f t="shared" si="4"/>
        <v>-350.02499999999998</v>
      </c>
      <c r="H34" s="166">
        <f t="shared" si="4"/>
        <v>-345.02499999999998</v>
      </c>
      <c r="I34" s="166">
        <f t="shared" si="4"/>
        <v>-280</v>
      </c>
      <c r="J34" s="167">
        <f t="shared" si="4"/>
        <v>-259.64999999999998</v>
      </c>
      <c r="K34" s="168">
        <f t="shared" si="4"/>
        <v>-277.14999999999998</v>
      </c>
      <c r="L34" s="167">
        <f t="shared" ref="L34:Q34" si="5">L33+L32+L31</f>
        <v>-297.14999999999998</v>
      </c>
      <c r="M34" s="166">
        <f t="shared" si="5"/>
        <v>-328.15</v>
      </c>
      <c r="N34" s="166">
        <f t="shared" si="5"/>
        <v>-362.15</v>
      </c>
      <c r="O34" s="166">
        <f t="shared" si="5"/>
        <v>-397.15</v>
      </c>
      <c r="P34" s="166">
        <f t="shared" si="5"/>
        <v>-434</v>
      </c>
      <c r="Q34" s="169">
        <f t="shared" si="5"/>
        <v>-472</v>
      </c>
    </row>
    <row r="35" spans="2:17" ht="24" customHeight="1" thickTop="1" thickBot="1">
      <c r="B35" s="702" t="s">
        <v>337</v>
      </c>
      <c r="C35" s="703"/>
      <c r="D35" s="170">
        <f>SUM(D19+D20+D22+D24+D26+D27+D30+D34)</f>
        <v>-317.37294999999995</v>
      </c>
      <c r="E35" s="171">
        <f t="shared" ref="E35:Q35" si="6">SUM(E19+E20+E22+E24+E26+E27+E30+E34)</f>
        <v>448.09649999999988</v>
      </c>
      <c r="F35" s="171">
        <f t="shared" si="6"/>
        <v>446.66049999999996</v>
      </c>
      <c r="G35" s="171">
        <f t="shared" si="6"/>
        <v>409.79549999999983</v>
      </c>
      <c r="H35" s="171">
        <f t="shared" si="6"/>
        <v>477.12120749999997</v>
      </c>
      <c r="I35" s="171">
        <f t="shared" si="6"/>
        <v>865.37200000000007</v>
      </c>
      <c r="J35" s="172">
        <f t="shared" si="6"/>
        <v>759.98290550000024</v>
      </c>
      <c r="K35" s="173">
        <f t="shared" si="6"/>
        <v>1212.8985000000002</v>
      </c>
      <c r="L35" s="172">
        <f t="shared" si="6"/>
        <v>1032.4174545000001</v>
      </c>
      <c r="M35" s="171">
        <f t="shared" si="6"/>
        <v>880.49115573034999</v>
      </c>
      <c r="N35" s="171">
        <f t="shared" si="6"/>
        <v>878.73458276542499</v>
      </c>
      <c r="O35" s="171">
        <f t="shared" si="6"/>
        <v>646.83364963683732</v>
      </c>
      <c r="P35" s="171">
        <f t="shared" si="6"/>
        <v>386.02598405348022</v>
      </c>
      <c r="Q35" s="174">
        <f t="shared" si="6"/>
        <v>212.58274001724635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29" priority="5">
      <formula>CELL("protect",C39)=0</formula>
    </cfRule>
    <cfRule type="expression" dxfId="28" priority="6">
      <formula>CELL("protect",C39)=0</formula>
    </cfRule>
  </conditionalFormatting>
  <conditionalFormatting sqref="C37">
    <cfRule type="expression" dxfId="27" priority="3">
      <formula>CELL("protect",C37)=0</formula>
    </cfRule>
    <cfRule type="expression" dxfId="26" priority="4">
      <formula>CELL("protect",C37)=0</formula>
    </cfRule>
  </conditionalFormatting>
  <conditionalFormatting sqref="C39">
    <cfRule type="expression" dxfId="25" priority="1">
      <formula>CELL("protect",C39)=0</formula>
    </cfRule>
    <cfRule type="expression" dxfId="24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&amp;C200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24</v>
      </c>
      <c r="H2" s="397" t="s">
        <v>59</v>
      </c>
    </row>
    <row r="3" spans="2:19" ht="30.95" customHeight="1" thickBot="1">
      <c r="H3" s="624" t="s">
        <v>349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2:19" s="12" customFormat="1" ht="15" customHeight="1" thickBot="1">
      <c r="B6" s="88"/>
      <c r="C6" s="79" t="s">
        <v>303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2:19" ht="18" customHeight="1">
      <c r="B7" s="644" t="s">
        <v>433</v>
      </c>
      <c r="C7" s="645"/>
      <c r="D7" s="150">
        <f>'EG-C6'!D36-'EG-C6'!D65</f>
        <v>-3.3000000000000682</v>
      </c>
      <c r="E7" s="151">
        <f>'EG-C6'!E36-'EG-C6'!E65</f>
        <v>-36.299999999999955</v>
      </c>
      <c r="F7" s="151">
        <f>'EG-C6'!F36-'EG-C6'!F65</f>
        <v>-9.2400000000000091</v>
      </c>
      <c r="G7" s="151">
        <f>'EG-C6'!G36-'EG-C6'!G65</f>
        <v>1.3199999999999363</v>
      </c>
      <c r="H7" s="151">
        <f>'EG-C6'!H36-'EG-C6'!H65</f>
        <v>85.800000000000068</v>
      </c>
      <c r="I7" s="151">
        <f>'EG-C6'!I36-'EG-C6'!I65</f>
        <v>108.24000000000001</v>
      </c>
      <c r="J7" s="152">
        <f>'EG-C6'!J36-'EG-C6'!J65</f>
        <v>135.29999999999995</v>
      </c>
      <c r="K7" s="153">
        <f>'EG-C6'!K36-'EG-C6'!K65</f>
        <v>133.32000000000005</v>
      </c>
      <c r="L7" s="152">
        <f>'EG-C6'!L36-'EG-C6'!L65</f>
        <v>125.40000000000009</v>
      </c>
      <c r="M7" s="151">
        <f>'EG-C6'!M36-'EG-C6'!M65</f>
        <v>125.40000000000009</v>
      </c>
      <c r="N7" s="151">
        <f>'EG-C6'!N36-'EG-C6'!N65</f>
        <v>125.40000000000009</v>
      </c>
      <c r="O7" s="151">
        <f>'EG-C6'!O36-'EG-C6'!O65</f>
        <v>132</v>
      </c>
      <c r="P7" s="151">
        <f>'EG-C6'!P36-'EG-C6'!P65</f>
        <v>132</v>
      </c>
      <c r="Q7" s="154">
        <f>'EG-C6'!Q36-'EG-C6'!Q65</f>
        <v>132</v>
      </c>
    </row>
    <row r="8" spans="2:19" ht="18" customHeight="1">
      <c r="B8" s="605" t="s">
        <v>434</v>
      </c>
      <c r="C8" s="606"/>
      <c r="D8" s="155">
        <f>'EG-C6'!D37-'EG-C6'!D66</f>
        <v>665.93999999999994</v>
      </c>
      <c r="E8" s="156">
        <f>'EG-C6'!E37-'EG-C6'!E66</f>
        <v>630.29999999999995</v>
      </c>
      <c r="F8" s="156">
        <f>'EG-C6'!F37-'EG-C6'!F66</f>
        <v>666.6</v>
      </c>
      <c r="G8" s="156">
        <f>'EG-C6'!G37-'EG-C6'!G66</f>
        <v>667.92000000000007</v>
      </c>
      <c r="H8" s="156">
        <f>'EG-C6'!H37-'EG-C6'!H66</f>
        <v>836.88</v>
      </c>
      <c r="I8" s="156">
        <f>'EG-C6'!I37-'EG-C6'!I66</f>
        <v>822.36000000000013</v>
      </c>
      <c r="J8" s="157">
        <f>'EG-C6'!J37-'EG-C6'!J66</f>
        <v>760.9799999999999</v>
      </c>
      <c r="K8" s="158">
        <f>'EG-C6'!K37-'EG-C6'!K66</f>
        <v>899.58</v>
      </c>
      <c r="L8" s="157">
        <f>'EG-C6'!L37-'EG-C6'!L66</f>
        <v>792</v>
      </c>
      <c r="M8" s="156">
        <f>'EG-C6'!M37-'EG-C6'!M66</f>
        <v>792</v>
      </c>
      <c r="N8" s="156">
        <f>'EG-C6'!N37-'EG-C6'!N66</f>
        <v>759</v>
      </c>
      <c r="O8" s="156">
        <f>'EG-C6'!O37-'EG-C6'!O66</f>
        <v>759</v>
      </c>
      <c r="P8" s="156">
        <f>'EG-C6'!P37-'EG-C6'!P66</f>
        <v>759</v>
      </c>
      <c r="Q8" s="159">
        <f>'EG-C6'!Q37-'EG-C6'!Q66</f>
        <v>759</v>
      </c>
    </row>
    <row r="9" spans="2:19" ht="18" customHeight="1">
      <c r="B9" s="605" t="s">
        <v>435</v>
      </c>
      <c r="C9" s="606"/>
      <c r="D9" s="155">
        <f>'EG-C6'!D38-'EG-C6'!D67</f>
        <v>532.62</v>
      </c>
      <c r="E9" s="156">
        <f>'EG-C6'!E38-'EG-C6'!E67</f>
        <v>535.37285999999995</v>
      </c>
      <c r="F9" s="156">
        <f>'EG-C6'!F38-'EG-C6'!F67</f>
        <v>510.80503517999995</v>
      </c>
      <c r="G9" s="156">
        <f>'EG-C6'!G38-'EG-C6'!G67</f>
        <v>552.05291451683991</v>
      </c>
      <c r="H9" s="156">
        <f>'EG-C6'!H38-'EG-C6'!H67</f>
        <v>432.72824187070501</v>
      </c>
      <c r="I9" s="156">
        <f>'EG-C6'!I38-'EG-C6'!I67</f>
        <v>495.0070020505849</v>
      </c>
      <c r="J9" s="157">
        <f>'EG-C6'!J38-'EG-C6'!J67</f>
        <v>293.04000000000002</v>
      </c>
      <c r="K9" s="158">
        <f>'EG-C6'!K38-'EG-C6'!K67</f>
        <v>562.31999999999994</v>
      </c>
      <c r="L9" s="157">
        <f>'EG-C6'!L38-'EG-C6'!L67</f>
        <v>525.36</v>
      </c>
      <c r="M9" s="156">
        <f>'EG-C6'!M38-'EG-C6'!M67</f>
        <v>487.74</v>
      </c>
      <c r="N9" s="156">
        <f>'EG-C6'!N38-'EG-C6'!N67</f>
        <v>531.96</v>
      </c>
      <c r="O9" s="156">
        <f>'EG-C6'!O38-'EG-C6'!O67</f>
        <v>531.96</v>
      </c>
      <c r="P9" s="156">
        <f>'EG-C6'!P38-'EG-C6'!P67</f>
        <v>531.30000000000007</v>
      </c>
      <c r="Q9" s="159">
        <f>'EG-C6'!Q38-'EG-C6'!Q67</f>
        <v>524.04000000000008</v>
      </c>
    </row>
    <row r="10" spans="2:19" ht="18" customHeight="1">
      <c r="B10" s="605" t="s">
        <v>436</v>
      </c>
      <c r="C10" s="606"/>
      <c r="D10" s="155">
        <f>'EG-C6'!D39-'EG-C6'!D68</f>
        <v>-4322.34</v>
      </c>
      <c r="E10" s="156">
        <f>'EG-C6'!E39-'EG-C6'!E68</f>
        <v>-4758.6000000000004</v>
      </c>
      <c r="F10" s="156">
        <f>'EG-C6'!F39-'EG-C6'!F68</f>
        <v>-5142.0600000000004</v>
      </c>
      <c r="G10" s="156">
        <f>'EG-C6'!G39-'EG-C6'!G68</f>
        <v>-5388.9000000000005</v>
      </c>
      <c r="H10" s="156">
        <f>'EG-C6'!H39-'EG-C6'!H68</f>
        <v>-5658.84</v>
      </c>
      <c r="I10" s="156">
        <f>'EG-C6'!I39-'EG-C6'!I68</f>
        <v>-5624.5199999999995</v>
      </c>
      <c r="J10" s="157">
        <f>'EG-C6'!J39-'EG-C6'!J68</f>
        <v>-5231.1600000000008</v>
      </c>
      <c r="K10" s="158">
        <f>'EG-C6'!K39-'EG-C6'!K68</f>
        <v>-5759.8200000000006</v>
      </c>
      <c r="L10" s="157">
        <f>'EG-C6'!L39-'EG-C6'!L68</f>
        <v>-5464.8000000000011</v>
      </c>
      <c r="M10" s="156">
        <f>'EG-C6'!M39-'EG-C6'!M68</f>
        <v>-5417.2800000000007</v>
      </c>
      <c r="N10" s="156">
        <f>'EG-C6'!N39-'EG-C6'!N68</f>
        <v>-5600.1</v>
      </c>
      <c r="O10" s="156">
        <f>'EG-C6'!O39-'EG-C6'!O68</f>
        <v>-5512.98</v>
      </c>
      <c r="P10" s="156">
        <f>'EG-C6'!P39-'EG-C6'!P68</f>
        <v>-5363.82</v>
      </c>
      <c r="Q10" s="159">
        <f>'EG-C6'!Q39-'EG-C6'!Q68</f>
        <v>-5198.16</v>
      </c>
    </row>
    <row r="11" spans="2:19" ht="18" customHeight="1">
      <c r="B11" s="605" t="s">
        <v>437</v>
      </c>
      <c r="C11" s="606"/>
      <c r="D11" s="155">
        <f>'EG-C6'!D40-'EG-C6'!D69</f>
        <v>-147.83999999999997</v>
      </c>
      <c r="E11" s="156">
        <f>'EG-C6'!E40-'EG-C6'!E69</f>
        <v>-152.45999999999998</v>
      </c>
      <c r="F11" s="156">
        <f>'EG-C6'!F40-'EG-C6'!F69</f>
        <v>-59.400000000000034</v>
      </c>
      <c r="G11" s="156">
        <f>'EG-C6'!G40-'EG-C6'!G69</f>
        <v>-59.400000000000034</v>
      </c>
      <c r="H11" s="156">
        <f>'EG-C6'!H40-'EG-C6'!H69</f>
        <v>-79.737240000000043</v>
      </c>
      <c r="I11" s="156">
        <f>'EG-C6'!I40-'EG-C6'!I69</f>
        <v>-78.068099999999987</v>
      </c>
      <c r="J11" s="157">
        <f>'EG-C6'!J40-'EG-C6'!J69</f>
        <v>-77.441760000000045</v>
      </c>
      <c r="K11" s="158">
        <f>'EG-C6'!K40-'EG-C6'!K69</f>
        <v>-73.920000000000016</v>
      </c>
      <c r="L11" s="157">
        <f>'EG-C6'!L40-'EG-C6'!L69</f>
        <v>-68.639999999999986</v>
      </c>
      <c r="M11" s="156">
        <f>'EG-C6'!M40-'EG-C6'!M69</f>
        <v>-81.734663999999952</v>
      </c>
      <c r="N11" s="156">
        <f>'EG-C6'!N40-'EG-C6'!N69</f>
        <v>-94.735813101599888</v>
      </c>
      <c r="O11" s="156">
        <f>'EG-C6'!O40-'EG-C6'!O69</f>
        <v>-107.70523446670671</v>
      </c>
      <c r="P11" s="156">
        <f>'EG-C6'!P40-'EG-C6'!P69</f>
        <v>-120.94591767304144</v>
      </c>
      <c r="Q11" s="159">
        <f>'EG-C6'!Q40-'EG-C6'!Q69</f>
        <v>-134.88495234220176</v>
      </c>
    </row>
    <row r="12" spans="2:19" ht="18" customHeight="1">
      <c r="B12" s="605" t="s">
        <v>438</v>
      </c>
      <c r="C12" s="606"/>
      <c r="D12" s="155">
        <f>'EG-C6'!D41-'EG-C6'!D70</f>
        <v>-241.38854785484955</v>
      </c>
      <c r="E12" s="156">
        <f>'EG-C6'!E41-'EG-C6'!E70</f>
        <v>-240.11048051755995</v>
      </c>
      <c r="F12" s="156">
        <f>'EG-C6'!F41-'EG-C6'!F70</f>
        <v>-245.52000000000004</v>
      </c>
      <c r="G12" s="156">
        <f>'EG-C6'!G41-'EG-C6'!G70</f>
        <v>-250.14</v>
      </c>
      <c r="H12" s="156">
        <f>'EG-C6'!H41-'EG-C6'!H70</f>
        <v>-310.86</v>
      </c>
      <c r="I12" s="156">
        <f>'EG-C6'!I41-'EG-C6'!I70</f>
        <v>-252.78000000000003</v>
      </c>
      <c r="J12" s="157">
        <f>'EG-C6'!J41-'EG-C6'!J70</f>
        <v>-252.78000000000003</v>
      </c>
      <c r="K12" s="158">
        <f>'EG-C6'!K41-'EG-C6'!K70</f>
        <v>-232.32</v>
      </c>
      <c r="L12" s="157">
        <f>'EG-C6'!L41-'EG-C6'!L70</f>
        <v>-291.72000000000003</v>
      </c>
      <c r="M12" s="156">
        <f>'EG-C6'!M41-'EG-C6'!M70</f>
        <v>-311.52000000000004</v>
      </c>
      <c r="N12" s="156">
        <f>'EG-C6'!N41-'EG-C6'!N70</f>
        <v>-331.32</v>
      </c>
      <c r="O12" s="156">
        <f>'EG-C6'!O41-'EG-C6'!O70</f>
        <v>-221.10000000000002</v>
      </c>
      <c r="P12" s="156">
        <f>'EG-C6'!P41-'EG-C6'!P70</f>
        <v>-244.20000000000005</v>
      </c>
      <c r="Q12" s="159">
        <f>'EG-C6'!Q41-'EG-C6'!Q70</f>
        <v>-267.30000000000007</v>
      </c>
    </row>
    <row r="13" spans="2:19" ht="18" customHeight="1">
      <c r="B13" s="605" t="s">
        <v>439</v>
      </c>
      <c r="C13" s="606"/>
      <c r="D13" s="155">
        <f>'EG-C6'!D42-'EG-C6'!D71</f>
        <v>-476.5200000000001</v>
      </c>
      <c r="E13" s="156">
        <f>'EG-C6'!E42-'EG-C6'!E71</f>
        <v>-377.52</v>
      </c>
      <c r="F13" s="156">
        <f>'EG-C6'!F42-'EG-C6'!F71</f>
        <v>-394.01999999999987</v>
      </c>
      <c r="G13" s="156">
        <f>'EG-C6'!G42-'EG-C6'!G71</f>
        <v>-528.00000000000011</v>
      </c>
      <c r="H13" s="156">
        <f>'EG-C6'!H42-'EG-C6'!H71</f>
        <v>-462.00000000000011</v>
      </c>
      <c r="I13" s="156">
        <f>'EG-C6'!I42-'EG-C6'!I71</f>
        <v>-678.48</v>
      </c>
      <c r="J13" s="157">
        <f>'EG-C6'!J42-'EG-C6'!J71</f>
        <v>-685.74</v>
      </c>
      <c r="K13" s="158">
        <f>'EG-C6'!K42-'EG-C6'!K71</f>
        <v>-660</v>
      </c>
      <c r="L13" s="157">
        <f>'EG-C6'!L42-'EG-C6'!L71</f>
        <v>-759</v>
      </c>
      <c r="M13" s="156">
        <f>'EG-C6'!M42-'EG-C6'!M71</f>
        <v>-660</v>
      </c>
      <c r="N13" s="156">
        <f>'EG-C6'!N42-'EG-C6'!N71</f>
        <v>-594</v>
      </c>
      <c r="O13" s="156">
        <f>'EG-C6'!O42-'EG-C6'!O71</f>
        <v>-660</v>
      </c>
      <c r="P13" s="156">
        <f>'EG-C6'!P42-'EG-C6'!P71</f>
        <v>-660</v>
      </c>
      <c r="Q13" s="159">
        <f>'EG-C6'!Q42-'EG-C6'!Q71</f>
        <v>-660</v>
      </c>
    </row>
    <row r="14" spans="2:19" ht="18" hidden="1" customHeight="1">
      <c r="B14" s="16"/>
      <c r="C14" s="90" t="s">
        <v>306</v>
      </c>
      <c r="D14" s="155">
        <f>'EG-C6'!D43-'EG-C6'!D72</f>
        <v>0</v>
      </c>
      <c r="E14" s="156">
        <f>'EG-C6'!E43-'EG-C6'!E72</f>
        <v>0</v>
      </c>
      <c r="F14" s="156">
        <f>'EG-C6'!F43-'EG-C6'!F72</f>
        <v>0</v>
      </c>
      <c r="G14" s="156">
        <f>'EG-C6'!G43-'EG-C6'!G72</f>
        <v>0</v>
      </c>
      <c r="H14" s="156">
        <f>'EG-C6'!H43-'EG-C6'!H72</f>
        <v>0</v>
      </c>
      <c r="I14" s="156">
        <f>'EG-C6'!I43-'EG-C6'!I72</f>
        <v>0</v>
      </c>
      <c r="J14" s="157">
        <f>'EG-C6'!J43-'EG-C6'!J72</f>
        <v>0</v>
      </c>
      <c r="K14" s="158">
        <f>'EG-C6'!K43-'EG-C6'!K72</f>
        <v>0</v>
      </c>
      <c r="L14" s="157">
        <f>'EG-C6'!L43-'EG-C6'!L72</f>
        <v>0</v>
      </c>
      <c r="M14" s="156">
        <f>'EG-C6'!M43-'EG-C6'!M72</f>
        <v>0</v>
      </c>
      <c r="N14" s="156">
        <f>'EG-C6'!N43-'EG-C6'!N72</f>
        <v>0</v>
      </c>
      <c r="O14" s="156">
        <f>'EG-C6'!O43-'EG-C6'!O72</f>
        <v>0</v>
      </c>
      <c r="P14" s="156">
        <f>'EG-C6'!P43-'EG-C6'!P72</f>
        <v>0</v>
      </c>
      <c r="Q14" s="159">
        <f>'EG-C6'!Q43-'EG-C6'!Q72</f>
        <v>0</v>
      </c>
    </row>
    <row r="15" spans="2:19" ht="18" customHeight="1">
      <c r="B15" s="605" t="s">
        <v>440</v>
      </c>
      <c r="C15" s="606"/>
      <c r="D15" s="155">
        <f>'EG-C6'!D44-'EG-C6'!D73</f>
        <v>-1.32</v>
      </c>
      <c r="E15" s="156">
        <f>'EG-C6'!E44-'EG-C6'!E73</f>
        <v>-1.32</v>
      </c>
      <c r="F15" s="156">
        <f>'EG-C6'!F44-'EG-C6'!F73</f>
        <v>-1.32</v>
      </c>
      <c r="G15" s="156">
        <f>'EG-C6'!G44-'EG-C6'!G73</f>
        <v>-1.32</v>
      </c>
      <c r="H15" s="156">
        <f>'EG-C6'!H44-'EG-C6'!H73</f>
        <v>-1.32</v>
      </c>
      <c r="I15" s="156">
        <f>'EG-C6'!I44-'EG-C6'!I73</f>
        <v>-1.32</v>
      </c>
      <c r="J15" s="157">
        <f>'EG-C6'!J44-'EG-C6'!J73</f>
        <v>-1.32</v>
      </c>
      <c r="K15" s="158">
        <f>'EG-C6'!K44-'EG-C6'!K73</f>
        <v>-1.32</v>
      </c>
      <c r="L15" s="157">
        <f>'EG-C6'!L44-'EG-C6'!L73</f>
        <v>-1.32</v>
      </c>
      <c r="M15" s="156">
        <f>'EG-C6'!M44-'EG-C6'!M73</f>
        <v>-1.32</v>
      </c>
      <c r="N15" s="156">
        <f>'EG-C6'!N44-'EG-C6'!N73</f>
        <v>-1.32</v>
      </c>
      <c r="O15" s="156">
        <f>'EG-C6'!O44-'EG-C6'!O73</f>
        <v>-1.32</v>
      </c>
      <c r="P15" s="156">
        <f>'EG-C6'!P44-'EG-C6'!P73</f>
        <v>-1.32</v>
      </c>
      <c r="Q15" s="159">
        <f>'EG-C6'!Q44-'EG-C6'!Q73</f>
        <v>-1.32</v>
      </c>
    </row>
    <row r="16" spans="2:19" ht="18" customHeight="1">
      <c r="B16" s="605" t="s">
        <v>441</v>
      </c>
      <c r="C16" s="606"/>
      <c r="D16" s="155">
        <f>'EG-C6'!D45-'EG-C6'!D74</f>
        <v>59.874860163469378</v>
      </c>
      <c r="E16" s="156">
        <f>'EG-C6'!E45-'EG-C6'!E74</f>
        <v>98.953619841417861</v>
      </c>
      <c r="F16" s="156">
        <f>'EG-C6'!F45-'EG-C6'!F74</f>
        <v>99</v>
      </c>
      <c r="G16" s="156">
        <f>'EG-C6'!G45-'EG-C6'!G74</f>
        <v>85.799999999999983</v>
      </c>
      <c r="H16" s="156">
        <f>'EG-C6'!H45-'EG-C6'!H74</f>
        <v>87.810360000000003</v>
      </c>
      <c r="I16" s="156">
        <f>'EG-C6'!I45-'EG-C6'!I74</f>
        <v>90.030599999999993</v>
      </c>
      <c r="J16" s="157">
        <f>'EG-C6'!J45-'EG-C6'!J74</f>
        <v>138.80394000000001</v>
      </c>
      <c r="K16" s="158">
        <f>'EG-C6'!K45-'EG-C6'!K74</f>
        <v>69.019499999999994</v>
      </c>
      <c r="L16" s="157">
        <f>'EG-C6'!L45-'EG-C6'!L74</f>
        <v>69.019499999999994</v>
      </c>
      <c r="M16" s="156">
        <f>'EG-C6'!M45-'EG-C6'!M74</f>
        <v>69.019499999999994</v>
      </c>
      <c r="N16" s="156">
        <f>'EG-C6'!N45-'EG-C6'!N74</f>
        <v>423.32950000000005</v>
      </c>
      <c r="O16" s="156">
        <f>'EG-C6'!O45-'EG-C6'!O74</f>
        <v>471.94949999999994</v>
      </c>
      <c r="P16" s="156">
        <f>'EG-C6'!P45-'EG-C6'!P74</f>
        <v>500.93449999999996</v>
      </c>
      <c r="Q16" s="159">
        <f>'EG-C6'!Q45-'EG-C6'!Q74</f>
        <v>542.07449999999983</v>
      </c>
    </row>
    <row r="17" spans="2:17" ht="18" customHeight="1">
      <c r="B17" s="605" t="s">
        <v>442</v>
      </c>
      <c r="C17" s="606"/>
      <c r="D17" s="155">
        <f>'EG-C6'!D46-'EG-C6'!D75</f>
        <v>-77.22</v>
      </c>
      <c r="E17" s="156">
        <f>'EG-C6'!E46-'EG-C6'!E75</f>
        <v>-82.5</v>
      </c>
      <c r="F17" s="156">
        <f>'EG-C6'!F46-'EG-C6'!F75</f>
        <v>-122.10000000000001</v>
      </c>
      <c r="G17" s="156">
        <f>'EG-C6'!G46-'EG-C6'!G75</f>
        <v>-130.68</v>
      </c>
      <c r="H17" s="156">
        <f>'EG-C6'!H46-'EG-C6'!H75</f>
        <v>-139.26000000000002</v>
      </c>
      <c r="I17" s="156">
        <f>'EG-C6'!I46-'EG-C6'!I75</f>
        <v>-148.5</v>
      </c>
      <c r="J17" s="157">
        <f>'EG-C6'!J46-'EG-C6'!J75</f>
        <v>-67.98</v>
      </c>
      <c r="K17" s="158">
        <f>'EG-C6'!K46-'EG-C6'!K75</f>
        <v>-123.42</v>
      </c>
      <c r="L17" s="157">
        <f>'EG-C6'!L46-'EG-C6'!L75</f>
        <v>-130.68</v>
      </c>
      <c r="M17" s="156">
        <f>'EG-C6'!M46-'EG-C6'!M75</f>
        <v>-138.6</v>
      </c>
      <c r="N17" s="156">
        <f>'EG-C6'!N46-'EG-C6'!N75</f>
        <v>-147.18</v>
      </c>
      <c r="O17" s="156">
        <f>'EG-C6'!O46-'EG-C6'!O75</f>
        <v>-155.76000000000002</v>
      </c>
      <c r="P17" s="156">
        <f>'EG-C6'!P46-'EG-C6'!P75</f>
        <v>-165</v>
      </c>
      <c r="Q17" s="159">
        <f>'EG-C6'!Q46-'EG-C6'!Q75</f>
        <v>-174.9</v>
      </c>
    </row>
    <row r="18" spans="2:17" ht="18" customHeight="1">
      <c r="B18" s="607" t="s">
        <v>443</v>
      </c>
      <c r="C18" s="608"/>
      <c r="D18" s="155">
        <f>'EG-C6'!D47-'EG-C6'!D76</f>
        <v>43.494000000000028</v>
      </c>
      <c r="E18" s="156">
        <f>'EG-C6'!E47-'EG-C6'!E76</f>
        <v>66.132000000000005</v>
      </c>
      <c r="F18" s="156">
        <f>'EG-C6'!F47-'EG-C6'!F76</f>
        <v>125.928</v>
      </c>
      <c r="G18" s="156">
        <f>'EG-C6'!G47-'EG-C6'!G76</f>
        <v>177.738</v>
      </c>
      <c r="H18" s="156">
        <f>'EG-C6'!H47-'EG-C6'!H76</f>
        <v>158.59800000000001</v>
      </c>
      <c r="I18" s="156">
        <f>'EG-C6'!I47-'EG-C6'!I76</f>
        <v>220.50600000000003</v>
      </c>
      <c r="J18" s="157">
        <f>'EG-C6'!J47-'EG-C6'!J76</f>
        <v>171.798</v>
      </c>
      <c r="K18" s="158">
        <f>'EG-C6'!K47-'EG-C6'!K76</f>
        <v>207.76799999999997</v>
      </c>
      <c r="L18" s="157">
        <f>'EG-C6'!L47-'EG-C6'!L76</f>
        <v>173.84399999999999</v>
      </c>
      <c r="M18" s="156">
        <f>'EG-C6'!M47-'EG-C6'!M76</f>
        <v>190.08000000000004</v>
      </c>
      <c r="N18" s="156">
        <f>'EG-C6'!N47-'EG-C6'!N76</f>
        <v>151.80000000000001</v>
      </c>
      <c r="O18" s="156">
        <f>'EG-C6'!O47-'EG-C6'!O76</f>
        <v>186.78000000000003</v>
      </c>
      <c r="P18" s="156">
        <f>'EG-C6'!P47-'EG-C6'!P76</f>
        <v>149.16000000000003</v>
      </c>
      <c r="Q18" s="159">
        <f>'EG-C6'!Q47-'EG-C6'!Q76</f>
        <v>183.47999999999996</v>
      </c>
    </row>
    <row r="19" spans="2:17" ht="21" customHeight="1">
      <c r="B19" s="674" t="s">
        <v>307</v>
      </c>
      <c r="C19" s="675"/>
      <c r="D19" s="160">
        <f t="shared" ref="D19:K19" si="0">SUM(D7:D18)</f>
        <v>-3967.9996876913806</v>
      </c>
      <c r="E19" s="161">
        <f t="shared" si="0"/>
        <v>-4318.0520006761426</v>
      </c>
      <c r="F19" s="161">
        <f t="shared" si="0"/>
        <v>-4571.3269648200003</v>
      </c>
      <c r="G19" s="161">
        <f t="shared" si="0"/>
        <v>-4873.60908548316</v>
      </c>
      <c r="H19" s="161">
        <f t="shared" si="0"/>
        <v>-5050.2006381292949</v>
      </c>
      <c r="I19" s="161">
        <f t="shared" si="0"/>
        <v>-5047.5244979494137</v>
      </c>
      <c r="J19" s="162">
        <f t="shared" si="0"/>
        <v>-4816.49982</v>
      </c>
      <c r="K19" s="163">
        <f t="shared" si="0"/>
        <v>-4978.7924999999996</v>
      </c>
      <c r="L19" s="162">
        <f t="shared" ref="L19:Q19" si="1">SUM(L7:L18)</f>
        <v>-5030.5365000000002</v>
      </c>
      <c r="M19" s="161">
        <f t="shared" si="1"/>
        <v>-4946.2151640000002</v>
      </c>
      <c r="N19" s="161">
        <f t="shared" si="1"/>
        <v>-4777.1663131015994</v>
      </c>
      <c r="O19" s="161">
        <f t="shared" si="1"/>
        <v>-4577.1757344667067</v>
      </c>
      <c r="P19" s="161">
        <f t="shared" si="1"/>
        <v>-4482.8914176730405</v>
      </c>
      <c r="Q19" s="164">
        <f t="shared" si="1"/>
        <v>-4295.9704523422015</v>
      </c>
    </row>
    <row r="20" spans="2:17" ht="21" customHeight="1">
      <c r="B20" s="672" t="s">
        <v>308</v>
      </c>
      <c r="C20" s="673"/>
      <c r="D20" s="160">
        <f>'EG-C6'!D49-'EG-C6'!D78</f>
        <v>-22.342980000000004</v>
      </c>
      <c r="E20" s="161">
        <f>'EG-C6'!E49-'EG-C6'!E78</f>
        <v>-22.298100000000002</v>
      </c>
      <c r="F20" s="161">
        <f>'EG-C6'!F49-'EG-C6'!F78</f>
        <v>-2.64</v>
      </c>
      <c r="G20" s="161">
        <f>'EG-C6'!G49-'EG-C6'!G78</f>
        <v>-1.3199999999999998</v>
      </c>
      <c r="H20" s="161">
        <f>'EG-C6'!H49-'EG-C6'!H78</f>
        <v>-5.28</v>
      </c>
      <c r="I20" s="161">
        <f>'EG-C6'!I49-'EG-C6'!I78</f>
        <v>-13.2</v>
      </c>
      <c r="J20" s="162">
        <f>'EG-C6'!J49-'EG-C6'!J78</f>
        <v>-16.5</v>
      </c>
      <c r="K20" s="163">
        <f>'EG-C6'!K49-'EG-C6'!K78</f>
        <v>-9.240000000000002</v>
      </c>
      <c r="L20" s="162">
        <f>'EG-C6'!L49-'EG-C6'!L78</f>
        <v>-9.240000000000002</v>
      </c>
      <c r="M20" s="161">
        <f>'EG-C6'!M49-'EG-C6'!M78</f>
        <v>-9.240000000000002</v>
      </c>
      <c r="N20" s="161">
        <f>'EG-C6'!N49-'EG-C6'!N78</f>
        <v>-9.9000000000000021</v>
      </c>
      <c r="O20" s="161">
        <f>'EG-C6'!O49-'EG-C6'!O78</f>
        <v>-9.9000000000000021</v>
      </c>
      <c r="P20" s="161">
        <f>'EG-C6'!P49-'EG-C6'!P78</f>
        <v>-9.9000000000000021</v>
      </c>
      <c r="Q20" s="164">
        <f>'EG-C6'!Q49-'EG-C6'!Q78</f>
        <v>-9.9000000000000021</v>
      </c>
    </row>
    <row r="21" spans="2:17" ht="18" customHeight="1">
      <c r="B21" s="105"/>
      <c r="C21" s="97" t="s">
        <v>309</v>
      </c>
      <c r="D21" s="160">
        <f>'EG-C6'!D50-'EG-C6'!D79</f>
        <v>-22.342980000000004</v>
      </c>
      <c r="E21" s="161">
        <f>'EG-C6'!E50-'EG-C6'!E79</f>
        <v>-22.298100000000002</v>
      </c>
      <c r="F21" s="161">
        <f>'EG-C6'!F50-'EG-C6'!F79</f>
        <v>-2.64</v>
      </c>
      <c r="G21" s="161">
        <f>'EG-C6'!G50-'EG-C6'!G79</f>
        <v>-1.3199999999999998</v>
      </c>
      <c r="H21" s="161">
        <f>'EG-C6'!H50-'EG-C6'!H79</f>
        <v>-5.28</v>
      </c>
      <c r="I21" s="161">
        <f>'EG-C6'!I50-'EG-C6'!I79</f>
        <v>-13.2</v>
      </c>
      <c r="J21" s="162">
        <f>'EG-C6'!J50-'EG-C6'!J79</f>
        <v>-16.5</v>
      </c>
      <c r="K21" s="163">
        <f>'EG-C6'!K50-'EG-C6'!K79</f>
        <v>-9.240000000000002</v>
      </c>
      <c r="L21" s="162">
        <f>'EG-C6'!L50-'EG-C6'!L79</f>
        <v>-9.240000000000002</v>
      </c>
      <c r="M21" s="161">
        <f>'EG-C6'!M50-'EG-C6'!M79</f>
        <v>-9.240000000000002</v>
      </c>
      <c r="N21" s="161">
        <f>'EG-C6'!N50-'EG-C6'!N79</f>
        <v>-9.9000000000000021</v>
      </c>
      <c r="O21" s="161">
        <f>'EG-C6'!O50-'EG-C6'!O79</f>
        <v>-9.9000000000000021</v>
      </c>
      <c r="P21" s="161">
        <f>'EG-C6'!P50-'EG-C6'!P79</f>
        <v>-9.9000000000000021</v>
      </c>
      <c r="Q21" s="164">
        <f>'EG-C6'!Q50-'EG-C6'!Q79</f>
        <v>-9.9000000000000021</v>
      </c>
    </row>
    <row r="22" spans="2:17" ht="21" customHeight="1">
      <c r="B22" s="672" t="s">
        <v>310</v>
      </c>
      <c r="C22" s="673"/>
      <c r="D22" s="155">
        <f>'EG-C6'!D51-'EG-C6'!D80</f>
        <v>-489.96750000000031</v>
      </c>
      <c r="E22" s="156">
        <f>'EG-C6'!E51-'EG-C6'!E80</f>
        <v>-551.84184000000016</v>
      </c>
      <c r="F22" s="156">
        <f>'EG-C6'!F51-'EG-C6'!F80</f>
        <v>-499.03985999999998</v>
      </c>
      <c r="G22" s="156">
        <f>'EG-C6'!G51-'EG-C6'!G80</f>
        <v>-393.89196000000004</v>
      </c>
      <c r="H22" s="156">
        <f>'EG-C6'!H51-'EG-C6'!H80</f>
        <v>-445.59636</v>
      </c>
      <c r="I22" s="156">
        <f>'EG-C6'!I51-'EG-C6'!I80</f>
        <v>-486.00420000000008</v>
      </c>
      <c r="J22" s="157">
        <f>'EG-C6'!J51-'EG-C6'!J80</f>
        <v>-455.2699799999998</v>
      </c>
      <c r="K22" s="158">
        <f>'EG-C6'!K51-'EG-C6'!K80</f>
        <v>-475.83888000000002</v>
      </c>
      <c r="L22" s="157">
        <f>'EG-C6'!L51-'EG-C6'!L80</f>
        <v>-480.42719999999997</v>
      </c>
      <c r="M22" s="156">
        <f>'EG-C6'!M51-'EG-C6'!M80</f>
        <v>-565.78433999999993</v>
      </c>
      <c r="N22" s="156">
        <f>'EG-C6'!N51-'EG-C6'!N80</f>
        <v>-565.62990000000002</v>
      </c>
      <c r="O22" s="156">
        <f>'EG-C6'!O51-'EG-C6'!O80</f>
        <v>-540.4040399999999</v>
      </c>
      <c r="P22" s="156">
        <f>'EG-C6'!P51-'EG-C6'!P80</f>
        <v>-560.01989999999989</v>
      </c>
      <c r="Q22" s="159">
        <f>'EG-C6'!Q51-'EG-C6'!Q80</f>
        <v>-637.37652000000014</v>
      </c>
    </row>
    <row r="23" spans="2:17" ht="21" customHeight="1">
      <c r="B23" s="105"/>
      <c r="C23" s="615" t="s">
        <v>311</v>
      </c>
      <c r="D23" s="160">
        <f>'EG-C6'!D52-'EG-C6'!D81</f>
        <v>-479.68272000000013</v>
      </c>
      <c r="E23" s="161">
        <f>'EG-C6'!E52-'EG-C6'!E81</f>
        <v>-521.18088000000023</v>
      </c>
      <c r="F23" s="161">
        <f>'EG-C6'!F52-'EG-C6'!F81</f>
        <v>-462.83556000000021</v>
      </c>
      <c r="G23" s="161">
        <f>'EG-C6'!G52-'EG-C6'!G81</f>
        <v>-352.79772000000014</v>
      </c>
      <c r="H23" s="161">
        <f>'EG-C6'!H52-'EG-C6'!H81</f>
        <v>-393.82530000000008</v>
      </c>
      <c r="I23" s="161">
        <f>'EG-C6'!I52-'EG-C6'!I81</f>
        <v>-431.49083999999971</v>
      </c>
      <c r="J23" s="162">
        <f>'EG-C6'!J52-'EG-C6'!J81</f>
        <v>-390.61505999999974</v>
      </c>
      <c r="K23" s="163">
        <f>'EG-C6'!K52-'EG-C6'!K81</f>
        <v>-417.84204000000045</v>
      </c>
      <c r="L23" s="162">
        <f>'EG-C6'!L52-'EG-C6'!L81</f>
        <v>-418.65647999999987</v>
      </c>
      <c r="M23" s="161">
        <f>'EG-C6'!M52-'EG-C6'!M81</f>
        <v>-506.06952000000024</v>
      </c>
      <c r="N23" s="161">
        <f>'EG-C6'!N52-'EG-C6'!N81</f>
        <v>-507.42120000000034</v>
      </c>
      <c r="O23" s="161">
        <f>'EG-C6'!O52-'EG-C6'!O81</f>
        <v>-487.25885999999991</v>
      </c>
      <c r="P23" s="161">
        <f>'EG-C6'!P52-'EG-C6'!P81</f>
        <v>-504.00636000000009</v>
      </c>
      <c r="Q23" s="164">
        <f>'EG-C6'!Q52-'EG-C6'!Q81</f>
        <v>-583.34100000000012</v>
      </c>
    </row>
    <row r="24" spans="2:17" ht="21" customHeight="1">
      <c r="B24" s="672" t="s">
        <v>312</v>
      </c>
      <c r="C24" s="673"/>
      <c r="D24" s="155">
        <f>'EG-C6'!D53-'EG-C6'!D82</f>
        <v>4249.0800000000008</v>
      </c>
      <c r="E24" s="156">
        <f>'EG-C6'!E53-'EG-C6'!E82</f>
        <v>4328.2800000000007</v>
      </c>
      <c r="F24" s="156">
        <f>'EG-C6'!F53-'EG-C6'!F82</f>
        <v>4764.8040000000001</v>
      </c>
      <c r="G24" s="156">
        <f>'EG-C6'!G53-'EG-C6'!G82</f>
        <v>4727.4744000000001</v>
      </c>
      <c r="H24" s="156">
        <f>'EG-C6'!H53-'EG-C6'!H82</f>
        <v>4817.6581200000001</v>
      </c>
      <c r="I24" s="156">
        <f>'EG-C6'!I53-'EG-C6'!I82</f>
        <v>5219.28</v>
      </c>
      <c r="J24" s="157">
        <f>'EG-C6'!J53-'EG-C6'!J82</f>
        <v>5359.2</v>
      </c>
      <c r="K24" s="158">
        <f>'EG-C6'!K53-'EG-C6'!K82</f>
        <v>5323.56</v>
      </c>
      <c r="L24" s="157">
        <f>'EG-C6'!L53-'EG-C6'!L82</f>
        <v>5314.3200000000006</v>
      </c>
      <c r="M24" s="156">
        <f>'EG-C6'!M53-'EG-C6'!M82</f>
        <v>5397.4800000000005</v>
      </c>
      <c r="N24" s="156">
        <f>'EG-C6'!N53-'EG-C6'!N82</f>
        <v>5421.24</v>
      </c>
      <c r="O24" s="156">
        <f>'EG-C6'!O53-'EG-C6'!O82</f>
        <v>5464.14</v>
      </c>
      <c r="P24" s="156">
        <f>'EG-C6'!P53-'EG-C6'!P82</f>
        <v>5654.880000000001</v>
      </c>
      <c r="Q24" s="159">
        <f>'EG-C6'!Q53-'EG-C6'!Q82</f>
        <v>5756.52</v>
      </c>
    </row>
    <row r="25" spans="2:17" ht="21" customHeight="1">
      <c r="B25" s="16"/>
      <c r="C25" s="615" t="s">
        <v>313</v>
      </c>
      <c r="D25" s="160">
        <f>'EG-C6'!D54-'EG-C6'!D83</f>
        <v>0</v>
      </c>
      <c r="E25" s="161">
        <f>'EG-C6'!E54-'EG-C6'!E83</f>
        <v>4093.3199999999997</v>
      </c>
      <c r="F25" s="161">
        <f>'EG-C6'!F54-'EG-C6'!F83</f>
        <v>4094.0459999999998</v>
      </c>
      <c r="G25" s="161">
        <f>'EG-C6'!G54-'EG-C6'!G83</f>
        <v>4128.96</v>
      </c>
      <c r="H25" s="161">
        <f>'EG-C6'!H54-'EG-C6'!H83</f>
        <v>4138.0779000000002</v>
      </c>
      <c r="I25" s="161">
        <f>'EG-C6'!I54-'EG-C6'!I83</f>
        <v>4090.8379906315622</v>
      </c>
      <c r="J25" s="162">
        <f>'EG-C6'!J54-'EG-C6'!J83</f>
        <v>4390.503149733484</v>
      </c>
      <c r="K25" s="163">
        <f>'EG-C6'!K54-'EG-C6'!K83</f>
        <v>4400.7098139833233</v>
      </c>
      <c r="L25" s="162">
        <f>'EG-C6'!L54-'EG-C6'!L83</f>
        <v>4404.4476129853592</v>
      </c>
      <c r="M25" s="161">
        <f>'EG-C6'!M54-'EG-C6'!M83</f>
        <v>4437.4476129853592</v>
      </c>
      <c r="N25" s="161">
        <f>'EG-C6'!N54-'EG-C6'!N83</f>
        <v>4450.4900700190965</v>
      </c>
      <c r="O25" s="161">
        <f>'EG-C6'!O54-'EG-C6'!O83</f>
        <v>4462.902355187779</v>
      </c>
      <c r="P25" s="161">
        <f>'EG-C6'!P54-'EG-C6'!P83</f>
        <v>4660.4822406110761</v>
      </c>
      <c r="Q25" s="164">
        <f>'EG-C6'!Q54-'EG-C6'!Q83</f>
        <v>4725.6000000000004</v>
      </c>
    </row>
    <row r="26" spans="2:17" ht="21" customHeight="1">
      <c r="B26" s="674" t="s">
        <v>314</v>
      </c>
      <c r="C26" s="675"/>
      <c r="D26" s="160">
        <f>'EG-C6'!D55-'EG-C6'!D84</f>
        <v>-62.7</v>
      </c>
      <c r="E26" s="161">
        <f>'EG-C6'!E55-'EG-C6'!E84</f>
        <v>-67.320000000000007</v>
      </c>
      <c r="F26" s="161">
        <f>'EG-C6'!F55-'EG-C6'!F84</f>
        <v>-76.071600000000004</v>
      </c>
      <c r="G26" s="161">
        <f>'EG-C6'!G55-'EG-C6'!G84</f>
        <v>-76.071600000000004</v>
      </c>
      <c r="H26" s="161">
        <f>'EG-C6'!H55-'EG-C6'!H84</f>
        <v>-85.960907999999975</v>
      </c>
      <c r="I26" s="161">
        <f>'EG-C6'!I55-'EG-C6'!I84</f>
        <v>-52.800000000000004</v>
      </c>
      <c r="J26" s="162">
        <f>'EG-C6'!J55-'EG-C6'!J84</f>
        <v>-44.88</v>
      </c>
      <c r="K26" s="163">
        <f>'EG-C6'!K55-'EG-C6'!K84</f>
        <v>-80.52000000000001</v>
      </c>
      <c r="L26" s="162">
        <f>'EG-C6'!L55-'EG-C6'!L84</f>
        <v>-114.18</v>
      </c>
      <c r="M26" s="161">
        <f>'EG-C6'!M55-'EG-C6'!M84</f>
        <v>-136.62</v>
      </c>
      <c r="N26" s="161">
        <f>'EG-C6'!N55-'EG-C6'!N84</f>
        <v>-147.18</v>
      </c>
      <c r="O26" s="161">
        <f>'EG-C6'!O55-'EG-C6'!O84</f>
        <v>-150.48000000000002</v>
      </c>
      <c r="P26" s="161">
        <f>'EG-C6'!P55-'EG-C6'!P84</f>
        <v>-155.1</v>
      </c>
      <c r="Q26" s="164">
        <f>'EG-C6'!Q55-'EG-C6'!Q84</f>
        <v>-157.74</v>
      </c>
    </row>
    <row r="27" spans="2:17" ht="21" customHeight="1">
      <c r="B27" s="674" t="s">
        <v>315</v>
      </c>
      <c r="C27" s="675"/>
      <c r="D27" s="160">
        <f>'EG-C6'!D56-'EG-C6'!D85</f>
        <v>34.319999999999993</v>
      </c>
      <c r="E27" s="161">
        <f>'EG-C6'!E56-'EG-C6'!E85</f>
        <v>-31.680000000000007</v>
      </c>
      <c r="F27" s="161">
        <f>'EG-C6'!F56-'EG-C6'!F85</f>
        <v>-24.951959999999985</v>
      </c>
      <c r="G27" s="161">
        <f>'EG-C6'!G56-'EG-C6'!G85</f>
        <v>-21.251999999999981</v>
      </c>
      <c r="H27" s="161">
        <f>'EG-C6'!H56-'EG-C6'!H85</f>
        <v>-12.54000000000002</v>
      </c>
      <c r="I27" s="161">
        <f>'EG-C6'!I56-'EG-C6'!I85</f>
        <v>13.200000000000017</v>
      </c>
      <c r="J27" s="162">
        <f>'EG-C6'!J56-'EG-C6'!J85</f>
        <v>13.107600000000019</v>
      </c>
      <c r="K27" s="163">
        <f>'EG-C6'!K56-'EG-C6'!K85</f>
        <v>-7.3282571999999959</v>
      </c>
      <c r="L27" s="162">
        <f>'EG-C6'!L56-'EG-C6'!L85</f>
        <v>-5.4074293151999768</v>
      </c>
      <c r="M27" s="161">
        <f>'EG-C6'!M56-'EG-C6'!M85</f>
        <v>-4.0521258962976106</v>
      </c>
      <c r="N27" s="161">
        <f>'EG-C6'!N56-'EG-C6'!N85</f>
        <v>-2.9051077847420856</v>
      </c>
      <c r="O27" s="161">
        <f>'EG-C6'!O56-'EG-C6'!O85</f>
        <v>-1.0511844015132397</v>
      </c>
      <c r="P27" s="161">
        <f>'EG-C6'!P56-'EG-C6'!P85</f>
        <v>0.85034783246405254</v>
      </c>
      <c r="Q27" s="164">
        <f>'EG-C6'!Q56-'EG-C6'!Q85</f>
        <v>3.4602030499509908</v>
      </c>
    </row>
    <row r="28" spans="2:17" ht="18" customHeight="1">
      <c r="B28" s="672" t="s">
        <v>316</v>
      </c>
      <c r="C28" s="673"/>
      <c r="D28" s="155">
        <f>'EG-C6'!D57-'EG-C6'!D86</f>
        <v>-242.88000000000011</v>
      </c>
      <c r="E28" s="156">
        <f>'EG-C6'!E57-'EG-C6'!E86</f>
        <v>-224.40000000000009</v>
      </c>
      <c r="F28" s="156">
        <f>'EG-C6'!F57-'EG-C6'!F86</f>
        <v>-266.6400000000001</v>
      </c>
      <c r="G28" s="156">
        <f>'EG-C6'!G57-'EG-C6'!G86</f>
        <v>-282.48</v>
      </c>
      <c r="H28" s="156">
        <f>'EG-C6'!H57-'EG-C6'!H86</f>
        <v>-298.32000000000016</v>
      </c>
      <c r="I28" s="156">
        <f>'EG-C6'!I57-'EG-C6'!I86</f>
        <v>-320.10000000000014</v>
      </c>
      <c r="J28" s="157">
        <f>'EG-C6'!J57-'EG-C6'!J86</f>
        <v>-345.84000000000015</v>
      </c>
      <c r="K28" s="158">
        <f>'EG-C6'!K57-'EG-C6'!K86</f>
        <v>-338.57999999999993</v>
      </c>
      <c r="L28" s="157">
        <f>'EG-C6'!L57-'EG-C6'!L86</f>
        <v>-387.42000000000007</v>
      </c>
      <c r="M28" s="156">
        <f>'EG-C6'!M57-'EG-C6'!M86</f>
        <v>-69.299999999999955</v>
      </c>
      <c r="N28" s="156">
        <f>'EG-C6'!N57-'EG-C6'!N86</f>
        <v>759.65999999999985</v>
      </c>
      <c r="O28" s="156">
        <f>'EG-C6'!O57-'EG-C6'!O86</f>
        <v>805.86000000000013</v>
      </c>
      <c r="P28" s="156">
        <f>'EG-C6'!P57-'EG-C6'!P86</f>
        <v>778.80000000000018</v>
      </c>
      <c r="Q28" s="159">
        <f>'EG-C6'!Q57-'EG-C6'!Q86</f>
        <v>753.06000000000017</v>
      </c>
    </row>
    <row r="29" spans="2:17" ht="18" customHeight="1">
      <c r="B29" s="670" t="s">
        <v>317</v>
      </c>
      <c r="C29" s="671"/>
      <c r="D29" s="155">
        <f>'EG-C6'!D58-'EG-C6'!D87</f>
        <v>707.52</v>
      </c>
      <c r="E29" s="156">
        <f>'EG-C6'!E58-'EG-C6'!E87</f>
        <v>729.96</v>
      </c>
      <c r="F29" s="156">
        <f>'EG-C6'!F58-'EG-C6'!F87</f>
        <v>877.80000000000007</v>
      </c>
      <c r="G29" s="156">
        <f>'EG-C6'!G58-'EG-C6'!G87</f>
        <v>891</v>
      </c>
      <c r="H29" s="156">
        <f>'EG-C6'!H58-'EG-C6'!H87</f>
        <v>891</v>
      </c>
      <c r="I29" s="156">
        <f>'EG-C6'!I58-'EG-C6'!I87</f>
        <v>891</v>
      </c>
      <c r="J29" s="157">
        <f>'EG-C6'!J58-'EG-C6'!J87</f>
        <v>891</v>
      </c>
      <c r="K29" s="158">
        <f>'EG-C6'!K58-'EG-C6'!K87</f>
        <v>993.30000000000007</v>
      </c>
      <c r="L29" s="157">
        <f>'EG-C6'!L58-'EG-C6'!L87</f>
        <v>993.30000000000007</v>
      </c>
      <c r="M29" s="156">
        <f>'EG-C6'!M58-'EG-C6'!M87</f>
        <v>993.30000000000007</v>
      </c>
      <c r="N29" s="156">
        <f>'EG-C6'!N58-'EG-C6'!N87</f>
        <v>993.30000000000007</v>
      </c>
      <c r="O29" s="156">
        <f>'EG-C6'!O58-'EG-C6'!O87</f>
        <v>993.30000000000007</v>
      </c>
      <c r="P29" s="156">
        <f>'EG-C6'!P58-'EG-C6'!P87</f>
        <v>993.30000000000007</v>
      </c>
      <c r="Q29" s="159">
        <f>'EG-C6'!Q58-'EG-C6'!Q87</f>
        <v>993.30000000000007</v>
      </c>
    </row>
    <row r="30" spans="2:17" ht="21" customHeight="1">
      <c r="B30" s="674" t="s">
        <v>318</v>
      </c>
      <c r="C30" s="675"/>
      <c r="D30" s="160">
        <f t="shared" ref="D30:K30" si="2">D29+D28</f>
        <v>464.63999999999987</v>
      </c>
      <c r="E30" s="161">
        <f t="shared" si="2"/>
        <v>505.55999999999995</v>
      </c>
      <c r="F30" s="161">
        <f t="shared" si="2"/>
        <v>611.16</v>
      </c>
      <c r="G30" s="161">
        <f t="shared" si="2"/>
        <v>608.52</v>
      </c>
      <c r="H30" s="161">
        <f t="shared" si="2"/>
        <v>592.67999999999984</v>
      </c>
      <c r="I30" s="161">
        <f t="shared" si="2"/>
        <v>570.89999999999986</v>
      </c>
      <c r="J30" s="162">
        <f t="shared" si="2"/>
        <v>545.15999999999985</v>
      </c>
      <c r="K30" s="163">
        <f t="shared" si="2"/>
        <v>654.72000000000014</v>
      </c>
      <c r="L30" s="162">
        <f t="shared" ref="L30:Q30" si="3">L29+L28</f>
        <v>605.88</v>
      </c>
      <c r="M30" s="161">
        <f t="shared" si="3"/>
        <v>924.00000000000011</v>
      </c>
      <c r="N30" s="161">
        <f t="shared" si="3"/>
        <v>1752.96</v>
      </c>
      <c r="O30" s="161">
        <f t="shared" si="3"/>
        <v>1799.1600000000003</v>
      </c>
      <c r="P30" s="161">
        <f t="shared" si="3"/>
        <v>1772.1000000000004</v>
      </c>
      <c r="Q30" s="164">
        <f t="shared" si="3"/>
        <v>1746.3600000000001</v>
      </c>
    </row>
    <row r="31" spans="2:17" ht="18" customHeight="1">
      <c r="B31" s="672" t="s">
        <v>319</v>
      </c>
      <c r="C31" s="673"/>
      <c r="D31" s="155">
        <f>'EG-C6'!D60-'EG-C6'!D89</f>
        <v>-116.82</v>
      </c>
      <c r="E31" s="156">
        <f>'EG-C6'!E60-'EG-C6'!E89</f>
        <v>-182.82</v>
      </c>
      <c r="F31" s="156">
        <f>'EG-C6'!F60-'EG-C6'!F89</f>
        <v>-166.32000000000002</v>
      </c>
      <c r="G31" s="156">
        <f>'EG-C6'!G60-'EG-C6'!G89</f>
        <v>-169.62000000000003</v>
      </c>
      <c r="H31" s="156">
        <f>'EG-C6'!H60-'EG-C6'!H89</f>
        <v>-104.94</v>
      </c>
      <c r="I31" s="156">
        <f>'EG-C6'!I60-'EG-C6'!I89</f>
        <v>-112.86000000000001</v>
      </c>
      <c r="J31" s="157">
        <f>'EG-C6'!J60-'EG-C6'!J89</f>
        <v>-119.45999999999998</v>
      </c>
      <c r="K31" s="158">
        <f>'EG-C6'!K60-'EG-C6'!K89</f>
        <v>-126.06</v>
      </c>
      <c r="L31" s="157">
        <f>'EG-C6'!L60-'EG-C6'!L89</f>
        <v>-133.32</v>
      </c>
      <c r="M31" s="156">
        <f>'EG-C6'!M60-'EG-C6'!M89</f>
        <v>-141.89999999999998</v>
      </c>
      <c r="N31" s="156">
        <f>'EG-C6'!N60-'EG-C6'!N89</f>
        <v>-151.80000000000001</v>
      </c>
      <c r="O31" s="156">
        <f>'EG-C6'!O60-'EG-C6'!O89</f>
        <v>-162.36000000000001</v>
      </c>
      <c r="P31" s="156">
        <f>'EG-C6'!P60-'EG-C6'!P89</f>
        <v>-173.57999999999998</v>
      </c>
      <c r="Q31" s="159">
        <f>'EG-C6'!Q60-'EG-C6'!Q89</f>
        <v>-184.8</v>
      </c>
    </row>
    <row r="32" spans="2:17" ht="18" customHeight="1">
      <c r="B32" s="668" t="s">
        <v>320</v>
      </c>
      <c r="C32" s="669"/>
      <c r="D32" s="155">
        <f>'EG-C6'!D61-'EG-C6'!D90</f>
        <v>-137.94000000000003</v>
      </c>
      <c r="E32" s="156">
        <f>'EG-C6'!E61-'EG-C6'!E90</f>
        <v>-146.52000000000001</v>
      </c>
      <c r="F32" s="156">
        <f>'EG-C6'!F61-'EG-C6'!F90</f>
        <v>-100.32</v>
      </c>
      <c r="G32" s="156">
        <f>'EG-C6'!G61-'EG-C6'!G90</f>
        <v>-120.11999999999998</v>
      </c>
      <c r="H32" s="156">
        <f>'EG-C6'!H61-'EG-C6'!H90</f>
        <v>-115.50000000000003</v>
      </c>
      <c r="I32" s="156">
        <f>'EG-C6'!I61-'EG-C6'!I90</f>
        <v>-88.440000000000026</v>
      </c>
      <c r="J32" s="157">
        <f>'EG-C6'!J61-'EG-C6'!J90</f>
        <v>-79.200000000000017</v>
      </c>
      <c r="K32" s="158">
        <f>'EG-C6'!K61-'EG-C6'!K90</f>
        <v>-82.500000000000028</v>
      </c>
      <c r="L32" s="157">
        <f>'EG-C6'!L61-'EG-C6'!L90</f>
        <v>-86.460000000000008</v>
      </c>
      <c r="M32" s="156">
        <f>'EG-C6'!M61-'EG-C6'!M90</f>
        <v>-93.060000000000031</v>
      </c>
      <c r="N32" s="156">
        <f>'EG-C6'!N61-'EG-C6'!N90</f>
        <v>-99.66</v>
      </c>
      <c r="O32" s="156">
        <f>'EG-C6'!O61-'EG-C6'!O90</f>
        <v>-106.26000000000002</v>
      </c>
      <c r="P32" s="156">
        <f>'EG-C6'!P61-'EG-C6'!P90</f>
        <v>-112.85999999999999</v>
      </c>
      <c r="Q32" s="159">
        <f>'EG-C6'!Q61-'EG-C6'!Q90</f>
        <v>-119.46000000000001</v>
      </c>
    </row>
    <row r="33" spans="2:17" ht="18" customHeight="1">
      <c r="B33" s="670" t="s">
        <v>321</v>
      </c>
      <c r="C33" s="671"/>
      <c r="D33" s="155">
        <f>'EG-C6'!D62-'EG-C6'!D91</f>
        <v>-54.120000000000005</v>
      </c>
      <c r="E33" s="156">
        <f>'EG-C6'!E62-'EG-C6'!E91</f>
        <v>-55.44</v>
      </c>
      <c r="F33" s="156">
        <f>'EG-C6'!F62-'EG-C6'!F91</f>
        <v>-56.1</v>
      </c>
      <c r="G33" s="156">
        <f>'EG-C6'!G62-'EG-C6'!G91</f>
        <v>-57.42</v>
      </c>
      <c r="H33" s="156">
        <f>'EG-C6'!H62-'EG-C6'!H91</f>
        <v>-54.120000000000005</v>
      </c>
      <c r="I33" s="156">
        <f>'EG-C6'!I62-'EG-C6'!I91</f>
        <v>-54.120000000000005</v>
      </c>
      <c r="J33" s="157">
        <f>'EG-C6'!J62-'EG-C6'!J91</f>
        <v>-53.460000000000008</v>
      </c>
      <c r="K33" s="158">
        <f>'EG-C6'!K62-'EG-C6'!K91</f>
        <v>-54.78</v>
      </c>
      <c r="L33" s="157">
        <f>'EG-C6'!L62-'EG-C6'!L91</f>
        <v>-56.100000000000009</v>
      </c>
      <c r="M33" s="156">
        <f>'EG-C6'!M62-'EG-C6'!M91</f>
        <v>-58.080000000000013</v>
      </c>
      <c r="N33" s="156">
        <f>'EG-C6'!N62-'EG-C6'!N91</f>
        <v>-60.72</v>
      </c>
      <c r="O33" s="156">
        <f>'EG-C6'!O62-'EG-C6'!O91</f>
        <v>-63.36</v>
      </c>
      <c r="P33" s="156">
        <f>'EG-C6'!P62-'EG-C6'!P91</f>
        <v>-66.660000000000011</v>
      </c>
      <c r="Q33" s="159">
        <f>'EG-C6'!Q62-'EG-C6'!Q91</f>
        <v>-69.960000000000008</v>
      </c>
    </row>
    <row r="34" spans="2:17" ht="21" customHeight="1" thickBot="1">
      <c r="B34" s="678" t="s">
        <v>322</v>
      </c>
      <c r="C34" s="679"/>
      <c r="D34" s="165">
        <f t="shared" ref="D34:K34" si="4">D33+D32+D31</f>
        <v>-308.88</v>
      </c>
      <c r="E34" s="166">
        <f t="shared" si="4"/>
        <v>-384.78</v>
      </c>
      <c r="F34" s="166">
        <f t="shared" si="4"/>
        <v>-322.74</v>
      </c>
      <c r="G34" s="166">
        <f t="shared" si="4"/>
        <v>-347.15999999999997</v>
      </c>
      <c r="H34" s="166">
        <f t="shared" si="4"/>
        <v>-274.56000000000006</v>
      </c>
      <c r="I34" s="166">
        <f t="shared" si="4"/>
        <v>-255.42000000000004</v>
      </c>
      <c r="J34" s="167">
        <f t="shared" si="4"/>
        <v>-252.12</v>
      </c>
      <c r="K34" s="168">
        <f t="shared" si="4"/>
        <v>-263.34000000000003</v>
      </c>
      <c r="L34" s="167">
        <f t="shared" ref="L34:Q34" si="5">L33+L32+L31</f>
        <v>-275.88</v>
      </c>
      <c r="M34" s="166">
        <f t="shared" si="5"/>
        <v>-293.04000000000002</v>
      </c>
      <c r="N34" s="166">
        <f t="shared" si="5"/>
        <v>-312.18</v>
      </c>
      <c r="O34" s="166">
        <f t="shared" si="5"/>
        <v>-331.98</v>
      </c>
      <c r="P34" s="166">
        <f t="shared" si="5"/>
        <v>-353.09999999999997</v>
      </c>
      <c r="Q34" s="169">
        <f t="shared" si="5"/>
        <v>-374.22</v>
      </c>
    </row>
    <row r="35" spans="2:17" ht="24" customHeight="1" thickTop="1" thickBot="1">
      <c r="B35" s="702" t="s">
        <v>337</v>
      </c>
      <c r="C35" s="703"/>
      <c r="D35" s="170">
        <f>SUM(D19+D20+D22+D24+D26+D27+D30+D34)</f>
        <v>-103.85016769138042</v>
      </c>
      <c r="E35" s="171">
        <f t="shared" ref="E35:Q35" si="6">SUM(E19+E20+E22+E24+E26+E27+E30+E34)</f>
        <v>-542.13194067614199</v>
      </c>
      <c r="F35" s="171">
        <f t="shared" si="6"/>
        <v>-120.8063848200004</v>
      </c>
      <c r="G35" s="171">
        <f t="shared" si="6"/>
        <v>-377.31024548315952</v>
      </c>
      <c r="H35" s="171">
        <f t="shared" si="6"/>
        <v>-463.79978612929438</v>
      </c>
      <c r="I35" s="171">
        <f t="shared" si="6"/>
        <v>-51.568697949414258</v>
      </c>
      <c r="J35" s="172">
        <f t="shared" si="6"/>
        <v>332.19779999999969</v>
      </c>
      <c r="K35" s="173">
        <f t="shared" si="6"/>
        <v>163.22036280000088</v>
      </c>
      <c r="L35" s="172">
        <f t="shared" si="6"/>
        <v>4.5288706848006086</v>
      </c>
      <c r="M35" s="171">
        <f t="shared" si="6"/>
        <v>366.5283701037028</v>
      </c>
      <c r="N35" s="171">
        <f t="shared" si="6"/>
        <v>1359.2386791136587</v>
      </c>
      <c r="O35" s="171">
        <f t="shared" si="6"/>
        <v>1652.3090411317808</v>
      </c>
      <c r="P35" s="171">
        <f t="shared" si="6"/>
        <v>1866.8190301594254</v>
      </c>
      <c r="Q35" s="174">
        <f t="shared" si="6"/>
        <v>2031.1332307077507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23" priority="5">
      <formula>CELL("protect",C39)=0</formula>
    </cfRule>
    <cfRule type="expression" dxfId="22" priority="6">
      <formula>CELL("protect",C39)=0</formula>
    </cfRule>
  </conditionalFormatting>
  <conditionalFormatting sqref="C37">
    <cfRule type="expression" dxfId="21" priority="3">
      <formula>CELL("protect",C37)=0</formula>
    </cfRule>
    <cfRule type="expression" dxfId="20" priority="4">
      <formula>CELL("protect",C37)=0</formula>
    </cfRule>
  </conditionalFormatting>
  <conditionalFormatting sqref="C39">
    <cfRule type="expression" dxfId="19" priority="1">
      <formula>CELL("protect",C39)=0</formula>
    </cfRule>
    <cfRule type="expression" dxfId="18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&amp;C201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8">
    <tabColor rgb="FF00B050"/>
    <pageSetUpPr fitToPage="1"/>
  </sheetPr>
  <dimension ref="B1:S48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H2" s="2" t="s">
        <v>43</v>
      </c>
    </row>
    <row r="3" spans="2:19" ht="30.95" customHeight="1" thickBot="1">
      <c r="H3" s="624" t="s">
        <v>350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583">
        <v>2010</v>
      </c>
      <c r="E5" s="584">
        <v>2011</v>
      </c>
      <c r="F5" s="583">
        <v>2012</v>
      </c>
      <c r="G5" s="584">
        <v>2013</v>
      </c>
      <c r="H5" s="583">
        <v>2014</v>
      </c>
      <c r="I5" s="584">
        <v>2015</v>
      </c>
      <c r="J5" s="584">
        <v>2016</v>
      </c>
      <c r="K5" s="585">
        <v>2017</v>
      </c>
      <c r="L5" s="586">
        <v>2018</v>
      </c>
      <c r="M5" s="583">
        <v>2019</v>
      </c>
      <c r="N5" s="583">
        <v>2020</v>
      </c>
      <c r="O5" s="583">
        <v>2021</v>
      </c>
      <c r="P5" s="583">
        <v>2022</v>
      </c>
      <c r="Q5" s="587">
        <v>2023</v>
      </c>
    </row>
    <row r="6" spans="2:19" s="12" customFormat="1" ht="15" customHeight="1" thickBot="1">
      <c r="B6" s="88"/>
      <c r="C6" s="79" t="s">
        <v>303</v>
      </c>
      <c r="D6" s="372"/>
      <c r="E6" s="373"/>
      <c r="F6" s="373"/>
      <c r="G6" s="374"/>
      <c r="H6" s="373"/>
      <c r="I6" s="373"/>
      <c r="J6" s="373"/>
      <c r="K6" s="375"/>
      <c r="L6" s="376"/>
      <c r="M6" s="373"/>
      <c r="N6" s="373"/>
      <c r="O6" s="373"/>
      <c r="P6" s="373"/>
      <c r="Q6" s="375"/>
    </row>
    <row r="7" spans="2:19" ht="18" customHeight="1">
      <c r="B7" s="644" t="s">
        <v>433</v>
      </c>
      <c r="C7" s="645"/>
      <c r="D7" s="377">
        <f>'PROPYLENE-C7'!D36-'PROPYLENE-C7'!D65</f>
        <v>2570.3400000000006</v>
      </c>
      <c r="E7" s="378">
        <f>'PROPYLENE-C7'!E36-'PROPYLENE-C7'!E65</f>
        <v>2368.6999999999998</v>
      </c>
      <c r="F7" s="378">
        <f>'PROPYLENE-C7'!F36-'PROPYLENE-C7'!F65</f>
        <v>2474.0799999999995</v>
      </c>
      <c r="G7" s="378">
        <f>'PROPYLENE-C7'!G36-'PROPYLENE-C7'!G65</f>
        <v>2782.0300000000007</v>
      </c>
      <c r="H7" s="378">
        <f>'PROPYLENE-C7'!H36-'PROPYLENE-C7'!H65</f>
        <v>2800.46</v>
      </c>
      <c r="I7" s="378">
        <f>'PROPYLENE-C7'!I36-'PROPYLENE-C7'!I65</f>
        <v>2714.0899999999997</v>
      </c>
      <c r="J7" s="379">
        <f>'PROPYLENE-C7'!J36-'PROPYLENE-C7'!J65</f>
        <v>2709.1400000000003</v>
      </c>
      <c r="K7" s="380">
        <f>'PROPYLENE-C7'!K36-'PROPYLENE-C7'!K65</f>
        <v>2962.27</v>
      </c>
      <c r="L7" s="379">
        <f>'PROPYLENE-C7'!L36-'PROPYLENE-C7'!L65</f>
        <v>3282</v>
      </c>
      <c r="M7" s="378">
        <f>'PROPYLENE-C7'!M36-'PROPYLENE-C7'!M65</f>
        <v>3283.2</v>
      </c>
      <c r="N7" s="378">
        <f>'PROPYLENE-C7'!N36-'PROPYLENE-C7'!N65</f>
        <v>3675.8</v>
      </c>
      <c r="O7" s="378">
        <f>'PROPYLENE-C7'!O36-'PROPYLENE-C7'!O65</f>
        <v>4406.5000000000018</v>
      </c>
      <c r="P7" s="378">
        <f>'PROPYLENE-C7'!P36-'PROPYLENE-C7'!P65</f>
        <v>4385.9000000000015</v>
      </c>
      <c r="Q7" s="381">
        <f>'PROPYLENE-C7'!Q36-'PROPYLENE-C7'!Q65</f>
        <v>4581.6000000000004</v>
      </c>
    </row>
    <row r="8" spans="2:19" ht="18" customHeight="1">
      <c r="B8" s="605" t="s">
        <v>434</v>
      </c>
      <c r="C8" s="606"/>
      <c r="D8" s="367">
        <f>'PROPYLENE-C7'!D37-'PROPYLENE-C7'!D66</f>
        <v>675.02</v>
      </c>
      <c r="E8" s="368">
        <f>'PROPYLENE-C7'!E37-'PROPYLENE-C7'!E66</f>
        <v>548.32000000000016</v>
      </c>
      <c r="F8" s="368">
        <f>'PROPYLENE-C7'!F37-'PROPYLENE-C7'!F66</f>
        <v>480.45000000000027</v>
      </c>
      <c r="G8" s="368">
        <f>'PROPYLENE-C7'!G37-'PROPYLENE-C7'!G66</f>
        <v>740.09999999999945</v>
      </c>
      <c r="H8" s="368">
        <f>'PROPYLENE-C7'!H37-'PROPYLENE-C7'!H66</f>
        <v>567.91000000000031</v>
      </c>
      <c r="I8" s="368">
        <f>'PROPYLENE-C7'!I37-'PROPYLENE-C7'!I66</f>
        <v>608.24999999999955</v>
      </c>
      <c r="J8" s="369">
        <f>'PROPYLENE-C7'!J37-'PROPYLENE-C7'!J66</f>
        <v>715.36999999999989</v>
      </c>
      <c r="K8" s="370">
        <f>'PROPYLENE-C7'!K37-'PROPYLENE-C7'!K66</f>
        <v>855.82999999999993</v>
      </c>
      <c r="L8" s="369">
        <f>'PROPYLENE-C7'!L37-'PROPYLENE-C7'!L66</f>
        <v>832.45000000000027</v>
      </c>
      <c r="M8" s="368">
        <f>'PROPYLENE-C7'!M37-'PROPYLENE-C7'!M66</f>
        <v>817.30000000000018</v>
      </c>
      <c r="N8" s="368">
        <f>'PROPYLENE-C7'!N37-'PROPYLENE-C7'!N66</f>
        <v>822.75</v>
      </c>
      <c r="O8" s="368">
        <f>'PROPYLENE-C7'!O37-'PROPYLENE-C7'!O66</f>
        <v>853.05000000000018</v>
      </c>
      <c r="P8" s="368">
        <f>'PROPYLENE-C7'!P37-'PROPYLENE-C7'!P66</f>
        <v>853.05000000000018</v>
      </c>
      <c r="Q8" s="371">
        <f>'PROPYLENE-C7'!Q37-'PROPYLENE-C7'!Q66</f>
        <v>842.75</v>
      </c>
    </row>
    <row r="9" spans="2:19" ht="18" customHeight="1">
      <c r="B9" s="605" t="s">
        <v>435</v>
      </c>
      <c r="C9" s="606"/>
      <c r="D9" s="367">
        <f>'PROPYLENE-C7'!D38-'PROPYLENE-C7'!D67</f>
        <v>1029.3899999999999</v>
      </c>
      <c r="E9" s="368">
        <f>'PROPYLENE-C7'!E38-'PROPYLENE-C7'!E67</f>
        <v>1033.2069799999999</v>
      </c>
      <c r="F9" s="368">
        <f>'PROPYLENE-C7'!F38-'PROPYLENE-C7'!F67</f>
        <v>1239.64398104</v>
      </c>
      <c r="G9" s="368">
        <f>'PROPYLENE-C7'!G38-'PROPYLENE-C7'!G67</f>
        <v>1705.1823589195199</v>
      </c>
      <c r="H9" s="368">
        <f>'PROPYLENE-C7'!H38-'PROPYLENE-C7'!H67</f>
        <v>1836.3765800000001</v>
      </c>
      <c r="I9" s="368">
        <f>'PROPYLENE-C7'!I38-'PROPYLENE-C7'!I67</f>
        <v>2031.0393844748864</v>
      </c>
      <c r="J9" s="369">
        <f>'PROPYLENE-C7'!J38-'PROPYLENE-C7'!J67</f>
        <v>1772.6300000000003</v>
      </c>
      <c r="K9" s="370">
        <f>'PROPYLENE-C7'!K38-'PROPYLENE-C7'!K67</f>
        <v>1978.7800000000002</v>
      </c>
      <c r="L9" s="369">
        <f>'PROPYLENE-C7'!L38-'PROPYLENE-C7'!L67</f>
        <v>1932.85</v>
      </c>
      <c r="M9" s="368">
        <f>'PROPYLENE-C7'!M38-'PROPYLENE-C7'!M67</f>
        <v>2035.1</v>
      </c>
      <c r="N9" s="368">
        <f>'PROPYLENE-C7'!N38-'PROPYLENE-C7'!N67</f>
        <v>2052.0699999999997</v>
      </c>
      <c r="O9" s="368">
        <f>'PROPYLENE-C7'!O38-'PROPYLENE-C7'!O67</f>
        <v>2016.3500000000001</v>
      </c>
      <c r="P9" s="368">
        <f>'PROPYLENE-C7'!P38-'PROPYLENE-C7'!P67</f>
        <v>1998.63</v>
      </c>
      <c r="Q9" s="371">
        <f>'PROPYLENE-C7'!Q38-'PROPYLENE-C7'!Q67</f>
        <v>1970.73</v>
      </c>
    </row>
    <row r="10" spans="2:19" ht="18" customHeight="1">
      <c r="B10" s="605" t="s">
        <v>436</v>
      </c>
      <c r="C10" s="606"/>
      <c r="D10" s="367">
        <f>'PROPYLENE-C7'!D39-'PROPYLENE-C7'!D68</f>
        <v>-5386.6099999999969</v>
      </c>
      <c r="E10" s="368">
        <f>'PROPYLENE-C7'!E39-'PROPYLENE-C7'!E68</f>
        <v>-5387.489999999998</v>
      </c>
      <c r="F10" s="368">
        <f>'PROPYLENE-C7'!F39-'PROPYLENE-C7'!F68</f>
        <v>-5740.5299999999988</v>
      </c>
      <c r="G10" s="368">
        <f>'PROPYLENE-C7'!G39-'PROPYLENE-C7'!G68</f>
        <v>-5568.0400000000009</v>
      </c>
      <c r="H10" s="368">
        <f>'PROPYLENE-C7'!H39-'PROPYLENE-C7'!H68</f>
        <v>-5579.6899999999987</v>
      </c>
      <c r="I10" s="368">
        <f>'PROPYLENE-C7'!I39-'PROPYLENE-C7'!I68</f>
        <v>-5256.2799999999988</v>
      </c>
      <c r="J10" s="369">
        <f>'PROPYLENE-C7'!J39-'PROPYLENE-C7'!J68</f>
        <v>-4751.0899999999965</v>
      </c>
      <c r="K10" s="370">
        <f>'PROPYLENE-C7'!K39-'PROPYLENE-C7'!K68</f>
        <v>-4820.6100000000006</v>
      </c>
      <c r="L10" s="369">
        <f>'PROPYLENE-C7'!L39-'PROPYLENE-C7'!L68</f>
        <v>-4363.9199999999983</v>
      </c>
      <c r="M10" s="368">
        <f>'PROPYLENE-C7'!M39-'PROPYLENE-C7'!M68</f>
        <v>-4204.8399999999965</v>
      </c>
      <c r="N10" s="368">
        <f>'PROPYLENE-C7'!N39-'PROPYLENE-C7'!N68</f>
        <v>-3134.8899999999994</v>
      </c>
      <c r="O10" s="368">
        <f>'PROPYLENE-C7'!O39-'PROPYLENE-C7'!O68</f>
        <v>-2702.1500000000015</v>
      </c>
      <c r="P10" s="368">
        <f>'PROPYLENE-C7'!P39-'PROPYLENE-C7'!P68</f>
        <v>-2356.2000000000116</v>
      </c>
      <c r="Q10" s="371">
        <f>'PROPYLENE-C7'!Q39-'PROPYLENE-C7'!Q68</f>
        <v>-2354.8399999999965</v>
      </c>
    </row>
    <row r="11" spans="2:19" ht="18" customHeight="1">
      <c r="B11" s="605" t="s">
        <v>437</v>
      </c>
      <c r="C11" s="606"/>
      <c r="D11" s="367">
        <f>'PROPYLENE-C7'!D40-'PROPYLENE-C7'!D69</f>
        <v>70.180000000000064</v>
      </c>
      <c r="E11" s="368">
        <f>'PROPYLENE-C7'!E40-'PROPYLENE-C7'!E69</f>
        <v>293.1400000000001</v>
      </c>
      <c r="F11" s="368">
        <f>'PROPYLENE-C7'!F40-'PROPYLENE-C7'!F69</f>
        <v>195.11999999999989</v>
      </c>
      <c r="G11" s="368">
        <f>'PROPYLENE-C7'!G40-'PROPYLENE-C7'!G69</f>
        <v>397.02772000000027</v>
      </c>
      <c r="H11" s="368">
        <f>'PROPYLENE-C7'!H40-'PROPYLENE-C7'!H69</f>
        <v>450.6586699999998</v>
      </c>
      <c r="I11" s="368">
        <f>'PROPYLENE-C7'!I40-'PROPYLENE-C7'!I69</f>
        <v>434.40620000000035</v>
      </c>
      <c r="J11" s="369">
        <f>'PROPYLENE-C7'!J40-'PROPYLENE-C7'!J69</f>
        <v>383.70980703654777</v>
      </c>
      <c r="K11" s="370">
        <f>'PROPYLENE-C7'!K40-'PROPYLENE-C7'!K69</f>
        <v>409.40138108108476</v>
      </c>
      <c r="L11" s="369">
        <f>'PROPYLENE-C7'!L40-'PROPYLENE-C7'!L69</f>
        <v>662.83325480858866</v>
      </c>
      <c r="M11" s="368">
        <f>'PROPYLENE-C7'!M40-'PROPYLENE-C7'!M69</f>
        <v>576.41875144885717</v>
      </c>
      <c r="N11" s="368">
        <f>'PROPYLENE-C7'!N40-'PROPYLENE-C7'!N69</f>
        <v>552.93198458273537</v>
      </c>
      <c r="O11" s="368">
        <f>'PROPYLENE-C7'!O40-'PROPYLENE-C7'!O69</f>
        <v>591.1501956669963</v>
      </c>
      <c r="P11" s="368">
        <f>'PROPYLENE-C7'!P40-'PROPYLENE-C7'!P69</f>
        <v>572.7921075853028</v>
      </c>
      <c r="Q11" s="371">
        <f>'PROPYLENE-C7'!Q40-'PROPYLENE-C7'!Q69</f>
        <v>553.46576148650001</v>
      </c>
    </row>
    <row r="12" spans="2:19" ht="18" customHeight="1">
      <c r="B12" s="605" t="s">
        <v>438</v>
      </c>
      <c r="C12" s="606"/>
      <c r="D12" s="367">
        <f>'PROPYLENE-C7'!D41-'PROPYLENE-C7'!D70</f>
        <v>-411.39147794815926</v>
      </c>
      <c r="E12" s="368">
        <f>'PROPYLENE-C7'!E41-'PROPYLENE-C7'!E70</f>
        <v>-644.75410314038299</v>
      </c>
      <c r="F12" s="368">
        <f>'PROPYLENE-C7'!F41-'PROPYLENE-C7'!F70</f>
        <v>-599.91198614400002</v>
      </c>
      <c r="G12" s="368">
        <f>'PROPYLENE-C7'!G41-'PROPYLENE-C7'!G70</f>
        <v>-629.11000000000024</v>
      </c>
      <c r="H12" s="368">
        <f>'PROPYLENE-C7'!H41-'PROPYLENE-C7'!H70</f>
        <v>-379.03396000000043</v>
      </c>
      <c r="I12" s="368">
        <f>'PROPYLENE-C7'!I41-'PROPYLENE-C7'!I70</f>
        <v>-396.5439600000002</v>
      </c>
      <c r="J12" s="369">
        <f>'PROPYLENE-C7'!J41-'PROPYLENE-C7'!J70</f>
        <v>-469.55396000000019</v>
      </c>
      <c r="K12" s="370">
        <f>'PROPYLENE-C7'!K41-'PROPYLENE-C7'!K70</f>
        <v>-746.6441889573141</v>
      </c>
      <c r="L12" s="369">
        <f>'PROPYLENE-C7'!L41-'PROPYLENE-C7'!L70</f>
        <v>-653.63840000000005</v>
      </c>
      <c r="M12" s="368">
        <f>'PROPYLENE-C7'!M41-'PROPYLENE-C7'!M70</f>
        <v>-737.51</v>
      </c>
      <c r="N12" s="368">
        <f>'PROPYLENE-C7'!N41-'PROPYLENE-C7'!N70</f>
        <v>-815.7</v>
      </c>
      <c r="O12" s="368">
        <f>'PROPYLENE-C7'!O41-'PROPYLENE-C7'!O70</f>
        <v>-800.10000000000014</v>
      </c>
      <c r="P12" s="368">
        <f>'PROPYLENE-C7'!P41-'PROPYLENE-C7'!P70</f>
        <v>-892.50000000000023</v>
      </c>
      <c r="Q12" s="371">
        <f>'PROPYLENE-C7'!Q41-'PROPYLENE-C7'!Q70</f>
        <v>-984.90000000000009</v>
      </c>
    </row>
    <row r="13" spans="2:19" ht="18" customHeight="1">
      <c r="B13" s="605" t="s">
        <v>439</v>
      </c>
      <c r="C13" s="606"/>
      <c r="D13" s="367">
        <f>'PROPYLENE-C7'!D42-'PROPYLENE-C7'!D71</f>
        <v>203.86999999999989</v>
      </c>
      <c r="E13" s="368">
        <f>'PROPYLENE-C7'!E42-'PROPYLENE-C7'!E71</f>
        <v>403.08000000000038</v>
      </c>
      <c r="F13" s="368">
        <f>'PROPYLENE-C7'!F42-'PROPYLENE-C7'!F71</f>
        <v>545.95000000000027</v>
      </c>
      <c r="G13" s="368">
        <f>'PROPYLENE-C7'!G42-'PROPYLENE-C7'!G71</f>
        <v>290.04000000000042</v>
      </c>
      <c r="H13" s="368">
        <f>'PROPYLENE-C7'!H42-'PROPYLENE-C7'!H71</f>
        <v>-312.4399999999996</v>
      </c>
      <c r="I13" s="368">
        <f>'PROPYLENE-C7'!I42-'PROPYLENE-C7'!I71</f>
        <v>-39.789999999999964</v>
      </c>
      <c r="J13" s="369">
        <f>'PROPYLENE-C7'!J42-'PROPYLENE-C7'!J71</f>
        <v>-137.19999999999891</v>
      </c>
      <c r="K13" s="370">
        <f>'PROPYLENE-C7'!K42-'PROPYLENE-C7'!K71</f>
        <v>-71.400000000000546</v>
      </c>
      <c r="L13" s="369">
        <f>'PROPYLENE-C7'!L42-'PROPYLENE-C7'!L71</f>
        <v>259.39999999999964</v>
      </c>
      <c r="M13" s="368">
        <f>'PROPYLENE-C7'!M42-'PROPYLENE-C7'!M71</f>
        <v>360.22000000000025</v>
      </c>
      <c r="N13" s="368">
        <f>'PROPYLENE-C7'!N42-'PROPYLENE-C7'!N71</f>
        <v>354.77000000000044</v>
      </c>
      <c r="O13" s="368">
        <f>'PROPYLENE-C7'!O42-'PROPYLENE-C7'!O71</f>
        <v>658.31999999999971</v>
      </c>
      <c r="P13" s="368">
        <f>'PROPYLENE-C7'!P42-'PROPYLENE-C7'!P71</f>
        <v>446.86999999999989</v>
      </c>
      <c r="Q13" s="371">
        <f>'PROPYLENE-C7'!Q42-'PROPYLENE-C7'!Q71</f>
        <v>446.86999999999989</v>
      </c>
    </row>
    <row r="14" spans="2:19" ht="18" hidden="1" customHeight="1">
      <c r="B14" s="16"/>
      <c r="C14" s="90" t="s">
        <v>306</v>
      </c>
      <c r="D14" s="367">
        <f>'PROPYLENE-C7'!D43-'PROPYLENE-C7'!D72</f>
        <v>0</v>
      </c>
      <c r="E14" s="368">
        <f>'PROPYLENE-C7'!E43-'PROPYLENE-C7'!E72</f>
        <v>0</v>
      </c>
      <c r="F14" s="368">
        <f>'PROPYLENE-C7'!F43-'PROPYLENE-C7'!F72</f>
        <v>0</v>
      </c>
      <c r="G14" s="368">
        <f>'PROPYLENE-C7'!G43-'PROPYLENE-C7'!G72</f>
        <v>0</v>
      </c>
      <c r="H14" s="368">
        <f>'PROPYLENE-C7'!H43-'PROPYLENE-C7'!H72</f>
        <v>0</v>
      </c>
      <c r="I14" s="368">
        <f>'PROPYLENE-C7'!I43-'PROPYLENE-C7'!I72</f>
        <v>0</v>
      </c>
      <c r="J14" s="369">
        <f>'PROPYLENE-C7'!J43-'PROPYLENE-C7'!J72</f>
        <v>0</v>
      </c>
      <c r="K14" s="370">
        <f>'PROPYLENE-C7'!K43-'PROPYLENE-C7'!K72</f>
        <v>0</v>
      </c>
      <c r="L14" s="369">
        <f>'PROPYLENE-C7'!L43-'PROPYLENE-C7'!L72</f>
        <v>0</v>
      </c>
      <c r="M14" s="368">
        <f>'PROPYLENE-C7'!M43-'PROPYLENE-C7'!M72</f>
        <v>0</v>
      </c>
      <c r="N14" s="368">
        <f>'PROPYLENE-C7'!N43-'PROPYLENE-C7'!N72</f>
        <v>0</v>
      </c>
      <c r="O14" s="368">
        <f>'PROPYLENE-C7'!O43-'PROPYLENE-C7'!O72</f>
        <v>0</v>
      </c>
      <c r="P14" s="368">
        <f>'PROPYLENE-C7'!P43-'PROPYLENE-C7'!P72</f>
        <v>0</v>
      </c>
      <c r="Q14" s="371">
        <f>'PROPYLENE-C7'!Q43-'PROPYLENE-C7'!Q72</f>
        <v>0</v>
      </c>
    </row>
    <row r="15" spans="2:19" ht="18" customHeight="1">
      <c r="B15" s="605" t="s">
        <v>440</v>
      </c>
      <c r="C15" s="606"/>
      <c r="D15" s="367">
        <f>'PROPYLENE-C7'!D44-'PROPYLENE-C7'!D73</f>
        <v>-110.21000000000001</v>
      </c>
      <c r="E15" s="368">
        <f>'PROPYLENE-C7'!E44-'PROPYLENE-C7'!E73</f>
        <v>-101.89995999999999</v>
      </c>
      <c r="F15" s="368">
        <f>'PROPYLENE-C7'!F44-'PROPYLENE-C7'!F73</f>
        <v>-181.9495</v>
      </c>
      <c r="G15" s="368">
        <f>'PROPYLENE-C7'!G44-'PROPYLENE-C7'!G73</f>
        <v>-161.70999999999998</v>
      </c>
      <c r="H15" s="368">
        <f>'PROPYLENE-C7'!H44-'PROPYLENE-C7'!H73</f>
        <v>-192.36383000000001</v>
      </c>
      <c r="I15" s="368">
        <f>'PROPYLENE-C7'!I44-'PROPYLENE-C7'!I73</f>
        <v>-160.6182</v>
      </c>
      <c r="J15" s="369">
        <f>'PROPYLENE-C7'!J44-'PROPYLENE-C7'!J73</f>
        <v>-147.89770000000001</v>
      </c>
      <c r="K15" s="370">
        <f>'PROPYLENE-C7'!K44-'PROPYLENE-C7'!K73</f>
        <v>-120.52029999999998</v>
      </c>
      <c r="L15" s="369">
        <f>'PROPYLENE-C7'!L44-'PROPYLENE-C7'!L73</f>
        <v>-114.5669</v>
      </c>
      <c r="M15" s="368">
        <f>'PROPYLENE-C7'!M44-'PROPYLENE-C7'!M73</f>
        <v>-99.18900000000005</v>
      </c>
      <c r="N15" s="368">
        <f>'PROPYLENE-C7'!N44-'PROPYLENE-C7'!N73</f>
        <v>-84.748400000000004</v>
      </c>
      <c r="O15" s="368">
        <f>'PROPYLENE-C7'!O44-'PROPYLENE-C7'!O73</f>
        <v>-71.070000000000022</v>
      </c>
      <c r="P15" s="368">
        <f>'PROPYLENE-C7'!P44-'PROPYLENE-C7'!P73</f>
        <v>-58.70999999999998</v>
      </c>
      <c r="Q15" s="371">
        <f>'PROPYLENE-C7'!Q44-'PROPYLENE-C7'!Q73</f>
        <v>-47.379999999999995</v>
      </c>
    </row>
    <row r="16" spans="2:19" ht="18" customHeight="1">
      <c r="B16" s="605" t="s">
        <v>441</v>
      </c>
      <c r="C16" s="606"/>
      <c r="D16" s="367">
        <f>'PROPYLENE-C7'!D45-'PROPYLENE-C7'!D74</f>
        <v>194.07399035116464</v>
      </c>
      <c r="E16" s="368">
        <f>'PROPYLENE-C7'!E45-'PROPYLENE-C7'!E74</f>
        <v>187.73300635788348</v>
      </c>
      <c r="F16" s="368">
        <f>'PROPYLENE-C7'!F45-'PROPYLENE-C7'!F74</f>
        <v>143.78999999999996</v>
      </c>
      <c r="G16" s="368">
        <f>'PROPYLENE-C7'!G45-'PROPYLENE-C7'!G74</f>
        <v>21.929569999999899</v>
      </c>
      <c r="H16" s="368">
        <f>'PROPYLENE-C7'!H45-'PROPYLENE-C7'!H74</f>
        <v>-194.74472000000014</v>
      </c>
      <c r="I16" s="368">
        <f>'PROPYLENE-C7'!I45-'PROPYLENE-C7'!I74</f>
        <v>-103.08464865000008</v>
      </c>
      <c r="J16" s="369">
        <f>'PROPYLENE-C7'!J45-'PROPYLENE-C7'!J74</f>
        <v>-107.84681305717004</v>
      </c>
      <c r="K16" s="370">
        <f>'PROPYLENE-C7'!K45-'PROPYLENE-C7'!K74</f>
        <v>-176.83756528641925</v>
      </c>
      <c r="L16" s="369">
        <f>'PROPYLENE-C7'!L45-'PROPYLENE-C7'!L74</f>
        <v>-87.182792844880623</v>
      </c>
      <c r="M16" s="368">
        <f>'PROPYLENE-C7'!M45-'PROPYLENE-C7'!M74</f>
        <v>-24.327401315745306</v>
      </c>
      <c r="N16" s="368">
        <f>'PROPYLENE-C7'!N45-'PROPYLENE-C7'!N74</f>
        <v>757.74008342109914</v>
      </c>
      <c r="O16" s="368">
        <f>'PROPYLENE-C7'!O45-'PROPYLENE-C7'!O74</f>
        <v>735.19730345868015</v>
      </c>
      <c r="P16" s="368">
        <f>'PROPYLENE-C7'!P45-'PROPYLENE-C7'!P74</f>
        <v>711.56345294608013</v>
      </c>
      <c r="Q16" s="371">
        <f>'PROPYLENE-C7'!Q45-'PROPYLENE-C7'!Q74</f>
        <v>686.78572406867033</v>
      </c>
    </row>
    <row r="17" spans="2:17" ht="18" customHeight="1">
      <c r="B17" s="605" t="s">
        <v>442</v>
      </c>
      <c r="C17" s="606"/>
      <c r="D17" s="367">
        <f>'PROPYLENE-C7'!D46-'PROPYLENE-C7'!D75</f>
        <v>-175.10000000000002</v>
      </c>
      <c r="E17" s="368">
        <f>'PROPYLENE-C7'!E46-'PROPYLENE-C7'!E75</f>
        <v>-197.76</v>
      </c>
      <c r="F17" s="368">
        <f>'PROPYLENE-C7'!F46-'PROPYLENE-C7'!F75</f>
        <v>-221.45</v>
      </c>
      <c r="G17" s="368">
        <f>'PROPYLENE-C7'!G46-'PROPYLENE-C7'!G75</f>
        <v>-247.2</v>
      </c>
      <c r="H17" s="368">
        <f>'PROPYLENE-C7'!H46-'PROPYLENE-C7'!H75</f>
        <v>-275.01</v>
      </c>
      <c r="I17" s="368">
        <f>'PROPYLENE-C7'!I46-'PROPYLENE-C7'!I75</f>
        <v>-303.85000000000002</v>
      </c>
      <c r="J17" s="369">
        <f>'PROPYLENE-C7'!J46-'PROPYLENE-C7'!J75</f>
        <v>-332.69</v>
      </c>
      <c r="K17" s="370">
        <f>'PROPYLENE-C7'!K46-'PROPYLENE-C7'!K75</f>
        <v>-1181.4100000000001</v>
      </c>
      <c r="L17" s="369">
        <f>'PROPYLENE-C7'!L46-'PROPYLENE-C7'!L75</f>
        <v>-1056.7800000000002</v>
      </c>
      <c r="M17" s="368">
        <f>'PROPYLENE-C7'!M46-'PROPYLENE-C7'!M75</f>
        <v>-1151.54</v>
      </c>
      <c r="N17" s="368">
        <f>'PROPYLENE-C7'!N46-'PROPYLENE-C7'!N75</f>
        <v>-943.48000000000013</v>
      </c>
      <c r="O17" s="368">
        <f>'PROPYLENE-C7'!O46-'PROPYLENE-C7'!O75</f>
        <v>-1050.5999999999999</v>
      </c>
      <c r="P17" s="368">
        <f>'PROPYLENE-C7'!P46-'PROPYLENE-C7'!P75</f>
        <v>-1163.9000000000001</v>
      </c>
      <c r="Q17" s="371">
        <f>'PROPYLENE-C7'!Q46-'PROPYLENE-C7'!Q75</f>
        <v>-820.91000000000008</v>
      </c>
    </row>
    <row r="18" spans="2:17" ht="18" customHeight="1">
      <c r="B18" s="607" t="s">
        <v>443</v>
      </c>
      <c r="C18" s="608"/>
      <c r="D18" s="367">
        <f>'PROPYLENE-C7'!D47-'PROPYLENE-C7'!D76</f>
        <v>866.58882000000085</v>
      </c>
      <c r="E18" s="368">
        <f>'PROPYLENE-C7'!E47-'PROPYLENE-C7'!E76</f>
        <v>737.12099999999919</v>
      </c>
      <c r="F18" s="368">
        <f>'PROPYLENE-C7'!F47-'PROPYLENE-C7'!F76</f>
        <v>352.74399999999969</v>
      </c>
      <c r="G18" s="368">
        <f>'PROPYLENE-C7'!G47-'PROPYLENE-C7'!G76</f>
        <v>351.5359999999996</v>
      </c>
      <c r="H18" s="368">
        <f>'PROPYLENE-C7'!H47-'PROPYLENE-C7'!H76</f>
        <v>110.10999999999967</v>
      </c>
      <c r="I18" s="368">
        <f>'PROPYLENE-C7'!I47-'PROPYLENE-C7'!I76</f>
        <v>135.60094000000026</v>
      </c>
      <c r="J18" s="369">
        <f>'PROPYLENE-C7'!J47-'PROPYLENE-C7'!J76</f>
        <v>-16.214719999999943</v>
      </c>
      <c r="K18" s="370">
        <f>'PROPYLENE-C7'!K47-'PROPYLENE-C7'!K76</f>
        <v>1.576799999999821</v>
      </c>
      <c r="L18" s="369">
        <f>'PROPYLENE-C7'!L47-'PROPYLENE-C7'!L76</f>
        <v>-189.13400000000001</v>
      </c>
      <c r="M18" s="368">
        <f>'PROPYLENE-C7'!M47-'PROPYLENE-C7'!M76</f>
        <v>-167.67000000000007</v>
      </c>
      <c r="N18" s="368">
        <f>'PROPYLENE-C7'!N47-'PROPYLENE-C7'!N76</f>
        <v>-42.440000000000509</v>
      </c>
      <c r="O18" s="368">
        <f>'PROPYLENE-C7'!O47-'PROPYLENE-C7'!O76</f>
        <v>-58.979999999999563</v>
      </c>
      <c r="P18" s="368">
        <f>'PROPYLENE-C7'!P47-'PROPYLENE-C7'!P76</f>
        <v>-77.460000000000036</v>
      </c>
      <c r="Q18" s="371">
        <f>'PROPYLENE-C7'!Q47-'PROPYLENE-C7'!Q76</f>
        <v>-98.119999999999891</v>
      </c>
    </row>
    <row r="19" spans="2:17" ht="21" customHeight="1">
      <c r="B19" s="674" t="s">
        <v>307</v>
      </c>
      <c r="C19" s="675"/>
      <c r="D19" s="382">
        <f t="shared" ref="D19:K19" si="0">SUM(D7:D18)</f>
        <v>-473.84866759699071</v>
      </c>
      <c r="E19" s="383">
        <f t="shared" si="0"/>
        <v>-760.60307678249796</v>
      </c>
      <c r="F19" s="383">
        <f t="shared" si="0"/>
        <v>-1312.0635051039994</v>
      </c>
      <c r="G19" s="383">
        <f t="shared" si="0"/>
        <v>-318.2143510804807</v>
      </c>
      <c r="H19" s="383">
        <f t="shared" si="0"/>
        <v>-1167.7672599999985</v>
      </c>
      <c r="I19" s="383">
        <f t="shared" si="0"/>
        <v>-336.78028417511325</v>
      </c>
      <c r="J19" s="384">
        <f t="shared" si="0"/>
        <v>-381.64338602061753</v>
      </c>
      <c r="K19" s="385">
        <f t="shared" si="0"/>
        <v>-909.56387316264977</v>
      </c>
      <c r="L19" s="384">
        <f t="shared" ref="L19:Q19" si="1">SUM(L7:L18)</f>
        <v>504.31116196371022</v>
      </c>
      <c r="M19" s="383">
        <f t="shared" si="1"/>
        <v>687.16235013311598</v>
      </c>
      <c r="N19" s="383">
        <f>SUM(N7:N18)</f>
        <v>3194.8036680038344</v>
      </c>
      <c r="O19" s="383">
        <f t="shared" si="1"/>
        <v>4577.6674991256768</v>
      </c>
      <c r="P19" s="383">
        <f t="shared" si="1"/>
        <v>4420.0355605313734</v>
      </c>
      <c r="Q19" s="386">
        <f t="shared" si="1"/>
        <v>4776.0514855551728</v>
      </c>
    </row>
    <row r="20" spans="2:17" ht="21" customHeight="1">
      <c r="B20" s="672" t="s">
        <v>308</v>
      </c>
      <c r="C20" s="673"/>
      <c r="D20" s="382">
        <f>'PROPYLENE-C7'!D49-'PROPYLENE-C7'!D78</f>
        <v>-132.11799999999999</v>
      </c>
      <c r="E20" s="383">
        <f>'PROPYLENE-C7'!E49-'PROPYLENE-C7'!E78</f>
        <v>-98.127999999999986</v>
      </c>
      <c r="F20" s="383">
        <f>'PROPYLENE-C7'!F49-'PROPYLENE-C7'!F78</f>
        <v>-80.617999999999967</v>
      </c>
      <c r="G20" s="383">
        <f>'PROPYLENE-C7'!G49-'PROPYLENE-C7'!G78</f>
        <v>6.9320000000000164</v>
      </c>
      <c r="H20" s="383">
        <f>'PROPYLENE-C7'!H49-'PROPYLENE-C7'!H78</f>
        <v>-38.387999999999991</v>
      </c>
      <c r="I20" s="383">
        <f>'PROPYLENE-C7'!I49-'PROPYLENE-C7'!I78</f>
        <v>22.467000000000013</v>
      </c>
      <c r="J20" s="384">
        <f>'PROPYLENE-C7'!J49-'PROPYLENE-C7'!J78</f>
        <v>2.472999999999999</v>
      </c>
      <c r="K20" s="385">
        <f>'PROPYLENE-C7'!K49-'PROPYLENE-C7'!K78</f>
        <v>17.61399999999999</v>
      </c>
      <c r="L20" s="384">
        <f>'PROPYLENE-C7'!L49-'PROPYLENE-C7'!L78</f>
        <v>17.61399999999999</v>
      </c>
      <c r="M20" s="383">
        <f>'PROPYLENE-C7'!M49-'PROPYLENE-C7'!M78</f>
        <v>15.553999999999988</v>
      </c>
      <c r="N20" s="383">
        <f>'PROPYLENE-C7'!N49-'PROPYLENE-C7'!N78</f>
        <v>15.553999999999988</v>
      </c>
      <c r="O20" s="383">
        <f>'PROPYLENE-C7'!O49-'PROPYLENE-C7'!O78</f>
        <v>13.43950000000001</v>
      </c>
      <c r="P20" s="383">
        <f>'PROPYLENE-C7'!P49-'PROPYLENE-C7'!P78</f>
        <v>13.930000000000007</v>
      </c>
      <c r="Q20" s="386">
        <f>'PROPYLENE-C7'!Q49-'PROPYLENE-C7'!Q78</f>
        <v>13.930000000000007</v>
      </c>
    </row>
    <row r="21" spans="2:17" ht="18" customHeight="1">
      <c r="B21" s="105"/>
      <c r="C21" s="97" t="s">
        <v>309</v>
      </c>
      <c r="D21" s="382">
        <f>'PROPYLENE-C7'!D50-'PROPYLENE-C7'!D79</f>
        <v>-79.588000000000022</v>
      </c>
      <c r="E21" s="383">
        <f>'PROPYLENE-C7'!E50-'PROPYLENE-C7'!E79</f>
        <v>-98.127999999999986</v>
      </c>
      <c r="F21" s="383">
        <f>'PROPYLENE-C7'!F50-'PROPYLENE-C7'!F79</f>
        <v>-80.617999999999967</v>
      </c>
      <c r="G21" s="383">
        <f>'PROPYLENE-C7'!G50-'PROPYLENE-C7'!G79</f>
        <v>6.9320000000000164</v>
      </c>
      <c r="H21" s="383">
        <f>'PROPYLENE-C7'!H50-'PROPYLENE-C7'!H79</f>
        <v>-38.387999999999991</v>
      </c>
      <c r="I21" s="383">
        <f>'PROPYLENE-C7'!I50-'PROPYLENE-C7'!I79</f>
        <v>22.467000000000013</v>
      </c>
      <c r="J21" s="384">
        <f>'PROPYLENE-C7'!J50-'PROPYLENE-C7'!J79</f>
        <v>2.472999999999999</v>
      </c>
      <c r="K21" s="385">
        <f>'PROPYLENE-C7'!K50-'PROPYLENE-C7'!K79</f>
        <v>17.61399999999999</v>
      </c>
      <c r="L21" s="384">
        <f>'PROPYLENE-C7'!L50-'PROPYLENE-C7'!L79</f>
        <v>17.61399999999999</v>
      </c>
      <c r="M21" s="383">
        <f>'PROPYLENE-C7'!M50-'PROPYLENE-C7'!M79</f>
        <v>15.553999999999988</v>
      </c>
      <c r="N21" s="383">
        <f>'PROPYLENE-C7'!N50-'PROPYLENE-C7'!N79</f>
        <v>15.553999999999988</v>
      </c>
      <c r="O21" s="383">
        <f>'PROPYLENE-C7'!O50-'PROPYLENE-C7'!O79</f>
        <v>13.43950000000001</v>
      </c>
      <c r="P21" s="383">
        <f>'PROPYLENE-C7'!P50-'PROPYLENE-C7'!P79</f>
        <v>13.930000000000007</v>
      </c>
      <c r="Q21" s="386">
        <f>'PROPYLENE-C7'!Q50-'PROPYLENE-C7'!Q79</f>
        <v>13.930000000000007</v>
      </c>
    </row>
    <row r="22" spans="2:17" ht="21" customHeight="1">
      <c r="B22" s="672" t="s">
        <v>310</v>
      </c>
      <c r="C22" s="673"/>
      <c r="D22" s="367">
        <f>'PROPYLENE-C7'!D51-'PROPYLENE-C7'!D80</f>
        <v>-1619.4584897354398</v>
      </c>
      <c r="E22" s="368">
        <f>'PROPYLENE-C7'!E51-'PROPYLENE-C7'!E80</f>
        <v>-912.8435509385472</v>
      </c>
      <c r="F22" s="368">
        <f>'PROPYLENE-C7'!F51-'PROPYLENE-C7'!F80</f>
        <v>540.50627906976661</v>
      </c>
      <c r="G22" s="368">
        <f>'PROPYLENE-C7'!G51-'PROPYLENE-C7'!G80</f>
        <v>488.23627906976617</v>
      </c>
      <c r="H22" s="368">
        <f>'PROPYLENE-C7'!H51-'PROPYLENE-C7'!H80</f>
        <v>479.39227058976758</v>
      </c>
      <c r="I22" s="368">
        <f>'PROPYLENE-C7'!I51-'PROPYLENE-C7'!I80</f>
        <v>334.60629999999946</v>
      </c>
      <c r="J22" s="369">
        <f>'PROPYLENE-C7'!J51-'PROPYLENE-C7'!J80</f>
        <v>250.82461462999709</v>
      </c>
      <c r="K22" s="370">
        <f>'PROPYLENE-C7'!K51-'PROPYLENE-C7'!K80</f>
        <v>1218.3136542000029</v>
      </c>
      <c r="L22" s="369">
        <f>'PROPYLENE-C7'!L51-'PROPYLENE-C7'!L80</f>
        <v>989.94111662000068</v>
      </c>
      <c r="M22" s="368">
        <f>'PROPYLENE-C7'!M51-'PROPYLENE-C7'!M80</f>
        <v>885.06868521999786</v>
      </c>
      <c r="N22" s="368">
        <f>'PROPYLENE-C7'!N51-'PROPYLENE-C7'!N80</f>
        <v>685.56973213999663</v>
      </c>
      <c r="O22" s="368">
        <f>'PROPYLENE-C7'!O51-'PROPYLENE-C7'!O80</f>
        <v>521.37740993999978</v>
      </c>
      <c r="P22" s="368">
        <f>'PROPYLENE-C7'!P51-'PROPYLENE-C7'!P80</f>
        <v>374.57866637999905</v>
      </c>
      <c r="Q22" s="371">
        <f>'PROPYLENE-C7'!Q51-'PROPYLENE-C7'!Q80</f>
        <v>228.52727021999817</v>
      </c>
    </row>
    <row r="23" spans="2:17" ht="21" customHeight="1">
      <c r="B23" s="105"/>
      <c r="C23" s="615" t="s">
        <v>311</v>
      </c>
      <c r="D23" s="382">
        <f>'PROPYLENE-C7'!D52-'PROPYLENE-C7'!D81</f>
        <v>-457.31999999999789</v>
      </c>
      <c r="E23" s="383">
        <f>'PROPYLENE-C7'!E52-'PROPYLENE-C7'!E81</f>
        <v>-639.86581317415767</v>
      </c>
      <c r="F23" s="383">
        <f>'PROPYLENE-C7'!F52-'PROPYLENE-C7'!F81</f>
        <v>945.45659302325475</v>
      </c>
      <c r="G23" s="383">
        <f>'PROPYLENE-C7'!G52-'PROPYLENE-C7'!G81</f>
        <v>919.96659302325679</v>
      </c>
      <c r="H23" s="383">
        <f>'PROPYLENE-C7'!H52-'PROPYLENE-C7'!H81</f>
        <v>951.6190698232549</v>
      </c>
      <c r="I23" s="383">
        <f>'PROPYLENE-C7'!I52-'PROPYLENE-C7'!I81</f>
        <v>976.41200000000208</v>
      </c>
      <c r="J23" s="384">
        <f>'PROPYLENE-C7'!J52-'PROPYLENE-C7'!J81</f>
        <v>1016.5066341999991</v>
      </c>
      <c r="K23" s="385">
        <f>'PROPYLENE-C7'!K52-'PROPYLENE-C7'!K81</f>
        <v>1607.62318013</v>
      </c>
      <c r="L23" s="384">
        <f>'PROPYLENE-C7'!L52-'PROPYLENE-C7'!L81</f>
        <v>1430.1525219900013</v>
      </c>
      <c r="M23" s="383">
        <f>'PROPYLENE-C7'!M52-'PROPYLENE-C7'!M81</f>
        <v>1273.1000500100017</v>
      </c>
      <c r="N23" s="383">
        <f>'PROPYLENE-C7'!N52-'PROPYLENE-C7'!N81</f>
        <v>1120.1219840800004</v>
      </c>
      <c r="O23" s="383">
        <f>'PROPYLENE-C7'!O52-'PROPYLENE-C7'!O81</f>
        <v>1002.5869688500024</v>
      </c>
      <c r="P23" s="383">
        <f>'PROPYLENE-C7'!P52-'PROPYLENE-C7'!P81</f>
        <v>900.05689502000132</v>
      </c>
      <c r="Q23" s="386">
        <f>'PROPYLENE-C7'!Q52-'PROPYLENE-C7'!Q81</f>
        <v>798.48539172000164</v>
      </c>
    </row>
    <row r="24" spans="2:17" ht="21" customHeight="1">
      <c r="B24" s="672" t="s">
        <v>312</v>
      </c>
      <c r="C24" s="673"/>
      <c r="D24" s="367">
        <f>'PROPYLENE-C7'!D53-'PROPYLENE-C7'!D82</f>
        <v>4195.83</v>
      </c>
      <c r="E24" s="368">
        <f>'PROPYLENE-C7'!E53-'PROPYLENE-C7'!E82</f>
        <v>3821.6799999999994</v>
      </c>
      <c r="F24" s="368">
        <f>'PROPYLENE-C7'!F53-'PROPYLENE-C7'!F82</f>
        <v>4376.0116153846147</v>
      </c>
      <c r="G24" s="368">
        <f>'PROPYLENE-C7'!G53-'PROPYLENE-C7'!G82</f>
        <v>4870.492873846154</v>
      </c>
      <c r="H24" s="368">
        <f>'PROPYLENE-C7'!H53-'PROPYLENE-C7'!H82</f>
        <v>5574.9292052000001</v>
      </c>
      <c r="I24" s="368">
        <f>'PROPYLENE-C7'!I53-'PROPYLENE-C7'!I82</f>
        <v>5639.6739773820009</v>
      </c>
      <c r="J24" s="369">
        <f>'PROPYLENE-C7'!J53-'PROPYLENE-C7'!J82</f>
        <v>5957.5650165903699</v>
      </c>
      <c r="K24" s="370">
        <f>'PROPYLENE-C7'!K53-'PROPYLENE-C7'!K82</f>
        <v>5857.5757421710341</v>
      </c>
      <c r="L24" s="369">
        <f>'PROPYLENE-C7'!L53-'PROPYLENE-C7'!L82</f>
        <v>6125.8189931470206</v>
      </c>
      <c r="M24" s="368">
        <f>'PROPYLENE-C7'!M53-'PROPYLENE-C7'!M82</f>
        <v>6120.5870079071665</v>
      </c>
      <c r="N24" s="368">
        <f>'PROPYLENE-C7'!N53-'PROPYLENE-C7'!N82</f>
        <v>6188.567007907166</v>
      </c>
      <c r="O24" s="368">
        <f>'PROPYLENE-C7'!O53-'PROPYLENE-C7'!O82</f>
        <v>6227.7070079071655</v>
      </c>
      <c r="P24" s="368">
        <f>'PROPYLENE-C7'!P53-'PROPYLENE-C7'!P82</f>
        <v>6180.7400000000007</v>
      </c>
      <c r="Q24" s="371">
        <f>'PROPYLENE-C7'!Q53-'PROPYLENE-C7'!Q82</f>
        <v>6148.81</v>
      </c>
    </row>
    <row r="25" spans="2:17" ht="21" customHeight="1">
      <c r="B25" s="16"/>
      <c r="C25" s="615" t="s">
        <v>313</v>
      </c>
      <c r="D25" s="382">
        <f>'PROPYLENE-C7'!D54-'PROPYLENE-C7'!D83</f>
        <v>0</v>
      </c>
      <c r="E25" s="383">
        <f>'PROPYLENE-C7'!E54-'PROPYLENE-C7'!E83</f>
        <v>2809.9984615384615</v>
      </c>
      <c r="F25" s="383">
        <f>'PROPYLENE-C7'!F54-'PROPYLENE-C7'!F83</f>
        <v>3238.9538461538459</v>
      </c>
      <c r="G25" s="383">
        <f>'PROPYLENE-C7'!G54-'PROPYLENE-C7'!G83</f>
        <v>3575.4865384615382</v>
      </c>
      <c r="H25" s="383">
        <f>'PROPYLENE-C7'!H54-'PROPYLENE-C7'!H83</f>
        <v>4073.6499999999996</v>
      </c>
      <c r="I25" s="383">
        <f>'PROPYLENE-C7'!I54-'PROPYLENE-C7'!I83</f>
        <v>4150.8999999999996</v>
      </c>
      <c r="J25" s="384">
        <f>'PROPYLENE-C7'!J54-'PROPYLENE-C7'!J83</f>
        <v>4196.22</v>
      </c>
      <c r="K25" s="385">
        <f>'PROPYLENE-C7'!K54-'PROPYLENE-C7'!K83</f>
        <v>4202.3999999999996</v>
      </c>
      <c r="L25" s="384">
        <f>'PROPYLENE-C7'!L54-'PROPYLENE-C7'!L83</f>
        <v>4211.67</v>
      </c>
      <c r="M25" s="383">
        <f>'PROPYLENE-C7'!M54-'PROPYLENE-C7'!M83</f>
        <v>4253.9000000000005</v>
      </c>
      <c r="N25" s="383">
        <f>'PROPYLENE-C7'!N54-'PROPYLENE-C7'!N83</f>
        <v>4285.8300000000008</v>
      </c>
      <c r="O25" s="383">
        <f>'PROPYLENE-C7'!O54-'PROPYLENE-C7'!O83</f>
        <v>4295.0999999999995</v>
      </c>
      <c r="P25" s="383">
        <f>'PROPYLENE-C7'!P54-'PROPYLENE-C7'!P83</f>
        <v>4322.91</v>
      </c>
      <c r="Q25" s="386">
        <f>'PROPYLENE-C7'!Q54-'PROPYLENE-C7'!Q83</f>
        <v>4367.2</v>
      </c>
    </row>
    <row r="26" spans="2:17" ht="21" customHeight="1">
      <c r="B26" s="674" t="s">
        <v>314</v>
      </c>
      <c r="C26" s="675"/>
      <c r="D26" s="382">
        <f>'PROPYLENE-C7'!D55-'PROPYLENE-C7'!D84</f>
        <v>-620.2299999999999</v>
      </c>
      <c r="E26" s="383">
        <f>'PROPYLENE-C7'!E55-'PROPYLENE-C7'!E84</f>
        <v>-806.96</v>
      </c>
      <c r="F26" s="383">
        <f>'PROPYLENE-C7'!F55-'PROPYLENE-C7'!F84</f>
        <v>-857.7240384615385</v>
      </c>
      <c r="G26" s="383">
        <f>'PROPYLENE-C7'!G55-'PROPYLENE-C7'!G84</f>
        <v>-938.78797499999996</v>
      </c>
      <c r="H26" s="383">
        <f>'PROPYLENE-C7'!H55-'PROPYLENE-C7'!H84</f>
        <v>-1139.3589432500003</v>
      </c>
      <c r="I26" s="383">
        <f>'PROPYLENE-C7'!I55-'PROPYLENE-C7'!I84</f>
        <v>-1319.5704058725</v>
      </c>
      <c r="J26" s="384">
        <f>'PROPYLENE-C7'!J55-'PROPYLENE-C7'!J84</f>
        <v>-1319.166358635925</v>
      </c>
      <c r="K26" s="385">
        <f>'PROPYLENE-C7'!K55-'PROPYLENE-C7'!K84</f>
        <v>-1047.593185258595</v>
      </c>
      <c r="L26" s="384">
        <f>'PROPYLENE-C7'!L55-'PROPYLENE-C7'!L84</f>
        <v>-1174.4484993422127</v>
      </c>
      <c r="M26" s="383">
        <f>'PROPYLENE-C7'!M55-'PROPYLENE-C7'!M84</f>
        <v>-1298.0484993422128</v>
      </c>
      <c r="N26" s="383">
        <f>'PROPYLENE-C7'!N55-'PROPYLENE-C7'!N84</f>
        <v>-1431.9484993422127</v>
      </c>
      <c r="O26" s="383">
        <f>'PROPYLENE-C7'!O55-'PROPYLENE-C7'!O84</f>
        <v>-1567.9084993422127</v>
      </c>
      <c r="P26" s="383">
        <f>'PROPYLENE-C7'!P55-'PROPYLENE-C7'!P84</f>
        <v>-1717.46</v>
      </c>
      <c r="Q26" s="386">
        <f>'PROPYLENE-C7'!Q55-'PROPYLENE-C7'!Q84</f>
        <v>-1815.31</v>
      </c>
    </row>
    <row r="27" spans="2:17" ht="21" customHeight="1">
      <c r="B27" s="674" t="s">
        <v>315</v>
      </c>
      <c r="C27" s="675"/>
      <c r="D27" s="382">
        <f>'PROPYLENE-C7'!D56-'PROPYLENE-C7'!D85</f>
        <v>-88.820000000000164</v>
      </c>
      <c r="E27" s="383">
        <f>'PROPYLENE-C7'!E56-'PROPYLENE-C7'!E85</f>
        <v>16.150000000000091</v>
      </c>
      <c r="F27" s="383">
        <f>'PROPYLENE-C7'!F56-'PROPYLENE-C7'!F85</f>
        <v>-94.408200000000079</v>
      </c>
      <c r="G27" s="383">
        <f>'PROPYLENE-C7'!G56-'PROPYLENE-C7'!G85</f>
        <v>-116.01199999999994</v>
      </c>
      <c r="H27" s="383">
        <f>'PROPYLENE-C7'!H56-'PROPYLENE-C7'!H85</f>
        <v>-3.6534520000002431</v>
      </c>
      <c r="I27" s="383">
        <f>'PROPYLENE-C7'!I56-'PROPYLENE-C7'!I85</f>
        <v>252.51000000000022</v>
      </c>
      <c r="J27" s="384">
        <f>'PROPYLENE-C7'!J56-'PROPYLENE-C7'!J85</f>
        <v>122.47596000000021</v>
      </c>
      <c r="K27" s="385">
        <f>'PROPYLENE-C7'!K56-'PROPYLENE-C7'!K85</f>
        <v>485.05931920000012</v>
      </c>
      <c r="L27" s="384">
        <f>'PROPYLENE-C7'!L56-'PROPYLENE-C7'!L85</f>
        <v>684.42528558720005</v>
      </c>
      <c r="M27" s="383">
        <f>'PROPYLENE-C7'!M56-'PROPYLENE-C7'!M85</f>
        <v>631.5837542998338</v>
      </c>
      <c r="N27" s="383">
        <f>'PROPYLENE-C7'!N56-'PROPYLENE-C7'!N85</f>
        <v>528.01571061433151</v>
      </c>
      <c r="O27" s="383">
        <f>'PROPYLENE-C7'!O56-'PROPYLENE-C7'!O85</f>
        <v>1181.474146273546</v>
      </c>
      <c r="P27" s="383">
        <f>'PROPYLENE-C7'!P56-'PROPYLENE-C7'!P85</f>
        <v>1408.4887084676488</v>
      </c>
      <c r="Q27" s="386">
        <f>'PROPYLENE-C7'!Q56-'PROPYLENE-C7'!Q85</f>
        <v>1520.98</v>
      </c>
    </row>
    <row r="28" spans="2:17" ht="18" customHeight="1">
      <c r="B28" s="672" t="s">
        <v>316</v>
      </c>
      <c r="C28" s="673"/>
      <c r="D28" s="367">
        <f>'PROPYLENE-C7'!D57-'PROPYLENE-C7'!D86</f>
        <v>466.65000000000146</v>
      </c>
      <c r="E28" s="368">
        <f>'PROPYLENE-C7'!E57-'PROPYLENE-C7'!E86</f>
        <v>1070.6200000000008</v>
      </c>
      <c r="F28" s="368">
        <f>'PROPYLENE-C7'!F57-'PROPYLENE-C7'!F86</f>
        <v>1784.7400000000016</v>
      </c>
      <c r="G28" s="368">
        <f>'PROPYLENE-C7'!G57-'PROPYLENE-C7'!G86</f>
        <v>1577.1699999999983</v>
      </c>
      <c r="H28" s="368">
        <f>'PROPYLENE-C7'!H57-'PROPYLENE-C7'!H86</f>
        <v>1502.010000000002</v>
      </c>
      <c r="I28" s="368">
        <f>'PROPYLENE-C7'!I57-'PROPYLENE-C7'!I86</f>
        <v>1253.8600000000006</v>
      </c>
      <c r="J28" s="369">
        <f>'PROPYLENE-C7'!J57-'PROPYLENE-C7'!J86</f>
        <v>1007.0400000000009</v>
      </c>
      <c r="K28" s="370">
        <f>'PROPYLENE-C7'!K57-'PROPYLENE-C7'!K86</f>
        <v>1042.6500000000015</v>
      </c>
      <c r="L28" s="369">
        <f>'PROPYLENE-C7'!L57-'PROPYLENE-C7'!L86</f>
        <v>811.61999999999898</v>
      </c>
      <c r="M28" s="368">
        <f>'PROPYLENE-C7'!M57-'PROPYLENE-C7'!M86</f>
        <v>461.17000000000007</v>
      </c>
      <c r="N28" s="368">
        <f>'PROPYLENE-C7'!N57-'PROPYLENE-C7'!N86</f>
        <v>966.29999999999927</v>
      </c>
      <c r="O28" s="368">
        <f>'PROPYLENE-C7'!O57-'PROPYLENE-C7'!O86</f>
        <v>827.73999999999978</v>
      </c>
      <c r="P28" s="368">
        <f>'PROPYLENE-C7'!P57-'PROPYLENE-C7'!P86</f>
        <v>1123.9000000000015</v>
      </c>
      <c r="Q28" s="371">
        <f>'PROPYLENE-C7'!Q57-'PROPYLENE-C7'!Q86</f>
        <v>1009.0900000000001</v>
      </c>
    </row>
    <row r="29" spans="2:17" ht="18" customHeight="1">
      <c r="B29" s="670" t="s">
        <v>317</v>
      </c>
      <c r="C29" s="671"/>
      <c r="D29" s="367">
        <f>'PROPYLENE-C7'!D58-'PROPYLENE-C7'!D87</f>
        <v>-142.49999999999994</v>
      </c>
      <c r="E29" s="368">
        <f>'PROPYLENE-C7'!E58-'PROPYLENE-C7'!E87</f>
        <v>-146.62000000000006</v>
      </c>
      <c r="F29" s="368">
        <f>'PROPYLENE-C7'!F58-'PROPYLENE-C7'!F87</f>
        <v>-146.73999999999995</v>
      </c>
      <c r="G29" s="368">
        <f>'PROPYLENE-C7'!G58-'PROPYLENE-C7'!G87</f>
        <v>-179.85999999999996</v>
      </c>
      <c r="H29" s="368">
        <f>'PROPYLENE-C7'!H58-'PROPYLENE-C7'!H87</f>
        <v>-199.04000000000002</v>
      </c>
      <c r="I29" s="368">
        <f>'PROPYLENE-C7'!I58-'PROPYLENE-C7'!I87</f>
        <v>-218.09999999999997</v>
      </c>
      <c r="J29" s="369">
        <f>'PROPYLENE-C7'!J58-'PROPYLENE-C7'!J87</f>
        <v>-243.19</v>
      </c>
      <c r="K29" s="370">
        <f>'PROPYLENE-C7'!K58-'PROPYLENE-C7'!K87</f>
        <v>-267.40000000000003</v>
      </c>
      <c r="L29" s="369">
        <f>'PROPYLENE-C7'!L58-'PROPYLENE-C7'!L87</f>
        <v>-272.55</v>
      </c>
      <c r="M29" s="368">
        <f>'PROPYLENE-C7'!M58-'PROPYLENE-C7'!M87</f>
        <v>-277.7</v>
      </c>
      <c r="N29" s="368">
        <f>'PROPYLENE-C7'!N58-'PROPYLENE-C7'!N87</f>
        <v>-282.85000000000008</v>
      </c>
      <c r="O29" s="368">
        <f>'PROPYLENE-C7'!O58-'PROPYLENE-C7'!O87</f>
        <v>-287.99999999999994</v>
      </c>
      <c r="P29" s="368">
        <f>'PROPYLENE-C7'!P58-'PROPYLENE-C7'!P87</f>
        <v>-291.92000000000007</v>
      </c>
      <c r="Q29" s="371">
        <f>'PROPYLENE-C7'!Q58-'PROPYLENE-C7'!Q87</f>
        <v>-296.03999999999996</v>
      </c>
    </row>
    <row r="30" spans="2:17" ht="21" customHeight="1">
      <c r="B30" s="674" t="s">
        <v>318</v>
      </c>
      <c r="C30" s="675"/>
      <c r="D30" s="382">
        <f t="shared" ref="D30:K30" si="2">D29+D28</f>
        <v>324.15000000000151</v>
      </c>
      <c r="E30" s="383">
        <f t="shared" si="2"/>
        <v>924.00000000000068</v>
      </c>
      <c r="F30" s="383">
        <f t="shared" si="2"/>
        <v>1638.0000000000016</v>
      </c>
      <c r="G30" s="383">
        <f t="shared" si="2"/>
        <v>1397.3099999999984</v>
      </c>
      <c r="H30" s="383">
        <f t="shared" si="2"/>
        <v>1302.9700000000021</v>
      </c>
      <c r="I30" s="383">
        <f t="shared" si="2"/>
        <v>1035.7600000000007</v>
      </c>
      <c r="J30" s="384">
        <f t="shared" si="2"/>
        <v>763.85000000000082</v>
      </c>
      <c r="K30" s="385">
        <f t="shared" si="2"/>
        <v>775.25000000000136</v>
      </c>
      <c r="L30" s="384">
        <f t="shared" ref="L30:Q30" si="3">L29+L28</f>
        <v>539.06999999999903</v>
      </c>
      <c r="M30" s="383">
        <f t="shared" si="3"/>
        <v>183.47000000000008</v>
      </c>
      <c r="N30" s="383">
        <f t="shared" si="3"/>
        <v>683.44999999999914</v>
      </c>
      <c r="O30" s="383">
        <f t="shared" si="3"/>
        <v>539.73999999999978</v>
      </c>
      <c r="P30" s="383">
        <f t="shared" si="3"/>
        <v>831.98000000000138</v>
      </c>
      <c r="Q30" s="386">
        <f t="shared" si="3"/>
        <v>713.05000000000018</v>
      </c>
    </row>
    <row r="31" spans="2:17" ht="18" customHeight="1">
      <c r="B31" s="672" t="s">
        <v>319</v>
      </c>
      <c r="C31" s="673"/>
      <c r="D31" s="367">
        <f>'PROPYLENE-C7'!D60-'PROPYLENE-C7'!D89</f>
        <v>-593.02</v>
      </c>
      <c r="E31" s="368">
        <f>'PROPYLENE-C7'!E60-'PROPYLENE-C7'!E89</f>
        <v>-464.27</v>
      </c>
      <c r="F31" s="368">
        <f>'PROPYLENE-C7'!F60-'PROPYLENE-C7'!F89</f>
        <v>-484.86999999999989</v>
      </c>
      <c r="G31" s="368">
        <f>'PROPYLENE-C7'!G60-'PROPYLENE-C7'!G89</f>
        <v>-602.81000000000006</v>
      </c>
      <c r="H31" s="368">
        <f>'PROPYLENE-C7'!H60-'PROPYLENE-C7'!H89</f>
        <v>-594.02</v>
      </c>
      <c r="I31" s="368">
        <f>'PROPYLENE-C7'!I60-'PROPYLENE-C7'!I89</f>
        <v>-618.95000000000005</v>
      </c>
      <c r="J31" s="369">
        <f>'PROPYLENE-C7'!J60-'PROPYLENE-C7'!J89</f>
        <v>-540.99</v>
      </c>
      <c r="K31" s="370">
        <f>'PROPYLENE-C7'!K60-'PROPYLENE-C7'!K89</f>
        <v>-620.91500000000008</v>
      </c>
      <c r="L31" s="369">
        <f>'PROPYLENE-C7'!L60-'PROPYLENE-C7'!L89</f>
        <v>-575.0925000000002</v>
      </c>
      <c r="M31" s="368">
        <f>'PROPYLENE-C7'!M60-'PROPYLENE-C7'!M89</f>
        <v>-582.16499999999996</v>
      </c>
      <c r="N31" s="368">
        <f>'PROPYLENE-C7'!N60-'PROPYLENE-C7'!N89</f>
        <v>-615.30499999999984</v>
      </c>
      <c r="O31" s="368">
        <f>'PROPYLENE-C7'!O60-'PROPYLENE-C7'!O89</f>
        <v>-650.50499999999988</v>
      </c>
      <c r="P31" s="368">
        <f>'PROPYLENE-C7'!P60-'PROPYLENE-C7'!P89</f>
        <v>-687.7650000000001</v>
      </c>
      <c r="Q31" s="371">
        <f>'PROPYLENE-C7'!Q60-'PROPYLENE-C7'!Q89</f>
        <v>-726.05500000000006</v>
      </c>
    </row>
    <row r="32" spans="2:17" ht="18" customHeight="1">
      <c r="B32" s="668" t="s">
        <v>320</v>
      </c>
      <c r="C32" s="669"/>
      <c r="D32" s="367">
        <f>'PROPYLENE-C7'!D61-'PROPYLENE-C7'!D90</f>
        <v>158.15000000000009</v>
      </c>
      <c r="E32" s="368">
        <f>'PROPYLENE-C7'!E61-'PROPYLENE-C7'!E90</f>
        <v>234.19000000000005</v>
      </c>
      <c r="F32" s="368">
        <f>'PROPYLENE-C7'!F61-'PROPYLENE-C7'!F90</f>
        <v>307.31999999999994</v>
      </c>
      <c r="G32" s="368">
        <f>'PROPYLENE-C7'!G61-'PROPYLENE-C7'!G90</f>
        <v>232.98000000000002</v>
      </c>
      <c r="H32" s="368">
        <f>'PROPYLENE-C7'!H61-'PROPYLENE-C7'!H90</f>
        <v>289.30999999999995</v>
      </c>
      <c r="I32" s="368">
        <f>'PROPYLENE-C7'!I61-'PROPYLENE-C7'!I90</f>
        <v>285.43999999999983</v>
      </c>
      <c r="J32" s="369">
        <f>'PROPYLENE-C7'!J61-'PROPYLENE-C7'!J90</f>
        <v>414.55000000000018</v>
      </c>
      <c r="K32" s="370">
        <f>'PROPYLENE-C7'!K61-'PROPYLENE-C7'!K90</f>
        <v>369.07499999999959</v>
      </c>
      <c r="L32" s="369">
        <f>'PROPYLENE-C7'!L61-'PROPYLENE-C7'!L90</f>
        <v>333.50499999999965</v>
      </c>
      <c r="M32" s="368">
        <f>'PROPYLENE-C7'!M61-'PROPYLENE-C7'!M90</f>
        <v>285.54499999999962</v>
      </c>
      <c r="N32" s="368">
        <f>'PROPYLENE-C7'!N61-'PROPYLENE-C7'!N90</f>
        <v>252.58499999999958</v>
      </c>
      <c r="O32" s="368">
        <f>'PROPYLENE-C7'!O61-'PROPYLENE-C7'!O90</f>
        <v>219.62499999999977</v>
      </c>
      <c r="P32" s="368">
        <f>'PROPYLENE-C7'!P61-'PROPYLENE-C7'!P90</f>
        <v>186.66499999999974</v>
      </c>
      <c r="Q32" s="371">
        <f>'PROPYLENE-C7'!Q61-'PROPYLENE-C7'!Q90</f>
        <v>152.67499999999973</v>
      </c>
    </row>
    <row r="33" spans="2:17" ht="18" customHeight="1">
      <c r="B33" s="670" t="s">
        <v>321</v>
      </c>
      <c r="C33" s="671"/>
      <c r="D33" s="367">
        <f>'PROPYLENE-C7'!D62-'PROPYLENE-C7'!D91</f>
        <v>-273.70999999999981</v>
      </c>
      <c r="E33" s="368">
        <f>'PROPYLENE-C7'!E62-'PROPYLENE-C7'!E91</f>
        <v>-236.75</v>
      </c>
      <c r="F33" s="368">
        <f>'PROPYLENE-C7'!F62-'PROPYLENE-C7'!F91</f>
        <v>-295.6400000000001</v>
      </c>
      <c r="G33" s="368">
        <f>'PROPYLENE-C7'!G62-'PROPYLENE-C7'!G91</f>
        <v>-352.5300000000002</v>
      </c>
      <c r="H33" s="368">
        <f>'PROPYLENE-C7'!H62-'PROPYLENE-C7'!H91</f>
        <v>-370.10000000000036</v>
      </c>
      <c r="I33" s="368">
        <f>'PROPYLENE-C7'!I62-'PROPYLENE-C7'!I91</f>
        <v>-367.01000000000022</v>
      </c>
      <c r="J33" s="369">
        <f>'PROPYLENE-C7'!J62-'PROPYLENE-C7'!J91</f>
        <v>-422.50000000000023</v>
      </c>
      <c r="K33" s="370">
        <f>'PROPYLENE-C7'!K62-'PROPYLENE-C7'!K91</f>
        <v>-464.798</v>
      </c>
      <c r="L33" s="369">
        <f>'PROPYLENE-C7'!L62-'PROPYLENE-C7'!L91</f>
        <v>-495.82299999999987</v>
      </c>
      <c r="M33" s="368">
        <f>'PROPYLENE-C7'!M62-'PROPYLENE-C7'!M91</f>
        <v>-525.75300000000016</v>
      </c>
      <c r="N33" s="368">
        <f>'PROPYLENE-C7'!N62-'PROPYLENE-C7'!N91</f>
        <v>-562.95299999999997</v>
      </c>
      <c r="O33" s="368">
        <f>'PROPYLENE-C7'!O62-'PROPYLENE-C7'!O91</f>
        <v>-602.21299999999997</v>
      </c>
      <c r="P33" s="368">
        <f>'PROPYLENE-C7'!P62-'PROPYLENE-C7'!P91</f>
        <v>-643.53300000000013</v>
      </c>
      <c r="Q33" s="371">
        <f>'PROPYLENE-C7'!Q62-'PROPYLENE-C7'!Q91</f>
        <v>-686.91299999999978</v>
      </c>
    </row>
    <row r="34" spans="2:17" ht="21" customHeight="1" thickBot="1">
      <c r="B34" s="678" t="s">
        <v>322</v>
      </c>
      <c r="C34" s="679"/>
      <c r="D34" s="387">
        <f t="shared" ref="D34:K34" si="4">D33+D32+D31</f>
        <v>-708.5799999999997</v>
      </c>
      <c r="E34" s="388">
        <f t="shared" si="4"/>
        <v>-466.82999999999993</v>
      </c>
      <c r="F34" s="388">
        <f t="shared" si="4"/>
        <v>-473.19000000000005</v>
      </c>
      <c r="G34" s="388">
        <f t="shared" si="4"/>
        <v>-722.36000000000024</v>
      </c>
      <c r="H34" s="388">
        <f t="shared" si="4"/>
        <v>-674.8100000000004</v>
      </c>
      <c r="I34" s="388">
        <f t="shared" si="4"/>
        <v>-700.52000000000044</v>
      </c>
      <c r="J34" s="389">
        <f t="shared" si="4"/>
        <v>-548.94000000000005</v>
      </c>
      <c r="K34" s="390">
        <f t="shared" si="4"/>
        <v>-716.63800000000049</v>
      </c>
      <c r="L34" s="389">
        <f t="shared" ref="L34:Q34" si="5">L33+L32+L31</f>
        <v>-737.41050000000041</v>
      </c>
      <c r="M34" s="388">
        <f t="shared" si="5"/>
        <v>-822.3730000000005</v>
      </c>
      <c r="N34" s="388">
        <f t="shared" si="5"/>
        <v>-925.67300000000023</v>
      </c>
      <c r="O34" s="388">
        <f t="shared" si="5"/>
        <v>-1033.0930000000001</v>
      </c>
      <c r="P34" s="388">
        <f t="shared" si="5"/>
        <v>-1144.6330000000005</v>
      </c>
      <c r="Q34" s="391">
        <f t="shared" si="5"/>
        <v>-1260.2930000000001</v>
      </c>
    </row>
    <row r="35" spans="2:17" ht="24" customHeight="1" thickTop="1" thickBot="1">
      <c r="B35" s="702" t="s">
        <v>337</v>
      </c>
      <c r="C35" s="703"/>
      <c r="D35" s="392">
        <f t="shared" ref="D35:Q35" si="6">SUM(D19+D20+D22+D24+D26+D27+D30+D34)</f>
        <v>876.92484266757106</v>
      </c>
      <c r="E35" s="393">
        <f t="shared" si="6"/>
        <v>1716.4653722789553</v>
      </c>
      <c r="F35" s="393">
        <f t="shared" si="6"/>
        <v>3736.5141508888451</v>
      </c>
      <c r="G35" s="393">
        <f t="shared" si="6"/>
        <v>4667.5968268354372</v>
      </c>
      <c r="H35" s="393">
        <f t="shared" si="6"/>
        <v>4333.3138205397699</v>
      </c>
      <c r="I35" s="393">
        <f t="shared" si="6"/>
        <v>4928.1465873343877</v>
      </c>
      <c r="J35" s="394">
        <f t="shared" si="6"/>
        <v>4847.438846563824</v>
      </c>
      <c r="K35" s="395">
        <f t="shared" si="6"/>
        <v>5680.0176571497923</v>
      </c>
      <c r="L35" s="394">
        <f t="shared" si="6"/>
        <v>6949.321557975718</v>
      </c>
      <c r="M35" s="393">
        <f t="shared" si="6"/>
        <v>6403.004298217902</v>
      </c>
      <c r="N35" s="393">
        <f t="shared" si="6"/>
        <v>8938.3386193231163</v>
      </c>
      <c r="O35" s="393">
        <f t="shared" si="6"/>
        <v>10460.404063904174</v>
      </c>
      <c r="P35" s="393">
        <f t="shared" si="6"/>
        <v>10367.659935379022</v>
      </c>
      <c r="Q35" s="396">
        <f t="shared" si="6"/>
        <v>10325.745755775171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  <c r="D40" s="441"/>
      <c r="E40" s="441"/>
      <c r="F40" s="441"/>
      <c r="G40" s="441"/>
      <c r="H40" s="441"/>
      <c r="I40" s="441"/>
      <c r="J40" s="441"/>
      <c r="K40" s="441"/>
      <c r="L40" s="441"/>
      <c r="M40" s="441"/>
      <c r="N40" s="441"/>
      <c r="O40" s="441"/>
      <c r="P40" s="441"/>
      <c r="Q40" s="441"/>
    </row>
    <row r="41" spans="2:17">
      <c r="D41" s="441"/>
      <c r="E41" s="441"/>
      <c r="F41" s="441"/>
      <c r="G41" s="441"/>
      <c r="H41" s="441"/>
      <c r="I41" s="441"/>
      <c r="J41" s="441"/>
      <c r="K41" s="441"/>
      <c r="L41" s="441"/>
      <c r="M41" s="441"/>
      <c r="N41" s="441"/>
      <c r="O41" s="441"/>
      <c r="P41" s="441"/>
      <c r="Q41" s="441"/>
    </row>
    <row r="43" spans="2:17">
      <c r="D43" s="441"/>
      <c r="E43" s="441"/>
      <c r="F43" s="441"/>
      <c r="G43" s="441"/>
      <c r="H43" s="441"/>
      <c r="I43" s="441"/>
      <c r="J43" s="441"/>
      <c r="K43" s="441"/>
      <c r="L43" s="441"/>
      <c r="M43" s="441"/>
      <c r="N43" s="441"/>
      <c r="O43" s="441"/>
      <c r="P43" s="441"/>
      <c r="Q43" s="441"/>
    </row>
    <row r="45" spans="2:17" s="425" customFormat="1"/>
    <row r="47" spans="2:17">
      <c r="D47" s="441"/>
      <c r="E47" s="441"/>
      <c r="F47" s="441"/>
      <c r="G47" s="441"/>
      <c r="H47" s="441"/>
      <c r="I47" s="441"/>
      <c r="J47" s="441"/>
      <c r="K47" s="441"/>
      <c r="L47" s="441"/>
      <c r="M47" s="441"/>
      <c r="N47" s="441"/>
      <c r="O47" s="441"/>
      <c r="P47" s="441"/>
      <c r="Q47" s="441"/>
    </row>
    <row r="48" spans="2:17">
      <c r="D48" s="441"/>
      <c r="E48" s="441"/>
      <c r="F48" s="441"/>
      <c r="G48" s="441"/>
      <c r="H48" s="441"/>
      <c r="I48" s="441"/>
      <c r="J48" s="441"/>
      <c r="K48" s="441"/>
      <c r="L48" s="441"/>
      <c r="M48" s="441"/>
      <c r="N48" s="441"/>
      <c r="O48" s="441"/>
      <c r="P48" s="441"/>
      <c r="Q48" s="441"/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17" priority="5">
      <formula>CELL("protect",C39)=0</formula>
    </cfRule>
    <cfRule type="expression" dxfId="16" priority="6">
      <formula>CELL("protect",C39)=0</formula>
    </cfRule>
  </conditionalFormatting>
  <conditionalFormatting sqref="C37">
    <cfRule type="expression" dxfId="15" priority="3">
      <formula>CELL("protect",C37)=0</formula>
    </cfRule>
    <cfRule type="expression" dxfId="14" priority="4">
      <formula>CELL("protect",C37)=0</formula>
    </cfRule>
  </conditionalFormatting>
  <conditionalFormatting sqref="C39">
    <cfRule type="expression" dxfId="13" priority="1">
      <formula>CELL("protect",C39)=0</formula>
    </cfRule>
    <cfRule type="expression" dxfId="12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&amp;C202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26</v>
      </c>
      <c r="H2" s="397" t="s">
        <v>43</v>
      </c>
    </row>
    <row r="3" spans="2:19" ht="30.95" customHeight="1" thickBot="1">
      <c r="H3" s="627" t="s">
        <v>351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583">
        <v>2010</v>
      </c>
      <c r="E5" s="584">
        <v>2011</v>
      </c>
      <c r="F5" s="583">
        <v>2012</v>
      </c>
      <c r="G5" s="584">
        <v>2013</v>
      </c>
      <c r="H5" s="583">
        <v>2014</v>
      </c>
      <c r="I5" s="584">
        <v>2015</v>
      </c>
      <c r="J5" s="584">
        <v>2016</v>
      </c>
      <c r="K5" s="585">
        <v>2017</v>
      </c>
      <c r="L5" s="586">
        <v>2018</v>
      </c>
      <c r="M5" s="583">
        <v>2019</v>
      </c>
      <c r="N5" s="583">
        <v>2020</v>
      </c>
      <c r="O5" s="583">
        <v>2021</v>
      </c>
      <c r="P5" s="583">
        <v>2022</v>
      </c>
      <c r="Q5" s="587">
        <v>2023</v>
      </c>
    </row>
    <row r="6" spans="2:19" s="12" customFormat="1" ht="15" customHeight="1" thickBot="1">
      <c r="B6" s="88"/>
      <c r="C6" s="79" t="s">
        <v>303</v>
      </c>
      <c r="D6" s="372"/>
      <c r="E6" s="373"/>
      <c r="F6" s="373"/>
      <c r="G6" s="374"/>
      <c r="H6" s="373"/>
      <c r="I6" s="373"/>
      <c r="J6" s="373"/>
      <c r="K6" s="375"/>
      <c r="L6" s="376"/>
      <c r="M6" s="373"/>
      <c r="N6" s="373"/>
      <c r="O6" s="373"/>
      <c r="P6" s="373"/>
      <c r="Q6" s="375"/>
    </row>
    <row r="7" spans="2:19" ht="18" customHeight="1">
      <c r="B7" s="644" t="s">
        <v>433</v>
      </c>
      <c r="C7" s="645"/>
      <c r="D7" s="377">
        <f>'PP-C8'!D36-'PP-C8'!D65</f>
        <v>2467.88</v>
      </c>
      <c r="E7" s="378">
        <f>'PP-C8'!E36-'PP-C8'!E65</f>
        <v>2261.88</v>
      </c>
      <c r="F7" s="378">
        <f>'PP-C8'!F36-'PP-C8'!F65</f>
        <v>2398.87</v>
      </c>
      <c r="G7" s="378">
        <f>'PP-C8'!G36-'PP-C8'!G65</f>
        <v>2557.4900000000002</v>
      </c>
      <c r="H7" s="378">
        <f>'PP-C8'!H36-'PP-C8'!H65</f>
        <v>2596.63</v>
      </c>
      <c r="I7" s="378">
        <f>'PP-C8'!I36-'PP-C8'!I65</f>
        <v>2563.6699999999996</v>
      </c>
      <c r="J7" s="379">
        <f>'PP-C8'!J36-'PP-C8'!J65</f>
        <v>2592.5100000000002</v>
      </c>
      <c r="K7" s="380">
        <f>'PP-C8'!K36-'PP-C8'!K65</f>
        <v>2831.4700000000003</v>
      </c>
      <c r="L7" s="379">
        <f>'PP-C8'!L36-'PP-C8'!L65</f>
        <v>3162.0999999999995</v>
      </c>
      <c r="M7" s="378">
        <f>'PP-C8'!M36-'PP-C8'!M65</f>
        <v>3141.5</v>
      </c>
      <c r="N7" s="378">
        <f>'PP-C8'!N36-'PP-C8'!N65</f>
        <v>3512.3</v>
      </c>
      <c r="O7" s="378">
        <f>'PP-C8'!O36-'PP-C8'!O65</f>
        <v>4253.9000000000005</v>
      </c>
      <c r="P7" s="378">
        <f>'PP-C8'!P36-'PP-C8'!P65</f>
        <v>4233.3</v>
      </c>
      <c r="Q7" s="381">
        <f>'PP-C8'!Q36-'PP-C8'!Q65</f>
        <v>4429</v>
      </c>
    </row>
    <row r="8" spans="2:19" ht="18" customHeight="1">
      <c r="B8" s="605" t="s">
        <v>434</v>
      </c>
      <c r="C8" s="606"/>
      <c r="D8" s="367">
        <f>'PP-C8'!D37-'PP-C8'!D66</f>
        <v>687.01</v>
      </c>
      <c r="E8" s="368">
        <f>'PP-C8'!E37-'PP-C8'!E66</f>
        <v>541.78000000000009</v>
      </c>
      <c r="F8" s="368">
        <f>'PP-C8'!F37-'PP-C8'!F66</f>
        <v>453.20000000000016</v>
      </c>
      <c r="G8" s="368">
        <f>'PP-C8'!G37-'PP-C8'!G66</f>
        <v>655.07999999999993</v>
      </c>
      <c r="H8" s="368">
        <f>'PP-C8'!H37-'PP-C8'!H66</f>
        <v>486.15999999999997</v>
      </c>
      <c r="I8" s="368">
        <f>'PP-C8'!I37-'PP-C8'!I66</f>
        <v>504.69999999999993</v>
      </c>
      <c r="J8" s="369">
        <f>'PP-C8'!J37-'PP-C8'!J66</f>
        <v>611.81999999999994</v>
      </c>
      <c r="K8" s="370">
        <f>'PP-C8'!K37-'PP-C8'!K66</f>
        <v>782.80000000000007</v>
      </c>
      <c r="L8" s="369">
        <f>'PP-C8'!L37-'PP-C8'!L66</f>
        <v>772.5</v>
      </c>
      <c r="M8" s="368">
        <f>'PP-C8'!M37-'PP-C8'!M66</f>
        <v>751.9</v>
      </c>
      <c r="N8" s="368">
        <f>'PP-C8'!N37-'PP-C8'!N66</f>
        <v>751.9</v>
      </c>
      <c r="O8" s="368">
        <f>'PP-C8'!O37-'PP-C8'!O66</f>
        <v>793.1</v>
      </c>
      <c r="P8" s="368">
        <f>'PP-C8'!P37-'PP-C8'!P66</f>
        <v>793.1</v>
      </c>
      <c r="Q8" s="371">
        <f>'PP-C8'!Q37-'PP-C8'!Q66</f>
        <v>782.8</v>
      </c>
    </row>
    <row r="9" spans="2:19" ht="18" customHeight="1">
      <c r="B9" s="605" t="s">
        <v>435</v>
      </c>
      <c r="C9" s="606"/>
      <c r="D9" s="367">
        <f>'PP-C8'!D38-'PP-C8'!D67</f>
        <v>940.39</v>
      </c>
      <c r="E9" s="368">
        <f>'PP-C8'!E38-'PP-C8'!E67</f>
        <v>954.86561999999981</v>
      </c>
      <c r="F9" s="368">
        <f>'PP-C8'!F38-'PP-C8'!F67</f>
        <v>1130.14324556</v>
      </c>
      <c r="G9" s="368">
        <f>'PP-C8'!G38-'PP-C8'!G67</f>
        <v>1357.2892538912799</v>
      </c>
      <c r="H9" s="368">
        <f>'PP-C8'!H38-'PP-C8'!H67</f>
        <v>1391.70922</v>
      </c>
      <c r="I9" s="368">
        <f>'PP-C8'!I38-'PP-C8'!I67</f>
        <v>1598.7474600000005</v>
      </c>
      <c r="J9" s="369">
        <f>'PP-C8'!J38-'PP-C8'!J67</f>
        <v>1463.63</v>
      </c>
      <c r="K9" s="370">
        <f>'PP-C8'!K38-'PP-C8'!K67</f>
        <v>1468.7800000000002</v>
      </c>
      <c r="L9" s="369">
        <f>'PP-C8'!L38-'PP-C8'!L67</f>
        <v>1436.85</v>
      </c>
      <c r="M9" s="368">
        <f>'PP-C8'!M38-'PP-C8'!M67</f>
        <v>1514.1</v>
      </c>
      <c r="N9" s="368">
        <f>'PP-C8'!N38-'PP-C8'!N67</f>
        <v>1513.07</v>
      </c>
      <c r="O9" s="368">
        <f>'PP-C8'!O38-'PP-C8'!O67</f>
        <v>1488.3500000000001</v>
      </c>
      <c r="P9" s="368">
        <f>'PP-C8'!P38-'PP-C8'!P67</f>
        <v>1463.63</v>
      </c>
      <c r="Q9" s="371">
        <f>'PP-C8'!Q38-'PP-C8'!Q67</f>
        <v>1432.73</v>
      </c>
    </row>
    <row r="10" spans="2:19" ht="18" customHeight="1">
      <c r="B10" s="605" t="s">
        <v>436</v>
      </c>
      <c r="C10" s="606"/>
      <c r="D10" s="367">
        <f>'PP-C8'!D39-'PP-C8'!D68</f>
        <v>-4849.24</v>
      </c>
      <c r="E10" s="368">
        <f>'PP-C8'!E39-'PP-C8'!E68</f>
        <v>-4796.7099999999991</v>
      </c>
      <c r="F10" s="368">
        <f>'PP-C8'!F39-'PP-C8'!F68</f>
        <v>-5135.5800000000017</v>
      </c>
      <c r="G10" s="368">
        <f>'PP-C8'!G39-'PP-C8'!G68</f>
        <v>-4971.8099999999995</v>
      </c>
      <c r="H10" s="368">
        <f>'PP-C8'!H39-'PP-C8'!H68</f>
        <v>-5015.07</v>
      </c>
      <c r="I10" s="368">
        <f>'PP-C8'!I39-'PP-C8'!I68</f>
        <v>-4822.4599999999991</v>
      </c>
      <c r="J10" s="369">
        <f>'PP-C8'!J39-'PP-C8'!J68</f>
        <v>-4419.7299999999996</v>
      </c>
      <c r="K10" s="370">
        <f>'PP-C8'!K39-'PP-C8'!K68</f>
        <v>-4536.119999999999</v>
      </c>
      <c r="L10" s="369">
        <f>'PP-C8'!L39-'PP-C8'!L68</f>
        <v>-4011.8499999999985</v>
      </c>
      <c r="M10" s="368">
        <f>'PP-C8'!M39-'PP-C8'!M68</f>
        <v>-3898.5499999999993</v>
      </c>
      <c r="N10" s="368">
        <f>'PP-C8'!N39-'PP-C8'!N68</f>
        <v>-2899.4500000000007</v>
      </c>
      <c r="O10" s="368">
        <f>'PP-C8'!O39-'PP-C8'!O68</f>
        <v>-2544.1000000000022</v>
      </c>
      <c r="P10" s="368">
        <f>'PP-C8'!P39-'PP-C8'!P68</f>
        <v>-2214.5</v>
      </c>
      <c r="Q10" s="371">
        <f>'PP-C8'!Q39-'PP-C8'!Q68</f>
        <v>-2163</v>
      </c>
    </row>
    <row r="11" spans="2:19" ht="18" customHeight="1">
      <c r="B11" s="605" t="s">
        <v>437</v>
      </c>
      <c r="C11" s="606"/>
      <c r="D11" s="367">
        <f>'PP-C8'!D40-'PP-C8'!D69</f>
        <v>235.87000000000012</v>
      </c>
      <c r="E11" s="368">
        <f>'PP-C8'!E40-'PP-C8'!E69</f>
        <v>522.21</v>
      </c>
      <c r="F11" s="368">
        <f>'PP-C8'!F40-'PP-C8'!F69</f>
        <v>333.72</v>
      </c>
      <c r="G11" s="368">
        <f>'PP-C8'!G40-'PP-C8'!G69</f>
        <v>373.8900000000001</v>
      </c>
      <c r="H11" s="368">
        <f>'PP-C8'!H40-'PP-C8'!H69</f>
        <v>406.35559999999987</v>
      </c>
      <c r="I11" s="368">
        <f>'PP-C8'!I40-'PP-C8'!I69</f>
        <v>368.50413000000003</v>
      </c>
      <c r="J11" s="369">
        <f>'PP-C8'!J40-'PP-C8'!J69</f>
        <v>310.08870999999999</v>
      </c>
      <c r="K11" s="370">
        <f>'PP-C8'!K40-'PP-C8'!K69</f>
        <v>329.18388000000004</v>
      </c>
      <c r="L11" s="369">
        <f>'PP-C8'!L40-'PP-C8'!L69</f>
        <v>611.12234276548838</v>
      </c>
      <c r="M11" s="368">
        <f>'PP-C8'!M40-'PP-C8'!M69</f>
        <v>549.72894019623618</v>
      </c>
      <c r="N11" s="368">
        <f>'PP-C8'!N40-'PP-C8'!N69</f>
        <v>488.77397558947746</v>
      </c>
      <c r="O11" s="368">
        <f>'PP-C8'!O40-'PP-C8'!O69</f>
        <v>488.77397558947746</v>
      </c>
      <c r="P11" s="368">
        <f>'PP-C8'!P40-'PP-C8'!P69</f>
        <v>488.77397558947746</v>
      </c>
      <c r="Q11" s="371">
        <f>'PP-C8'!Q40-'PP-C8'!Q69</f>
        <v>488.77397558947746</v>
      </c>
    </row>
    <row r="12" spans="2:19" ht="18" customHeight="1">
      <c r="B12" s="605" t="s">
        <v>438</v>
      </c>
      <c r="C12" s="606"/>
      <c r="D12" s="367">
        <f>'PP-C8'!D41-'PP-C8'!D70</f>
        <v>-410.30528794815922</v>
      </c>
      <c r="E12" s="368">
        <f>'PP-C8'!E41-'PP-C8'!E70</f>
        <v>-644.834431140383</v>
      </c>
      <c r="F12" s="368">
        <f>'PP-C8'!F41-'PP-C8'!F70</f>
        <v>-599.46</v>
      </c>
      <c r="G12" s="368">
        <f>'PP-C8'!G41-'PP-C8'!G70</f>
        <v>-634.48000000000013</v>
      </c>
      <c r="H12" s="368">
        <f>'PP-C8'!H41-'PP-C8'!H70</f>
        <v>-380.07000000000016</v>
      </c>
      <c r="I12" s="368">
        <f>'PP-C8'!I41-'PP-C8'!I70</f>
        <v>-397.57999999999993</v>
      </c>
      <c r="J12" s="369">
        <f>'PP-C8'!J41-'PP-C8'!J70</f>
        <v>-472.77</v>
      </c>
      <c r="K12" s="370">
        <f>'PP-C8'!K41-'PP-C8'!K70</f>
        <v>-721</v>
      </c>
      <c r="L12" s="369">
        <f>'PP-C8'!L41-'PP-C8'!L70</f>
        <v>-636.8284000000001</v>
      </c>
      <c r="M12" s="368">
        <f>'PP-C8'!M41-'PP-C8'!M70</f>
        <v>-710.7</v>
      </c>
      <c r="N12" s="368">
        <f>'PP-C8'!N41-'PP-C8'!N70</f>
        <v>-782.8</v>
      </c>
      <c r="O12" s="368">
        <f>'PP-C8'!O41-'PP-C8'!O70</f>
        <v>-762.2</v>
      </c>
      <c r="P12" s="368">
        <f>'PP-C8'!P41-'PP-C8'!P70</f>
        <v>-844.60000000000014</v>
      </c>
      <c r="Q12" s="371">
        <f>'PP-C8'!Q41-'PP-C8'!Q70</f>
        <v>-927</v>
      </c>
    </row>
    <row r="13" spans="2:19" ht="18" customHeight="1">
      <c r="B13" s="605" t="s">
        <v>439</v>
      </c>
      <c r="C13" s="606"/>
      <c r="D13" s="367">
        <f>'PP-C8'!D42-'PP-C8'!D71</f>
        <v>298.69999999999982</v>
      </c>
      <c r="E13" s="368">
        <f>'PP-C8'!E42-'PP-C8'!E71</f>
        <v>490.2800000000002</v>
      </c>
      <c r="F13" s="368">
        <f>'PP-C8'!F42-'PP-C8'!F71</f>
        <v>638.60000000000036</v>
      </c>
      <c r="G13" s="368">
        <f>'PP-C8'!G42-'PP-C8'!G71</f>
        <v>409.94000000000051</v>
      </c>
      <c r="H13" s="368">
        <f>'PP-C8'!H42-'PP-C8'!H71</f>
        <v>-175.10000000000036</v>
      </c>
      <c r="I13" s="368">
        <f>'PP-C8'!I42-'PP-C8'!I71</f>
        <v>103</v>
      </c>
      <c r="J13" s="369">
        <f>'PP-C8'!J42-'PP-C8'!J71</f>
        <v>35.020000000000437</v>
      </c>
      <c r="K13" s="370">
        <f>'PP-C8'!K42-'PP-C8'!K71</f>
        <v>103</v>
      </c>
      <c r="L13" s="369">
        <f>'PP-C8'!L42-'PP-C8'!L71</f>
        <v>412</v>
      </c>
      <c r="M13" s="368">
        <f>'PP-C8'!M42-'PP-C8'!M71</f>
        <v>515</v>
      </c>
      <c r="N13" s="368">
        <f>'PP-C8'!N42-'PP-C8'!N71</f>
        <v>515</v>
      </c>
      <c r="O13" s="368">
        <f>'PP-C8'!O42-'PP-C8'!O71</f>
        <v>824</v>
      </c>
      <c r="P13" s="368">
        <f>'PP-C8'!P42-'PP-C8'!P71</f>
        <v>618</v>
      </c>
      <c r="Q13" s="371">
        <f>'PP-C8'!Q42-'PP-C8'!Q71</f>
        <v>618</v>
      </c>
    </row>
    <row r="14" spans="2:19" ht="18" hidden="1" customHeight="1">
      <c r="B14" s="16"/>
      <c r="C14" s="90" t="s">
        <v>306</v>
      </c>
      <c r="D14" s="367">
        <f>'PP-C8'!D43-'PP-C8'!D72</f>
        <v>0</v>
      </c>
      <c r="E14" s="368">
        <f>'PP-C8'!E43-'PP-C8'!E72</f>
        <v>0</v>
      </c>
      <c r="F14" s="368">
        <f>'PP-C8'!F43-'PP-C8'!F72</f>
        <v>0</v>
      </c>
      <c r="G14" s="368">
        <f>'PP-C8'!G43-'PP-C8'!G72</f>
        <v>0</v>
      </c>
      <c r="H14" s="368">
        <f>'PP-C8'!H43-'PP-C8'!H72</f>
        <v>0</v>
      </c>
      <c r="I14" s="368">
        <f>'PP-C8'!I43-'PP-C8'!I72</f>
        <v>0</v>
      </c>
      <c r="J14" s="369">
        <f>'PP-C8'!J43-'PP-C8'!J72</f>
        <v>0</v>
      </c>
      <c r="K14" s="370">
        <f>'PP-C8'!K43-'PP-C8'!K72</f>
        <v>0</v>
      </c>
      <c r="L14" s="369">
        <f>'PP-C8'!L43-'PP-C8'!L72</f>
        <v>0</v>
      </c>
      <c r="M14" s="368">
        <f>'PP-C8'!M43-'PP-C8'!M72</f>
        <v>0</v>
      </c>
      <c r="N14" s="368">
        <f>'PP-C8'!N43-'PP-C8'!N72</f>
        <v>0</v>
      </c>
      <c r="O14" s="368">
        <f>'PP-C8'!O43-'PP-C8'!O72</f>
        <v>0</v>
      </c>
      <c r="P14" s="368">
        <f>'PP-C8'!P43-'PP-C8'!P72</f>
        <v>0</v>
      </c>
      <c r="Q14" s="371">
        <f>'PP-C8'!Q43-'PP-C8'!Q72</f>
        <v>0</v>
      </c>
    </row>
    <row r="15" spans="2:19" ht="18" customHeight="1">
      <c r="B15" s="605" t="s">
        <v>440</v>
      </c>
      <c r="C15" s="606"/>
      <c r="D15" s="367">
        <f>'PP-C8'!D44-'PP-C8'!D73</f>
        <v>-110.21000000000001</v>
      </c>
      <c r="E15" s="368">
        <f>'PP-C8'!E44-'PP-C8'!E73</f>
        <v>-101.89995999999999</v>
      </c>
      <c r="F15" s="368">
        <f>'PP-C8'!F44-'PP-C8'!F73</f>
        <v>-181.9495</v>
      </c>
      <c r="G15" s="368">
        <f>'PP-C8'!G44-'PP-C8'!G73</f>
        <v>-161.70999999999998</v>
      </c>
      <c r="H15" s="368">
        <f>'PP-C8'!H44-'PP-C8'!H73</f>
        <v>-192.36383000000001</v>
      </c>
      <c r="I15" s="368">
        <f>'PP-C8'!I44-'PP-C8'!I73</f>
        <v>-160.6182</v>
      </c>
      <c r="J15" s="369">
        <f>'PP-C8'!J44-'PP-C8'!J73</f>
        <v>-147.89770000000001</v>
      </c>
      <c r="K15" s="370">
        <f>'PP-C8'!K44-'PP-C8'!K73</f>
        <v>-120.52029999999998</v>
      </c>
      <c r="L15" s="369">
        <f>'PP-C8'!L44-'PP-C8'!L73</f>
        <v>-114.5669</v>
      </c>
      <c r="M15" s="368">
        <f>'PP-C8'!M44-'PP-C8'!M73</f>
        <v>-99.18900000000005</v>
      </c>
      <c r="N15" s="368">
        <f>'PP-C8'!N44-'PP-C8'!N73</f>
        <v>-84.748400000000004</v>
      </c>
      <c r="O15" s="368">
        <f>'PP-C8'!O44-'PP-C8'!O73</f>
        <v>-71.070000000000022</v>
      </c>
      <c r="P15" s="368">
        <f>'PP-C8'!P44-'PP-C8'!P73</f>
        <v>-58.70999999999998</v>
      </c>
      <c r="Q15" s="371">
        <f>'PP-C8'!Q44-'PP-C8'!Q73</f>
        <v>-47.379999999999995</v>
      </c>
    </row>
    <row r="16" spans="2:19" ht="18" customHeight="1">
      <c r="B16" s="605" t="s">
        <v>441</v>
      </c>
      <c r="C16" s="606"/>
      <c r="D16" s="367">
        <f>'PP-C8'!D45-'PP-C8'!D74</f>
        <v>87.643636363636404</v>
      </c>
      <c r="E16" s="368">
        <f>'PP-C8'!E45-'PP-C8'!E74</f>
        <v>80.722036363636391</v>
      </c>
      <c r="F16" s="368">
        <f>'PP-C8'!F45-'PP-C8'!F74</f>
        <v>75.19</v>
      </c>
      <c r="G16" s="368">
        <f>'PP-C8'!G45-'PP-C8'!G74</f>
        <v>-16.051520000000039</v>
      </c>
      <c r="H16" s="368">
        <f>'PP-C8'!H45-'PP-C8'!H74</f>
        <v>-208.23921999999999</v>
      </c>
      <c r="I16" s="368">
        <f>'PP-C8'!I45-'PP-C8'!I74</f>
        <v>-98.367059999999981</v>
      </c>
      <c r="J16" s="369">
        <f>'PP-C8'!J45-'PP-C8'!J74</f>
        <v>-94.536489999999958</v>
      </c>
      <c r="K16" s="370">
        <f>'PP-C8'!K45-'PP-C8'!K74</f>
        <v>-149.92783000000003</v>
      </c>
      <c r="L16" s="369">
        <f>'PP-C8'!L45-'PP-C8'!L74</f>
        <v>-41.199999999999989</v>
      </c>
      <c r="M16" s="368">
        <f>'PP-C8'!M45-'PP-C8'!M74</f>
        <v>41.200000000000045</v>
      </c>
      <c r="N16" s="368">
        <f>'PP-C8'!N45-'PP-C8'!N74</f>
        <v>844.60000000000014</v>
      </c>
      <c r="O16" s="368">
        <f>'PP-C8'!O45-'PP-C8'!O74</f>
        <v>844.59999999999991</v>
      </c>
      <c r="P16" s="368">
        <f>'PP-C8'!P45-'PP-C8'!P74</f>
        <v>844.60000000000014</v>
      </c>
      <c r="Q16" s="371">
        <f>'PP-C8'!Q45-'PP-C8'!Q74</f>
        <v>844.5999999999998</v>
      </c>
    </row>
    <row r="17" spans="2:17" ht="18" customHeight="1">
      <c r="B17" s="605" t="s">
        <v>442</v>
      </c>
      <c r="C17" s="606"/>
      <c r="D17" s="367">
        <f>'PP-C8'!D46-'PP-C8'!D75</f>
        <v>-175.10000000000002</v>
      </c>
      <c r="E17" s="368">
        <f>'PP-C8'!E46-'PP-C8'!E75</f>
        <v>-197.76</v>
      </c>
      <c r="F17" s="368">
        <f>'PP-C8'!F46-'PP-C8'!F75</f>
        <v>-221.45</v>
      </c>
      <c r="G17" s="368">
        <f>'PP-C8'!G46-'PP-C8'!G75</f>
        <v>-247.2</v>
      </c>
      <c r="H17" s="368">
        <f>'PP-C8'!H46-'PP-C8'!H75</f>
        <v>-275.01</v>
      </c>
      <c r="I17" s="368">
        <f>'PP-C8'!I46-'PP-C8'!I75</f>
        <v>-303.85000000000002</v>
      </c>
      <c r="J17" s="369">
        <f>'PP-C8'!J46-'PP-C8'!J75</f>
        <v>-332.69</v>
      </c>
      <c r="K17" s="370">
        <f>'PP-C8'!K46-'PP-C8'!K75</f>
        <v>-1181.4100000000001</v>
      </c>
      <c r="L17" s="369">
        <f>'PP-C8'!L46-'PP-C8'!L75</f>
        <v>-1056.7800000000002</v>
      </c>
      <c r="M17" s="368">
        <f>'PP-C8'!M46-'PP-C8'!M75</f>
        <v>-1151.54</v>
      </c>
      <c r="N17" s="368">
        <f>'PP-C8'!N46-'PP-C8'!N75</f>
        <v>-943.48000000000013</v>
      </c>
      <c r="O17" s="368">
        <f>'PP-C8'!O46-'PP-C8'!O75</f>
        <v>-1050.5999999999999</v>
      </c>
      <c r="P17" s="368">
        <f>'PP-C8'!P46-'PP-C8'!P75</f>
        <v>-1163.9000000000001</v>
      </c>
      <c r="Q17" s="371">
        <f>'PP-C8'!Q46-'PP-C8'!Q75</f>
        <v>-820.91000000000008</v>
      </c>
    </row>
    <row r="18" spans="2:17" ht="18" customHeight="1">
      <c r="B18" s="607" t="s">
        <v>443</v>
      </c>
      <c r="C18" s="608"/>
      <c r="D18" s="367">
        <f>'PP-C8'!D47-'PP-C8'!D76</f>
        <v>317.13700000000017</v>
      </c>
      <c r="E18" s="368">
        <f>'PP-C8'!E47-'PP-C8'!E76</f>
        <v>194.67000000000007</v>
      </c>
      <c r="F18" s="368">
        <f>'PP-C8'!F47-'PP-C8'!F76</f>
        <v>-6.2829999999999018</v>
      </c>
      <c r="G18" s="368">
        <f>'PP-C8'!G47-'PP-C8'!G76</f>
        <v>39.448999999999614</v>
      </c>
      <c r="H18" s="368">
        <f>'PP-C8'!H47-'PP-C8'!H76</f>
        <v>-104.23600000000033</v>
      </c>
      <c r="I18" s="368">
        <f>'PP-C8'!I47-'PP-C8'!I76</f>
        <v>-5.1500000000000909</v>
      </c>
      <c r="J18" s="369">
        <f>'PP-C8'!J47-'PP-C8'!J76</f>
        <v>-62.932999999999993</v>
      </c>
      <c r="K18" s="370">
        <f>'PP-C8'!K47-'PP-C8'!K76</f>
        <v>-97.12900000000036</v>
      </c>
      <c r="L18" s="369">
        <f>'PP-C8'!L47-'PP-C8'!L76</f>
        <v>-248.43600000000015</v>
      </c>
      <c r="M18" s="368">
        <f>'PP-C8'!M47-'PP-C8'!M76</f>
        <v>-225.56999999999971</v>
      </c>
      <c r="N18" s="368">
        <f>'PP-C8'!N47-'PP-C8'!N76</f>
        <v>-111.23999999999978</v>
      </c>
      <c r="O18" s="368">
        <f>'PP-C8'!O47-'PP-C8'!O76</f>
        <v>-126.69000000000005</v>
      </c>
      <c r="P18" s="368">
        <f>'PP-C8'!P47-'PP-C8'!P76</f>
        <v>-146.25999999999976</v>
      </c>
      <c r="Q18" s="371">
        <f>'PP-C8'!Q47-'PP-C8'!Q76</f>
        <v>-165.82999999999993</v>
      </c>
    </row>
    <row r="19" spans="2:17" ht="21" customHeight="1">
      <c r="B19" s="674" t="s">
        <v>307</v>
      </c>
      <c r="C19" s="675"/>
      <c r="D19" s="382">
        <f t="shared" ref="D19:K19" si="0">SUM(D7:D18)</f>
        <v>-510.22465158452235</v>
      </c>
      <c r="E19" s="383">
        <f t="shared" si="0"/>
        <v>-694.7967347767451</v>
      </c>
      <c r="F19" s="383">
        <f t="shared" si="0"/>
        <v>-1114.9992544400009</v>
      </c>
      <c r="G19" s="383">
        <f t="shared" si="0"/>
        <v>-638.11326610871947</v>
      </c>
      <c r="H19" s="383">
        <f t="shared" si="0"/>
        <v>-1469.2342300000009</v>
      </c>
      <c r="I19" s="383">
        <f t="shared" si="0"/>
        <v>-649.40366999999969</v>
      </c>
      <c r="J19" s="384">
        <f t="shared" si="0"/>
        <v>-517.48847999999907</v>
      </c>
      <c r="K19" s="385">
        <f t="shared" si="0"/>
        <v>-1290.8732499999983</v>
      </c>
      <c r="L19" s="384">
        <f t="shared" ref="L19:Q19" si="1">SUM(L7:L18)</f>
        <v>284.91104276548822</v>
      </c>
      <c r="M19" s="383">
        <f t="shared" si="1"/>
        <v>427.87994019623716</v>
      </c>
      <c r="N19" s="383">
        <f t="shared" si="1"/>
        <v>2803.925575589476</v>
      </c>
      <c r="O19" s="383">
        <f t="shared" si="1"/>
        <v>4138.0639755894754</v>
      </c>
      <c r="P19" s="383">
        <f t="shared" si="1"/>
        <v>4013.4339755894785</v>
      </c>
      <c r="Q19" s="386">
        <f t="shared" si="1"/>
        <v>4471.7839755894774</v>
      </c>
    </row>
    <row r="20" spans="2:17" ht="21" customHeight="1">
      <c r="B20" s="672" t="s">
        <v>308</v>
      </c>
      <c r="C20" s="673"/>
      <c r="D20" s="382">
        <f>'PP-C8'!D49-'PP-C8'!D78</f>
        <v>-113.30000000000001</v>
      </c>
      <c r="E20" s="383">
        <f>'PP-C8'!E49-'PP-C8'!E78</f>
        <v>-79.31</v>
      </c>
      <c r="F20" s="383">
        <f>'PP-C8'!F49-'PP-C8'!F78</f>
        <v>-61.799999999999983</v>
      </c>
      <c r="G20" s="383">
        <f>'PP-C8'!G49-'PP-C8'!G78</f>
        <v>25.75</v>
      </c>
      <c r="H20" s="383">
        <f>'PP-C8'!H49-'PP-C8'!H78</f>
        <v>-19.570000000000007</v>
      </c>
      <c r="I20" s="383">
        <f>'PP-C8'!I49-'PP-C8'!I78</f>
        <v>41.612000000000009</v>
      </c>
      <c r="J20" s="384">
        <f>'PP-C8'!J49-'PP-C8'!J78</f>
        <v>20.909000000000006</v>
      </c>
      <c r="K20" s="385">
        <f>'PP-C8'!K49-'PP-C8'!K78</f>
        <v>36.049999999999997</v>
      </c>
      <c r="L20" s="384">
        <f>'PP-C8'!L49-'PP-C8'!L78</f>
        <v>36.049999999999997</v>
      </c>
      <c r="M20" s="383">
        <f>'PP-C8'!M49-'PP-C8'!M78</f>
        <v>33.989999999999995</v>
      </c>
      <c r="N20" s="383">
        <f>'PP-C8'!N49-'PP-C8'!N78</f>
        <v>33.989999999999995</v>
      </c>
      <c r="O20" s="383">
        <f>'PP-C8'!O49-'PP-C8'!O78</f>
        <v>31.930000000000007</v>
      </c>
      <c r="P20" s="383">
        <f>'PP-C8'!P49-'PP-C8'!P78</f>
        <v>31.930000000000007</v>
      </c>
      <c r="Q20" s="386">
        <f>'PP-C8'!Q49-'PP-C8'!Q78</f>
        <v>31.930000000000007</v>
      </c>
    </row>
    <row r="21" spans="2:17" ht="18" customHeight="1">
      <c r="B21" s="105"/>
      <c r="C21" s="97" t="s">
        <v>309</v>
      </c>
      <c r="D21" s="382">
        <f>'PP-C8'!D50-'PP-C8'!D79</f>
        <v>-60.770000000000039</v>
      </c>
      <c r="E21" s="383">
        <f>'PP-C8'!E50-'PP-C8'!E79</f>
        <v>-79.31</v>
      </c>
      <c r="F21" s="383">
        <f>'PP-C8'!F50-'PP-C8'!F79</f>
        <v>-61.799999999999983</v>
      </c>
      <c r="G21" s="383">
        <f>'PP-C8'!G50-'PP-C8'!G79</f>
        <v>25.75</v>
      </c>
      <c r="H21" s="383">
        <f>'PP-C8'!H50-'PP-C8'!H79</f>
        <v>-19.570000000000007</v>
      </c>
      <c r="I21" s="383">
        <f>'PP-C8'!I50-'PP-C8'!I79</f>
        <v>41.612000000000009</v>
      </c>
      <c r="J21" s="384">
        <f>'PP-C8'!J50-'PP-C8'!J79</f>
        <v>20.909000000000006</v>
      </c>
      <c r="K21" s="385">
        <f>'PP-C8'!K50-'PP-C8'!K79</f>
        <v>36.049999999999997</v>
      </c>
      <c r="L21" s="384">
        <f>'PP-C8'!L50-'PP-C8'!L79</f>
        <v>36.049999999999997</v>
      </c>
      <c r="M21" s="383">
        <f>'PP-C8'!M50-'PP-C8'!M79</f>
        <v>33.989999999999995</v>
      </c>
      <c r="N21" s="383">
        <f>'PP-C8'!N50-'PP-C8'!N79</f>
        <v>33.989999999999995</v>
      </c>
      <c r="O21" s="383">
        <f>'PP-C8'!O50-'PP-C8'!O79</f>
        <v>31.930000000000007</v>
      </c>
      <c r="P21" s="383">
        <f>'PP-C8'!P50-'PP-C8'!P79</f>
        <v>31.930000000000007</v>
      </c>
      <c r="Q21" s="386">
        <f>'PP-C8'!Q50-'PP-C8'!Q79</f>
        <v>31.930000000000007</v>
      </c>
    </row>
    <row r="22" spans="2:17" ht="21" customHeight="1">
      <c r="B22" s="672" t="s">
        <v>310</v>
      </c>
      <c r="C22" s="673"/>
      <c r="D22" s="367">
        <f>'PP-C8'!D51-'PP-C8'!D80</f>
        <v>-1499.6800000000003</v>
      </c>
      <c r="E22" s="368">
        <f>'PP-C8'!E51-'PP-C8'!E80</f>
        <v>-800.95610954026597</v>
      </c>
      <c r="F22" s="368">
        <f>'PP-C8'!F51-'PP-C8'!F80</f>
        <v>590.19000000000051</v>
      </c>
      <c r="G22" s="368">
        <f>'PP-C8'!G51-'PP-C8'!G80</f>
        <v>570.61999999999898</v>
      </c>
      <c r="H22" s="368">
        <f>'PP-C8'!H51-'PP-C8'!H80</f>
        <v>561.77599152000039</v>
      </c>
      <c r="I22" s="368">
        <f>'PP-C8'!I51-'PP-C8'!I80</f>
        <v>341.14629999999852</v>
      </c>
      <c r="J22" s="369">
        <f>'PP-C8'!J51-'PP-C8'!J80</f>
        <v>173.43461462999949</v>
      </c>
      <c r="K22" s="370">
        <f>'PP-C8'!K51-'PP-C8'!K80</f>
        <v>1150.7336542000012</v>
      </c>
      <c r="L22" s="369">
        <f>'PP-C8'!L51-'PP-C8'!L80</f>
        <v>933.26111662000039</v>
      </c>
      <c r="M22" s="368">
        <f>'PP-C8'!M51-'PP-C8'!M80</f>
        <v>834.92868522000026</v>
      </c>
      <c r="N22" s="368">
        <f>'PP-C8'!N51-'PP-C8'!N80</f>
        <v>665.94973213999947</v>
      </c>
      <c r="O22" s="368">
        <f>'PP-C8'!O51-'PP-C8'!O80</f>
        <v>515.92740994000087</v>
      </c>
      <c r="P22" s="368">
        <f>'PP-C8'!P51-'PP-C8'!P80</f>
        <v>369.12866638000014</v>
      </c>
      <c r="Q22" s="371">
        <f>'PP-C8'!Q51-'PP-C8'!Q80</f>
        <v>223.07727021999926</v>
      </c>
    </row>
    <row r="23" spans="2:17" ht="21" customHeight="1">
      <c r="B23" s="105"/>
      <c r="C23" s="615" t="s">
        <v>311</v>
      </c>
      <c r="D23" s="382">
        <f>'PP-C8'!D52-'PP-C8'!D81</f>
        <v>-345.04999999999927</v>
      </c>
      <c r="E23" s="383">
        <f>'PP-C8'!E52-'PP-C8'!E81</f>
        <v>-552.66581317415512</v>
      </c>
      <c r="F23" s="383">
        <f>'PP-C8'!F52-'PP-C8'!F81</f>
        <v>942.45000000000073</v>
      </c>
      <c r="G23" s="383">
        <f>'PP-C8'!G52-'PP-C8'!G81</f>
        <v>949.65999999999985</v>
      </c>
      <c r="H23" s="383">
        <f>'PP-C8'!H52-'PP-C8'!H81</f>
        <v>981.31247679999979</v>
      </c>
      <c r="I23" s="383">
        <f>'PP-C8'!I52-'PP-C8'!I81</f>
        <v>809.57999999999993</v>
      </c>
      <c r="J23" s="384">
        <f>'PP-C8'!J52-'PP-C8'!J81</f>
        <v>764.65463420000015</v>
      </c>
      <c r="K23" s="385">
        <f>'PP-C8'!K52-'PP-C8'!K81</f>
        <v>1365.5811801300006</v>
      </c>
      <c r="L23" s="384">
        <f>'PP-C8'!L52-'PP-C8'!L81</f>
        <v>1197.9205219900014</v>
      </c>
      <c r="M23" s="383">
        <f>'PP-C8'!M52-'PP-C8'!M81</f>
        <v>1046.3180500100007</v>
      </c>
      <c r="N23" s="383">
        <f>'PP-C8'!N52-'PP-C8'!N81</f>
        <v>921.67998407999949</v>
      </c>
      <c r="O23" s="383">
        <f>'PP-C8'!O52-'PP-C8'!O81</f>
        <v>815.04496885000117</v>
      </c>
      <c r="P23" s="383">
        <f>'PP-C8'!P52-'PP-C8'!P81</f>
        <v>712.51489502000004</v>
      </c>
      <c r="Q23" s="386">
        <f>'PP-C8'!Q52-'PP-C8'!Q81</f>
        <v>610.94339172000036</v>
      </c>
    </row>
    <row r="24" spans="2:17" ht="21" customHeight="1">
      <c r="B24" s="672" t="s">
        <v>312</v>
      </c>
      <c r="C24" s="673"/>
      <c r="D24" s="367">
        <f>'PP-C8'!D53-'PP-C8'!D82</f>
        <v>4259.05</v>
      </c>
      <c r="E24" s="368">
        <f>'PP-C8'!E53-'PP-C8'!E82</f>
        <v>4076.74</v>
      </c>
      <c r="F24" s="368">
        <f>'PP-C8'!F53-'PP-C8'!F82</f>
        <v>4643.2796153846157</v>
      </c>
      <c r="G24" s="368">
        <f>'PP-C8'!G53-'PP-C8'!G82</f>
        <v>5150.3961538461535</v>
      </c>
      <c r="H24" s="368">
        <f>'PP-C8'!H53-'PP-C8'!H82</f>
        <v>5867.9100000000008</v>
      </c>
      <c r="I24" s="368">
        <f>'PP-C8'!I53-'PP-C8'!I82</f>
        <v>5946.1900000000005</v>
      </c>
      <c r="J24" s="369">
        <f>'PP-C8'!J53-'PP-C8'!J82</f>
        <v>6273.73</v>
      </c>
      <c r="K24" s="370">
        <f>'PP-C8'!K53-'PP-C8'!K82</f>
        <v>6188.2400000000007</v>
      </c>
      <c r="L24" s="369">
        <f>'PP-C8'!L53-'PP-C8'!L82</f>
        <v>6471.4900000000007</v>
      </c>
      <c r="M24" s="368">
        <f>'PP-C8'!M53-'PP-C8'!M82</f>
        <v>6481.7900000000009</v>
      </c>
      <c r="N24" s="368">
        <f>'PP-C8'!N53-'PP-C8'!N82</f>
        <v>6549.77</v>
      </c>
      <c r="O24" s="368">
        <f>'PP-C8'!O53-'PP-C8'!O82</f>
        <v>6588.9100000000008</v>
      </c>
      <c r="P24" s="368">
        <f>'PP-C8'!P53-'PP-C8'!P82</f>
        <v>6541.5300000000007</v>
      </c>
      <c r="Q24" s="371">
        <f>'PP-C8'!Q53-'PP-C8'!Q82</f>
        <v>6509.6</v>
      </c>
    </row>
    <row r="25" spans="2:17" ht="21" customHeight="1">
      <c r="B25" s="16"/>
      <c r="C25" s="615" t="s">
        <v>313</v>
      </c>
      <c r="D25" s="382">
        <f>'PP-C8'!D54-'PP-C8'!D83</f>
        <v>0</v>
      </c>
      <c r="E25" s="383">
        <f>'PP-C8'!E54-'PP-C8'!E83</f>
        <v>2809.9984615384615</v>
      </c>
      <c r="F25" s="383">
        <f>'PP-C8'!F54-'PP-C8'!F83</f>
        <v>3238.9538461538459</v>
      </c>
      <c r="G25" s="383">
        <f>'PP-C8'!G54-'PP-C8'!G83</f>
        <v>3575.4865384615382</v>
      </c>
      <c r="H25" s="383">
        <f>'PP-C8'!H54-'PP-C8'!H83</f>
        <v>4073.6499999999996</v>
      </c>
      <c r="I25" s="383">
        <f>'PP-C8'!I54-'PP-C8'!I83</f>
        <v>4150.8999999999996</v>
      </c>
      <c r="J25" s="384">
        <f>'PP-C8'!J54-'PP-C8'!J83</f>
        <v>4196.22</v>
      </c>
      <c r="K25" s="385">
        <f>'PP-C8'!K54-'PP-C8'!K83</f>
        <v>4202.3999999999996</v>
      </c>
      <c r="L25" s="384">
        <f>'PP-C8'!L54-'PP-C8'!L83</f>
        <v>4211.67</v>
      </c>
      <c r="M25" s="383">
        <f>'PP-C8'!M54-'PP-C8'!M83</f>
        <v>4253.9000000000005</v>
      </c>
      <c r="N25" s="383">
        <f>'PP-C8'!N54-'PP-C8'!N83</f>
        <v>4285.8300000000008</v>
      </c>
      <c r="O25" s="383">
        <f>'PP-C8'!O54-'PP-C8'!O83</f>
        <v>4295.0999999999995</v>
      </c>
      <c r="P25" s="383">
        <f>'PP-C8'!P54-'PP-C8'!P83</f>
        <v>4322.91</v>
      </c>
      <c r="Q25" s="386">
        <f>'PP-C8'!Q54-'PP-C8'!Q83</f>
        <v>4367.2</v>
      </c>
    </row>
    <row r="26" spans="2:17" ht="21" customHeight="1">
      <c r="B26" s="674" t="s">
        <v>314</v>
      </c>
      <c r="C26" s="675"/>
      <c r="D26" s="382">
        <f>'PP-C8'!D55-'PP-C8'!D84</f>
        <v>-598.42999999999995</v>
      </c>
      <c r="E26" s="383">
        <f>'PP-C8'!E55-'PP-C8'!E84</f>
        <v>-779.71</v>
      </c>
      <c r="F26" s="383">
        <f>'PP-C8'!F55-'PP-C8'!F84</f>
        <v>-826.93153846153848</v>
      </c>
      <c r="G26" s="383">
        <f>'PP-C8'!G55-'PP-C8'!G84</f>
        <v>-963.99244999999996</v>
      </c>
      <c r="H26" s="383">
        <f>'PP-C8'!H55-'PP-C8'!H84</f>
        <v>-1100.04</v>
      </c>
      <c r="I26" s="383">
        <f>'PP-C8'!I55-'PP-C8'!I84</f>
        <v>-1275.1400000000001</v>
      </c>
      <c r="J26" s="384">
        <f>'PP-C8'!J55-'PP-C8'!J84</f>
        <v>-1268.96</v>
      </c>
      <c r="K26" s="385">
        <f>'PP-C8'!K55-'PP-C8'!K84</f>
        <v>-990.86</v>
      </c>
      <c r="L26" s="384">
        <f>'PP-C8'!L55-'PP-C8'!L84</f>
        <v>-1110.3399999999999</v>
      </c>
      <c r="M26" s="383">
        <f>'PP-C8'!M55-'PP-C8'!M84</f>
        <v>-1233.94</v>
      </c>
      <c r="N26" s="383">
        <f>'PP-C8'!N55-'PP-C8'!N84</f>
        <v>-1367.84</v>
      </c>
      <c r="O26" s="383">
        <f>'PP-C8'!O55-'PP-C8'!O84</f>
        <v>-1503.8</v>
      </c>
      <c r="P26" s="383">
        <f>'PP-C8'!P55-'PP-C8'!P84</f>
        <v>-1653.15</v>
      </c>
      <c r="Q26" s="386">
        <f>'PP-C8'!Q55-'PP-C8'!Q84</f>
        <v>-1751</v>
      </c>
    </row>
    <row r="27" spans="2:17" ht="21" customHeight="1">
      <c r="B27" s="674" t="s">
        <v>315</v>
      </c>
      <c r="C27" s="675"/>
      <c r="D27" s="382">
        <f>'PP-C8'!D56-'PP-C8'!D85</f>
        <v>-196.73000000000002</v>
      </c>
      <c r="E27" s="383">
        <f>'PP-C8'!E56-'PP-C8'!E85</f>
        <v>-146.26</v>
      </c>
      <c r="F27" s="383">
        <f>'PP-C8'!F56-'PP-C8'!F85</f>
        <v>-246.37600000000009</v>
      </c>
      <c r="G27" s="383">
        <f>'PP-C8'!G56-'PP-C8'!G85</f>
        <v>-246.37599999999998</v>
      </c>
      <c r="H27" s="383">
        <f>'PP-C8'!H56-'PP-C8'!H85</f>
        <v>-134.93000000000006</v>
      </c>
      <c r="I27" s="383">
        <f>'PP-C8'!I56-'PP-C8'!I85</f>
        <v>99.910000000000082</v>
      </c>
      <c r="J27" s="384">
        <f>'PP-C8'!J56-'PP-C8'!J85</f>
        <v>-15.861999999999853</v>
      </c>
      <c r="K27" s="385">
        <f>'PP-C8'!K56-'PP-C8'!K85</f>
        <v>232.67700000000013</v>
      </c>
      <c r="L27" s="384">
        <f>'PP-C8'!L56-'PP-C8'!L85</f>
        <v>390.37000000000012</v>
      </c>
      <c r="M27" s="383">
        <f>'PP-C8'!M56-'PP-C8'!M85</f>
        <v>338.87000000000012</v>
      </c>
      <c r="N27" s="383">
        <f>'PP-C8'!N56-'PP-C8'!N85</f>
        <v>235.87000000000012</v>
      </c>
      <c r="O27" s="383">
        <f>'PP-C8'!O56-'PP-C8'!O85</f>
        <v>889.92000000000007</v>
      </c>
      <c r="P27" s="383">
        <f>'PP-C8'!P56-'PP-C8'!P85</f>
        <v>1117.5499999999997</v>
      </c>
      <c r="Q27" s="386">
        <f>'PP-C8'!Q56-'PP-C8'!Q85</f>
        <v>1229.8200000000002</v>
      </c>
    </row>
    <row r="28" spans="2:17" ht="18" customHeight="1">
      <c r="B28" s="672" t="s">
        <v>316</v>
      </c>
      <c r="C28" s="673"/>
      <c r="D28" s="367">
        <f>'PP-C8'!D57-'PP-C8'!D86</f>
        <v>1694.3500000000004</v>
      </c>
      <c r="E28" s="368">
        <f>'PP-C8'!E57-'PP-C8'!E86</f>
        <v>96.819999999999709</v>
      </c>
      <c r="F28" s="368">
        <f>'PP-C8'!F57-'PP-C8'!F86</f>
        <v>748.8100000000004</v>
      </c>
      <c r="G28" s="368">
        <f>'PP-C8'!G57-'PP-C8'!G86</f>
        <v>847.6899999999996</v>
      </c>
      <c r="H28" s="368">
        <f>'PP-C8'!H57-'PP-C8'!H86</f>
        <v>891.98000000000047</v>
      </c>
      <c r="I28" s="368">
        <f>'PP-C8'!I57-'PP-C8'!I86</f>
        <v>820.90999999999985</v>
      </c>
      <c r="J28" s="369">
        <f>'PP-C8'!J57-'PP-C8'!J86</f>
        <v>697.3100000000004</v>
      </c>
      <c r="K28" s="370">
        <f>'PP-C8'!K57-'PP-C8'!K86</f>
        <v>796.19000000000051</v>
      </c>
      <c r="L28" s="369">
        <f>'PP-C8'!L57-'PP-C8'!L86</f>
        <v>738.51000000000022</v>
      </c>
      <c r="M28" s="368">
        <f>'PP-C8'!M57-'PP-C8'!M86</f>
        <v>557.23000000000047</v>
      </c>
      <c r="N28" s="368">
        <f>'PP-C8'!N57-'PP-C8'!N86</f>
        <v>1073.2599999999993</v>
      </c>
      <c r="O28" s="368">
        <f>'PP-C8'!O57-'PP-C8'!O86</f>
        <v>944.50999999999931</v>
      </c>
      <c r="P28" s="368">
        <f>'PP-C8'!P57-'PP-C8'!P86</f>
        <v>1249.3900000000003</v>
      </c>
      <c r="Q28" s="371">
        <f>'PP-C8'!Q57-'PP-C8'!Q86</f>
        <v>1143.3000000000002</v>
      </c>
    </row>
    <row r="29" spans="2:17" ht="18" customHeight="1">
      <c r="B29" s="670" t="s">
        <v>317</v>
      </c>
      <c r="C29" s="671"/>
      <c r="D29" s="367">
        <f>'PP-C8'!D58-'PP-C8'!D87</f>
        <v>-216.3</v>
      </c>
      <c r="E29" s="368">
        <f>'PP-C8'!E58-'PP-C8'!E87</f>
        <v>-220.42000000000002</v>
      </c>
      <c r="F29" s="368">
        <f>'PP-C8'!F58-'PP-C8'!F87</f>
        <v>-224.54</v>
      </c>
      <c r="G29" s="368">
        <f>'PP-C8'!G58-'PP-C8'!G87</f>
        <v>-228.66</v>
      </c>
      <c r="H29" s="368">
        <f>'PP-C8'!H58-'PP-C8'!H87</f>
        <v>-234.84</v>
      </c>
      <c r="I29" s="368">
        <f>'PP-C8'!I58-'PP-C8'!I87</f>
        <v>-236.9</v>
      </c>
      <c r="J29" s="369">
        <f>'PP-C8'!J58-'PP-C8'!J87</f>
        <v>-239.99</v>
      </c>
      <c r="K29" s="370">
        <f>'PP-C8'!K58-'PP-C8'!K87</f>
        <v>-247.20000000000002</v>
      </c>
      <c r="L29" s="369">
        <f>'PP-C8'!L58-'PP-C8'!L87</f>
        <v>-252.35</v>
      </c>
      <c r="M29" s="368">
        <f>'PP-C8'!M58-'PP-C8'!M87</f>
        <v>-257.5</v>
      </c>
      <c r="N29" s="368">
        <f>'PP-C8'!N58-'PP-C8'!N87</f>
        <v>-262.65000000000003</v>
      </c>
      <c r="O29" s="368">
        <f>'PP-C8'!O58-'PP-C8'!O87</f>
        <v>-267.8</v>
      </c>
      <c r="P29" s="368">
        <f>'PP-C8'!P58-'PP-C8'!P87</f>
        <v>-271.92</v>
      </c>
      <c r="Q29" s="371">
        <f>'PP-C8'!Q58-'PP-C8'!Q87</f>
        <v>-276.04000000000002</v>
      </c>
    </row>
    <row r="30" spans="2:17" ht="21" customHeight="1">
      <c r="B30" s="674" t="s">
        <v>318</v>
      </c>
      <c r="C30" s="675"/>
      <c r="D30" s="382">
        <f t="shared" ref="D30:K30" si="2">D29+D28</f>
        <v>1478.0500000000004</v>
      </c>
      <c r="E30" s="383">
        <f t="shared" si="2"/>
        <v>-123.60000000000031</v>
      </c>
      <c r="F30" s="383">
        <f t="shared" si="2"/>
        <v>524.27000000000044</v>
      </c>
      <c r="G30" s="383">
        <f t="shared" si="2"/>
        <v>619.02999999999963</v>
      </c>
      <c r="H30" s="383">
        <f t="shared" si="2"/>
        <v>657.14000000000044</v>
      </c>
      <c r="I30" s="383">
        <f t="shared" si="2"/>
        <v>584.00999999999988</v>
      </c>
      <c r="J30" s="384">
        <f t="shared" si="2"/>
        <v>457.32000000000039</v>
      </c>
      <c r="K30" s="385">
        <f t="shared" si="2"/>
        <v>548.99000000000046</v>
      </c>
      <c r="L30" s="384">
        <f t="shared" ref="L30:Q30" si="3">L29+L28</f>
        <v>486.1600000000002</v>
      </c>
      <c r="M30" s="383">
        <f t="shared" si="3"/>
        <v>299.73000000000047</v>
      </c>
      <c r="N30" s="383">
        <f t="shared" si="3"/>
        <v>810.60999999999922</v>
      </c>
      <c r="O30" s="383">
        <f t="shared" si="3"/>
        <v>676.70999999999935</v>
      </c>
      <c r="P30" s="383">
        <f t="shared" si="3"/>
        <v>977.47000000000025</v>
      </c>
      <c r="Q30" s="386">
        <f t="shared" si="3"/>
        <v>867.26000000000022</v>
      </c>
    </row>
    <row r="31" spans="2:17" ht="18" customHeight="1">
      <c r="B31" s="672" t="s">
        <v>319</v>
      </c>
      <c r="C31" s="673"/>
      <c r="D31" s="367">
        <f>'PP-C8'!D60-'PP-C8'!D89</f>
        <v>-560.32000000000005</v>
      </c>
      <c r="E31" s="368">
        <f>'PP-C8'!E60-'PP-C8'!E89</f>
        <v>-431.57</v>
      </c>
      <c r="F31" s="368">
        <f>'PP-C8'!F60-'PP-C8'!F89</f>
        <v>-452.16999999999996</v>
      </c>
      <c r="G31" s="368">
        <f>'PP-C8'!G60-'PP-C8'!G89</f>
        <v>-447.02000000000004</v>
      </c>
      <c r="H31" s="368">
        <f>'PP-C8'!H60-'PP-C8'!H89</f>
        <v>-448.05000000000007</v>
      </c>
      <c r="I31" s="368">
        <f>'PP-C8'!I60-'PP-C8'!I89</f>
        <v>-473.80000000000007</v>
      </c>
      <c r="J31" s="369">
        <f>'PP-C8'!J60-'PP-C8'!J89</f>
        <v>-472.77</v>
      </c>
      <c r="K31" s="370">
        <f>'PP-C8'!K60-'PP-C8'!K89</f>
        <v>-513.45500000000004</v>
      </c>
      <c r="L31" s="369">
        <f>'PP-C8'!L60-'PP-C8'!L89</f>
        <v>-470.4525000000001</v>
      </c>
      <c r="M31" s="368">
        <f>'PP-C8'!M60-'PP-C8'!M89</f>
        <v>-475.34500000000003</v>
      </c>
      <c r="N31" s="368">
        <f>'PP-C8'!N60-'PP-C8'!N89</f>
        <v>-505.21499999999992</v>
      </c>
      <c r="O31" s="368">
        <f>'PP-C8'!O60-'PP-C8'!O89</f>
        <v>-537.14499999999998</v>
      </c>
      <c r="P31" s="368">
        <f>'PP-C8'!P60-'PP-C8'!P89</f>
        <v>-571.13499999999999</v>
      </c>
      <c r="Q31" s="371">
        <f>'PP-C8'!Q60-'PP-C8'!Q89</f>
        <v>-606.15499999999997</v>
      </c>
    </row>
    <row r="32" spans="2:17" ht="18" customHeight="1">
      <c r="B32" s="668" t="s">
        <v>320</v>
      </c>
      <c r="C32" s="669"/>
      <c r="D32" s="367">
        <f>'PP-C8'!D61-'PP-C8'!D90</f>
        <v>73.130000000000109</v>
      </c>
      <c r="E32" s="368">
        <f>'PP-C8'!E61-'PP-C8'!E90</f>
        <v>152.44000000000005</v>
      </c>
      <c r="F32" s="368">
        <f>'PP-C8'!F61-'PP-C8'!F90</f>
        <v>225.56999999999994</v>
      </c>
      <c r="G32" s="368">
        <f>'PP-C8'!G61-'PP-C8'!G90</f>
        <v>145.23000000000002</v>
      </c>
      <c r="H32" s="368">
        <f>'PP-C8'!H61-'PP-C8'!H90</f>
        <v>156.55999999999995</v>
      </c>
      <c r="I32" s="368">
        <f>'PP-C8'!I61-'PP-C8'!I90</f>
        <v>126.68999999999983</v>
      </c>
      <c r="J32" s="369">
        <f>'PP-C8'!J61-'PP-C8'!J90</f>
        <v>267.79999999999995</v>
      </c>
      <c r="K32" s="370">
        <f>'PP-C8'!K61-'PP-C8'!K90</f>
        <v>234.32499999999982</v>
      </c>
      <c r="L32" s="369">
        <f>'PP-C8'!L61-'PP-C8'!L90</f>
        <v>214.75499999999988</v>
      </c>
      <c r="M32" s="368">
        <f>'PP-C8'!M61-'PP-C8'!M90</f>
        <v>181.79499999999985</v>
      </c>
      <c r="N32" s="368">
        <f>'PP-C8'!N61-'PP-C8'!N90</f>
        <v>148.83499999999981</v>
      </c>
      <c r="O32" s="368">
        <f>'PP-C8'!O61-'PP-C8'!O90</f>
        <v>115.875</v>
      </c>
      <c r="P32" s="368">
        <f>'PP-C8'!P61-'PP-C8'!P90</f>
        <v>82.914999999999964</v>
      </c>
      <c r="Q32" s="371">
        <f>'PP-C8'!Q61-'PP-C8'!Q90</f>
        <v>48.924999999999955</v>
      </c>
    </row>
    <row r="33" spans="2:17" ht="18" customHeight="1">
      <c r="B33" s="670" t="s">
        <v>321</v>
      </c>
      <c r="C33" s="671"/>
      <c r="D33" s="367">
        <f>'PP-C8'!D62-'PP-C8'!D91</f>
        <v>-222.4799999999999</v>
      </c>
      <c r="E33" s="368">
        <f>'PP-C8'!E62-'PP-C8'!E91</f>
        <v>-183.33999999999992</v>
      </c>
      <c r="F33" s="368">
        <f>'PP-C8'!F62-'PP-C8'!F91</f>
        <v>-238.96000000000004</v>
      </c>
      <c r="G33" s="368">
        <f>'PP-C8'!G62-'PP-C8'!G91</f>
        <v>-291.49000000000012</v>
      </c>
      <c r="H33" s="368">
        <f>'PP-C8'!H62-'PP-C8'!H91</f>
        <v>-307.97000000000014</v>
      </c>
      <c r="I33" s="368">
        <f>'PP-C8'!I62-'PP-C8'!I91</f>
        <v>-304.88</v>
      </c>
      <c r="J33" s="369">
        <f>'PP-C8'!J62-'PP-C8'!J91</f>
        <v>-297.66999999999996</v>
      </c>
      <c r="K33" s="370">
        <f>'PP-C8'!K62-'PP-C8'!K91</f>
        <v>-327.64300000000003</v>
      </c>
      <c r="L33" s="369">
        <f>'PP-C8'!L62-'PP-C8'!L91</f>
        <v>-357.51299999999992</v>
      </c>
      <c r="M33" s="368">
        <f>'PP-C8'!M62-'PP-C8'!M91</f>
        <v>-386.35300000000007</v>
      </c>
      <c r="N33" s="368">
        <f>'PP-C8'!N62-'PP-C8'!N91</f>
        <v>-421.37300000000005</v>
      </c>
      <c r="O33" s="368">
        <f>'PP-C8'!O62-'PP-C8'!O91</f>
        <v>-458.45299999999997</v>
      </c>
      <c r="P33" s="368">
        <f>'PP-C8'!P62-'PP-C8'!P91</f>
        <v>-497.59300000000007</v>
      </c>
      <c r="Q33" s="371">
        <f>'PP-C8'!Q62-'PP-C8'!Q91</f>
        <v>-538.79299999999989</v>
      </c>
    </row>
    <row r="34" spans="2:17" ht="21" customHeight="1" thickBot="1">
      <c r="B34" s="678" t="s">
        <v>322</v>
      </c>
      <c r="C34" s="679"/>
      <c r="D34" s="387">
        <f t="shared" ref="D34:K34" si="4">D33+D32+D31</f>
        <v>-709.66999999999985</v>
      </c>
      <c r="E34" s="388">
        <f t="shared" si="4"/>
        <v>-462.46999999999986</v>
      </c>
      <c r="F34" s="388">
        <f t="shared" si="4"/>
        <v>-465.56000000000006</v>
      </c>
      <c r="G34" s="388">
        <f t="shared" si="4"/>
        <v>-593.2800000000002</v>
      </c>
      <c r="H34" s="388">
        <f t="shared" si="4"/>
        <v>-599.46000000000026</v>
      </c>
      <c r="I34" s="388">
        <f t="shared" si="4"/>
        <v>-651.99000000000024</v>
      </c>
      <c r="J34" s="389">
        <f t="shared" si="4"/>
        <v>-502.64</v>
      </c>
      <c r="K34" s="390">
        <f t="shared" si="4"/>
        <v>-606.77300000000025</v>
      </c>
      <c r="L34" s="389">
        <f t="shared" ref="L34:Q34" si="5">L33+L32+L31</f>
        <v>-613.21050000000014</v>
      </c>
      <c r="M34" s="388">
        <f t="shared" si="5"/>
        <v>-679.90300000000025</v>
      </c>
      <c r="N34" s="388">
        <f t="shared" si="5"/>
        <v>-777.75300000000016</v>
      </c>
      <c r="O34" s="388">
        <f t="shared" si="5"/>
        <v>-879.72299999999996</v>
      </c>
      <c r="P34" s="388">
        <f t="shared" si="5"/>
        <v>-985.8130000000001</v>
      </c>
      <c r="Q34" s="391">
        <f t="shared" si="5"/>
        <v>-1096.0229999999999</v>
      </c>
    </row>
    <row r="35" spans="2:17" ht="24" customHeight="1" thickTop="1" thickBot="1">
      <c r="B35" s="702" t="s">
        <v>337</v>
      </c>
      <c r="C35" s="703"/>
      <c r="D35" s="392">
        <f>SUM(D19+D20+D22+D24+D26+D27+D30+D34)</f>
        <v>2109.0653484154782</v>
      </c>
      <c r="E35" s="393">
        <f t="shared" ref="E35:Q35" si="6">SUM(E19+E20+E22+E24+E26+E27+E30+E34)</f>
        <v>989.6371556829888</v>
      </c>
      <c r="F35" s="393">
        <f t="shared" si="6"/>
        <v>3042.0728224830773</v>
      </c>
      <c r="G35" s="393">
        <f t="shared" si="6"/>
        <v>3924.0344377374327</v>
      </c>
      <c r="H35" s="393">
        <f t="shared" si="6"/>
        <v>3763.5917615200005</v>
      </c>
      <c r="I35" s="393">
        <f t="shared" si="6"/>
        <v>4436.3346299999994</v>
      </c>
      <c r="J35" s="394">
        <f t="shared" si="6"/>
        <v>4620.4431346299998</v>
      </c>
      <c r="K35" s="395">
        <f t="shared" si="6"/>
        <v>5268.1844042000048</v>
      </c>
      <c r="L35" s="394">
        <f t="shared" si="6"/>
        <v>6878.6916593854885</v>
      </c>
      <c r="M35" s="393">
        <f t="shared" si="6"/>
        <v>6503.3456254162375</v>
      </c>
      <c r="N35" s="393">
        <f t="shared" si="6"/>
        <v>8954.5223077294741</v>
      </c>
      <c r="O35" s="393">
        <f t="shared" si="6"/>
        <v>10457.938385529476</v>
      </c>
      <c r="P35" s="393">
        <f t="shared" si="6"/>
        <v>10412.07964196948</v>
      </c>
      <c r="Q35" s="396">
        <f t="shared" si="6"/>
        <v>10486.448245809479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11" priority="5">
      <formula>CELL("protect",C39)=0</formula>
    </cfRule>
    <cfRule type="expression" dxfId="10" priority="6">
      <formula>CELL("protect",C39)=0</formula>
    </cfRule>
  </conditionalFormatting>
  <conditionalFormatting sqref="C37">
    <cfRule type="expression" dxfId="9" priority="3">
      <formula>CELL("protect",C37)=0</formula>
    </cfRule>
    <cfRule type="expression" dxfId="8" priority="4">
      <formula>CELL("protect",C37)=0</formula>
    </cfRule>
  </conditionalFormatting>
  <conditionalFormatting sqref="C39">
    <cfRule type="expression" dxfId="7" priority="1">
      <formula>CELL("protect",C39)=0</formula>
    </cfRule>
    <cfRule type="expression" dxfId="6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&amp;C203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0">
    <tabColor rgb="FF00B050"/>
    <pageSetUpPr fitToPage="1"/>
  </sheetPr>
  <dimension ref="B1:S40"/>
  <sheetViews>
    <sheetView showGridLines="0" view="pageBreakPreview" zoomScaleNormal="75" zoomScaleSheetLayoutView="100" workbookViewId="0">
      <selection activeCell="B7" sqref="B7:C18"/>
    </sheetView>
  </sheetViews>
  <sheetFormatPr defaultColWidth="9" defaultRowHeight="13.5"/>
  <cols>
    <col min="1" max="1" width="6.75" customWidth="1"/>
    <col min="2" max="2" width="3.625" customWidth="1"/>
    <col min="3" max="3" width="33.125" customWidth="1"/>
    <col min="4" max="17" width="8.125" customWidth="1"/>
    <col min="18" max="19" width="8.625" customWidth="1"/>
  </cols>
  <sheetData>
    <row r="1" spans="2:19" ht="13.5" customHeight="1">
      <c r="R1" s="26"/>
      <c r="S1" s="26"/>
    </row>
    <row r="2" spans="2:19" s="2" customFormat="1" ht="17.25">
      <c r="G2" s="398" t="s">
        <v>28</v>
      </c>
      <c r="H2" s="397" t="s">
        <v>43</v>
      </c>
    </row>
    <row r="3" spans="2:19" ht="30.95" customHeight="1" thickBot="1">
      <c r="H3" s="627" t="s">
        <v>351</v>
      </c>
      <c r="P3" s="686" t="s">
        <v>297</v>
      </c>
      <c r="Q3" s="686"/>
    </row>
    <row r="4" spans="2:19" s="4" customFormat="1" ht="30.6" customHeight="1">
      <c r="B4" s="5"/>
      <c r="C4" s="10"/>
      <c r="D4" s="687" t="s">
        <v>298</v>
      </c>
      <c r="E4" s="688"/>
      <c r="F4" s="688"/>
      <c r="G4" s="688"/>
      <c r="H4" s="688"/>
      <c r="I4" s="688"/>
      <c r="J4" s="688"/>
      <c r="K4" s="689"/>
      <c r="L4" s="687" t="s">
        <v>299</v>
      </c>
      <c r="M4" s="688"/>
      <c r="N4" s="688"/>
      <c r="O4" s="688"/>
      <c r="P4" s="688"/>
      <c r="Q4" s="689"/>
    </row>
    <row r="5" spans="2:19" s="12" customFormat="1" ht="15" customHeight="1">
      <c r="B5" s="9"/>
      <c r="C5" s="87"/>
      <c r="D5" s="583">
        <v>2010</v>
      </c>
      <c r="E5" s="584">
        <v>2011</v>
      </c>
      <c r="F5" s="583">
        <v>2012</v>
      </c>
      <c r="G5" s="584">
        <v>2013</v>
      </c>
      <c r="H5" s="583">
        <v>2014</v>
      </c>
      <c r="I5" s="584">
        <v>2015</v>
      </c>
      <c r="J5" s="584">
        <v>2016</v>
      </c>
      <c r="K5" s="585">
        <v>2017</v>
      </c>
      <c r="L5" s="586">
        <v>2018</v>
      </c>
      <c r="M5" s="583">
        <v>2019</v>
      </c>
      <c r="N5" s="583">
        <v>2020</v>
      </c>
      <c r="O5" s="583">
        <v>2021</v>
      </c>
      <c r="P5" s="583">
        <v>2022</v>
      </c>
      <c r="Q5" s="587">
        <v>2023</v>
      </c>
    </row>
    <row r="6" spans="2:19" s="12" customFormat="1" ht="15" customHeight="1" thickBot="1">
      <c r="B6" s="88"/>
      <c r="C6" s="79" t="s">
        <v>303</v>
      </c>
      <c r="D6" s="372"/>
      <c r="E6" s="373"/>
      <c r="F6" s="373"/>
      <c r="G6" s="374"/>
      <c r="H6" s="373"/>
      <c r="I6" s="373"/>
      <c r="J6" s="373"/>
      <c r="K6" s="375"/>
      <c r="L6" s="376"/>
      <c r="M6" s="373"/>
      <c r="N6" s="373"/>
      <c r="O6" s="373"/>
      <c r="P6" s="373"/>
      <c r="Q6" s="375"/>
    </row>
    <row r="7" spans="2:19" ht="18" customHeight="1">
      <c r="B7" s="644" t="s">
        <v>433</v>
      </c>
      <c r="C7" s="645"/>
      <c r="D7" s="377">
        <f>'AN-C9'!D36-'AN-C9'!D65</f>
        <v>102.46000000000004</v>
      </c>
      <c r="E7" s="378">
        <f>'AN-C9'!E36-'AN-C9'!E65</f>
        <v>106.81999999999994</v>
      </c>
      <c r="F7" s="378">
        <f>'AN-C9'!F36-'AN-C9'!F65</f>
        <v>75.210000000000036</v>
      </c>
      <c r="G7" s="378">
        <f>'AN-C9'!G36-'AN-C9'!G65</f>
        <v>224.54000000000008</v>
      </c>
      <c r="H7" s="378">
        <f>'AN-C9'!H36-'AN-C9'!H65</f>
        <v>203.82999999999993</v>
      </c>
      <c r="I7" s="378">
        <f>'AN-C9'!I36-'AN-C9'!I65</f>
        <v>150.41999999999996</v>
      </c>
      <c r="J7" s="379">
        <f>'AN-C9'!J36-'AN-C9'!J65</f>
        <v>116.63</v>
      </c>
      <c r="K7" s="380">
        <f>'AN-C9'!K36-'AN-C9'!K65</f>
        <v>130.79999999999995</v>
      </c>
      <c r="L7" s="379">
        <f>'AN-C9'!L36-'AN-C9'!L65</f>
        <v>119.90000000000009</v>
      </c>
      <c r="M7" s="378">
        <f>'AN-C9'!M36-'AN-C9'!M65</f>
        <v>141.70000000000005</v>
      </c>
      <c r="N7" s="378">
        <f>'AN-C9'!N36-'AN-C9'!N65</f>
        <v>163.50000000000011</v>
      </c>
      <c r="O7" s="378">
        <f>'AN-C9'!O36-'AN-C9'!O65</f>
        <v>152.60000000000002</v>
      </c>
      <c r="P7" s="378">
        <f>'AN-C9'!P36-'AN-C9'!P65</f>
        <v>152.60000000000002</v>
      </c>
      <c r="Q7" s="381">
        <f>'AN-C9'!Q36-'AN-C9'!Q65</f>
        <v>152.60000000000002</v>
      </c>
    </row>
    <row r="8" spans="2:19" ht="18" customHeight="1">
      <c r="B8" s="605" t="s">
        <v>434</v>
      </c>
      <c r="C8" s="606"/>
      <c r="D8" s="367">
        <f>'AN-C9'!D37-'AN-C9'!D66</f>
        <v>-11.990000000000009</v>
      </c>
      <c r="E8" s="368">
        <f>'AN-C9'!E37-'AN-C9'!E66</f>
        <v>6.5400000000000205</v>
      </c>
      <c r="F8" s="368">
        <f>'AN-C9'!F37-'AN-C9'!F66</f>
        <v>27.25</v>
      </c>
      <c r="G8" s="368">
        <f>'AN-C9'!G37-'AN-C9'!G66</f>
        <v>85.019999999999982</v>
      </c>
      <c r="H8" s="368">
        <f>'AN-C9'!H37-'AN-C9'!H66</f>
        <v>81.75</v>
      </c>
      <c r="I8" s="368">
        <f>'AN-C9'!I37-'AN-C9'!I66</f>
        <v>103.55000000000001</v>
      </c>
      <c r="J8" s="369">
        <f>'AN-C9'!J37-'AN-C9'!J66</f>
        <v>103.55000000000001</v>
      </c>
      <c r="K8" s="370">
        <f>'AN-C9'!K37-'AN-C9'!K66</f>
        <v>73.029999999999973</v>
      </c>
      <c r="L8" s="369">
        <f>'AN-C9'!L37-'AN-C9'!L66</f>
        <v>59.950000000000045</v>
      </c>
      <c r="M8" s="368">
        <f>'AN-C9'!M37-'AN-C9'!M66</f>
        <v>65.400000000000034</v>
      </c>
      <c r="N8" s="368">
        <f>'AN-C9'!N37-'AN-C9'!N66</f>
        <v>70.849999999999966</v>
      </c>
      <c r="O8" s="368">
        <f>'AN-C9'!O37-'AN-C9'!O66</f>
        <v>59.949999999999989</v>
      </c>
      <c r="P8" s="368">
        <f>'AN-C9'!P37-'AN-C9'!P66</f>
        <v>59.949999999999989</v>
      </c>
      <c r="Q8" s="371">
        <f>'AN-C9'!Q37-'AN-C9'!Q66</f>
        <v>59.949999999999989</v>
      </c>
    </row>
    <row r="9" spans="2:19" ht="18" customHeight="1">
      <c r="B9" s="605" t="s">
        <v>435</v>
      </c>
      <c r="C9" s="606"/>
      <c r="D9" s="367">
        <f>'AN-C9'!D38-'AN-C9'!D67</f>
        <v>0</v>
      </c>
      <c r="E9" s="368">
        <f>'AN-C9'!E38-'AN-C9'!E67</f>
        <v>0</v>
      </c>
      <c r="F9" s="368">
        <f>'AN-C9'!F38-'AN-C9'!F67</f>
        <v>0</v>
      </c>
      <c r="G9" s="368">
        <f>'AN-C9'!G38-'AN-C9'!G67</f>
        <v>0</v>
      </c>
      <c r="H9" s="368">
        <f>'AN-C9'!H38-'AN-C9'!H67</f>
        <v>0</v>
      </c>
      <c r="I9" s="368">
        <f>'AN-C9'!I38-'AN-C9'!I67</f>
        <v>0</v>
      </c>
      <c r="J9" s="369">
        <f>'AN-C9'!J38-'AN-C9'!J67</f>
        <v>0</v>
      </c>
      <c r="K9" s="370">
        <f>'AN-C9'!K38-'AN-C9'!K67</f>
        <v>0</v>
      </c>
      <c r="L9" s="369">
        <f>'AN-C9'!L38-'AN-C9'!L67</f>
        <v>0</v>
      </c>
      <c r="M9" s="368">
        <f>'AN-C9'!M38-'AN-C9'!M67</f>
        <v>0</v>
      </c>
      <c r="N9" s="368">
        <f>'AN-C9'!N38-'AN-C9'!N67</f>
        <v>0</v>
      </c>
      <c r="O9" s="368">
        <f>'AN-C9'!O38-'AN-C9'!O67</f>
        <v>0</v>
      </c>
      <c r="P9" s="368">
        <f>'AN-C9'!P38-'AN-C9'!P67</f>
        <v>0</v>
      </c>
      <c r="Q9" s="371">
        <f>'AN-C9'!Q38-'AN-C9'!Q67</f>
        <v>0</v>
      </c>
    </row>
    <row r="10" spans="2:19" ht="18" customHeight="1">
      <c r="B10" s="605" t="s">
        <v>436</v>
      </c>
      <c r="C10" s="606"/>
      <c r="D10" s="367">
        <f>'AN-C9'!D39-'AN-C9'!D68</f>
        <v>-537.37000000000012</v>
      </c>
      <c r="E10" s="368">
        <f>'AN-C9'!E39-'AN-C9'!E68</f>
        <v>-590.7800000000002</v>
      </c>
      <c r="F10" s="368">
        <f>'AN-C9'!F39-'AN-C9'!F68</f>
        <v>-604.95000000000005</v>
      </c>
      <c r="G10" s="368">
        <f>'AN-C9'!G39-'AN-C9'!G68</f>
        <v>-596.23</v>
      </c>
      <c r="H10" s="368">
        <f>'AN-C9'!H39-'AN-C9'!H68</f>
        <v>-564.61999999999989</v>
      </c>
      <c r="I10" s="368">
        <f>'AN-C9'!I39-'AN-C9'!I68</f>
        <v>-433.82000000000016</v>
      </c>
      <c r="J10" s="369">
        <f>'AN-C9'!J39-'AN-C9'!J68</f>
        <v>-331.36000000000013</v>
      </c>
      <c r="K10" s="370">
        <f>'AN-C9'!K39-'AN-C9'!K68</f>
        <v>-284.49</v>
      </c>
      <c r="L10" s="369">
        <f>'AN-C9'!L39-'AN-C9'!L68</f>
        <v>-352.07000000000016</v>
      </c>
      <c r="M10" s="368">
        <f>'AN-C9'!M39-'AN-C9'!M68</f>
        <v>-306.28999999999996</v>
      </c>
      <c r="N10" s="368">
        <f>'AN-C9'!N39-'AN-C9'!N68</f>
        <v>-235.44000000000005</v>
      </c>
      <c r="O10" s="368">
        <f>'AN-C9'!O39-'AN-C9'!O68</f>
        <v>-158.05000000000018</v>
      </c>
      <c r="P10" s="368">
        <f>'AN-C9'!P39-'AN-C9'!P68</f>
        <v>-141.69999999999982</v>
      </c>
      <c r="Q10" s="371">
        <f>'AN-C9'!Q39-'AN-C9'!Q68</f>
        <v>-191.84000000000015</v>
      </c>
    </row>
    <row r="11" spans="2:19" ht="18" customHeight="1">
      <c r="B11" s="605" t="s">
        <v>437</v>
      </c>
      <c r="C11" s="606"/>
      <c r="D11" s="367">
        <f>'AN-C9'!D40-'AN-C9'!D69</f>
        <v>-153.69</v>
      </c>
      <c r="E11" s="368">
        <f>'AN-C9'!E40-'AN-C9'!E69</f>
        <v>-134.07000000000002</v>
      </c>
      <c r="F11" s="368">
        <f>'AN-C9'!F40-'AN-C9'!F69</f>
        <v>-43.599999999999994</v>
      </c>
      <c r="G11" s="368">
        <f>'AN-C9'!G40-'AN-C9'!G69</f>
        <v>-23.862279999999984</v>
      </c>
      <c r="H11" s="368">
        <f>'AN-C9'!H40-'AN-C9'!H69</f>
        <v>-7.6299999999999955</v>
      </c>
      <c r="I11" s="368">
        <f>'AN-C9'!I40-'AN-C9'!I69</f>
        <v>23.980000000000018</v>
      </c>
      <c r="J11" s="369">
        <f>'AN-C9'!J40-'AN-C9'!J69</f>
        <v>29.430000000000007</v>
      </c>
      <c r="K11" s="370">
        <f>'AN-C9'!K40-'AN-C9'!K69</f>
        <v>34.196570000000008</v>
      </c>
      <c r="L11" s="369">
        <f>'AN-C9'!L40-'AN-C9'!L69</f>
        <v>26.37473</v>
      </c>
      <c r="M11" s="368">
        <f>'AN-C9'!M40-'AN-C9'!M69</f>
        <v>19.509262976000002</v>
      </c>
      <c r="N11" s="368">
        <f>'AN-C9'!N40-'AN-C9'!N69</f>
        <v>12.692825346814402</v>
      </c>
      <c r="O11" s="368">
        <f>'AN-C9'!O40-'AN-C9'!O69</f>
        <v>5.8930224116262764</v>
      </c>
      <c r="P11" s="368">
        <f>'AN-C9'!P40-'AN-C9'!P69</f>
        <v>5.8930224116262764</v>
      </c>
      <c r="Q11" s="371">
        <f>'AN-C9'!Q40-'AN-C9'!Q69</f>
        <v>5.8930224116262764</v>
      </c>
    </row>
    <row r="12" spans="2:19" ht="18" customHeight="1">
      <c r="B12" s="605" t="s">
        <v>438</v>
      </c>
      <c r="C12" s="606"/>
      <c r="D12" s="367">
        <f>'AN-C9'!D41-'AN-C9'!D70</f>
        <v>-9.7522299999999991</v>
      </c>
      <c r="E12" s="368">
        <f>'AN-C9'!E41-'AN-C9'!E70</f>
        <v>-8.5857119999999991</v>
      </c>
      <c r="F12" s="368">
        <f>'AN-C9'!F41-'AN-C9'!F70</f>
        <v>-9.1180261440000017</v>
      </c>
      <c r="G12" s="368">
        <f>'AN-C9'!G41-'AN-C9'!G70</f>
        <v>-7.6300000000000008</v>
      </c>
      <c r="H12" s="368">
        <f>'AN-C9'!H41-'AN-C9'!H70</f>
        <v>-7.6300000000000008</v>
      </c>
      <c r="I12" s="368">
        <f>'AN-C9'!I41-'AN-C9'!I70</f>
        <v>-7.6300000000000008</v>
      </c>
      <c r="J12" s="369">
        <f>'AN-C9'!J41-'AN-C9'!J70</f>
        <v>-5.45</v>
      </c>
      <c r="K12" s="370">
        <f>'AN-C9'!K41-'AN-C9'!K70</f>
        <v>-8.7200000000000006</v>
      </c>
      <c r="L12" s="369">
        <f>'AN-C9'!L41-'AN-C9'!L70</f>
        <v>-9.81</v>
      </c>
      <c r="M12" s="368">
        <f>'AN-C9'!M41-'AN-C9'!M70</f>
        <v>-9.81</v>
      </c>
      <c r="N12" s="368">
        <f>'AN-C9'!N41-'AN-C9'!N70</f>
        <v>-10.9</v>
      </c>
      <c r="O12" s="368">
        <f>'AN-C9'!O41-'AN-C9'!O70</f>
        <v>-10.9</v>
      </c>
      <c r="P12" s="368">
        <f>'AN-C9'!P41-'AN-C9'!P70</f>
        <v>-10.9</v>
      </c>
      <c r="Q12" s="371">
        <f>'AN-C9'!Q41-'AN-C9'!Q70</f>
        <v>-10.9</v>
      </c>
    </row>
    <row r="13" spans="2:19" ht="18" customHeight="1">
      <c r="B13" s="605" t="s">
        <v>439</v>
      </c>
      <c r="C13" s="606"/>
      <c r="D13" s="367">
        <f>'AN-C9'!D42-'AN-C9'!D71</f>
        <v>-94.83</v>
      </c>
      <c r="E13" s="368">
        <f>'AN-C9'!E42-'AN-C9'!E71</f>
        <v>-87.2</v>
      </c>
      <c r="F13" s="368">
        <f>'AN-C9'!F42-'AN-C9'!F71</f>
        <v>-92.65000000000002</v>
      </c>
      <c r="G13" s="368">
        <f>'AN-C9'!G42-'AN-C9'!G71</f>
        <v>-119.9</v>
      </c>
      <c r="H13" s="368">
        <f>'AN-C9'!H42-'AN-C9'!H71</f>
        <v>-137.34</v>
      </c>
      <c r="I13" s="368">
        <f>'AN-C9'!I42-'AN-C9'!I71</f>
        <v>-142.79000000000002</v>
      </c>
      <c r="J13" s="369">
        <f>'AN-C9'!J42-'AN-C9'!J71</f>
        <v>-172.22</v>
      </c>
      <c r="K13" s="370">
        <f>'AN-C9'!K42-'AN-C9'!K71</f>
        <v>-174.40000000000003</v>
      </c>
      <c r="L13" s="369">
        <f>'AN-C9'!L42-'AN-C9'!L71</f>
        <v>-152.6</v>
      </c>
      <c r="M13" s="368">
        <f>'AN-C9'!M42-'AN-C9'!M71</f>
        <v>-154.78000000000003</v>
      </c>
      <c r="N13" s="368">
        <f>'AN-C9'!N42-'AN-C9'!N71</f>
        <v>-160.23000000000002</v>
      </c>
      <c r="O13" s="368">
        <f>'AN-C9'!O42-'AN-C9'!O71</f>
        <v>-165.68</v>
      </c>
      <c r="P13" s="368">
        <f>'AN-C9'!P42-'AN-C9'!P71</f>
        <v>-171.13</v>
      </c>
      <c r="Q13" s="371">
        <f>'AN-C9'!Q42-'AN-C9'!Q71</f>
        <v>-171.13</v>
      </c>
    </row>
    <row r="14" spans="2:19" ht="18" hidden="1" customHeight="1">
      <c r="B14" s="16"/>
      <c r="C14" s="90" t="s">
        <v>306</v>
      </c>
      <c r="D14" s="367">
        <f>'AN-C9'!D43-'AN-C9'!D72</f>
        <v>0</v>
      </c>
      <c r="E14" s="368">
        <f>'AN-C9'!E43-'AN-C9'!E72</f>
        <v>0</v>
      </c>
      <c r="F14" s="368">
        <f>'AN-C9'!F43-'AN-C9'!F72</f>
        <v>0</v>
      </c>
      <c r="G14" s="368">
        <f>'AN-C9'!G43-'AN-C9'!G72</f>
        <v>0</v>
      </c>
      <c r="H14" s="368">
        <f>'AN-C9'!H43-'AN-C9'!H72</f>
        <v>0</v>
      </c>
      <c r="I14" s="368">
        <f>'AN-C9'!I43-'AN-C9'!I72</f>
        <v>0</v>
      </c>
      <c r="J14" s="369">
        <f>'AN-C9'!J43-'AN-C9'!J72</f>
        <v>0</v>
      </c>
      <c r="K14" s="370">
        <f>'AN-C9'!K43-'AN-C9'!K72</f>
        <v>0</v>
      </c>
      <c r="L14" s="369">
        <f>'AN-C9'!L43-'AN-C9'!L72</f>
        <v>0</v>
      </c>
      <c r="M14" s="368">
        <f>'AN-C9'!M43-'AN-C9'!M72</f>
        <v>0</v>
      </c>
      <c r="N14" s="368">
        <f>'AN-C9'!N43-'AN-C9'!N72</f>
        <v>0</v>
      </c>
      <c r="O14" s="368">
        <f>'AN-C9'!O43-'AN-C9'!O72</f>
        <v>0</v>
      </c>
      <c r="P14" s="368">
        <f>'AN-C9'!P43-'AN-C9'!P72</f>
        <v>0</v>
      </c>
      <c r="Q14" s="371">
        <f>'AN-C9'!Q43-'AN-C9'!Q72</f>
        <v>0</v>
      </c>
    </row>
    <row r="15" spans="2:19" ht="18" customHeight="1">
      <c r="B15" s="605" t="s">
        <v>440</v>
      </c>
      <c r="C15" s="606"/>
      <c r="D15" s="367">
        <f>'AN-C9'!D44-'AN-C9'!D73</f>
        <v>0</v>
      </c>
      <c r="E15" s="368">
        <f>'AN-C9'!E44-'AN-C9'!E73</f>
        <v>0</v>
      </c>
      <c r="F15" s="368">
        <f>'AN-C9'!F44-'AN-C9'!F73</f>
        <v>0</v>
      </c>
      <c r="G15" s="368">
        <f>'AN-C9'!G44-'AN-C9'!G73</f>
        <v>0</v>
      </c>
      <c r="H15" s="368">
        <f>'AN-C9'!H44-'AN-C9'!H73</f>
        <v>0</v>
      </c>
      <c r="I15" s="368">
        <f>'AN-C9'!I44-'AN-C9'!I73</f>
        <v>0</v>
      </c>
      <c r="J15" s="369">
        <f>'AN-C9'!J44-'AN-C9'!J73</f>
        <v>0</v>
      </c>
      <c r="K15" s="370">
        <f>'AN-C9'!K44-'AN-C9'!K73</f>
        <v>0</v>
      </c>
      <c r="L15" s="369">
        <f>'AN-C9'!L44-'AN-C9'!L73</f>
        <v>0</v>
      </c>
      <c r="M15" s="368">
        <f>'AN-C9'!M44-'AN-C9'!M73</f>
        <v>0</v>
      </c>
      <c r="N15" s="368">
        <f>'AN-C9'!N44-'AN-C9'!N73</f>
        <v>0</v>
      </c>
      <c r="O15" s="368">
        <f>'AN-C9'!O44-'AN-C9'!O73</f>
        <v>0</v>
      </c>
      <c r="P15" s="368">
        <f>'AN-C9'!P44-'AN-C9'!P73</f>
        <v>0</v>
      </c>
      <c r="Q15" s="371">
        <f>'AN-C9'!Q44-'AN-C9'!Q73</f>
        <v>0</v>
      </c>
    </row>
    <row r="16" spans="2:19" ht="18" customHeight="1">
      <c r="B16" s="605" t="s">
        <v>441</v>
      </c>
      <c r="C16" s="606"/>
      <c r="D16" s="367">
        <f>'AN-C9'!D45-'AN-C9'!D74</f>
        <v>-38.150000000000006</v>
      </c>
      <c r="E16" s="368">
        <f>'AN-C9'!E45-'AN-C9'!E74</f>
        <v>-38.150000000000006</v>
      </c>
      <c r="F16" s="368">
        <f>'AN-C9'!F45-'AN-C9'!F74</f>
        <v>-76.300000000000011</v>
      </c>
      <c r="G16" s="368">
        <f>'AN-C9'!G45-'AN-C9'!G74</f>
        <v>-95.918909999999997</v>
      </c>
      <c r="H16" s="368">
        <f>'AN-C9'!H45-'AN-C9'!H74</f>
        <v>-105.73</v>
      </c>
      <c r="I16" s="368">
        <f>'AN-C9'!I45-'AN-C9'!I74</f>
        <v>-110.98478100000001</v>
      </c>
      <c r="J16" s="369">
        <f>'AN-C9'!J45-'AN-C9'!J74</f>
        <v>-107.91000000000001</v>
      </c>
      <c r="K16" s="370">
        <f>'AN-C9'!K45-'AN-C9'!K74</f>
        <v>-104.56370000000001</v>
      </c>
      <c r="L16" s="369">
        <f>'AN-C9'!L45-'AN-C9'!L74</f>
        <v>-109.47819390000001</v>
      </c>
      <c r="M16" s="368">
        <f>'AN-C9'!M45-'AN-C9'!M74</f>
        <v>-114.51419081940001</v>
      </c>
      <c r="N16" s="368">
        <f>'AN-C9'!N45-'AN-C9'!N74</f>
        <v>-120.01087197873122</v>
      </c>
      <c r="O16" s="368">
        <f>'AN-C9'!O45-'AN-C9'!O74</f>
        <v>-125.81939818250181</v>
      </c>
      <c r="P16" s="368">
        <f>'AN-C9'!P45-'AN-C9'!P74</f>
        <v>-131.90905705453491</v>
      </c>
      <c r="Q16" s="371">
        <f>'AN-C9'!Q45-'AN-C9'!Q74</f>
        <v>-138.29345541597439</v>
      </c>
    </row>
    <row r="17" spans="2:17" ht="18" customHeight="1">
      <c r="B17" s="605" t="s">
        <v>442</v>
      </c>
      <c r="C17" s="606"/>
      <c r="D17" s="367">
        <f>'AN-C9'!D46-'AN-C9'!D75</f>
        <v>0</v>
      </c>
      <c r="E17" s="368">
        <f>'AN-C9'!E46-'AN-C9'!E75</f>
        <v>0</v>
      </c>
      <c r="F17" s="368">
        <f>'AN-C9'!F46-'AN-C9'!F75</f>
        <v>0</v>
      </c>
      <c r="G17" s="368">
        <f>'AN-C9'!G46-'AN-C9'!G75</f>
        <v>0</v>
      </c>
      <c r="H17" s="368">
        <f>'AN-C9'!H46-'AN-C9'!H75</f>
        <v>0</v>
      </c>
      <c r="I17" s="368">
        <f>'AN-C9'!I46-'AN-C9'!I75</f>
        <v>0</v>
      </c>
      <c r="J17" s="369">
        <f>'AN-C9'!J46-'AN-C9'!J75</f>
        <v>0</v>
      </c>
      <c r="K17" s="370">
        <f>'AN-C9'!K46-'AN-C9'!K75</f>
        <v>0</v>
      </c>
      <c r="L17" s="369">
        <f>'AN-C9'!L46-'AN-C9'!L75</f>
        <v>0</v>
      </c>
      <c r="M17" s="368">
        <f>'AN-C9'!M46-'AN-C9'!M75</f>
        <v>0</v>
      </c>
      <c r="N17" s="368">
        <f>'AN-C9'!N46-'AN-C9'!N75</f>
        <v>0</v>
      </c>
      <c r="O17" s="368">
        <f>'AN-C9'!O46-'AN-C9'!O75</f>
        <v>0</v>
      </c>
      <c r="P17" s="368">
        <f>'AN-C9'!P46-'AN-C9'!P75</f>
        <v>0</v>
      </c>
      <c r="Q17" s="371">
        <f>'AN-C9'!Q46-'AN-C9'!Q75</f>
        <v>0</v>
      </c>
    </row>
    <row r="18" spans="2:17" ht="18" customHeight="1">
      <c r="B18" s="607" t="s">
        <v>443</v>
      </c>
      <c r="C18" s="608"/>
      <c r="D18" s="367">
        <f>'AN-C9'!D47-'AN-C9'!D76</f>
        <v>224.10400000000004</v>
      </c>
      <c r="E18" s="368">
        <f>'AN-C9'!E47-'AN-C9'!E76</f>
        <v>306.6169999999999</v>
      </c>
      <c r="F18" s="368">
        <f>'AN-C9'!F47-'AN-C9'!F76</f>
        <v>136.14099999999996</v>
      </c>
      <c r="G18" s="368">
        <f>'AN-C9'!G47-'AN-C9'!G76</f>
        <v>100.60699999999991</v>
      </c>
      <c r="H18" s="368">
        <f>'AN-C9'!H47-'AN-C9'!H76</f>
        <v>46.325000000000045</v>
      </c>
      <c r="I18" s="368">
        <f>'AN-C9'!I47-'AN-C9'!I76</f>
        <v>-15.04200000000003</v>
      </c>
      <c r="J18" s="369">
        <f>'AN-C9'!J47-'AN-C9'!J76</f>
        <v>-11.444999999999993</v>
      </c>
      <c r="K18" s="370">
        <f>'AN-C9'!K47-'AN-C9'!K76</f>
        <v>6.3219999999999459</v>
      </c>
      <c r="L18" s="369">
        <f>'AN-C9'!L47-'AN-C9'!L76</f>
        <v>23.435000000000059</v>
      </c>
      <c r="M18" s="368">
        <f>'AN-C9'!M47-'AN-C9'!M76</f>
        <v>10.900000000000034</v>
      </c>
      <c r="N18" s="368">
        <f>'AN-C9'!N47-'AN-C9'!N76</f>
        <v>21.800000000000011</v>
      </c>
      <c r="O18" s="368">
        <f>'AN-C9'!O47-'AN-C9'!O76</f>
        <v>20.710000000000036</v>
      </c>
      <c r="P18" s="368">
        <f>'AN-C9'!P47-'AN-C9'!P76</f>
        <v>21.800000000000011</v>
      </c>
      <c r="Q18" s="371">
        <f>'AN-C9'!Q47-'AN-C9'!Q76</f>
        <v>20.710000000000036</v>
      </c>
    </row>
    <row r="19" spans="2:17" ht="21" customHeight="1">
      <c r="B19" s="674" t="s">
        <v>307</v>
      </c>
      <c r="C19" s="675"/>
      <c r="D19" s="382">
        <f t="shared" ref="D19:K19" si="0">SUM(D7:D18)</f>
        <v>-519.21823000000018</v>
      </c>
      <c r="E19" s="383">
        <f t="shared" si="0"/>
        <v>-438.8087120000003</v>
      </c>
      <c r="F19" s="383">
        <f t="shared" si="0"/>
        <v>-588.01702614400017</v>
      </c>
      <c r="G19" s="383">
        <f t="shared" si="0"/>
        <v>-433.37419000000006</v>
      </c>
      <c r="H19" s="383">
        <f t="shared" si="0"/>
        <v>-491.04499999999996</v>
      </c>
      <c r="I19" s="383">
        <f t="shared" si="0"/>
        <v>-432.31678100000022</v>
      </c>
      <c r="J19" s="384">
        <f t="shared" si="0"/>
        <v>-378.77500000000015</v>
      </c>
      <c r="K19" s="385">
        <f t="shared" si="0"/>
        <v>-327.82513000000017</v>
      </c>
      <c r="L19" s="384">
        <f t="shared" ref="L19:Q19" si="1">SUM(L7:L18)</f>
        <v>-394.29846389999994</v>
      </c>
      <c r="M19" s="383">
        <f t="shared" si="1"/>
        <v>-347.88492784339991</v>
      </c>
      <c r="N19" s="383">
        <f t="shared" si="1"/>
        <v>-257.7380466319168</v>
      </c>
      <c r="O19" s="383">
        <f t="shared" si="1"/>
        <v>-221.29637577087567</v>
      </c>
      <c r="P19" s="383">
        <f t="shared" si="1"/>
        <v>-215.39603464290843</v>
      </c>
      <c r="Q19" s="386">
        <f t="shared" si="1"/>
        <v>-273.01043300434822</v>
      </c>
    </row>
    <row r="20" spans="2:17" ht="21" customHeight="1">
      <c r="B20" s="672" t="s">
        <v>308</v>
      </c>
      <c r="C20" s="673"/>
      <c r="D20" s="382">
        <f>'AN-C9'!D49-'AN-C9'!D78</f>
        <v>0</v>
      </c>
      <c r="E20" s="383">
        <f>'AN-C9'!E49-'AN-C9'!E78</f>
        <v>0</v>
      </c>
      <c r="F20" s="383">
        <f>'AN-C9'!F49-'AN-C9'!F78</f>
        <v>0</v>
      </c>
      <c r="G20" s="383">
        <f>'AN-C9'!G49-'AN-C9'!G78</f>
        <v>0</v>
      </c>
      <c r="H20" s="383">
        <f>'AN-C9'!H49-'AN-C9'!H78</f>
        <v>0</v>
      </c>
      <c r="I20" s="383">
        <f>'AN-C9'!I49-'AN-C9'!I78</f>
        <v>-0.32700000000000001</v>
      </c>
      <c r="J20" s="384">
        <f>'AN-C9'!J49-'AN-C9'!J78</f>
        <v>-0.43600000000000005</v>
      </c>
      <c r="K20" s="385">
        <f>'AN-C9'!K49-'AN-C9'!K78</f>
        <v>-0.43600000000000005</v>
      </c>
      <c r="L20" s="384">
        <f>'AN-C9'!L49-'AN-C9'!L78</f>
        <v>-0.43600000000000005</v>
      </c>
      <c r="M20" s="383">
        <f>'AN-C9'!M49-'AN-C9'!M78</f>
        <v>-0.43600000000000005</v>
      </c>
      <c r="N20" s="383">
        <f>'AN-C9'!N49-'AN-C9'!N78</f>
        <v>-0.43600000000000005</v>
      </c>
      <c r="O20" s="383">
        <f>'AN-C9'!O49-'AN-C9'!O78</f>
        <v>-0.49050000000000005</v>
      </c>
      <c r="P20" s="383">
        <f>'AN-C9'!P49-'AN-C9'!P78</f>
        <v>0</v>
      </c>
      <c r="Q20" s="386">
        <f>'AN-C9'!Q49-'AN-C9'!Q78</f>
        <v>0</v>
      </c>
    </row>
    <row r="21" spans="2:17" ht="18" customHeight="1">
      <c r="B21" s="105"/>
      <c r="C21" s="97" t="s">
        <v>309</v>
      </c>
      <c r="D21" s="382">
        <f>'AN-C9'!D50-'AN-C9'!D79</f>
        <v>0</v>
      </c>
      <c r="E21" s="383">
        <f>'AN-C9'!E50-'AN-C9'!E79</f>
        <v>0</v>
      </c>
      <c r="F21" s="383">
        <f>'AN-C9'!F50-'AN-C9'!F79</f>
        <v>0</v>
      </c>
      <c r="G21" s="383">
        <f>'AN-C9'!G50-'AN-C9'!G79</f>
        <v>0</v>
      </c>
      <c r="H21" s="383">
        <f>'AN-C9'!H50-'AN-C9'!H79</f>
        <v>0</v>
      </c>
      <c r="I21" s="383">
        <f>'AN-C9'!I50-'AN-C9'!I79</f>
        <v>-0.32700000000000001</v>
      </c>
      <c r="J21" s="384">
        <f>'AN-C9'!J50-'AN-C9'!J79</f>
        <v>-0.43600000000000005</v>
      </c>
      <c r="K21" s="385">
        <f>'AN-C9'!K50-'AN-C9'!K79</f>
        <v>-0.43600000000000005</v>
      </c>
      <c r="L21" s="384">
        <f>'AN-C9'!L50-'AN-C9'!L79</f>
        <v>-0.43600000000000005</v>
      </c>
      <c r="M21" s="383">
        <f>'AN-C9'!M50-'AN-C9'!M79</f>
        <v>-0.43600000000000005</v>
      </c>
      <c r="N21" s="383">
        <f>'AN-C9'!N50-'AN-C9'!N79</f>
        <v>-0.43600000000000005</v>
      </c>
      <c r="O21" s="383">
        <f>'AN-C9'!O50-'AN-C9'!O79</f>
        <v>-0.49050000000000005</v>
      </c>
      <c r="P21" s="383">
        <f>'AN-C9'!P50-'AN-C9'!P79</f>
        <v>0</v>
      </c>
      <c r="Q21" s="386">
        <f>'AN-C9'!Q50-'AN-C9'!Q79</f>
        <v>0</v>
      </c>
    </row>
    <row r="22" spans="2:17" ht="21" customHeight="1">
      <c r="B22" s="672" t="s">
        <v>310</v>
      </c>
      <c r="C22" s="673"/>
      <c r="D22" s="367">
        <f>'AN-C9'!D51-'AN-C9'!D80</f>
        <v>-104.6400000000001</v>
      </c>
      <c r="E22" s="368">
        <f>'AN-C9'!E51-'AN-C9'!E80</f>
        <v>-87.71984615384622</v>
      </c>
      <c r="F22" s="368">
        <f>'AN-C9'!F51-'AN-C9'!F80</f>
        <v>-49.683720930232539</v>
      </c>
      <c r="G22" s="368">
        <f>'AN-C9'!G51-'AN-C9'!G80</f>
        <v>-82.383720930232585</v>
      </c>
      <c r="H22" s="368">
        <f>'AN-C9'!H51-'AN-C9'!H80</f>
        <v>-82.383720930232585</v>
      </c>
      <c r="I22" s="368">
        <f>'AN-C9'!I51-'AN-C9'!I80</f>
        <v>-6.5399999999999636</v>
      </c>
      <c r="J22" s="369">
        <f>'AN-C9'!J51-'AN-C9'!J80</f>
        <v>77.389999999999986</v>
      </c>
      <c r="K22" s="370">
        <f>'AN-C9'!K51-'AN-C9'!K80</f>
        <v>67.580000000000041</v>
      </c>
      <c r="L22" s="369">
        <f>'AN-C9'!L51-'AN-C9'!L80</f>
        <v>56.67999999999995</v>
      </c>
      <c r="M22" s="368">
        <f>'AN-C9'!M51-'AN-C9'!M80</f>
        <v>50.139999999999986</v>
      </c>
      <c r="N22" s="368">
        <f>'AN-C9'!N51-'AN-C9'!N80</f>
        <v>19.620000000000005</v>
      </c>
      <c r="O22" s="368">
        <f>'AN-C9'!O51-'AN-C9'!O80</f>
        <v>5.4499999999999318</v>
      </c>
      <c r="P22" s="368">
        <f>'AN-C9'!P51-'AN-C9'!P80</f>
        <v>5.4499999999999318</v>
      </c>
      <c r="Q22" s="371">
        <f>'AN-C9'!Q51-'AN-C9'!Q80</f>
        <v>5.4499999999999318</v>
      </c>
    </row>
    <row r="23" spans="2:17" ht="21" customHeight="1">
      <c r="B23" s="105"/>
      <c r="C23" s="615" t="s">
        <v>311</v>
      </c>
      <c r="D23" s="382">
        <f>'AN-C9'!D52-'AN-C9'!D81</f>
        <v>-112.26999999999998</v>
      </c>
      <c r="E23" s="383">
        <f>'AN-C9'!E52-'AN-C9'!E81</f>
        <v>-87.200000000000045</v>
      </c>
      <c r="F23" s="383">
        <f>'AN-C9'!F52-'AN-C9'!F81</f>
        <v>-44.265406976744202</v>
      </c>
      <c r="G23" s="383">
        <f>'AN-C9'!G52-'AN-C9'!G81</f>
        <v>-76.965406976744248</v>
      </c>
      <c r="H23" s="383">
        <f>'AN-C9'!H52-'AN-C9'!H81</f>
        <v>-76.965406976744248</v>
      </c>
      <c r="I23" s="383">
        <f>'AN-C9'!I52-'AN-C9'!I81</f>
        <v>21.799999999999955</v>
      </c>
      <c r="J23" s="384">
        <f>'AN-C9'!J52-'AN-C9'!J81</f>
        <v>106.82000000000005</v>
      </c>
      <c r="K23" s="385">
        <f>'AN-C9'!K52-'AN-C9'!K81</f>
        <v>97.009999999999991</v>
      </c>
      <c r="L23" s="384">
        <f>'AN-C9'!L52-'AN-C9'!L81</f>
        <v>87.199999999999932</v>
      </c>
      <c r="M23" s="383">
        <f>'AN-C9'!M52-'AN-C9'!M81</f>
        <v>81.75</v>
      </c>
      <c r="N23" s="383">
        <f>'AN-C9'!N52-'AN-C9'!N81</f>
        <v>53.410000000000082</v>
      </c>
      <c r="O23" s="383">
        <f>'AN-C9'!O52-'AN-C9'!O81</f>
        <v>42.509999999999991</v>
      </c>
      <c r="P23" s="383">
        <f>'AN-C9'!P52-'AN-C9'!P81</f>
        <v>42.509999999999991</v>
      </c>
      <c r="Q23" s="386">
        <f>'AN-C9'!Q52-'AN-C9'!Q81</f>
        <v>42.509999999999991</v>
      </c>
    </row>
    <row r="24" spans="2:17" ht="21" customHeight="1">
      <c r="B24" s="672" t="s">
        <v>312</v>
      </c>
      <c r="C24" s="673"/>
      <c r="D24" s="367">
        <f>'AN-C9'!D53-'AN-C9'!D82</f>
        <v>-63.220000000000006</v>
      </c>
      <c r="E24" s="368">
        <f>'AN-C9'!E53-'AN-C9'!E82</f>
        <v>-255.06</v>
      </c>
      <c r="F24" s="368">
        <f>'AN-C9'!F53-'AN-C9'!F82</f>
        <v>-267.26800000000003</v>
      </c>
      <c r="G24" s="368">
        <f>'AN-C9'!G53-'AN-C9'!G82</f>
        <v>-279.90328</v>
      </c>
      <c r="H24" s="368">
        <f>'AN-C9'!H53-'AN-C9'!H82</f>
        <v>-292.98079479999996</v>
      </c>
      <c r="I24" s="368">
        <f>'AN-C9'!I53-'AN-C9'!I82</f>
        <v>-306.51602261799997</v>
      </c>
      <c r="J24" s="369">
        <f>'AN-C9'!J53-'AN-C9'!J82</f>
        <v>-316.16498340962988</v>
      </c>
      <c r="K24" s="370">
        <f>'AN-C9'!K53-'AN-C9'!K82</f>
        <v>-330.66425782896692</v>
      </c>
      <c r="L24" s="369">
        <f>'AN-C9'!L53-'AN-C9'!L82</f>
        <v>-345.67100685298072</v>
      </c>
      <c r="M24" s="368">
        <f>'AN-C9'!M53-'AN-C9'!M82</f>
        <v>-361.20299209283502</v>
      </c>
      <c r="N24" s="368">
        <f>'AN-C9'!N53-'AN-C9'!N82</f>
        <v>-361.20299209283502</v>
      </c>
      <c r="O24" s="368">
        <f>'AN-C9'!O53-'AN-C9'!O82</f>
        <v>-361.20299209283502</v>
      </c>
      <c r="P24" s="368">
        <f>'AN-C9'!P53-'AN-C9'!P82</f>
        <v>-360.79</v>
      </c>
      <c r="Q24" s="371">
        <f>'AN-C9'!Q53-'AN-C9'!Q82</f>
        <v>-360.79</v>
      </c>
    </row>
    <row r="25" spans="2:17" ht="21" customHeight="1">
      <c r="B25" s="16"/>
      <c r="C25" s="615" t="s">
        <v>313</v>
      </c>
      <c r="D25" s="382">
        <f>'AN-C9'!D54-'AN-C9'!D83</f>
        <v>0</v>
      </c>
      <c r="E25" s="383">
        <f>'AN-C9'!E54-'AN-C9'!E83</f>
        <v>0</v>
      </c>
      <c r="F25" s="383">
        <f>'AN-C9'!F54-'AN-C9'!F83</f>
        <v>0</v>
      </c>
      <c r="G25" s="383">
        <f>'AN-C9'!G54-'AN-C9'!G83</f>
        <v>0</v>
      </c>
      <c r="H25" s="383">
        <f>'AN-C9'!H54-'AN-C9'!H83</f>
        <v>0</v>
      </c>
      <c r="I25" s="383">
        <f>'AN-C9'!I54-'AN-C9'!I83</f>
        <v>0</v>
      </c>
      <c r="J25" s="384">
        <f>'AN-C9'!J54-'AN-C9'!J83</f>
        <v>0</v>
      </c>
      <c r="K25" s="385">
        <f>'AN-C9'!K54-'AN-C9'!K83</f>
        <v>0</v>
      </c>
      <c r="L25" s="384">
        <f>'AN-C9'!L54-'AN-C9'!L83</f>
        <v>0</v>
      </c>
      <c r="M25" s="383">
        <f>'AN-C9'!M54-'AN-C9'!M83</f>
        <v>0</v>
      </c>
      <c r="N25" s="383">
        <f>'AN-C9'!N54-'AN-C9'!N83</f>
        <v>0</v>
      </c>
      <c r="O25" s="383">
        <f>'AN-C9'!O54-'AN-C9'!O83</f>
        <v>0</v>
      </c>
      <c r="P25" s="383">
        <f>'AN-C9'!P54-'AN-C9'!P83</f>
        <v>0</v>
      </c>
      <c r="Q25" s="386">
        <f>'AN-C9'!Q54-'AN-C9'!Q83</f>
        <v>0</v>
      </c>
    </row>
    <row r="26" spans="2:17" ht="21" customHeight="1">
      <c r="B26" s="674" t="s">
        <v>314</v>
      </c>
      <c r="C26" s="675"/>
      <c r="D26" s="382">
        <f>'AN-C9'!D55-'AN-C9'!D84</f>
        <v>-21.8</v>
      </c>
      <c r="E26" s="383">
        <f>'AN-C9'!E55-'AN-C9'!E84</f>
        <v>-27.250000000000004</v>
      </c>
      <c r="F26" s="383">
        <f>'AN-C9'!F55-'AN-C9'!F84</f>
        <v>-30.792499999999997</v>
      </c>
      <c r="G26" s="383">
        <f>'AN-C9'!G55-'AN-C9'!G84</f>
        <v>-34.795524999999991</v>
      </c>
      <c r="H26" s="383">
        <f>'AN-C9'!H55-'AN-C9'!H84</f>
        <v>-39.31894324999999</v>
      </c>
      <c r="I26" s="383">
        <f>'AN-C9'!I55-'AN-C9'!I84</f>
        <v>-44.430405872499989</v>
      </c>
      <c r="J26" s="384">
        <f>'AN-C9'!J55-'AN-C9'!J84</f>
        <v>-50.206358635924978</v>
      </c>
      <c r="K26" s="385">
        <f>'AN-C9'!K55-'AN-C9'!K84</f>
        <v>-56.733185258595221</v>
      </c>
      <c r="L26" s="384">
        <f>'AN-C9'!L55-'AN-C9'!L84</f>
        <v>-64.108499342212596</v>
      </c>
      <c r="M26" s="383">
        <f>'AN-C9'!M55-'AN-C9'!M84</f>
        <v>-64.108499342212596</v>
      </c>
      <c r="N26" s="383">
        <f>'AN-C9'!N55-'AN-C9'!N84</f>
        <v>-64.108499342212596</v>
      </c>
      <c r="O26" s="383">
        <f>'AN-C9'!O55-'AN-C9'!O84</f>
        <v>-64.108499342212596</v>
      </c>
      <c r="P26" s="383">
        <f>'AN-C9'!P55-'AN-C9'!P84</f>
        <v>-64.31</v>
      </c>
      <c r="Q26" s="386">
        <f>'AN-C9'!Q55-'AN-C9'!Q84</f>
        <v>-64.31</v>
      </c>
    </row>
    <row r="27" spans="2:17" ht="21" customHeight="1">
      <c r="B27" s="674" t="s">
        <v>315</v>
      </c>
      <c r="C27" s="675"/>
      <c r="D27" s="382">
        <f>'AN-C9'!D56-'AN-C9'!D85</f>
        <v>107.91000000000003</v>
      </c>
      <c r="E27" s="383">
        <f>'AN-C9'!E56-'AN-C9'!E85</f>
        <v>162.41000000000003</v>
      </c>
      <c r="F27" s="383">
        <f>'AN-C9'!F56-'AN-C9'!F85</f>
        <v>151.96780000000001</v>
      </c>
      <c r="G27" s="383">
        <f>'AN-C9'!G56-'AN-C9'!G85</f>
        <v>130.36400000000003</v>
      </c>
      <c r="H27" s="383">
        <f>'AN-C9'!H56-'AN-C9'!H85</f>
        <v>131.27654799999999</v>
      </c>
      <c r="I27" s="383">
        <f>'AN-C9'!I56-'AN-C9'!I85</f>
        <v>152.60000000000002</v>
      </c>
      <c r="J27" s="384">
        <f>'AN-C9'!J56-'AN-C9'!J85</f>
        <v>138.04196000000002</v>
      </c>
      <c r="K27" s="385">
        <f>'AN-C9'!K56-'AN-C9'!K85</f>
        <v>209.08039920000004</v>
      </c>
      <c r="L27" s="384">
        <f>'AN-C9'!L56-'AN-C9'!L85</f>
        <v>251.05528558719999</v>
      </c>
      <c r="M27" s="383">
        <f>'AN-C9'!M56-'AN-C9'!M85</f>
        <v>249.7137542998336</v>
      </c>
      <c r="N27" s="383">
        <f>'AN-C9'!N56-'AN-C9'!N85</f>
        <v>248.14571061433111</v>
      </c>
      <c r="O27" s="383">
        <f>'AN-C9'!O56-'AN-C9'!O85</f>
        <v>246.55414627354608</v>
      </c>
      <c r="P27" s="383">
        <f>'AN-C9'!P56-'AN-C9'!P85</f>
        <v>244.93870846764929</v>
      </c>
      <c r="Q27" s="386">
        <f>'AN-C9'!Q56-'AN-C9'!Q85</f>
        <v>244.16</v>
      </c>
    </row>
    <row r="28" spans="2:17" ht="18" customHeight="1">
      <c r="B28" s="672" t="s">
        <v>316</v>
      </c>
      <c r="C28" s="673"/>
      <c r="D28" s="367">
        <f>'AN-C9'!D57-'AN-C9'!D86</f>
        <v>463.25</v>
      </c>
      <c r="E28" s="368">
        <f>'AN-C9'!E57-'AN-C9'!E86</f>
        <v>457.8</v>
      </c>
      <c r="F28" s="368">
        <f>'AN-C9'!F57-'AN-C9'!F86</f>
        <v>519.93000000000006</v>
      </c>
      <c r="G28" s="368">
        <f>'AN-C9'!G57-'AN-C9'!G86</f>
        <v>514.48000000000013</v>
      </c>
      <c r="H28" s="368">
        <f>'AN-C9'!H57-'AN-C9'!H86</f>
        <v>509.0300000000002</v>
      </c>
      <c r="I28" s="368">
        <f>'AN-C9'!I57-'AN-C9'!I86</f>
        <v>495.95000000000016</v>
      </c>
      <c r="J28" s="369">
        <f>'AN-C9'!J57-'AN-C9'!J86</f>
        <v>541.73000000000013</v>
      </c>
      <c r="K28" s="370">
        <f>'AN-C9'!K57-'AN-C9'!K86</f>
        <v>647.45999999999992</v>
      </c>
      <c r="L28" s="369">
        <f>'AN-C9'!L57-'AN-C9'!L86</f>
        <v>631.1099999999999</v>
      </c>
      <c r="M28" s="368">
        <f>'AN-C9'!M57-'AN-C9'!M86</f>
        <v>616.93999999999994</v>
      </c>
      <c r="N28" s="368">
        <f>'AN-C9'!N57-'AN-C9'!N86</f>
        <v>606.04</v>
      </c>
      <c r="O28" s="368">
        <f>'AN-C9'!O57-'AN-C9'!O86</f>
        <v>596.2299999999999</v>
      </c>
      <c r="P28" s="368">
        <f>'AN-C9'!P57-'AN-C9'!P86</f>
        <v>587.51</v>
      </c>
      <c r="Q28" s="371">
        <f>'AN-C9'!Q57-'AN-C9'!Q86</f>
        <v>578.79</v>
      </c>
    </row>
    <row r="29" spans="2:17" ht="18" customHeight="1">
      <c r="B29" s="670" t="s">
        <v>317</v>
      </c>
      <c r="C29" s="671"/>
      <c r="D29" s="367">
        <f>'AN-C9'!D58-'AN-C9'!D87</f>
        <v>0</v>
      </c>
      <c r="E29" s="368">
        <f>'AN-C9'!E58-'AN-C9'!E87</f>
        <v>0</v>
      </c>
      <c r="F29" s="368">
        <f>'AN-C9'!F58-'AN-C9'!F87</f>
        <v>0</v>
      </c>
      <c r="G29" s="368">
        <f>'AN-C9'!G58-'AN-C9'!G87</f>
        <v>0</v>
      </c>
      <c r="H29" s="368">
        <f>'AN-C9'!H58-'AN-C9'!H87</f>
        <v>0</v>
      </c>
      <c r="I29" s="368">
        <f>'AN-C9'!I58-'AN-C9'!I87</f>
        <v>0</v>
      </c>
      <c r="J29" s="369">
        <f>'AN-C9'!J58-'AN-C9'!J87</f>
        <v>0</v>
      </c>
      <c r="K29" s="370">
        <f>'AN-C9'!K58-'AN-C9'!K87</f>
        <v>0</v>
      </c>
      <c r="L29" s="369">
        <f>'AN-C9'!L58-'AN-C9'!L87</f>
        <v>0</v>
      </c>
      <c r="M29" s="368">
        <f>'AN-C9'!M58-'AN-C9'!M87</f>
        <v>0</v>
      </c>
      <c r="N29" s="368">
        <f>'AN-C9'!N58-'AN-C9'!N87</f>
        <v>0</v>
      </c>
      <c r="O29" s="368">
        <f>'AN-C9'!O58-'AN-C9'!O87</f>
        <v>0</v>
      </c>
      <c r="P29" s="368">
        <f>'AN-C9'!P58-'AN-C9'!P87</f>
        <v>0</v>
      </c>
      <c r="Q29" s="371">
        <f>'AN-C9'!Q58-'AN-C9'!Q87</f>
        <v>0</v>
      </c>
    </row>
    <row r="30" spans="2:17" ht="21" customHeight="1">
      <c r="B30" s="674" t="s">
        <v>318</v>
      </c>
      <c r="C30" s="675"/>
      <c r="D30" s="382">
        <f t="shared" ref="D30:K30" si="2">D29+D28</f>
        <v>463.25</v>
      </c>
      <c r="E30" s="383">
        <f t="shared" si="2"/>
        <v>457.8</v>
      </c>
      <c r="F30" s="383">
        <f t="shared" si="2"/>
        <v>519.93000000000006</v>
      </c>
      <c r="G30" s="383">
        <f t="shared" si="2"/>
        <v>514.48000000000013</v>
      </c>
      <c r="H30" s="383">
        <f t="shared" si="2"/>
        <v>509.0300000000002</v>
      </c>
      <c r="I30" s="383">
        <f t="shared" si="2"/>
        <v>495.95000000000016</v>
      </c>
      <c r="J30" s="384">
        <f t="shared" si="2"/>
        <v>541.73000000000013</v>
      </c>
      <c r="K30" s="385">
        <f t="shared" si="2"/>
        <v>647.45999999999992</v>
      </c>
      <c r="L30" s="384">
        <f t="shared" ref="L30:Q30" si="3">L29+L28</f>
        <v>631.1099999999999</v>
      </c>
      <c r="M30" s="383">
        <f t="shared" si="3"/>
        <v>616.93999999999994</v>
      </c>
      <c r="N30" s="383">
        <f t="shared" si="3"/>
        <v>606.04</v>
      </c>
      <c r="O30" s="383">
        <f t="shared" si="3"/>
        <v>596.2299999999999</v>
      </c>
      <c r="P30" s="383">
        <f t="shared" si="3"/>
        <v>587.51</v>
      </c>
      <c r="Q30" s="386">
        <f t="shared" si="3"/>
        <v>578.79</v>
      </c>
    </row>
    <row r="31" spans="2:17" ht="18" customHeight="1">
      <c r="B31" s="672" t="s">
        <v>319</v>
      </c>
      <c r="C31" s="673"/>
      <c r="D31" s="367">
        <f>'AN-C9'!D60-'AN-C9'!D89</f>
        <v>-32.700000000000003</v>
      </c>
      <c r="E31" s="368">
        <f>'AN-C9'!E60-'AN-C9'!E89</f>
        <v>-32.700000000000003</v>
      </c>
      <c r="F31" s="368">
        <f>'AN-C9'!F60-'AN-C9'!F89</f>
        <v>-32.700000000000003</v>
      </c>
      <c r="G31" s="368">
        <f>'AN-C9'!G60-'AN-C9'!G89</f>
        <v>-33.790000000000006</v>
      </c>
      <c r="H31" s="368">
        <f>'AN-C9'!H60-'AN-C9'!H89</f>
        <v>-35.97</v>
      </c>
      <c r="I31" s="368">
        <f>'AN-C9'!I60-'AN-C9'!I89</f>
        <v>-38.150000000000006</v>
      </c>
      <c r="J31" s="369">
        <f>'AN-C9'!J60-'AN-C9'!J89</f>
        <v>-63.22</v>
      </c>
      <c r="K31" s="370">
        <f>'AN-C9'!K60-'AN-C9'!K89</f>
        <v>-102.46000000000001</v>
      </c>
      <c r="L31" s="369">
        <f>'AN-C9'!L60-'AN-C9'!L89</f>
        <v>-104.64000000000001</v>
      </c>
      <c r="M31" s="368">
        <f>'AN-C9'!M60-'AN-C9'!M89</f>
        <v>-106.82000000000001</v>
      </c>
      <c r="N31" s="368">
        <f>'AN-C9'!N60-'AN-C9'!N89</f>
        <v>-110.09</v>
      </c>
      <c r="O31" s="368">
        <f>'AN-C9'!O60-'AN-C9'!O89</f>
        <v>-113.36000000000001</v>
      </c>
      <c r="P31" s="368">
        <f>'AN-C9'!P60-'AN-C9'!P89</f>
        <v>-116.63000000000001</v>
      </c>
      <c r="Q31" s="371">
        <f>'AN-C9'!Q60-'AN-C9'!Q89</f>
        <v>-119.9</v>
      </c>
    </row>
    <row r="32" spans="2:17" ht="18" customHeight="1">
      <c r="B32" s="668" t="s">
        <v>320</v>
      </c>
      <c r="C32" s="669"/>
      <c r="D32" s="367">
        <f>'AN-C9'!D61-'AN-C9'!D90</f>
        <v>85.02</v>
      </c>
      <c r="E32" s="368">
        <f>'AN-C9'!E61-'AN-C9'!E90</f>
        <v>81.75</v>
      </c>
      <c r="F32" s="368">
        <f>'AN-C9'!F61-'AN-C9'!F90</f>
        <v>81.75</v>
      </c>
      <c r="G32" s="368">
        <f>'AN-C9'!G61-'AN-C9'!G90</f>
        <v>81.75</v>
      </c>
      <c r="H32" s="368">
        <f>'AN-C9'!H61-'AN-C9'!H90</f>
        <v>81.75</v>
      </c>
      <c r="I32" s="368">
        <f>'AN-C9'!I61-'AN-C9'!I90</f>
        <v>81.75</v>
      </c>
      <c r="J32" s="369">
        <f>'AN-C9'!J61-'AN-C9'!J90</f>
        <v>81.75</v>
      </c>
      <c r="K32" s="370">
        <f>'AN-C9'!K61-'AN-C9'!K90</f>
        <v>81.75</v>
      </c>
      <c r="L32" s="369">
        <f>'AN-C9'!L61-'AN-C9'!L90</f>
        <v>81.75</v>
      </c>
      <c r="M32" s="368">
        <f>'AN-C9'!M61-'AN-C9'!M90</f>
        <v>81.75</v>
      </c>
      <c r="N32" s="368">
        <f>'AN-C9'!N61-'AN-C9'!N90</f>
        <v>81.75</v>
      </c>
      <c r="O32" s="368">
        <f>'AN-C9'!O61-'AN-C9'!O90</f>
        <v>81.75</v>
      </c>
      <c r="P32" s="368">
        <f>'AN-C9'!P61-'AN-C9'!P90</f>
        <v>81.75</v>
      </c>
      <c r="Q32" s="371">
        <f>'AN-C9'!Q61-'AN-C9'!Q90</f>
        <v>81.75</v>
      </c>
    </row>
    <row r="33" spans="2:17" ht="18" customHeight="1">
      <c r="B33" s="670" t="s">
        <v>321</v>
      </c>
      <c r="C33" s="671"/>
      <c r="D33" s="367">
        <f>'AN-C9'!D62-'AN-C9'!D91</f>
        <v>-51.230000000000004</v>
      </c>
      <c r="E33" s="368">
        <f>'AN-C9'!E62-'AN-C9'!E91</f>
        <v>-53.410000000000004</v>
      </c>
      <c r="F33" s="368">
        <f>'AN-C9'!F62-'AN-C9'!F91</f>
        <v>-56.680000000000007</v>
      </c>
      <c r="G33" s="368">
        <f>'AN-C9'!G62-'AN-C9'!G91</f>
        <v>-61.040000000000006</v>
      </c>
      <c r="H33" s="368">
        <f>'AN-C9'!H62-'AN-C9'!H91</f>
        <v>-62.13</v>
      </c>
      <c r="I33" s="368">
        <f>'AN-C9'!I62-'AN-C9'!I91</f>
        <v>-62.13</v>
      </c>
      <c r="J33" s="369">
        <f>'AN-C9'!J62-'AN-C9'!J91</f>
        <v>-62.13</v>
      </c>
      <c r="K33" s="370">
        <f>'AN-C9'!K62-'AN-C9'!K91</f>
        <v>-63.220000000000006</v>
      </c>
      <c r="L33" s="369">
        <f>'AN-C9'!L62-'AN-C9'!L91</f>
        <v>-64.31</v>
      </c>
      <c r="M33" s="368">
        <f>'AN-C9'!M62-'AN-C9'!M91</f>
        <v>-65.400000000000006</v>
      </c>
      <c r="N33" s="368">
        <f>'AN-C9'!N62-'AN-C9'!N91</f>
        <v>-67.58</v>
      </c>
      <c r="O33" s="368">
        <f>'AN-C9'!O62-'AN-C9'!O91</f>
        <v>-69.760000000000005</v>
      </c>
      <c r="P33" s="368">
        <f>'AN-C9'!P62-'AN-C9'!P91</f>
        <v>-71.940000000000012</v>
      </c>
      <c r="Q33" s="371">
        <f>'AN-C9'!Q62-'AN-C9'!Q91</f>
        <v>-74.12</v>
      </c>
    </row>
    <row r="34" spans="2:17" ht="21" customHeight="1" thickBot="1">
      <c r="B34" s="678" t="s">
        <v>322</v>
      </c>
      <c r="C34" s="679"/>
      <c r="D34" s="387">
        <f t="shared" ref="D34:K34" si="4">D33+D32+D31</f>
        <v>1.0899999999999892</v>
      </c>
      <c r="E34" s="388">
        <f t="shared" si="4"/>
        <v>-4.3600000000000065</v>
      </c>
      <c r="F34" s="388">
        <f t="shared" si="4"/>
        <v>-7.6300000000000097</v>
      </c>
      <c r="G34" s="388">
        <f t="shared" si="4"/>
        <v>-13.080000000000013</v>
      </c>
      <c r="H34" s="388">
        <f t="shared" si="4"/>
        <v>-16.350000000000001</v>
      </c>
      <c r="I34" s="388">
        <f t="shared" si="4"/>
        <v>-18.530000000000008</v>
      </c>
      <c r="J34" s="389">
        <f t="shared" si="4"/>
        <v>-43.6</v>
      </c>
      <c r="K34" s="390">
        <f t="shared" si="4"/>
        <v>-83.93</v>
      </c>
      <c r="L34" s="389">
        <f t="shared" ref="L34:Q34" si="5">L33+L32+L31</f>
        <v>-87.200000000000017</v>
      </c>
      <c r="M34" s="388">
        <f t="shared" si="5"/>
        <v>-90.470000000000013</v>
      </c>
      <c r="N34" s="388">
        <f t="shared" si="5"/>
        <v>-95.92</v>
      </c>
      <c r="O34" s="388">
        <f t="shared" si="5"/>
        <v>-101.37000000000002</v>
      </c>
      <c r="P34" s="388">
        <f t="shared" si="5"/>
        <v>-106.82000000000002</v>
      </c>
      <c r="Q34" s="391">
        <f t="shared" si="5"/>
        <v>-112.27000000000001</v>
      </c>
    </row>
    <row r="35" spans="2:17" ht="24" customHeight="1" thickTop="1" thickBot="1">
      <c r="B35" s="702" t="s">
        <v>337</v>
      </c>
      <c r="C35" s="703"/>
      <c r="D35" s="392">
        <f>SUM(D19+D20+D22+D24+D26+D27+D30+D34)</f>
        <v>-136.6282300000002</v>
      </c>
      <c r="E35" s="393">
        <f t="shared" ref="E35:Q35" si="6">SUM(E19+E20+E22+E24+E26+E27+E30+E34)</f>
        <v>-192.98855815384633</v>
      </c>
      <c r="F35" s="393">
        <f t="shared" si="6"/>
        <v>-271.49344707423268</v>
      </c>
      <c r="G35" s="393">
        <f t="shared" si="6"/>
        <v>-198.69271593023242</v>
      </c>
      <c r="H35" s="393">
        <f t="shared" si="6"/>
        <v>-281.77191098023229</v>
      </c>
      <c r="I35" s="393">
        <f t="shared" si="6"/>
        <v>-160.11020949050001</v>
      </c>
      <c r="J35" s="394">
        <f t="shared" si="6"/>
        <v>-32.020382045554904</v>
      </c>
      <c r="K35" s="395">
        <f t="shared" si="6"/>
        <v>124.53182611243778</v>
      </c>
      <c r="L35" s="394">
        <f t="shared" si="6"/>
        <v>47.131315492006564</v>
      </c>
      <c r="M35" s="393">
        <f t="shared" si="6"/>
        <v>52.691335021386081</v>
      </c>
      <c r="N35" s="393">
        <f t="shared" si="6"/>
        <v>94.400172547366779</v>
      </c>
      <c r="O35" s="393">
        <f t="shared" si="6"/>
        <v>99.765779067622688</v>
      </c>
      <c r="P35" s="393">
        <f t="shared" si="6"/>
        <v>90.582673824740681</v>
      </c>
      <c r="Q35" s="396">
        <f t="shared" si="6"/>
        <v>18.019566995651616</v>
      </c>
    </row>
    <row r="37" spans="2:17" ht="13.5" customHeight="1">
      <c r="C37" t="s">
        <v>330</v>
      </c>
    </row>
    <row r="38" spans="2:17" ht="13.5" customHeight="1">
      <c r="C38" s="617" t="s">
        <v>331</v>
      </c>
    </row>
    <row r="39" spans="2:17" ht="13.5" customHeight="1">
      <c r="C39" t="s">
        <v>332</v>
      </c>
    </row>
    <row r="40" spans="2:17" ht="13.5" customHeight="1">
      <c r="C40" s="617" t="s">
        <v>333</v>
      </c>
    </row>
  </sheetData>
  <mergeCells count="17">
    <mergeCell ref="B22:C22"/>
    <mergeCell ref="B28:C28"/>
    <mergeCell ref="P3:Q3"/>
    <mergeCell ref="D4:K4"/>
    <mergeCell ref="L4:Q4"/>
    <mergeCell ref="B19:C19"/>
    <mergeCell ref="B20:C20"/>
    <mergeCell ref="B35:C35"/>
    <mergeCell ref="B31:C31"/>
    <mergeCell ref="B32:C32"/>
    <mergeCell ref="B33:C33"/>
    <mergeCell ref="B34:C34"/>
    <mergeCell ref="B30:C30"/>
    <mergeCell ref="B27:C27"/>
    <mergeCell ref="B26:C26"/>
    <mergeCell ref="B29:C29"/>
    <mergeCell ref="B24:C24"/>
  </mergeCells>
  <phoneticPr fontId="6"/>
  <conditionalFormatting sqref="C39:C40">
    <cfRule type="expression" dxfId="5" priority="5">
      <formula>CELL("protect",C39)=0</formula>
    </cfRule>
    <cfRule type="expression" dxfId="4" priority="6">
      <formula>CELL("protect",C39)=0</formula>
    </cfRule>
  </conditionalFormatting>
  <conditionalFormatting sqref="C37">
    <cfRule type="expression" dxfId="3" priority="3">
      <formula>CELL("protect",C37)=0</formula>
    </cfRule>
    <cfRule type="expression" dxfId="2" priority="4">
      <formula>CELL("protect",C37)=0</formula>
    </cfRule>
  </conditionalFormatting>
  <conditionalFormatting sqref="C39">
    <cfRule type="expression" dxfId="1" priority="1">
      <formula>CELL("protect",C39)=0</formula>
    </cfRule>
    <cfRule type="expression" dxfId="0" priority="2">
      <formula>CELL("protect",C39)=0</formula>
    </cfRule>
  </conditionalFormatting>
  <printOptions horizontalCentered="1"/>
  <pageMargins left="0.39370078740157483" right="0.39370078740157483" top="0.78740157480314965" bottom="0.39370078740157483" header="0.51181102362204722" footer="0.31496062992125984"/>
  <pageSetup paperSize="9" scale="64" firstPageNumber="139" orientation="portrait" useFirstPageNumber="1" r:id="rId1"/>
  <headerFooter scaleWithDoc="0" alignWithMargins="0">
    <oddFooter>&amp;C204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1">
    <tabColor rgb="FF7030A0"/>
    <pageSetUpPr fitToPage="1"/>
  </sheetPr>
  <dimension ref="C2:AE57"/>
  <sheetViews>
    <sheetView showGridLines="0" view="pageBreakPreview" zoomScaleNormal="75" zoomScaleSheetLayoutView="100" workbookViewId="0"/>
  </sheetViews>
  <sheetFormatPr defaultColWidth="9" defaultRowHeight="13.5"/>
  <cols>
    <col min="3" max="3" width="48" customWidth="1"/>
    <col min="4" max="17" width="8.375" customWidth="1"/>
    <col min="18" max="18" width="10.5" customWidth="1"/>
  </cols>
  <sheetData>
    <row r="2" spans="3:31" s="2" customFormat="1" ht="17.25">
      <c r="D2" s="2" t="s">
        <v>42</v>
      </c>
    </row>
    <row r="3" spans="3:31" ht="15.75" thickBot="1">
      <c r="D3" t="s">
        <v>352</v>
      </c>
      <c r="Q3" s="80" t="s">
        <v>47</v>
      </c>
    </row>
    <row r="4" spans="3:31" s="12" customFormat="1" ht="27.75" customHeight="1">
      <c r="C4" s="11"/>
      <c r="D4" s="687" t="s">
        <v>298</v>
      </c>
      <c r="E4" s="704"/>
      <c r="F4" s="704"/>
      <c r="G4" s="704"/>
      <c r="H4" s="704"/>
      <c r="I4" s="704"/>
      <c r="J4" s="704"/>
      <c r="K4" s="705"/>
      <c r="L4" s="687" t="s">
        <v>299</v>
      </c>
      <c r="M4" s="704"/>
      <c r="N4" s="704"/>
      <c r="O4" s="704"/>
      <c r="P4" s="704"/>
      <c r="Q4" s="705"/>
    </row>
    <row r="5" spans="3:31" s="12" customFormat="1" ht="14.25">
      <c r="C5" s="7"/>
      <c r="D5" s="18">
        <v>2010</v>
      </c>
      <c r="E5" s="17">
        <v>2011</v>
      </c>
      <c r="F5" s="18">
        <v>2012</v>
      </c>
      <c r="G5" s="17">
        <v>2013</v>
      </c>
      <c r="H5" s="18">
        <v>2014</v>
      </c>
      <c r="I5" s="17">
        <v>2015</v>
      </c>
      <c r="J5" s="17">
        <v>2016</v>
      </c>
      <c r="K5" s="20">
        <v>2017</v>
      </c>
      <c r="L5" s="19">
        <v>2018</v>
      </c>
      <c r="M5" s="18">
        <v>2019</v>
      </c>
      <c r="N5" s="18">
        <v>2020</v>
      </c>
      <c r="O5" s="18">
        <v>2021</v>
      </c>
      <c r="P5" s="18">
        <v>2022</v>
      </c>
      <c r="Q5" s="23">
        <v>2023</v>
      </c>
    </row>
    <row r="6" spans="3:31" s="12" customFormat="1" ht="18" customHeight="1" thickBot="1">
      <c r="C6" s="628" t="s">
        <v>353</v>
      </c>
      <c r="D6" s="141"/>
      <c r="E6" s="142"/>
      <c r="F6" s="142"/>
      <c r="G6" s="143"/>
      <c r="H6" s="142"/>
      <c r="I6" s="142"/>
      <c r="J6" s="142"/>
      <c r="K6" s="144"/>
      <c r="L6" s="145"/>
      <c r="M6" s="142"/>
      <c r="N6" s="142"/>
      <c r="O6" s="142"/>
      <c r="P6" s="142"/>
      <c r="Q6" s="144"/>
    </row>
    <row r="7" spans="3:31" ht="21" customHeight="1">
      <c r="C7" s="284" t="s">
        <v>30</v>
      </c>
      <c r="D7" s="285">
        <f>'ETHYLENE-A1'!D93/'ETHYLENE-A1'!D35*100</f>
        <v>81.54427939773403</v>
      </c>
      <c r="E7" s="286">
        <f>'ETHYLENE-A1'!E93/'ETHYLENE-A1'!E35*100</f>
        <v>87.493022088714014</v>
      </c>
      <c r="F7" s="286">
        <f>'ETHYLENE-A1'!F93/'ETHYLENE-A1'!F35*100</f>
        <v>85.864607007720679</v>
      </c>
      <c r="G7" s="286">
        <f>'ETHYLENE-A1'!G93/'ETHYLENE-A1'!G35*100</f>
        <v>87.968818732763694</v>
      </c>
      <c r="H7" s="286">
        <f>'ETHYLENE-A1'!H93/'ETHYLENE-A1'!H35*100</f>
        <v>87.722333074712992</v>
      </c>
      <c r="I7" s="286">
        <f>'ETHYLENE-A1'!I93/'ETHYLENE-A1'!I35*100</f>
        <v>89.402875229936257</v>
      </c>
      <c r="J7" s="287">
        <f>'ETHYLENE-A1'!J93/'ETHYLENE-A1'!J35*100</f>
        <v>88.45469900678448</v>
      </c>
      <c r="K7" s="288">
        <f>'ETHYLENE-A1'!K93/'ETHYLENE-A1'!K35*100</f>
        <v>88.688784255769164</v>
      </c>
      <c r="L7" s="285">
        <f>'ETHYLENE-A1'!L93/'ETHYLENE-A1'!L35*100</f>
        <v>89.303576450477223</v>
      </c>
      <c r="M7" s="286">
        <f>'ETHYLENE-A1'!M93/'ETHYLENE-A1'!M35*100</f>
        <v>88.485200717183275</v>
      </c>
      <c r="N7" s="286">
        <f>'ETHYLENE-A1'!N93/'ETHYLENE-A1'!N35*100</f>
        <v>87.62045335978722</v>
      </c>
      <c r="O7" s="286">
        <f>'ETHYLENE-A1'!O93/'ETHYLENE-A1'!O35*100</f>
        <v>86.216810144724903</v>
      </c>
      <c r="P7" s="287">
        <f>'ETHYLENE-A1'!P93/'ETHYLENE-A1'!P35*100</f>
        <v>86.779316486557875</v>
      </c>
      <c r="Q7" s="288">
        <f>'ETHYLENE-A1'!Q93/'ETHYLENE-A1'!Q35*100</f>
        <v>86.188165728657467</v>
      </c>
    </row>
    <row r="8" spans="3:31" ht="21" customHeight="1">
      <c r="C8" s="146" t="s">
        <v>1</v>
      </c>
      <c r="D8" s="289">
        <f>'LDPE-A2'!D93/'LDPE-A2'!D35*100</f>
        <v>83.509279194951091</v>
      </c>
      <c r="E8" s="290">
        <f>'LDPE-A2'!E93/'LDPE-A2'!E35*100</f>
        <v>80.762465554412429</v>
      </c>
      <c r="F8" s="290">
        <f>'LDPE-A2'!F93/'LDPE-A2'!F35*100</f>
        <v>77.663445401711357</v>
      </c>
      <c r="G8" s="290">
        <f>'LDPE-A2'!G93/'LDPE-A2'!G35*100</f>
        <v>80.742664417867516</v>
      </c>
      <c r="H8" s="290">
        <f>'LDPE-A2'!H93/'LDPE-A2'!H35*100</f>
        <v>79.207196528717958</v>
      </c>
      <c r="I8" s="290">
        <f>'LDPE-A2'!I93/'LDPE-A2'!I35*100</f>
        <v>79.932317778402876</v>
      </c>
      <c r="J8" s="291">
        <f>'LDPE-A2'!J93/'LDPE-A2'!J35*100</f>
        <v>79.959419993100738</v>
      </c>
      <c r="K8" s="292">
        <f>'LDPE-A2'!K93/'LDPE-A2'!K35*100</f>
        <v>83.129289099835816</v>
      </c>
      <c r="L8" s="289">
        <f>'LDPE-A2'!L93/'LDPE-A2'!L35*100</f>
        <v>81.059270703001232</v>
      </c>
      <c r="M8" s="290">
        <f>'LDPE-A2'!M93/'LDPE-A2'!M35*100</f>
        <v>81.024976288120243</v>
      </c>
      <c r="N8" s="290">
        <f>'LDPE-A2'!N93/'LDPE-A2'!N35*100</f>
        <v>80.386096336726226</v>
      </c>
      <c r="O8" s="290">
        <f>'LDPE-A2'!O93/'LDPE-A2'!O35*100</f>
        <v>79.677812311022649</v>
      </c>
      <c r="P8" s="291">
        <f>'LDPE-A2'!P93/'LDPE-A2'!P35*100</f>
        <v>81.256899282651645</v>
      </c>
      <c r="Q8" s="292">
        <f>'LDPE-A2'!Q93/'LDPE-A2'!Q35*100</f>
        <v>82.245643114399357</v>
      </c>
    </row>
    <row r="9" spans="3:31" ht="21" customHeight="1">
      <c r="C9" s="146" t="s">
        <v>21</v>
      </c>
      <c r="D9" s="289">
        <f>'HDPE-A3'!D93/'HDPE-A3'!D35*100</f>
        <v>84.913879934770165</v>
      </c>
      <c r="E9" s="290">
        <f>'HDPE-A3'!E93/'HDPE-A3'!E35*100</f>
        <v>84.588254851048745</v>
      </c>
      <c r="F9" s="290">
        <f>'HDPE-A3'!F93/'HDPE-A3'!F35*100</f>
        <v>81.758892909234433</v>
      </c>
      <c r="G9" s="290">
        <f>'HDPE-A3'!G93/'HDPE-A3'!G35*100</f>
        <v>84.680271369364164</v>
      </c>
      <c r="H9" s="290">
        <f>'HDPE-A3'!H93/'HDPE-A3'!H35*100</f>
        <v>84.504461168370213</v>
      </c>
      <c r="I9" s="290">
        <f>'HDPE-A3'!I93/'HDPE-A3'!I35*100</f>
        <v>85.981408903613058</v>
      </c>
      <c r="J9" s="291">
        <f>'HDPE-A3'!J93/'HDPE-A3'!J35*100</f>
        <v>86.672802139094458</v>
      </c>
      <c r="K9" s="292">
        <f>'HDPE-A3'!K93/'HDPE-A3'!K35*100</f>
        <v>89.422515052043295</v>
      </c>
      <c r="L9" s="289">
        <f>'HDPE-A3'!L93/'HDPE-A3'!L35*100</f>
        <v>90.085429722289206</v>
      </c>
      <c r="M9" s="290">
        <f>'HDPE-A3'!M93/'HDPE-A3'!M35*100</f>
        <v>87.812708872628548</v>
      </c>
      <c r="N9" s="290">
        <f>'HDPE-A3'!N93/'HDPE-A3'!N35*100</f>
        <v>84.747124000010714</v>
      </c>
      <c r="O9" s="290">
        <f>'HDPE-A3'!O93/'HDPE-A3'!O35*100</f>
        <v>83.94284863708971</v>
      </c>
      <c r="P9" s="291">
        <f>'HDPE-A3'!P93/'HDPE-A3'!P35*100</f>
        <v>82.641974402623816</v>
      </c>
      <c r="Q9" s="292">
        <f>'HDPE-A3'!Q93/'HDPE-A3'!Q35*100</f>
        <v>83.243435299456024</v>
      </c>
    </row>
    <row r="10" spans="3:31" ht="21" customHeight="1">
      <c r="C10" s="146" t="s">
        <v>31</v>
      </c>
      <c r="D10" s="289">
        <f>'PE-A4'!D93/'PE-A4'!D35*100</f>
        <v>84.13383899858546</v>
      </c>
      <c r="E10" s="290">
        <f>'PE-A4'!E93/'PE-A4'!E35*100</f>
        <v>82.469941247743876</v>
      </c>
      <c r="F10" s="290">
        <f>'PE-A4'!F93/'PE-A4'!F35*100</f>
        <v>79.484213662308335</v>
      </c>
      <c r="G10" s="290">
        <f>'PE-A4'!G93/'PE-A4'!G35*100</f>
        <v>82.490720051398952</v>
      </c>
      <c r="H10" s="290">
        <f>'PE-A4'!H93/'PE-A4'!H35*100</f>
        <v>81.537787952940349</v>
      </c>
      <c r="I10" s="290">
        <f>'PE-A4'!I93/'PE-A4'!I35*100</f>
        <v>82.589634472931223</v>
      </c>
      <c r="J10" s="291">
        <f>'PE-A4'!J93/'PE-A4'!J35*100</f>
        <v>82.88044050480211</v>
      </c>
      <c r="K10" s="292">
        <f>'PE-A4'!K93/'PE-A4'!K35*100</f>
        <v>85.861523010661529</v>
      </c>
      <c r="L10" s="289">
        <f>'PE-A4'!L93/'PE-A4'!L35*100</f>
        <v>84.930258210743119</v>
      </c>
      <c r="M10" s="290">
        <f>'PE-A4'!M93/'PE-A4'!M35*100</f>
        <v>83.98511781192407</v>
      </c>
      <c r="N10" s="290">
        <f>'PE-A4'!N93/'PE-A4'!N35*100</f>
        <v>82.320292046572405</v>
      </c>
      <c r="O10" s="290">
        <f>'PE-A4'!O93/'PE-A4'!O35*100</f>
        <v>81.570097908181367</v>
      </c>
      <c r="P10" s="291">
        <f>'PE-A4'!P93/'PE-A4'!P35*100</f>
        <v>81.884937376747558</v>
      </c>
      <c r="Q10" s="292">
        <f>'PE-A4'!Q93/'PE-A4'!Q35*100</f>
        <v>82.699059581525177</v>
      </c>
    </row>
    <row r="11" spans="3:31" ht="21" customHeight="1">
      <c r="C11" s="146" t="s">
        <v>32</v>
      </c>
      <c r="D11" s="289">
        <f>'PS-A5'!D93/'PS-A5'!D35*100</f>
        <v>82.69802129446542</v>
      </c>
      <c r="E11" s="290">
        <f>'PS-A5'!E93/'PS-A5'!E35*100</f>
        <v>83.051792092891276</v>
      </c>
      <c r="F11" s="293">
        <f>'PS-A5'!F93/'PS-A5'!F35*100</f>
        <v>82.497410303001914</v>
      </c>
      <c r="G11" s="290">
        <f>'PS-A5'!G93/'PS-A5'!G35*100</f>
        <v>84.759250393269966</v>
      </c>
      <c r="H11" s="290">
        <f>'PS-A5'!H93/'PS-A5'!H35*100</f>
        <v>83.51101980986293</v>
      </c>
      <c r="I11" s="290">
        <f>'PS-A5'!I93/'PS-A5'!I35*100</f>
        <v>84.749722074694233</v>
      </c>
      <c r="J11" s="291">
        <f>'PS-A5'!J93/'PS-A5'!J35*100</f>
        <v>89.379225711124136</v>
      </c>
      <c r="K11" s="292">
        <f>'PS-A5'!K93/'PS-A5'!K35*100</f>
        <v>88.958626989178853</v>
      </c>
      <c r="L11" s="289">
        <f>'PS-A5'!L93/'PS-A5'!L35*100</f>
        <v>90.708324825174827</v>
      </c>
      <c r="M11" s="290">
        <f>'PS-A5'!M93/'PS-A5'!M35*100</f>
        <v>92.299840884505244</v>
      </c>
      <c r="N11" s="290">
        <f>'PS-A5'!N93/'PS-A5'!N35*100</f>
        <v>91.638328617548211</v>
      </c>
      <c r="O11" s="290">
        <f>'PS-A5'!O93/'PS-A5'!O35*100</f>
        <v>92.736970214830862</v>
      </c>
      <c r="P11" s="291">
        <f>'PS-A5'!P93/'PS-A5'!P35*100</f>
        <v>94.104263978292693</v>
      </c>
      <c r="Q11" s="292">
        <f>'PS-A5'!Q93/'PS-A5'!Q35*100</f>
        <v>95.282487785876341</v>
      </c>
    </row>
    <row r="12" spans="3:31" ht="21" customHeight="1">
      <c r="C12" s="146" t="s">
        <v>22</v>
      </c>
      <c r="D12" s="289">
        <f>'SM-A6'!D93/'SM-A6'!D35*100</f>
        <v>81.603094017483286</v>
      </c>
      <c r="E12" s="290">
        <f>'SM-A6'!E93/'SM-A6'!E35*100</f>
        <v>81.045341614906832</v>
      </c>
      <c r="F12" s="290">
        <f>'SM-A6'!F93/'SM-A6'!F35*100</f>
        <v>82.391622904940093</v>
      </c>
      <c r="G12" s="290">
        <f>'SM-A6'!G93/'SM-A6'!G35*100</f>
        <v>83.972076711821515</v>
      </c>
      <c r="H12" s="290">
        <f>'SM-A6'!H93/'SM-A6'!H35*100</f>
        <v>84.257794549936079</v>
      </c>
      <c r="I12" s="290">
        <f>'SM-A6'!I93/'SM-A6'!I35*100</f>
        <v>88.579088696850278</v>
      </c>
      <c r="J12" s="291">
        <f>'SM-A6'!J93/'SM-A6'!J35*100</f>
        <v>86.029710188474027</v>
      </c>
      <c r="K12" s="292">
        <f>'SM-A6'!K93/'SM-A6'!K35*100</f>
        <v>87.30682362710634</v>
      </c>
      <c r="L12" s="289">
        <f>'SM-A6'!L93/'SM-A6'!L35*100</f>
        <v>87.721608347693675</v>
      </c>
      <c r="M12" s="290">
        <f>'SM-A6'!M93/'SM-A6'!M35*100</f>
        <v>88.522894253804765</v>
      </c>
      <c r="N12" s="290">
        <f>'SM-A6'!N93/'SM-A6'!N35*100</f>
        <v>87.262211370705856</v>
      </c>
      <c r="O12" s="290">
        <f>'SM-A6'!O93/'SM-A6'!O35*100</f>
        <v>79.654393163067851</v>
      </c>
      <c r="P12" s="291">
        <f>'SM-A6'!P93/'SM-A6'!P35*100</f>
        <v>78.920652228531054</v>
      </c>
      <c r="Q12" s="292">
        <f>'SM-A6'!Q93/'SM-A6'!Q35*100</f>
        <v>79.44886616054886</v>
      </c>
      <c r="T12" s="81"/>
    </row>
    <row r="13" spans="3:31" ht="21" customHeight="1">
      <c r="C13" s="146" t="s">
        <v>23</v>
      </c>
      <c r="D13" s="289">
        <f>'PVC-A7'!D93/'PVC-A7'!D35*100</f>
        <v>76.606010596716757</v>
      </c>
      <c r="E13" s="290">
        <f>'PVC-A7'!E93/'PVC-A7'!E35*100</f>
        <v>73.478534317193976</v>
      </c>
      <c r="F13" s="290">
        <f>'PVC-A7'!F93/'PVC-A7'!F35*100</f>
        <v>73.383271706514378</v>
      </c>
      <c r="G13" s="290">
        <f>'PVC-A7'!G93/'PVC-A7'!G35*100</f>
        <v>70.880576792622335</v>
      </c>
      <c r="H13" s="290">
        <f>'PVC-A7'!H93/'PVC-A7'!H35*100</f>
        <v>72.568423586784164</v>
      </c>
      <c r="I13" s="290">
        <f>'PVC-A7'!I93/'PVC-A7'!I35*100</f>
        <v>73.708436062557496</v>
      </c>
      <c r="J13" s="291">
        <f>'PVC-A7'!J93/'PVC-A7'!J35*100</f>
        <v>76.072169629329252</v>
      </c>
      <c r="K13" s="292">
        <f>'PVC-A7'!K93/'PVC-A7'!K35*100</f>
        <v>78.358462196119234</v>
      </c>
      <c r="L13" s="289">
        <f>'PVC-A7'!L93/'PVC-A7'!L35*100</f>
        <v>79.606042477475029</v>
      </c>
      <c r="M13" s="290">
        <f>'PVC-A7'!M93/'PVC-A7'!M35*100</f>
        <v>81.753833548174839</v>
      </c>
      <c r="N13" s="290">
        <f>'PVC-A7'!N93/'PVC-A7'!N35*100</f>
        <v>83.687673803180758</v>
      </c>
      <c r="O13" s="290">
        <f>'PVC-A7'!O93/'PVC-A7'!O35*100</f>
        <v>85.377902366712149</v>
      </c>
      <c r="P13" s="291">
        <f>'PVC-A7'!P93/'PVC-A7'!P35*100</f>
        <v>87.407034726342943</v>
      </c>
      <c r="Q13" s="292">
        <f>'PVC-A7'!Q93/'PVC-A7'!Q35*100</f>
        <v>88.909741064147724</v>
      </c>
      <c r="T13" s="148"/>
    </row>
    <row r="14" spans="3:31" ht="21" customHeight="1">
      <c r="C14" s="146" t="s">
        <v>33</v>
      </c>
      <c r="D14" s="289">
        <f>'VCM-A8'!D93/'VCM-A8'!D35*100</f>
        <v>68.618194055084786</v>
      </c>
      <c r="E14" s="290">
        <f>'VCM-A8'!E93/'VCM-A8'!E35*100</f>
        <v>69.561405244928253</v>
      </c>
      <c r="F14" s="290">
        <f>'VCM-A8'!F93/'VCM-A8'!F35*100</f>
        <v>71.736628309109491</v>
      </c>
      <c r="G14" s="290">
        <f>'VCM-A8'!G93/'VCM-A8'!G35*100</f>
        <v>73.157136257593606</v>
      </c>
      <c r="H14" s="290">
        <f>'VCM-A8'!H93/'VCM-A8'!H35*100</f>
        <v>75.391918656191351</v>
      </c>
      <c r="I14" s="290">
        <f>'VCM-A8'!I93/'VCM-A8'!I35*100</f>
        <v>74.122228137461548</v>
      </c>
      <c r="J14" s="291">
        <f>'VCM-A8'!J93/'VCM-A8'!J35*100</f>
        <v>75.004414211254272</v>
      </c>
      <c r="K14" s="292">
        <f>'VCM-A8'!K93/'VCM-A8'!K35*100</f>
        <v>78.417896914877559</v>
      </c>
      <c r="L14" s="289">
        <f>'VCM-A8'!L93/'VCM-A8'!L35*100</f>
        <v>80.872236282307199</v>
      </c>
      <c r="M14" s="290">
        <f>'VCM-A8'!M93/'VCM-A8'!M35*100</f>
        <v>83.916259554294925</v>
      </c>
      <c r="N14" s="290">
        <f>'VCM-A8'!N93/'VCM-A8'!N35*100</f>
        <v>86.177499653011381</v>
      </c>
      <c r="O14" s="290">
        <f>'VCM-A8'!O93/'VCM-A8'!O35*100</f>
        <v>85.840651573411236</v>
      </c>
      <c r="P14" s="291">
        <f>'VCM-A8'!P93/'VCM-A8'!P35*100</f>
        <v>87.463157690991636</v>
      </c>
      <c r="Q14" s="292">
        <f>'VCM-A8'!Q93/'VCM-A8'!Q35*100</f>
        <v>88.689094902996473</v>
      </c>
      <c r="S14" s="81"/>
    </row>
    <row r="15" spans="3:31" ht="21" customHeight="1">
      <c r="C15" s="146" t="s">
        <v>34</v>
      </c>
      <c r="D15" s="294">
        <f>'EDC-A9'!D93/'EDC-A9'!D35*100</f>
        <v>73.289102042998948</v>
      </c>
      <c r="E15" s="295">
        <f>'EDC-A9'!E93/'EDC-A9'!E35*100</f>
        <v>68.819383421743524</v>
      </c>
      <c r="F15" s="295">
        <f>'EDC-A9'!F93/'EDC-A9'!F35*100</f>
        <v>68.997746168087403</v>
      </c>
      <c r="G15" s="295">
        <f>'EDC-A9'!G93/'EDC-A9'!G35*100</f>
        <v>70.318805163561564</v>
      </c>
      <c r="H15" s="295">
        <f>'EDC-A9'!H93/'EDC-A9'!H35*100</f>
        <v>70.526190649456581</v>
      </c>
      <c r="I15" s="295">
        <f>'EDC-A9'!I93/'EDC-A9'!I35*100</f>
        <v>72.495851473119131</v>
      </c>
      <c r="J15" s="296">
        <f>'EDC-A9'!J93/'EDC-A9'!J35*100</f>
        <v>72.738375921291606</v>
      </c>
      <c r="K15" s="297">
        <f>'EDC-A9'!K93/'EDC-A9'!K35*100</f>
        <v>73.921434053766106</v>
      </c>
      <c r="L15" s="294">
        <f>'EDC-A9'!L93/'EDC-A9'!L35*100</f>
        <v>75.135551079513235</v>
      </c>
      <c r="M15" s="295">
        <f>'EDC-A9'!M93/'EDC-A9'!M35*100</f>
        <v>76.977056106729975</v>
      </c>
      <c r="N15" s="295">
        <f>'EDC-A9'!N93/'EDC-A9'!N35*100</f>
        <v>77.644779252274091</v>
      </c>
      <c r="O15" s="295">
        <f>'EDC-A9'!O93/'EDC-A9'!O35*100</f>
        <v>77.072628973211735</v>
      </c>
      <c r="P15" s="296">
        <f>'EDC-A9'!P93/'EDC-A9'!P35*100</f>
        <v>78.131484947759404</v>
      </c>
      <c r="Q15" s="297">
        <f>'EDC-A9'!Q93/'EDC-A9'!Q35*100</f>
        <v>78.547773695556572</v>
      </c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</row>
    <row r="16" spans="3:31" ht="21" customHeight="1">
      <c r="C16" s="146" t="s">
        <v>24</v>
      </c>
      <c r="D16" s="289">
        <f>'EG-A10'!D93/'EG-A10'!D35*100</f>
        <v>77.7460589084411</v>
      </c>
      <c r="E16" s="290">
        <f>'EG-A10'!E93/'EG-A10'!E35*100</f>
        <v>80.83872930539296</v>
      </c>
      <c r="F16" s="290">
        <f>'EG-A10'!F93/'EG-A10'!F35*100</f>
        <v>82.801502738069033</v>
      </c>
      <c r="G16" s="290">
        <f>'EG-A10'!G93/'EG-A10'!G35*100</f>
        <v>84.265528006071037</v>
      </c>
      <c r="H16" s="290">
        <f>'EG-A10'!H93/'EG-A10'!H35*100</f>
        <v>82.492113437018091</v>
      </c>
      <c r="I16" s="290">
        <f>'EG-A10'!I93/'EG-A10'!I35*100</f>
        <v>84.512415163965386</v>
      </c>
      <c r="J16" s="291">
        <f>'EG-A10'!J93/'EG-A10'!J35*100</f>
        <v>76.821012791644691</v>
      </c>
      <c r="K16" s="292">
        <f>'EG-A10'!K93/'EG-A10'!K35*100</f>
        <v>81.711435214665869</v>
      </c>
      <c r="L16" s="289">
        <f>'EG-A10'!L93/'EG-A10'!L35*100</f>
        <v>82.268719515172563</v>
      </c>
      <c r="M16" s="290">
        <f>'EG-A10'!M93/'EG-A10'!M35*100</f>
        <v>78.568930951640993</v>
      </c>
      <c r="N16" s="290">
        <f>'EG-A10'!N93/'EG-A10'!N35*100</f>
        <v>73.868358929045371</v>
      </c>
      <c r="O16" s="290">
        <f>'EG-A10'!O93/'EG-A10'!O35*100</f>
        <v>74.990537902800838</v>
      </c>
      <c r="P16" s="291">
        <f>'EG-A10'!P93/'EG-A10'!P35*100</f>
        <v>75.580123840454888</v>
      </c>
      <c r="Q16" s="292">
        <f>'EG-A10'!Q93/'EG-A10'!Q35*100</f>
        <v>75.70765404603128</v>
      </c>
    </row>
    <row r="17" spans="3:17" ht="21" customHeight="1">
      <c r="C17" s="146" t="s">
        <v>35</v>
      </c>
      <c r="D17" s="289">
        <f>'OTHER(C2)-A11'!D93/'OTHER(C2)-A11'!D35*100</f>
        <v>89.095866647952519</v>
      </c>
      <c r="E17" s="290">
        <f>'OTHER(C2)-A11'!E93/'OTHER(C2)-A11'!E35*100</f>
        <v>88.514441369804658</v>
      </c>
      <c r="F17" s="290">
        <f>'OTHER(C2)-A11'!F93/'OTHER(C2)-A11'!F35*100</f>
        <v>84.432124524473366</v>
      </c>
      <c r="G17" s="290">
        <f>'OTHER(C2)-A11'!G93/'OTHER(C2)-A11'!G35*100</f>
        <v>82.085718121283861</v>
      </c>
      <c r="H17" s="290">
        <f>'OTHER(C2)-A11'!H93/'OTHER(C2)-A11'!H35*100</f>
        <v>81.977273490161139</v>
      </c>
      <c r="I17" s="290">
        <f>'OTHER(C2)-A11'!I93/'OTHER(C2)-A11'!I35*100</f>
        <v>81.332538259805204</v>
      </c>
      <c r="J17" s="291">
        <f>'OTHER(C2)-A11'!J93/'OTHER(C2)-A11'!J35*100</f>
        <v>81.547159344716604</v>
      </c>
      <c r="K17" s="292">
        <f>'OTHER(C2)-A11'!K93/'OTHER(C2)-A11'!K35*100</f>
        <v>78.078191884848877</v>
      </c>
      <c r="L17" s="289">
        <f>'OTHER(C2)-A11'!L93/'OTHER(C2)-A11'!L35*100</f>
        <v>78.889037020404714</v>
      </c>
      <c r="M17" s="290">
        <f>'OTHER(C2)-A11'!M93/'OTHER(C2)-A11'!M35*100</f>
        <v>80.16132008257685</v>
      </c>
      <c r="N17" s="290">
        <f>'OTHER(C2)-A11'!N93/'OTHER(C2)-A11'!N35*100</f>
        <v>80.345985878169287</v>
      </c>
      <c r="O17" s="290">
        <f>'OTHER(C2)-A11'!O93/'OTHER(C2)-A11'!O35*100</f>
        <v>81.705137300740276</v>
      </c>
      <c r="P17" s="291">
        <f>'OTHER(C2)-A11'!P93/'OTHER(C2)-A11'!P35*100</f>
        <v>81.655493885230484</v>
      </c>
      <c r="Q17" s="292">
        <f>'OTHER(C2)-A11'!Q93/'OTHER(C2)-A11'!Q35*100</f>
        <v>82.508158256620987</v>
      </c>
    </row>
    <row r="18" spans="3:17" ht="21" customHeight="1">
      <c r="C18" s="146" t="s">
        <v>36</v>
      </c>
      <c r="D18" s="289">
        <f>'PROPYLENE-A12'!D93/'PROPYLENE-A12'!D35*100</f>
        <v>81.184748607130544</v>
      </c>
      <c r="E18" s="290">
        <f>'PROPYLENE-A12'!E93/'PROPYLENE-A12'!E35*100</f>
        <v>80.026696272049747</v>
      </c>
      <c r="F18" s="290">
        <f>'PROPYLENE-A12'!F93/'PROPYLENE-A12'!F35*100</f>
        <v>78.586473984569921</v>
      </c>
      <c r="G18" s="290">
        <f>'PROPYLENE-A12'!G93/'PROPYLENE-A12'!G35*100</f>
        <v>81.014436113733964</v>
      </c>
      <c r="H18" s="290">
        <f>'PROPYLENE-A12'!H93/'PROPYLENE-A12'!H35*100</f>
        <v>78.411621723430201</v>
      </c>
      <c r="I18" s="290">
        <f>'PROPYLENE-A12'!I93/'PROPYLENE-A12'!I35*100</f>
        <v>78.837936820616932</v>
      </c>
      <c r="J18" s="291">
        <f>'PROPYLENE-A12'!J93/'PROPYLENE-A12'!J35*100</f>
        <v>81.925850975672418</v>
      </c>
      <c r="K18" s="292">
        <f>'PROPYLENE-A12'!K93/'PROPYLENE-A12'!K35*100</f>
        <v>82.359554908670916</v>
      </c>
      <c r="L18" s="289">
        <f>'PROPYLENE-A12'!L93/'PROPYLENE-A12'!L35*100</f>
        <v>82.1902298154302</v>
      </c>
      <c r="M18" s="290">
        <f>'PROPYLENE-A12'!M93/'PROPYLENE-A12'!M35*100</f>
        <v>82.49687951627655</v>
      </c>
      <c r="N18" s="290">
        <f>'PROPYLENE-A12'!N93/'PROPYLENE-A12'!N35*100</f>
        <v>82.868293350114115</v>
      </c>
      <c r="O18" s="290">
        <f>'PROPYLENE-A12'!O93/'PROPYLENE-A12'!O35*100</f>
        <v>82.507291962968267</v>
      </c>
      <c r="P18" s="291">
        <f>'PROPYLENE-A12'!P93/'PROPYLENE-A12'!P35*100</f>
        <v>82.247600438769553</v>
      </c>
      <c r="Q18" s="292">
        <f>'PROPYLENE-A12'!Q93/'PROPYLENE-A12'!Q35*100</f>
        <v>83.107077190276954</v>
      </c>
    </row>
    <row r="19" spans="3:17" ht="21" customHeight="1">
      <c r="C19" s="146" t="s">
        <v>26</v>
      </c>
      <c r="D19" s="289">
        <f>'PP-A13'!D93/'PP-A13'!D35*100</f>
        <v>83.412625442414296</v>
      </c>
      <c r="E19" s="290">
        <f>'PP-A13'!E93/'PP-A13'!E35*100</f>
        <v>81.847664121949833</v>
      </c>
      <c r="F19" s="290">
        <f>'PP-A13'!F93/'PP-A13'!F35*100</f>
        <v>77.383245191827854</v>
      </c>
      <c r="G19" s="290">
        <f>'PP-A13'!G93/'PP-A13'!G35*100</f>
        <v>78.941147531689921</v>
      </c>
      <c r="H19" s="290">
        <f>'PP-A13'!H93/'PP-A13'!H35*100</f>
        <v>80.628329439874221</v>
      </c>
      <c r="I19" s="290">
        <f>'PP-A13'!I93/'PP-A13'!I35*100</f>
        <v>81.568834764634985</v>
      </c>
      <c r="J19" s="291">
        <f>'PP-A13'!J93/'PP-A13'!J35*100</f>
        <v>83.325857827220602</v>
      </c>
      <c r="K19" s="292">
        <f>'PP-A13'!K93/'PP-A13'!K35*100</f>
        <v>83.870220437579306</v>
      </c>
      <c r="L19" s="289">
        <f>'PP-A13'!L93/'PP-A13'!L35*100</f>
        <v>82.962765474744188</v>
      </c>
      <c r="M19" s="290">
        <f>'PP-A13'!M93/'PP-A13'!M35*100</f>
        <v>83.381395718855487</v>
      </c>
      <c r="N19" s="290">
        <f>'PP-A13'!N93/'PP-A13'!N35*100</f>
        <v>80.220510890093934</v>
      </c>
      <c r="O19" s="290">
        <f>'PP-A13'!O93/'PP-A13'!O35*100</f>
        <v>78.889202804233022</v>
      </c>
      <c r="P19" s="291">
        <f>'PP-A13'!P93/'PP-A13'!P35*100</f>
        <v>79.061851292039833</v>
      </c>
      <c r="Q19" s="292">
        <f>'PP-A13'!Q93/'PP-A13'!Q35*100</f>
        <v>79.859062152556959</v>
      </c>
    </row>
    <row r="20" spans="3:17" ht="21" customHeight="1">
      <c r="C20" s="146" t="s">
        <v>28</v>
      </c>
      <c r="D20" s="289">
        <f>'AN-A14'!D93/'AN-A14'!D35*100</f>
        <v>83.367556084296396</v>
      </c>
      <c r="E20" s="290">
        <f>'AN-A14'!E93/'AN-A14'!E35*100</f>
        <v>83.987650382186771</v>
      </c>
      <c r="F20" s="290">
        <f>'AN-A14'!F93/'AN-A14'!F35*100</f>
        <v>83.008535531671853</v>
      </c>
      <c r="G20" s="290">
        <f>'AN-A14'!G93/'AN-A14'!G35*100</f>
        <v>81.409107658990223</v>
      </c>
      <c r="H20" s="290">
        <f>'AN-A14'!H93/'AN-A14'!H35*100</f>
        <v>85.197456978067095</v>
      </c>
      <c r="I20" s="290">
        <f>'AN-A14'!I93/'AN-A14'!I35*100</f>
        <v>81.838223700515087</v>
      </c>
      <c r="J20" s="291">
        <f>'AN-A14'!J93/'AN-A14'!J35*100</f>
        <v>81.263496415453901</v>
      </c>
      <c r="K20" s="292">
        <f>'AN-A14'!K93/'AN-A14'!K35*100</f>
        <v>85.766027896451774</v>
      </c>
      <c r="L20" s="289">
        <f>'AN-A14'!L93/'AN-A14'!L35*100</f>
        <v>88.614958734702284</v>
      </c>
      <c r="M20" s="290">
        <f>'AN-A14'!M93/'AN-A14'!M35*100</f>
        <v>85.278324931616922</v>
      </c>
      <c r="N20" s="290">
        <f>'AN-A14'!N93/'AN-A14'!N35*100</f>
        <v>80.370836989388778</v>
      </c>
      <c r="O20" s="290">
        <f>'AN-A14'!O93/'AN-A14'!O35*100</f>
        <v>81.332902607545307</v>
      </c>
      <c r="P20" s="291">
        <f>'AN-A14'!P93/'AN-A14'!P35*100</f>
        <v>79.699337932843491</v>
      </c>
      <c r="Q20" s="292">
        <f>'AN-A14'!Q93/'AN-A14'!Q35*100</f>
        <v>78.29586188262158</v>
      </c>
    </row>
    <row r="21" spans="3:17" ht="21" customHeight="1">
      <c r="C21" s="629" t="s">
        <v>354</v>
      </c>
      <c r="D21" s="289">
        <f>'ETHYLENE-C1'!D93/'ETHYLENE-C1'!D35*100</f>
        <v>83.388659078814158</v>
      </c>
      <c r="E21" s="290">
        <f>'ETHYLENE-C1'!E93/'ETHYLENE-C1'!E35*100</f>
        <v>82.208090683878865</v>
      </c>
      <c r="F21" s="290">
        <f>'ETHYLENE-C1'!F93/'ETHYLENE-C1'!F35*100</f>
        <v>80.15852503613587</v>
      </c>
      <c r="G21" s="290">
        <f>'ETHYLENE-C1'!G93/'ETHYLENE-C1'!G35*100</f>
        <v>82.14957050774116</v>
      </c>
      <c r="H21" s="290">
        <f>'ETHYLENE-C1'!H93/'ETHYLENE-C1'!H35*100</f>
        <v>81.391858776861653</v>
      </c>
      <c r="I21" s="290">
        <f>'ETHYLENE-C1'!I93/'ETHYLENE-C1'!I35*100</f>
        <v>82.499832928087883</v>
      </c>
      <c r="J21" s="291">
        <f>'ETHYLENE-C1'!J93/'ETHYLENE-C1'!J35*100</f>
        <v>81.786341898475314</v>
      </c>
      <c r="K21" s="292">
        <f>'ETHYLENE-C1'!K93/'ETHYLENE-C1'!K35*100</f>
        <v>83.992948653923449</v>
      </c>
      <c r="L21" s="289">
        <f>'ETHYLENE-C1'!L93/'ETHYLENE-C1'!L35*100</f>
        <v>83.777198864219145</v>
      </c>
      <c r="M21" s="290">
        <f>'ETHYLENE-C1'!M93/'ETHYLENE-C1'!M35*100</f>
        <v>82.940633033773665</v>
      </c>
      <c r="N21" s="290">
        <f>'ETHYLENE-C1'!N93/'ETHYLENE-C1'!N35*100</f>
        <v>81.21111199311683</v>
      </c>
      <c r="O21" s="290">
        <f>'ETHYLENE-C1'!O93/'ETHYLENE-C1'!O35*100</f>
        <v>80.821481041292643</v>
      </c>
      <c r="P21" s="291">
        <f>'ETHYLENE-C1'!P93/'ETHYLENE-C1'!P35*100</f>
        <v>81.196166083454983</v>
      </c>
      <c r="Q21" s="292">
        <f>'ETHYLENE-C1'!Q93/'ETHYLENE-C1'!Q35*100</f>
        <v>81.929358868168052</v>
      </c>
    </row>
    <row r="22" spans="3:17" ht="21" customHeight="1">
      <c r="C22" s="629" t="s">
        <v>355</v>
      </c>
      <c r="D22" s="289">
        <f>'PROPYLENE-C7'!D93/'PROPYLENE-C7'!D35*100</f>
        <v>85.271474472588409</v>
      </c>
      <c r="E22" s="290">
        <f>'PROPYLENE-C7'!E93/'PROPYLENE-C7'!E35*100</f>
        <v>81.871093911045122</v>
      </c>
      <c r="F22" s="290">
        <f>'PROPYLENE-C7'!F93/'PROPYLENE-C7'!F35*100</f>
        <v>78.581367489217897</v>
      </c>
      <c r="G22" s="290">
        <f>'PROPYLENE-C7'!G93/'PROPYLENE-C7'!G35*100</f>
        <v>79.467182012885957</v>
      </c>
      <c r="H22" s="290">
        <f>'PROPYLENE-C7'!H93/'PROPYLENE-C7'!H35*100</f>
        <v>81.04433276253576</v>
      </c>
      <c r="I22" s="290">
        <f>'PROPYLENE-C7'!I93/'PROPYLENE-C7'!I35*100</f>
        <v>81.447337950400851</v>
      </c>
      <c r="J22" s="291">
        <f>'PROPYLENE-C7'!J93/'PROPYLENE-C7'!J35*100</f>
        <v>83.160602757791651</v>
      </c>
      <c r="K22" s="292">
        <f>'PROPYLENE-C7'!K93/'PROPYLENE-C7'!K35*100</f>
        <v>84.349314256343646</v>
      </c>
      <c r="L22" s="289">
        <f>'PROPYLENE-C7'!L93/'PROPYLENE-C7'!L35*100</f>
        <v>83.900514249519503</v>
      </c>
      <c r="M22" s="290">
        <f>'PROPYLENE-C7'!M93/'PROPYLENE-C7'!M35*100</f>
        <v>84.042848983745117</v>
      </c>
      <c r="N22" s="290">
        <f>'PROPYLENE-C7'!N93/'PROPYLENE-C7'!N35*100</f>
        <v>81.406752055595362</v>
      </c>
      <c r="O22" s="290">
        <f>'PROPYLENE-C7'!O93/'PROPYLENE-C7'!O35*100</f>
        <v>80.783382372120073</v>
      </c>
      <c r="P22" s="291">
        <f>'PROPYLENE-C7'!P93/'PROPYLENE-C7'!P35*100</f>
        <v>80.816579161383089</v>
      </c>
      <c r="Q22" s="292">
        <f>'PROPYLENE-C7'!Q93/'PROPYLENE-C7'!Q35*100</f>
        <v>81.34063641865599</v>
      </c>
    </row>
    <row r="23" spans="3:17" ht="21" customHeight="1">
      <c r="C23" s="146" t="s">
        <v>37</v>
      </c>
      <c r="D23" s="289">
        <f>'BENZENE-A16'!D93/'BENZENE-A16'!D35*100</f>
        <v>72.958521201413433</v>
      </c>
      <c r="E23" s="290">
        <f>'BENZENE-A16'!E93/'BENZENE-A16'!E35*100</f>
        <v>71.176577385533719</v>
      </c>
      <c r="F23" s="290">
        <f>'BENZENE-A16'!F93/'BENZENE-A16'!F35*100</f>
        <v>72.061952071806644</v>
      </c>
      <c r="G23" s="290">
        <f>'BENZENE-A16'!G93/'BENZENE-A16'!G35*100</f>
        <v>73.902481554885668</v>
      </c>
      <c r="H23" s="290">
        <f>'BENZENE-A16'!H93/'BENZENE-A16'!H35*100</f>
        <v>71.567874561108184</v>
      </c>
      <c r="I23" s="290">
        <f>'BENZENE-A16'!I93/'BENZENE-A16'!I35*100</f>
        <v>72.950485971399999</v>
      </c>
      <c r="J23" s="291">
        <f>'BENZENE-A16'!J93/'BENZENE-A16'!J35*100</f>
        <v>71.289084070646297</v>
      </c>
      <c r="K23" s="292">
        <f>'BENZENE-A16'!K93/'BENZENE-A16'!K35*100</f>
        <v>75.228467744937973</v>
      </c>
      <c r="L23" s="289">
        <f>'BENZENE-A16'!L93/'BENZENE-A16'!L35*100</f>
        <v>74.471655276771457</v>
      </c>
      <c r="M23" s="290">
        <f>'BENZENE-A16'!M93/'BENZENE-A16'!M35*100</f>
        <v>72.985067352656728</v>
      </c>
      <c r="N23" s="290">
        <f>'BENZENE-A16'!N93/'BENZENE-A16'!N35*100</f>
        <v>73.16242029032604</v>
      </c>
      <c r="O23" s="290">
        <f>'BENZENE-A16'!O93/'BENZENE-A16'!O35*100</f>
        <v>73.407054253294064</v>
      </c>
      <c r="P23" s="291">
        <f>'BENZENE-A16'!P93/'BENZENE-A16'!P35*100</f>
        <v>75.496048139654221</v>
      </c>
      <c r="Q23" s="292">
        <f>'BENZENE-A16'!Q93/'BENZENE-A16'!Q35*100</f>
        <v>76.061967918829509</v>
      </c>
    </row>
    <row r="24" spans="3:17" ht="21" customHeight="1">
      <c r="C24" s="146" t="s">
        <v>38</v>
      </c>
      <c r="D24" s="289">
        <f>'TOLUENE-A17'!D93/'TOLUENE-A17'!D35*100</f>
        <v>52.581244790085059</v>
      </c>
      <c r="E24" s="290">
        <f>'TOLUENE-A17'!E93/'TOLUENE-A17'!E35*100</f>
        <v>54.799663791787182</v>
      </c>
      <c r="F24" s="290">
        <f>'TOLUENE-A17'!F93/'TOLUENE-A17'!F35*100</f>
        <v>53.767053484105134</v>
      </c>
      <c r="G24" s="290">
        <f>'TOLUENE-A17'!G93/'TOLUENE-A17'!G35*100</f>
        <v>56.494331813034314</v>
      </c>
      <c r="H24" s="290">
        <f>'TOLUENE-A17'!H93/'TOLUENE-A17'!H35*100</f>
        <v>58.178902197668549</v>
      </c>
      <c r="I24" s="290">
        <f>'TOLUENE-A17'!I93/'TOLUENE-A17'!I35*100</f>
        <v>56.505007220018889</v>
      </c>
      <c r="J24" s="291">
        <f>'TOLUENE-A17'!J93/'TOLUENE-A17'!J35*100</f>
        <v>57.546764929012681</v>
      </c>
      <c r="K24" s="292">
        <f>'TOLUENE-A17'!K93/'TOLUENE-A17'!K35*100</f>
        <v>57.673508253328798</v>
      </c>
      <c r="L24" s="289">
        <f>'TOLUENE-A17'!L93/'TOLUENE-A17'!L35*100</f>
        <v>56.267644970916429</v>
      </c>
      <c r="M24" s="290">
        <f>'TOLUENE-A17'!M93/'TOLUENE-A17'!M35*100</f>
        <v>53.463721556517093</v>
      </c>
      <c r="N24" s="290">
        <f>'TOLUENE-A17'!N93/'TOLUENE-A17'!N35*100</f>
        <v>52.920485776405727</v>
      </c>
      <c r="O24" s="290">
        <f>'TOLUENE-A17'!O93/'TOLUENE-A17'!O35*100</f>
        <v>53.834713227332841</v>
      </c>
      <c r="P24" s="291">
        <f>'TOLUENE-A17'!P93/'TOLUENE-A17'!P35*100</f>
        <v>54.982035773230301</v>
      </c>
      <c r="Q24" s="292">
        <f>'TOLUENE-A17'!Q93/'TOLUENE-A17'!Q35*100</f>
        <v>56.053863251133137</v>
      </c>
    </row>
    <row r="25" spans="3:17" ht="21" customHeight="1">
      <c r="C25" s="146" t="s">
        <v>39</v>
      </c>
      <c r="D25" s="289">
        <f>'XYLENES-A18'!D93/'XYLENES-A18'!D35*100</f>
        <v>63.76581663515217</v>
      </c>
      <c r="E25" s="290">
        <f>'XYLENES-A18'!E93/'XYLENES-A18'!E35*100</f>
        <v>59.702540394021298</v>
      </c>
      <c r="F25" s="290">
        <f>'XYLENES-A18'!F93/'XYLENES-A18'!F35*100</f>
        <v>65.268486542681444</v>
      </c>
      <c r="G25" s="290">
        <f>'XYLENES-A18'!G93/'XYLENES-A18'!G35*100</f>
        <v>63.807012435111233</v>
      </c>
      <c r="H25" s="290">
        <f>'XYLENES-A18'!H93/'XYLENES-A18'!H35*100</f>
        <v>58.632382001866482</v>
      </c>
      <c r="I25" s="290">
        <f>'XYLENES-A18'!I93/'XYLENES-A18'!I35*100</f>
        <v>59.454437419529867</v>
      </c>
      <c r="J25" s="291">
        <f>'XYLENES-A18'!J93/'XYLENES-A18'!J35*100</f>
        <v>58.454938004053602</v>
      </c>
      <c r="K25" s="292">
        <f>'XYLENES-A18'!K93/'XYLENES-A18'!K35*100</f>
        <v>58.724791559568267</v>
      </c>
      <c r="L25" s="289">
        <f>'XYLENES-A18'!L93/'XYLENES-A18'!L35*100</f>
        <v>58.407258672441444</v>
      </c>
      <c r="M25" s="290">
        <f>'XYLENES-A18'!M93/'XYLENES-A18'!M35*100</f>
        <v>55.501907197739975</v>
      </c>
      <c r="N25" s="290">
        <f>'XYLENES-A18'!N93/'XYLENES-A18'!N35*100</f>
        <v>54.103311485400106</v>
      </c>
      <c r="O25" s="290">
        <f>'XYLENES-A18'!O93/'XYLENES-A18'!O35*100</f>
        <v>55.44308521780907</v>
      </c>
      <c r="P25" s="291">
        <f>'XYLENES-A18'!P93/'XYLENES-A18'!P35*100</f>
        <v>57.43448783304288</v>
      </c>
      <c r="Q25" s="292">
        <f>'XYLENES-A18'!Q93/'XYLENES-A18'!Q35*100</f>
        <v>58.414224165890715</v>
      </c>
    </row>
    <row r="26" spans="3:17" ht="21" customHeight="1">
      <c r="C26" s="146" t="s">
        <v>40</v>
      </c>
      <c r="D26" s="289">
        <f>'PX-A19'!D93/'PX-A19'!D35*100</f>
        <v>83.433552172091069</v>
      </c>
      <c r="E26" s="290">
        <f>'PX-A19'!E93/'PX-A19'!E35*100</f>
        <v>84.647699054576705</v>
      </c>
      <c r="F26" s="290">
        <f>'PX-A19'!F93/'PX-A19'!F35*100</f>
        <v>86.362037280126032</v>
      </c>
      <c r="G26" s="290">
        <f>'PX-A19'!G93/'PX-A19'!G35*100</f>
        <v>84.512837454046348</v>
      </c>
      <c r="H26" s="290">
        <f>'PX-A19'!H93/'PX-A19'!H35*100</f>
        <v>75.174778493477163</v>
      </c>
      <c r="I26" s="290">
        <f>'PX-A19'!I93/'PX-A19'!I35*100</f>
        <v>83.626342561743655</v>
      </c>
      <c r="J26" s="291">
        <f>'PX-A19'!J93/'PX-A19'!J35*100</f>
        <v>79.421791128417496</v>
      </c>
      <c r="K26" s="292">
        <f>'PX-A19'!K93/'PX-A19'!K35*100</f>
        <v>86.866301281122588</v>
      </c>
      <c r="L26" s="289">
        <f>'PX-A19'!L93/'PX-A19'!L35*100</f>
        <v>90.444548872180462</v>
      </c>
      <c r="M26" s="290">
        <f>'PX-A19'!M93/'PX-A19'!M35*100</f>
        <v>79.324569311718335</v>
      </c>
      <c r="N26" s="290">
        <f>'PX-A19'!N93/'PX-A19'!N35*100</f>
        <v>75.529293866012537</v>
      </c>
      <c r="O26" s="290">
        <f>'PX-A19'!O93/'PX-A19'!O35*100</f>
        <v>75.883836278160359</v>
      </c>
      <c r="P26" s="291">
        <f>'PX-A19'!P93/'PX-A19'!P35*100</f>
        <v>77.326724644165438</v>
      </c>
      <c r="Q26" s="292">
        <f>'PX-A19'!Q93/'PX-A19'!Q35*100</f>
        <v>74.911653087763071</v>
      </c>
    </row>
    <row r="27" spans="3:17" ht="21" customHeight="1" thickBot="1">
      <c r="C27" s="121" t="s">
        <v>41</v>
      </c>
      <c r="D27" s="122">
        <f>'PTA-A20'!D93/'PTA-A20'!D35*100</f>
        <v>90.592350147873546</v>
      </c>
      <c r="E27" s="123">
        <f>'PTA-A20'!E93/'PTA-A20'!E35*100</f>
        <v>90.759928320997275</v>
      </c>
      <c r="F27" s="123">
        <f>'PTA-A20'!F93/'PTA-A20'!F35*100</f>
        <v>83.444235068110359</v>
      </c>
      <c r="G27" s="123">
        <f>'PTA-A20'!G93/'PTA-A20'!G35*100</f>
        <v>79.472736090504867</v>
      </c>
      <c r="H27" s="123">
        <f>'PTA-A20'!H93/'PTA-A20'!H35*100</f>
        <v>80.759177306172376</v>
      </c>
      <c r="I27" s="123">
        <f>'PTA-A20'!I93/'PTA-A20'!I35*100</f>
        <v>87.010077755755447</v>
      </c>
      <c r="J27" s="125">
        <f>'PTA-A20'!J93/'PTA-A20'!J35*100</f>
        <v>84.089201696876188</v>
      </c>
      <c r="K27" s="124">
        <f>'PTA-A20'!K93/'PTA-A20'!K35*100</f>
        <v>82.458689195697545</v>
      </c>
      <c r="L27" s="122">
        <f>'PTA-A20'!L93/'PTA-A20'!L35*100</f>
        <v>79.545851670938717</v>
      </c>
      <c r="M27" s="123">
        <f>'PTA-A20'!M93/'PTA-A20'!M35*100</f>
        <v>77.057166899178455</v>
      </c>
      <c r="N27" s="123">
        <f>'PTA-A20'!N93/'PTA-A20'!N35*100</f>
        <v>75.229809768589391</v>
      </c>
      <c r="O27" s="123">
        <f>'PTA-A20'!O93/'PTA-A20'!O35*100</f>
        <v>76.633004095055043</v>
      </c>
      <c r="P27" s="125">
        <f>'PTA-A20'!P93/'PTA-A20'!P35*100</f>
        <v>77.557482271220167</v>
      </c>
      <c r="Q27" s="124">
        <f>'PTA-A20'!Q93/'PTA-A20'!Q35*100</f>
        <v>78.754055704673959</v>
      </c>
    </row>
    <row r="34" ht="12.75" customHeight="1"/>
    <row r="57" spans="28:28">
      <c r="AB57">
        <v>5</v>
      </c>
    </row>
  </sheetData>
  <mergeCells count="2">
    <mergeCell ref="D4:K4"/>
    <mergeCell ref="L4:Q4"/>
  </mergeCells>
  <phoneticPr fontId="6"/>
  <printOptions horizontalCentered="1"/>
  <pageMargins left="0.39370078740157483" right="0.39370078740157483" top="0.78740157480314965" bottom="0.39370078740157483" header="0.51181102362204722" footer="0.31496062992125984"/>
  <pageSetup paperSize="9" scale="58" firstPageNumber="139" orientation="portrait" useFirstPageNumber="1" r:id="rId1"/>
  <headerFooter scaleWithDoc="0" alignWithMargins="0">
    <oddFooter>&amp;C205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R22"/>
  <sheetViews>
    <sheetView showGridLines="0" view="pageBreakPreview" topLeftCell="C1" zoomScale="85" zoomScaleNormal="85" zoomScaleSheetLayoutView="85" workbookViewId="0">
      <selection activeCell="G10" sqref="G10"/>
    </sheetView>
  </sheetViews>
  <sheetFormatPr defaultColWidth="9" defaultRowHeight="13.5"/>
  <cols>
    <col min="1" max="1" width="14.75" style="447" customWidth="1"/>
    <col min="2" max="2" width="21.125" style="447" customWidth="1"/>
    <col min="3" max="11" width="12.875" style="447" customWidth="1"/>
    <col min="12" max="12" width="20.875" style="447" bestFit="1" customWidth="1"/>
    <col min="13" max="13" width="2.75" style="447" customWidth="1"/>
    <col min="14" max="14" width="20.625" style="447" customWidth="1"/>
    <col min="15" max="16" width="12.875" style="447" customWidth="1"/>
    <col min="17" max="17" width="21.5" style="447" customWidth="1"/>
    <col min="18" max="18" width="22.375" customWidth="1"/>
    <col min="19" max="16384" width="9" style="447"/>
  </cols>
  <sheetData>
    <row r="1" spans="1:18" ht="39" customHeight="1">
      <c r="A1" s="476" t="s">
        <v>356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  <c r="N1"/>
      <c r="O1"/>
      <c r="P1"/>
      <c r="Q1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64">
        <f>'ETHYLENE-A1'!K18/10</f>
        <v>649.45000000000005</v>
      </c>
      <c r="D5" s="459">
        <f>'ETHYLENE-A1'!K47/10</f>
        <v>653</v>
      </c>
      <c r="E5" s="458">
        <v>13.180000000000001</v>
      </c>
      <c r="F5" s="458">
        <v>70.08</v>
      </c>
      <c r="G5" s="459">
        <f>D5+E5-F5</f>
        <v>596.09999999999991</v>
      </c>
      <c r="H5" s="455">
        <f t="shared" ref="H5:H22" si="0">IF(AND(E5=0,G5=0),"    -",IF(E5=0,"     0%",IF(G5=0,"     -",ROUND(E5/G5,4))))</f>
        <v>2.2100000000000002E-2</v>
      </c>
      <c r="I5" s="455">
        <f t="shared" ref="I5:I22" si="1">IF(AND(D5=0,F5=0),"    -",IF(F5=0,"     0%",IF(D5=0,"     -",ROUND(F5/D5,4))))</f>
        <v>0.10730000000000001</v>
      </c>
      <c r="J5" s="456">
        <f t="shared" ref="J5:J22" si="2">D5-G5</f>
        <v>56.900000000000091</v>
      </c>
      <c r="K5" s="455">
        <f t="shared" ref="K5:K22" si="3">IF(AND(D5=0,C5=0),"    -",IF(C5=0,"     0%",IF(D5=0,"     -",ROUND(D5/C5,4))))</f>
        <v>1.0055000000000001</v>
      </c>
      <c r="L5" s="454" t="s">
        <v>80</v>
      </c>
      <c r="M5" s="453"/>
      <c r="N5" s="452" t="s">
        <v>79</v>
      </c>
      <c r="O5" s="451">
        <f t="shared" ref="O5:O11" si="4">D5</f>
        <v>653</v>
      </c>
      <c r="P5" s="450">
        <f>'ETHYLENE-A1'!K76/10</f>
        <v>596.1</v>
      </c>
      <c r="Q5" s="449">
        <f>O5-P5</f>
        <v>56.899999999999977</v>
      </c>
      <c r="R5" s="448"/>
    </row>
    <row r="6" spans="1:18">
      <c r="A6" s="453"/>
      <c r="B6" s="460" t="s">
        <v>78</v>
      </c>
      <c r="C6" s="459">
        <f>'LDPE-A2'!K18/10</f>
        <v>223.3</v>
      </c>
      <c r="D6" s="459">
        <f>'LDPE-A2'!K47/10</f>
        <v>174.8</v>
      </c>
      <c r="E6" s="458">
        <v>31.53</v>
      </c>
      <c r="F6" s="458">
        <v>23.98</v>
      </c>
      <c r="G6" s="459">
        <f t="shared" ref="G6:G22" si="5">D6+E6-F6</f>
        <v>182.35000000000002</v>
      </c>
      <c r="H6" s="455">
        <f t="shared" si="0"/>
        <v>0.1729</v>
      </c>
      <c r="I6" s="455">
        <f t="shared" si="1"/>
        <v>0.13719999999999999</v>
      </c>
      <c r="J6" s="456">
        <f t="shared" si="2"/>
        <v>-7.5500000000000114</v>
      </c>
      <c r="K6" s="455">
        <f t="shared" si="3"/>
        <v>0.78280000000000005</v>
      </c>
      <c r="L6" s="454" t="s">
        <v>77</v>
      </c>
      <c r="M6" s="453"/>
      <c r="N6" s="452" t="s">
        <v>78</v>
      </c>
      <c r="O6" s="451">
        <f t="shared" si="4"/>
        <v>174.8</v>
      </c>
      <c r="P6" s="450">
        <f>'LDPE-A2'!K76/10</f>
        <v>182.35</v>
      </c>
      <c r="Q6" s="449">
        <f t="shared" ref="Q6:Q11" si="6">O6-P6</f>
        <v>-7.5499999999999829</v>
      </c>
      <c r="R6" s="448"/>
    </row>
    <row r="7" spans="1:18">
      <c r="A7" s="453"/>
      <c r="B7" s="460" t="s">
        <v>76</v>
      </c>
      <c r="C7" s="459">
        <f>'HDPE-A3'!K18/10</f>
        <v>114.2</v>
      </c>
      <c r="D7" s="459">
        <f>'HDPE-A3'!K47/10</f>
        <v>89.039999999999992</v>
      </c>
      <c r="E7" s="458">
        <v>19.72</v>
      </c>
      <c r="F7" s="458">
        <v>13.680000000000001</v>
      </c>
      <c r="G7" s="459">
        <f t="shared" si="5"/>
        <v>95.079999999999984</v>
      </c>
      <c r="H7" s="455">
        <f t="shared" si="0"/>
        <v>0.2074</v>
      </c>
      <c r="I7" s="455">
        <f t="shared" si="1"/>
        <v>0.15359999999999999</v>
      </c>
      <c r="J7" s="456">
        <f t="shared" si="2"/>
        <v>-6.039999999999992</v>
      </c>
      <c r="K7" s="455">
        <f t="shared" si="3"/>
        <v>0.77969999999999995</v>
      </c>
      <c r="L7" s="454" t="s">
        <v>77</v>
      </c>
      <c r="M7" s="453"/>
      <c r="N7" s="452" t="s">
        <v>76</v>
      </c>
      <c r="O7" s="451">
        <f t="shared" si="4"/>
        <v>89.039999999999992</v>
      </c>
      <c r="P7" s="450">
        <f>'HDPE-A3'!K76/10</f>
        <v>95.08</v>
      </c>
      <c r="Q7" s="449">
        <f t="shared" si="6"/>
        <v>-6.0400000000000063</v>
      </c>
      <c r="R7" s="448"/>
    </row>
    <row r="8" spans="1:18">
      <c r="A8" s="453"/>
      <c r="B8" s="460" t="s">
        <v>75</v>
      </c>
      <c r="C8" s="459">
        <f>'SM-A6'!K18/10</f>
        <v>194.9</v>
      </c>
      <c r="D8" s="459">
        <f>'SM-A6'!K47/10</f>
        <v>208.45999999999998</v>
      </c>
      <c r="E8" s="458">
        <v>0</v>
      </c>
      <c r="F8" s="458">
        <v>61.7</v>
      </c>
      <c r="G8" s="459">
        <f t="shared" si="5"/>
        <v>146.76</v>
      </c>
      <c r="H8" s="455" t="str">
        <f t="shared" si="0"/>
        <v xml:space="preserve">     0%</v>
      </c>
      <c r="I8" s="455">
        <f t="shared" si="1"/>
        <v>0.29599999999999999</v>
      </c>
      <c r="J8" s="456">
        <f t="shared" si="2"/>
        <v>61.699999999999989</v>
      </c>
      <c r="K8" s="455">
        <f t="shared" si="3"/>
        <v>1.0696000000000001</v>
      </c>
      <c r="L8" s="454" t="s">
        <v>68</v>
      </c>
      <c r="M8" s="453"/>
      <c r="N8" s="452" t="s">
        <v>75</v>
      </c>
      <c r="O8" s="451">
        <f t="shared" si="4"/>
        <v>208.45999999999998</v>
      </c>
      <c r="P8" s="450">
        <f>'SM-A6'!K76/10</f>
        <v>146.76</v>
      </c>
      <c r="Q8" s="449">
        <f t="shared" si="6"/>
        <v>61.699999999999989</v>
      </c>
      <c r="R8" s="448"/>
    </row>
    <row r="9" spans="1:18">
      <c r="A9" s="453"/>
      <c r="B9" s="460" t="s">
        <v>74</v>
      </c>
      <c r="C9" s="459">
        <f>'EG-A10'!K18/10</f>
        <v>84.26</v>
      </c>
      <c r="D9" s="459">
        <f>'EG-A10'!K47/10</f>
        <v>71.539999999999992</v>
      </c>
      <c r="E9" s="458">
        <v>0.4</v>
      </c>
      <c r="F9" s="458">
        <v>31.880000000000003</v>
      </c>
      <c r="G9" s="459">
        <f t="shared" si="5"/>
        <v>40.059999999999995</v>
      </c>
      <c r="H9" s="455">
        <f t="shared" si="0"/>
        <v>0.01</v>
      </c>
      <c r="I9" s="455">
        <f t="shared" si="1"/>
        <v>0.4456</v>
      </c>
      <c r="J9" s="456">
        <f t="shared" si="2"/>
        <v>31.479999999999997</v>
      </c>
      <c r="K9" s="455">
        <f t="shared" si="3"/>
        <v>0.84899999999999998</v>
      </c>
      <c r="L9" s="454" t="s">
        <v>71</v>
      </c>
      <c r="M9" s="453"/>
      <c r="N9" s="452" t="s">
        <v>74</v>
      </c>
      <c r="O9" s="451">
        <f t="shared" si="4"/>
        <v>71.539999999999992</v>
      </c>
      <c r="P9" s="450">
        <f>'EG-A10'!K76/10</f>
        <v>40.059999999999995</v>
      </c>
      <c r="Q9" s="449">
        <f t="shared" si="6"/>
        <v>31.479999999999997</v>
      </c>
      <c r="R9" s="448"/>
    </row>
    <row r="10" spans="1:18">
      <c r="A10" s="453"/>
      <c r="B10" s="460" t="s">
        <v>72</v>
      </c>
      <c r="C10" s="459">
        <f>'PVC-A7'!K18/10</f>
        <v>192.9</v>
      </c>
      <c r="D10" s="459">
        <f>'PVC-A7'!K47/10</f>
        <v>170.59</v>
      </c>
      <c r="E10" s="458">
        <v>0.44000000000000006</v>
      </c>
      <c r="F10" s="458">
        <v>60.81</v>
      </c>
      <c r="G10" s="459">
        <v>104.91</v>
      </c>
      <c r="H10" s="455">
        <f t="shared" si="0"/>
        <v>4.1999999999999997E-3</v>
      </c>
      <c r="I10" s="455">
        <f t="shared" si="1"/>
        <v>0.35649999999999998</v>
      </c>
      <c r="J10" s="456">
        <f t="shared" si="2"/>
        <v>65.680000000000007</v>
      </c>
      <c r="K10" s="455">
        <f t="shared" si="3"/>
        <v>0.88429999999999997</v>
      </c>
      <c r="L10" s="454" t="s">
        <v>73</v>
      </c>
      <c r="M10" s="453"/>
      <c r="N10" s="452" t="s">
        <v>72</v>
      </c>
      <c r="O10" s="451">
        <f t="shared" si="4"/>
        <v>170.59</v>
      </c>
      <c r="P10" s="450">
        <f>'PVC-A7'!K76/10</f>
        <v>104.91</v>
      </c>
      <c r="Q10" s="449">
        <f t="shared" si="6"/>
        <v>65.680000000000007</v>
      </c>
      <c r="R10" s="448"/>
    </row>
    <row r="11" spans="1:18">
      <c r="A11" s="453"/>
      <c r="B11" s="460" t="s">
        <v>371</v>
      </c>
      <c r="C11" s="459">
        <f>'OTHER(C2)-A11'!K18/10</f>
        <v>142</v>
      </c>
      <c r="D11" s="459">
        <f>'OTHER(C2)-A11'!K47/10</f>
        <v>102.75709999999999</v>
      </c>
      <c r="E11" s="458">
        <v>3.5428399999999969</v>
      </c>
      <c r="F11" s="458">
        <v>12.399939999999987</v>
      </c>
      <c r="G11" s="459">
        <f t="shared" si="5"/>
        <v>93.9</v>
      </c>
      <c r="H11" s="455">
        <f t="shared" si="0"/>
        <v>3.7699999999999997E-2</v>
      </c>
      <c r="I11" s="455">
        <f t="shared" si="1"/>
        <v>0.1207</v>
      </c>
      <c r="J11" s="456">
        <f t="shared" si="2"/>
        <v>8.8570999999999884</v>
      </c>
      <c r="K11" s="455">
        <f t="shared" si="3"/>
        <v>0.72360000000000002</v>
      </c>
      <c r="L11" s="454"/>
      <c r="M11" s="453"/>
      <c r="N11" s="460" t="s">
        <v>371</v>
      </c>
      <c r="O11" s="451">
        <f t="shared" si="4"/>
        <v>102.75709999999999</v>
      </c>
      <c r="P11" s="450">
        <f>'OTHER(C2)-A11'!K76/10</f>
        <v>93.9</v>
      </c>
      <c r="Q11" s="449">
        <f t="shared" si="6"/>
        <v>8.8570999999999884</v>
      </c>
      <c r="R11" s="448"/>
    </row>
    <row r="12" spans="1:18">
      <c r="A12" s="453"/>
      <c r="B12" s="460" t="s">
        <v>372</v>
      </c>
      <c r="C12" s="463">
        <f>C6*0.98+C7*1.04+C8*0.29+C9*0.66+C10*0.5+C11</f>
        <v>688.18460000000005</v>
      </c>
      <c r="D12" s="463">
        <f>D6*0.98+D7*1.04+D8*0.29+D9*0.66+D10*0.5+D11</f>
        <v>559.62750000000005</v>
      </c>
      <c r="E12" s="462">
        <f>E6*0.98+E7*1.04+E8*0.29+E9*0.66+E10*0.5</f>
        <v>51.892200000000003</v>
      </c>
      <c r="F12" s="462">
        <f>F6*0.98+F7*1.04+F8*0.29+F9*0.66+F10*0.5</f>
        <v>107.06640000000002</v>
      </c>
      <c r="G12" s="459">
        <f t="shared" si="5"/>
        <v>504.45330000000001</v>
      </c>
      <c r="H12" s="455">
        <f t="shared" si="0"/>
        <v>0.10290000000000001</v>
      </c>
      <c r="I12" s="455">
        <f t="shared" si="1"/>
        <v>0.1913</v>
      </c>
      <c r="J12" s="456">
        <f t="shared" si="2"/>
        <v>55.174200000000042</v>
      </c>
      <c r="K12" s="455">
        <f t="shared" si="3"/>
        <v>0.81320000000000003</v>
      </c>
      <c r="L12" s="454"/>
      <c r="M12" s="453"/>
      <c r="N12" s="460" t="s">
        <v>372</v>
      </c>
      <c r="O12" s="451"/>
      <c r="P12" s="450"/>
      <c r="Q12" s="461">
        <f>Q6*0.98+Q7*1.04+Q8*0.29+Q9*0.66*D24+Q10*0.5*D25+Q11</f>
        <v>13.069499999999996</v>
      </c>
      <c r="R12" s="448"/>
    </row>
    <row r="13" spans="1:18">
      <c r="A13" s="453"/>
      <c r="B13" s="460" t="s">
        <v>373</v>
      </c>
      <c r="C13" s="459">
        <f>'PROPYLENE-A12'!K18/10</f>
        <v>593.83999999999992</v>
      </c>
      <c r="D13" s="459">
        <f>'PROPYLENE-A12'!K47/10</f>
        <v>545.87</v>
      </c>
      <c r="E13" s="458">
        <v>15.39</v>
      </c>
      <c r="F13" s="458">
        <v>88.34</v>
      </c>
      <c r="G13" s="459">
        <f t="shared" si="5"/>
        <v>472.91999999999996</v>
      </c>
      <c r="H13" s="455">
        <f t="shared" si="0"/>
        <v>3.2500000000000001E-2</v>
      </c>
      <c r="I13" s="455">
        <f t="shared" si="1"/>
        <v>0.1618</v>
      </c>
      <c r="J13" s="456">
        <f t="shared" si="2"/>
        <v>72.950000000000045</v>
      </c>
      <c r="K13" s="455">
        <f t="shared" si="3"/>
        <v>0.91920000000000002</v>
      </c>
      <c r="L13" s="454" t="s">
        <v>71</v>
      </c>
      <c r="M13" s="453"/>
      <c r="N13" s="460" t="s">
        <v>373</v>
      </c>
      <c r="O13" s="451">
        <f>D13</f>
        <v>545.87</v>
      </c>
      <c r="P13" s="450">
        <f>'PROPYLENE-A12'!K76/10</f>
        <v>472.91999999999996</v>
      </c>
      <c r="Q13" s="449">
        <f>O13-P13</f>
        <v>72.950000000000045</v>
      </c>
      <c r="R13" s="448"/>
    </row>
    <row r="14" spans="1:18">
      <c r="A14" s="453"/>
      <c r="B14" s="460" t="s">
        <v>69</v>
      </c>
      <c r="C14" s="459">
        <f>'PP-A13'!K18/10</f>
        <v>275.89999999999998</v>
      </c>
      <c r="D14" s="459">
        <f>'PP-A13'!K47/10</f>
        <v>250.55</v>
      </c>
      <c r="E14" s="458">
        <v>27.389999999999997</v>
      </c>
      <c r="F14" s="458">
        <v>17.96</v>
      </c>
      <c r="G14" s="459">
        <f t="shared" si="5"/>
        <v>259.98</v>
      </c>
      <c r="H14" s="455">
        <f t="shared" si="0"/>
        <v>0.10539999999999999</v>
      </c>
      <c r="I14" s="455">
        <f t="shared" si="1"/>
        <v>7.17E-2</v>
      </c>
      <c r="J14" s="456">
        <f t="shared" si="2"/>
        <v>-9.4300000000000068</v>
      </c>
      <c r="K14" s="455">
        <f t="shared" si="3"/>
        <v>0.90810000000000002</v>
      </c>
      <c r="L14" s="454" t="s">
        <v>70</v>
      </c>
      <c r="M14" s="453"/>
      <c r="N14" s="452" t="s">
        <v>69</v>
      </c>
      <c r="O14" s="451">
        <f>D14</f>
        <v>250.55</v>
      </c>
      <c r="P14" s="450">
        <f>'PP-A13'!K76/10</f>
        <v>259.98</v>
      </c>
      <c r="Q14" s="449">
        <f>O14-P14</f>
        <v>-9.4300000000000068</v>
      </c>
      <c r="R14" s="448"/>
    </row>
    <row r="15" spans="1:18">
      <c r="A15" s="453"/>
      <c r="B15" s="460" t="s">
        <v>67</v>
      </c>
      <c r="C15" s="459">
        <f>'AN-A14'!K18/10</f>
        <v>49.8</v>
      </c>
      <c r="D15" s="459">
        <f>'AN-A14'!K47/10</f>
        <v>43.489999999999995</v>
      </c>
      <c r="E15" s="458">
        <v>1.73</v>
      </c>
      <c r="F15" s="458">
        <v>2.31</v>
      </c>
      <c r="G15" s="459">
        <f t="shared" si="5"/>
        <v>42.909999999999989</v>
      </c>
      <c r="H15" s="455">
        <f t="shared" si="0"/>
        <v>4.0300000000000002E-2</v>
      </c>
      <c r="I15" s="455">
        <f t="shared" si="1"/>
        <v>5.3100000000000001E-2</v>
      </c>
      <c r="J15" s="456">
        <f t="shared" si="2"/>
        <v>0.5800000000000054</v>
      </c>
      <c r="K15" s="455">
        <f t="shared" si="3"/>
        <v>0.87329999999999997</v>
      </c>
      <c r="L15" s="454" t="s">
        <v>68</v>
      </c>
      <c r="M15" s="453"/>
      <c r="N15" s="452" t="s">
        <v>67</v>
      </c>
      <c r="O15" s="451">
        <f>D15</f>
        <v>43.489999999999995</v>
      </c>
      <c r="P15" s="450">
        <f>'AN-A14'!K76/10</f>
        <v>42.910000000000004</v>
      </c>
      <c r="Q15" s="449">
        <f>O15-P15</f>
        <v>0.57999999999999119</v>
      </c>
      <c r="R15" s="448"/>
    </row>
    <row r="16" spans="1:18">
      <c r="A16" s="453"/>
      <c r="B16" s="460" t="s">
        <v>371</v>
      </c>
      <c r="C16" s="459">
        <f>'OTHER(C3)-A15'!K18/10</f>
        <v>170</v>
      </c>
      <c r="D16" s="459">
        <f>'OTHER(C3)-A15'!K47/10</f>
        <v>167.44939999999997</v>
      </c>
      <c r="E16" s="458">
        <v>8.7714749999999988</v>
      </c>
      <c r="F16" s="458">
        <v>18.009855000000002</v>
      </c>
      <c r="G16" s="459">
        <f t="shared" si="5"/>
        <v>158.21101999999996</v>
      </c>
      <c r="H16" s="455">
        <f t="shared" si="0"/>
        <v>5.5399999999999998E-2</v>
      </c>
      <c r="I16" s="455">
        <f t="shared" si="1"/>
        <v>0.1076</v>
      </c>
      <c r="J16" s="456">
        <f t="shared" si="2"/>
        <v>9.2383800000000065</v>
      </c>
      <c r="K16" s="455">
        <f t="shared" si="3"/>
        <v>0.98499999999999999</v>
      </c>
      <c r="L16" s="454" t="s">
        <v>66</v>
      </c>
      <c r="M16" s="453"/>
      <c r="N16" s="460" t="s">
        <v>371</v>
      </c>
      <c r="O16" s="451">
        <f>D16</f>
        <v>167.44939999999997</v>
      </c>
      <c r="P16" s="450">
        <f>'OTHER(C3)-A15'!K76/10</f>
        <v>158.21101999999999</v>
      </c>
      <c r="Q16" s="449">
        <f>O16-P16</f>
        <v>9.2383799999999781</v>
      </c>
      <c r="R16" s="448"/>
    </row>
    <row r="17" spans="1:18">
      <c r="A17" s="453"/>
      <c r="B17" s="460" t="s">
        <v>374</v>
      </c>
      <c r="C17" s="459">
        <f>C14*1.03+C15*1.09+C16</f>
        <v>508.45899999999995</v>
      </c>
      <c r="D17" s="459">
        <f>D14*1.03+D15*1.09+D16</f>
        <v>472.91999999999996</v>
      </c>
      <c r="E17" s="459">
        <f>E14*1.03+E15*1.09</f>
        <v>30.097399999999997</v>
      </c>
      <c r="F17" s="459">
        <f>F14*1.03+F15*1.09</f>
        <v>21.016700000000004</v>
      </c>
      <c r="G17" s="459">
        <f t="shared" si="5"/>
        <v>482.00069999999994</v>
      </c>
      <c r="H17" s="455">
        <f t="shared" si="0"/>
        <v>6.2399999999999997E-2</v>
      </c>
      <c r="I17" s="455">
        <f t="shared" si="1"/>
        <v>4.4400000000000002E-2</v>
      </c>
      <c r="J17" s="456">
        <f t="shared" si="2"/>
        <v>-9.0806999999999789</v>
      </c>
      <c r="K17" s="455">
        <f t="shared" si="3"/>
        <v>0.93010000000000004</v>
      </c>
      <c r="L17" s="454"/>
      <c r="M17" s="453"/>
      <c r="N17" s="460" t="s">
        <v>374</v>
      </c>
      <c r="O17" s="451"/>
      <c r="P17" s="450"/>
      <c r="Q17" s="461">
        <f>Q14*1.03+Q15*1.09+Q16</f>
        <v>0.15767999999996185</v>
      </c>
      <c r="R17" s="448"/>
    </row>
    <row r="18" spans="1:18">
      <c r="A18" s="453"/>
      <c r="B18" s="460" t="s">
        <v>375</v>
      </c>
      <c r="C18" s="459">
        <f>'BENZENE-A16'!K18/10</f>
        <v>574.1</v>
      </c>
      <c r="D18" s="459">
        <f>'BENZENE-A16'!K47/10</f>
        <v>438.4</v>
      </c>
      <c r="E18" s="458">
        <v>15</v>
      </c>
      <c r="F18" s="458">
        <v>75.099999999999994</v>
      </c>
      <c r="G18" s="459">
        <f t="shared" si="5"/>
        <v>378.29999999999995</v>
      </c>
      <c r="H18" s="455">
        <f t="shared" si="0"/>
        <v>3.9699999999999999E-2</v>
      </c>
      <c r="I18" s="455">
        <f t="shared" si="1"/>
        <v>0.17130000000000001</v>
      </c>
      <c r="J18" s="456">
        <f t="shared" si="2"/>
        <v>60.100000000000023</v>
      </c>
      <c r="K18" s="455">
        <f t="shared" si="3"/>
        <v>0.76359999999999995</v>
      </c>
      <c r="L18" s="454" t="s">
        <v>65</v>
      </c>
      <c r="M18" s="453"/>
      <c r="N18" s="460" t="s">
        <v>375</v>
      </c>
      <c r="O18" s="451">
        <f>D18</f>
        <v>438.4</v>
      </c>
      <c r="P18" s="450">
        <f>'BENZENE-A16'!K76/10</f>
        <v>378.3</v>
      </c>
      <c r="Q18" s="449">
        <f>O18-P18</f>
        <v>60.099999999999966</v>
      </c>
      <c r="R18" s="448"/>
    </row>
    <row r="19" spans="1:18">
      <c r="A19" s="453"/>
      <c r="B19" s="460" t="s">
        <v>376</v>
      </c>
      <c r="C19" s="459">
        <f>'TOLUENE-A17'!K18/10</f>
        <v>268</v>
      </c>
      <c r="D19" s="459">
        <f>'TOLUENE-A17'!K47/10</f>
        <v>212.9</v>
      </c>
      <c r="E19" s="458">
        <v>0.4</v>
      </c>
      <c r="F19" s="458">
        <v>67.599999999999994</v>
      </c>
      <c r="G19" s="459">
        <f t="shared" si="5"/>
        <v>145.70000000000002</v>
      </c>
      <c r="H19" s="455">
        <f t="shared" si="0"/>
        <v>2.7000000000000001E-3</v>
      </c>
      <c r="I19" s="455">
        <f t="shared" si="1"/>
        <v>0.3175</v>
      </c>
      <c r="J19" s="456">
        <f t="shared" si="2"/>
        <v>67.199999999999989</v>
      </c>
      <c r="K19" s="455">
        <f t="shared" si="3"/>
        <v>0.7944</v>
      </c>
      <c r="L19" s="454" t="s">
        <v>65</v>
      </c>
      <c r="M19" s="453"/>
      <c r="N19" s="460" t="s">
        <v>376</v>
      </c>
      <c r="O19" s="451">
        <f>D19</f>
        <v>212.9</v>
      </c>
      <c r="P19" s="450">
        <f>'TOLUENE-A17'!K76/10</f>
        <v>145.69999999999999</v>
      </c>
      <c r="Q19" s="449">
        <f>O19-P19</f>
        <v>67.200000000000017</v>
      </c>
      <c r="R19" s="448"/>
    </row>
    <row r="20" spans="1:18">
      <c r="A20" s="453"/>
      <c r="B20" s="460" t="s">
        <v>377</v>
      </c>
      <c r="C20" s="459">
        <f>'XYLENES-A18'!K18/10</f>
        <v>880.3</v>
      </c>
      <c r="D20" s="459">
        <f>'XYLENES-A18'!K47/10</f>
        <v>675.9</v>
      </c>
      <c r="E20" s="458">
        <v>0</v>
      </c>
      <c r="F20" s="458">
        <v>195.3</v>
      </c>
      <c r="G20" s="459">
        <f t="shared" si="5"/>
        <v>480.59999999999997</v>
      </c>
      <c r="H20" s="455" t="str">
        <f t="shared" si="0"/>
        <v xml:space="preserve">     0%</v>
      </c>
      <c r="I20" s="455">
        <f t="shared" si="1"/>
        <v>0.28889999999999999</v>
      </c>
      <c r="J20" s="456">
        <f t="shared" si="2"/>
        <v>195.3</v>
      </c>
      <c r="K20" s="455">
        <f t="shared" si="3"/>
        <v>0.76780000000000004</v>
      </c>
      <c r="L20" s="454" t="s">
        <v>65</v>
      </c>
      <c r="M20" s="453"/>
      <c r="N20" s="460" t="s">
        <v>377</v>
      </c>
      <c r="O20" s="451">
        <f>D20</f>
        <v>675.9</v>
      </c>
      <c r="P20" s="450">
        <f>'XYLENES-A18'!K76/10</f>
        <v>480.6</v>
      </c>
      <c r="Q20" s="449">
        <f>O20-P20</f>
        <v>195.29999999999995</v>
      </c>
      <c r="R20" s="448"/>
    </row>
    <row r="21" spans="1:18">
      <c r="A21" s="453"/>
      <c r="B21" s="460" t="s">
        <v>64</v>
      </c>
      <c r="C21" s="459">
        <f>'PX-A19'!K18/10</f>
        <v>368.2</v>
      </c>
      <c r="D21" s="459">
        <f>'PX-A19'!K47/10</f>
        <v>346.9</v>
      </c>
      <c r="E21" s="458">
        <v>5</v>
      </c>
      <c r="F21" s="458">
        <v>323.39999999999998</v>
      </c>
      <c r="G21" s="459">
        <f t="shared" si="5"/>
        <v>28.5</v>
      </c>
      <c r="H21" s="455">
        <f t="shared" si="0"/>
        <v>0.1754</v>
      </c>
      <c r="I21" s="455">
        <f t="shared" si="1"/>
        <v>0.93230000000000002</v>
      </c>
      <c r="J21" s="456">
        <f t="shared" si="2"/>
        <v>318.39999999999998</v>
      </c>
      <c r="K21" s="455">
        <f t="shared" si="3"/>
        <v>0.94220000000000004</v>
      </c>
      <c r="L21" s="454" t="s">
        <v>65</v>
      </c>
      <c r="M21" s="453"/>
      <c r="N21" s="452" t="s">
        <v>64</v>
      </c>
      <c r="O21" s="451">
        <f>D21</f>
        <v>346.9</v>
      </c>
      <c r="P21" s="450">
        <f>'PX-A19'!K76/10</f>
        <v>28.5</v>
      </c>
      <c r="Q21" s="449">
        <f>O21-P21</f>
        <v>318.39999999999998</v>
      </c>
      <c r="R21" s="448"/>
    </row>
    <row r="22" spans="1:18">
      <c r="A22" s="453"/>
      <c r="B22" s="460" t="s">
        <v>62</v>
      </c>
      <c r="C22" s="459">
        <f>'PTA-A20'!K18/10</f>
        <v>65</v>
      </c>
      <c r="D22" s="459">
        <f>'PTA-A20'!K47/10</f>
        <v>46.6</v>
      </c>
      <c r="E22" s="458">
        <v>11.7</v>
      </c>
      <c r="F22" s="458">
        <v>3.3</v>
      </c>
      <c r="G22" s="457">
        <f t="shared" si="5"/>
        <v>55</v>
      </c>
      <c r="H22" s="455">
        <f t="shared" si="0"/>
        <v>0.2127</v>
      </c>
      <c r="I22" s="455">
        <f t="shared" si="1"/>
        <v>7.0800000000000002E-2</v>
      </c>
      <c r="J22" s="456">
        <f t="shared" si="2"/>
        <v>-8.3999999999999986</v>
      </c>
      <c r="K22" s="455">
        <f t="shared" si="3"/>
        <v>0.71689999999999998</v>
      </c>
      <c r="L22" s="454" t="s">
        <v>63</v>
      </c>
      <c r="M22" s="453"/>
      <c r="N22" s="452" t="s">
        <v>62</v>
      </c>
      <c r="O22" s="451">
        <f>D22</f>
        <v>46.6</v>
      </c>
      <c r="P22" s="450">
        <f>'PTA-A20'!K76/10</f>
        <v>55</v>
      </c>
      <c r="Q22" s="449">
        <f>O22-P22</f>
        <v>-8.3999999999999986</v>
      </c>
      <c r="R22" s="448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R22"/>
  <sheetViews>
    <sheetView showGridLines="0" view="pageBreakPreview" zoomScale="85" zoomScaleNormal="100" zoomScaleSheetLayoutView="85" workbookViewId="0"/>
  </sheetViews>
  <sheetFormatPr defaultColWidth="9" defaultRowHeight="13.5"/>
  <cols>
    <col min="1" max="1" width="14.75" style="447" customWidth="1"/>
    <col min="2" max="2" width="21.125" style="447" customWidth="1"/>
    <col min="3" max="11" width="12.875" style="447" customWidth="1"/>
    <col min="12" max="12" width="20.875" style="447" bestFit="1" customWidth="1"/>
    <col min="13" max="13" width="2.75" style="447" customWidth="1"/>
    <col min="14" max="14" width="20.625" style="447" customWidth="1"/>
    <col min="15" max="16" width="12.875" style="447" customWidth="1"/>
    <col min="17" max="17" width="21.5" style="447" customWidth="1"/>
    <col min="18" max="18" width="22.375" customWidth="1"/>
    <col min="19" max="16384" width="9" style="447"/>
  </cols>
  <sheetData>
    <row r="1" spans="1:18" ht="39" customHeight="1">
      <c r="A1" s="476" t="s">
        <v>378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  <c r="N1"/>
      <c r="O1"/>
      <c r="P1"/>
      <c r="Q1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64">
        <f>'ETHYLENE-A1'!Q18/10</f>
        <v>650.45000000000005</v>
      </c>
      <c r="D5" s="459">
        <f>'ETHYLENE-A1'!Q47/10</f>
        <v>605.32934999999998</v>
      </c>
      <c r="E5" s="458">
        <v>12</v>
      </c>
      <c r="F5" s="458">
        <v>60</v>
      </c>
      <c r="G5" s="459">
        <f t="shared" ref="G5:G22" si="0">D5+E5-F5</f>
        <v>557.32934999999998</v>
      </c>
      <c r="H5" s="455">
        <f t="shared" ref="H5:H22" si="1">IF(AND(E5=0,G5=0),"    -",IF(E5=0,"     0%",IF(G5=0,"     -",ROUND(E5/G5,4))))</f>
        <v>2.1499999999999998E-2</v>
      </c>
      <c r="I5" s="455">
        <f t="shared" ref="I5:I22" si="2">IF(AND(D5=0,F5=0),"    -",IF(F5=0,"     0%",IF(D5=0,"     -",ROUND(F5/D5,4))))</f>
        <v>9.9099999999999994E-2</v>
      </c>
      <c r="J5" s="456">
        <f t="shared" ref="J5:J22" si="3">D5-G5</f>
        <v>48</v>
      </c>
      <c r="K5" s="455">
        <f t="shared" ref="K5:K22" si="4">IF(AND(D5=0,C5=0),"    -",IF(C5=0,"     0%",IF(D5=0,"     -",ROUND(D5/C5,4))))</f>
        <v>0.93059999999999998</v>
      </c>
      <c r="L5" s="454" t="s">
        <v>80</v>
      </c>
      <c r="M5" s="453"/>
      <c r="N5" s="452" t="s">
        <v>79</v>
      </c>
      <c r="O5" s="451">
        <f t="shared" ref="O5:O11" si="5">D5</f>
        <v>605.32934999999998</v>
      </c>
      <c r="P5" s="450">
        <f>'ETHYLENE-A1'!Q76/10</f>
        <v>557.32934999999998</v>
      </c>
      <c r="Q5" s="449">
        <f t="shared" ref="Q5:Q11" si="6">O5-P5</f>
        <v>48</v>
      </c>
      <c r="R5" s="448"/>
    </row>
    <row r="6" spans="1:18">
      <c r="A6" s="453"/>
      <c r="B6" s="460" t="s">
        <v>78</v>
      </c>
      <c r="C6" s="459">
        <f>'LDPE-A2'!Q18/10</f>
        <v>223.3</v>
      </c>
      <c r="D6" s="459">
        <f>'LDPE-A2'!Q47/10</f>
        <v>150.97999999999999</v>
      </c>
      <c r="E6" s="458">
        <v>41.38</v>
      </c>
      <c r="F6" s="458">
        <v>23.41</v>
      </c>
      <c r="G6" s="459">
        <f t="shared" si="0"/>
        <v>168.95</v>
      </c>
      <c r="H6" s="455">
        <f t="shared" si="1"/>
        <v>0.24490000000000001</v>
      </c>
      <c r="I6" s="455">
        <f t="shared" si="2"/>
        <v>0.15509999999999999</v>
      </c>
      <c r="J6" s="456">
        <f t="shared" si="3"/>
        <v>-17.97</v>
      </c>
      <c r="K6" s="455">
        <f t="shared" si="4"/>
        <v>0.67610000000000003</v>
      </c>
      <c r="L6" s="454" t="s">
        <v>77</v>
      </c>
      <c r="M6" s="453"/>
      <c r="N6" s="452" t="s">
        <v>78</v>
      </c>
      <c r="O6" s="451">
        <f t="shared" si="5"/>
        <v>150.97999999999999</v>
      </c>
      <c r="P6" s="450">
        <f>'LDPE-A2'!Q76/10</f>
        <v>168.95</v>
      </c>
      <c r="Q6" s="449">
        <f t="shared" si="6"/>
        <v>-17.97</v>
      </c>
      <c r="R6" s="448"/>
    </row>
    <row r="7" spans="1:18">
      <c r="A7" s="453"/>
      <c r="B7" s="460" t="s">
        <v>76</v>
      </c>
      <c r="C7" s="459">
        <f>'HDPE-A3'!Q18/10</f>
        <v>114.2</v>
      </c>
      <c r="D7" s="459">
        <f>'HDPE-A3'!Q47/10</f>
        <v>82.78</v>
      </c>
      <c r="E7" s="458">
        <v>21.119999999999997</v>
      </c>
      <c r="F7" s="458">
        <v>12.120000000000001</v>
      </c>
      <c r="G7" s="459">
        <f t="shared" si="0"/>
        <v>91.78</v>
      </c>
      <c r="H7" s="455">
        <f t="shared" si="1"/>
        <v>0.2301</v>
      </c>
      <c r="I7" s="455">
        <f t="shared" si="2"/>
        <v>0.1464</v>
      </c>
      <c r="J7" s="456">
        <f t="shared" si="3"/>
        <v>-9</v>
      </c>
      <c r="K7" s="455">
        <f t="shared" si="4"/>
        <v>0.72489999999999999</v>
      </c>
      <c r="L7" s="454" t="s">
        <v>77</v>
      </c>
      <c r="M7" s="453"/>
      <c r="N7" s="452" t="s">
        <v>76</v>
      </c>
      <c r="O7" s="451">
        <f t="shared" si="5"/>
        <v>82.78</v>
      </c>
      <c r="P7" s="450">
        <f>'HDPE-A3'!Q76/10</f>
        <v>91.78</v>
      </c>
      <c r="Q7" s="449">
        <f t="shared" si="6"/>
        <v>-9</v>
      </c>
      <c r="R7" s="448"/>
    </row>
    <row r="8" spans="1:18">
      <c r="A8" s="453"/>
      <c r="B8" s="460" t="s">
        <v>75</v>
      </c>
      <c r="C8" s="459">
        <f>'SM-A6'!Q18/10</f>
        <v>194.9</v>
      </c>
      <c r="D8" s="459">
        <f>'SM-A6'!Q47/10</f>
        <v>191.5</v>
      </c>
      <c r="E8" s="458">
        <v>0</v>
      </c>
      <c r="F8" s="458">
        <v>44.7</v>
      </c>
      <c r="G8" s="459">
        <f t="shared" si="0"/>
        <v>146.80000000000001</v>
      </c>
      <c r="H8" s="455" t="str">
        <f t="shared" si="1"/>
        <v xml:space="preserve">     0%</v>
      </c>
      <c r="I8" s="455">
        <f t="shared" si="2"/>
        <v>0.2334</v>
      </c>
      <c r="J8" s="456">
        <f t="shared" si="3"/>
        <v>44.699999999999989</v>
      </c>
      <c r="K8" s="455">
        <f t="shared" si="4"/>
        <v>0.98260000000000003</v>
      </c>
      <c r="L8" s="454" t="s">
        <v>68</v>
      </c>
      <c r="M8" s="453"/>
      <c r="N8" s="452" t="s">
        <v>75</v>
      </c>
      <c r="O8" s="451">
        <f t="shared" si="5"/>
        <v>191.5</v>
      </c>
      <c r="P8" s="450">
        <f>'SM-A6'!Q76/10</f>
        <v>146.80000000000001</v>
      </c>
      <c r="Q8" s="449">
        <f t="shared" si="6"/>
        <v>44.699999999999989</v>
      </c>
      <c r="R8" s="448"/>
    </row>
    <row r="9" spans="1:18">
      <c r="A9" s="453"/>
      <c r="B9" s="460" t="s">
        <v>74</v>
      </c>
      <c r="C9" s="459">
        <f>'EG-A10'!Q18/10</f>
        <v>84.26</v>
      </c>
      <c r="D9" s="459">
        <f>'EG-A10'!Q47/10</f>
        <v>67.5</v>
      </c>
      <c r="E9" s="458">
        <v>1</v>
      </c>
      <c r="F9" s="458">
        <v>28.8</v>
      </c>
      <c r="G9" s="459">
        <f t="shared" si="0"/>
        <v>39.700000000000003</v>
      </c>
      <c r="H9" s="455">
        <f t="shared" si="1"/>
        <v>2.52E-2</v>
      </c>
      <c r="I9" s="455">
        <f t="shared" si="2"/>
        <v>0.42670000000000002</v>
      </c>
      <c r="J9" s="456">
        <f t="shared" si="3"/>
        <v>27.799999999999997</v>
      </c>
      <c r="K9" s="455">
        <f t="shared" si="4"/>
        <v>0.80110000000000003</v>
      </c>
      <c r="L9" s="454" t="s">
        <v>71</v>
      </c>
      <c r="M9" s="453"/>
      <c r="N9" s="452" t="s">
        <v>74</v>
      </c>
      <c r="O9" s="451">
        <f t="shared" si="5"/>
        <v>67.5</v>
      </c>
      <c r="P9" s="450">
        <f>'EG-A10'!Q76/10</f>
        <v>39.700000000000003</v>
      </c>
      <c r="Q9" s="449">
        <f t="shared" si="6"/>
        <v>27.799999999999997</v>
      </c>
      <c r="R9" s="448"/>
    </row>
    <row r="10" spans="1:18">
      <c r="A10" s="453"/>
      <c r="B10" s="460" t="s">
        <v>72</v>
      </c>
      <c r="C10" s="459">
        <f>'PVC-A7'!Q18/10</f>
        <v>176.9</v>
      </c>
      <c r="D10" s="459">
        <f>'PVC-A7'!Q47/10</f>
        <v>160</v>
      </c>
      <c r="E10" s="458">
        <v>0.4</v>
      </c>
      <c r="F10" s="458">
        <v>59</v>
      </c>
      <c r="G10" s="459">
        <f t="shared" si="0"/>
        <v>101.4</v>
      </c>
      <c r="H10" s="455">
        <f t="shared" si="1"/>
        <v>3.8999999999999998E-3</v>
      </c>
      <c r="I10" s="455">
        <f t="shared" si="2"/>
        <v>0.36880000000000002</v>
      </c>
      <c r="J10" s="456">
        <f t="shared" si="3"/>
        <v>58.599999999999994</v>
      </c>
      <c r="K10" s="455">
        <f t="shared" si="4"/>
        <v>0.90449999999999997</v>
      </c>
      <c r="L10" s="454" t="s">
        <v>73</v>
      </c>
      <c r="M10" s="453"/>
      <c r="N10" s="452" t="s">
        <v>72</v>
      </c>
      <c r="O10" s="451">
        <f t="shared" si="5"/>
        <v>160</v>
      </c>
      <c r="P10" s="450">
        <f>'PVC-A7'!Q76/10</f>
        <v>101</v>
      </c>
      <c r="Q10" s="449">
        <f t="shared" si="6"/>
        <v>59</v>
      </c>
      <c r="R10" s="448"/>
    </row>
    <row r="11" spans="1:18">
      <c r="A11" s="453"/>
      <c r="B11" s="460" t="s">
        <v>371</v>
      </c>
      <c r="C11" s="459">
        <f>'OTHER(C2)-A11'!Q18/10</f>
        <v>142</v>
      </c>
      <c r="D11" s="459">
        <f>'OTHER(C2)-A11'!Q47/10</f>
        <v>103.64095</v>
      </c>
      <c r="E11" s="458">
        <v>3.4267600000000065</v>
      </c>
      <c r="F11" s="458">
        <v>11.993660000000023</v>
      </c>
      <c r="G11" s="459">
        <f t="shared" si="0"/>
        <v>95.074049999999986</v>
      </c>
      <c r="H11" s="455">
        <f t="shared" si="1"/>
        <v>3.5999999999999997E-2</v>
      </c>
      <c r="I11" s="455">
        <f t="shared" si="2"/>
        <v>0.1157</v>
      </c>
      <c r="J11" s="456">
        <f t="shared" si="3"/>
        <v>8.5669000000000182</v>
      </c>
      <c r="K11" s="455">
        <f t="shared" si="4"/>
        <v>0.72989999999999999</v>
      </c>
      <c r="L11" s="454"/>
      <c r="M11" s="453"/>
      <c r="N11" s="460" t="s">
        <v>371</v>
      </c>
      <c r="O11" s="451">
        <f t="shared" si="5"/>
        <v>103.64095</v>
      </c>
      <c r="P11" s="450">
        <f>'OTHER(C2)-A11'!Q76/10</f>
        <v>95.074049999999986</v>
      </c>
      <c r="Q11" s="449">
        <f t="shared" si="6"/>
        <v>8.5669000000000182</v>
      </c>
      <c r="R11" s="448"/>
    </row>
    <row r="12" spans="1:18">
      <c r="A12" s="453"/>
      <c r="B12" s="460" t="s">
        <v>372</v>
      </c>
      <c r="C12" s="463">
        <f>C6*0.98+C7*1.04+C8*0.29+C9*0.66+C10*0.5+C11</f>
        <v>680.18460000000005</v>
      </c>
      <c r="D12" s="463">
        <f>D6*0.98+D7*1.04+D8*0.29+D9*0.66+D10*0.5+D11</f>
        <v>517.77755000000002</v>
      </c>
      <c r="E12" s="462">
        <f>E6*0.98+E7*1.04+E8*0.29+E9*0.66+E10*0.5</f>
        <v>63.377199999999995</v>
      </c>
      <c r="F12" s="462">
        <f>F6*0.98+F7*1.04+F8*0.29+F9*0.66+F10*0.5</f>
        <v>97.017600000000002</v>
      </c>
      <c r="G12" s="459">
        <f t="shared" si="0"/>
        <v>484.13715000000002</v>
      </c>
      <c r="H12" s="455">
        <f t="shared" si="1"/>
        <v>0.13089999999999999</v>
      </c>
      <c r="I12" s="455">
        <f t="shared" si="2"/>
        <v>0.18740000000000001</v>
      </c>
      <c r="J12" s="456">
        <f t="shared" si="3"/>
        <v>33.6404</v>
      </c>
      <c r="K12" s="455">
        <f t="shared" si="4"/>
        <v>0.76119999999999999</v>
      </c>
      <c r="L12" s="454"/>
      <c r="M12" s="453"/>
      <c r="N12" s="460" t="s">
        <v>372</v>
      </c>
      <c r="O12" s="451"/>
      <c r="P12" s="450"/>
      <c r="Q12" s="461">
        <f>Q6*0.98+Q7*1.04+Q8*0.29+Q9*0.66*D24+Q10*0.5*D25+Q11</f>
        <v>-5.4406999999999837</v>
      </c>
      <c r="R12" s="448"/>
    </row>
    <row r="13" spans="1:18">
      <c r="A13" s="453"/>
      <c r="B13" s="460" t="s">
        <v>373</v>
      </c>
      <c r="C13" s="459">
        <f>'PROPYLENE-A12'!Q18/10</f>
        <v>574.93999999999994</v>
      </c>
      <c r="D13" s="459">
        <f>'PROPYLENE-A12'!Q47/10</f>
        <v>545.57933082010618</v>
      </c>
      <c r="E13" s="458">
        <v>12.5</v>
      </c>
      <c r="F13" s="458">
        <v>60</v>
      </c>
      <c r="G13" s="459">
        <f t="shared" si="0"/>
        <v>498.07933082010618</v>
      </c>
      <c r="H13" s="455">
        <f t="shared" si="1"/>
        <v>2.5100000000000001E-2</v>
      </c>
      <c r="I13" s="455">
        <f t="shared" si="2"/>
        <v>0.11</v>
      </c>
      <c r="J13" s="456">
        <f t="shared" si="3"/>
        <v>47.5</v>
      </c>
      <c r="K13" s="455">
        <f t="shared" si="4"/>
        <v>0.94889999999999997</v>
      </c>
      <c r="L13" s="454" t="s">
        <v>71</v>
      </c>
      <c r="M13" s="453"/>
      <c r="N13" s="460" t="s">
        <v>373</v>
      </c>
      <c r="O13" s="451">
        <f>D13</f>
        <v>545.57933082010618</v>
      </c>
      <c r="P13" s="450">
        <f>'PROPYLENE-A12'!Q76/10</f>
        <v>498.07933082010612</v>
      </c>
      <c r="Q13" s="449">
        <f>O13-P13</f>
        <v>47.500000000000057</v>
      </c>
      <c r="R13" s="448"/>
    </row>
    <row r="14" spans="1:18">
      <c r="A14" s="453"/>
      <c r="B14" s="460" t="s">
        <v>69</v>
      </c>
      <c r="C14" s="459">
        <f>'PP-A13'!Q18/10</f>
        <v>290.89999999999998</v>
      </c>
      <c r="D14" s="459">
        <f>'PP-A13'!Q47/10</f>
        <v>270.5</v>
      </c>
      <c r="E14" s="458">
        <v>27.8</v>
      </c>
      <c r="F14" s="458">
        <v>11.7</v>
      </c>
      <c r="G14" s="459">
        <f t="shared" si="0"/>
        <v>286.60000000000002</v>
      </c>
      <c r="H14" s="455">
        <f t="shared" si="1"/>
        <v>9.7000000000000003E-2</v>
      </c>
      <c r="I14" s="455">
        <f t="shared" si="2"/>
        <v>4.3299999999999998E-2</v>
      </c>
      <c r="J14" s="456">
        <f t="shared" si="3"/>
        <v>-16.100000000000023</v>
      </c>
      <c r="K14" s="455">
        <f t="shared" si="4"/>
        <v>0.92989999999999995</v>
      </c>
      <c r="L14" s="454" t="s">
        <v>70</v>
      </c>
      <c r="M14" s="453"/>
      <c r="N14" s="452" t="s">
        <v>69</v>
      </c>
      <c r="O14" s="451">
        <f>D14</f>
        <v>270.5</v>
      </c>
      <c r="P14" s="450">
        <f>'PP-A13'!Q76/10</f>
        <v>286.60000000000002</v>
      </c>
      <c r="Q14" s="449">
        <f>O14-P14</f>
        <v>-16.100000000000023</v>
      </c>
      <c r="R14" s="448"/>
    </row>
    <row r="15" spans="1:18">
      <c r="A15" s="453"/>
      <c r="B15" s="460" t="s">
        <v>67</v>
      </c>
      <c r="C15" s="459">
        <f>'AN-A14'!Q18/10</f>
        <v>50.5</v>
      </c>
      <c r="D15" s="459">
        <f>'AN-A14'!Q47/10</f>
        <v>45.2</v>
      </c>
      <c r="E15" s="458">
        <v>0.5</v>
      </c>
      <c r="F15" s="458">
        <v>2</v>
      </c>
      <c r="G15" s="459">
        <f t="shared" si="0"/>
        <v>43.7</v>
      </c>
      <c r="H15" s="455">
        <f t="shared" si="1"/>
        <v>1.14E-2</v>
      </c>
      <c r="I15" s="455">
        <f t="shared" si="2"/>
        <v>4.4200000000000003E-2</v>
      </c>
      <c r="J15" s="456">
        <f t="shared" si="3"/>
        <v>1.5</v>
      </c>
      <c r="K15" s="455">
        <f t="shared" si="4"/>
        <v>0.89500000000000002</v>
      </c>
      <c r="L15" s="454" t="s">
        <v>68</v>
      </c>
      <c r="M15" s="453"/>
      <c r="N15" s="452" t="s">
        <v>67</v>
      </c>
      <c r="O15" s="451">
        <f>D15</f>
        <v>45.2</v>
      </c>
      <c r="P15" s="450">
        <f>'AN-A14'!Q76/10</f>
        <v>43.3</v>
      </c>
      <c r="Q15" s="449">
        <f>O15-P15</f>
        <v>1.9000000000000057</v>
      </c>
      <c r="R15" s="448"/>
    </row>
    <row r="16" spans="1:18">
      <c r="A16" s="453"/>
      <c r="B16" s="460" t="s">
        <v>371</v>
      </c>
      <c r="C16" s="459">
        <f>'OTHER(C3)-A15'!Q18/10</f>
        <v>170</v>
      </c>
      <c r="D16" s="459">
        <f>'OTHER(C3)-A15'!Q47/10</f>
        <v>170.19633082010611</v>
      </c>
      <c r="E16" s="458">
        <v>11.01</v>
      </c>
      <c r="F16" s="458">
        <v>15.709999999999999</v>
      </c>
      <c r="G16" s="459">
        <f t="shared" si="0"/>
        <v>165.4963308201061</v>
      </c>
      <c r="H16" s="455">
        <f t="shared" si="1"/>
        <v>6.6500000000000004E-2</v>
      </c>
      <c r="I16" s="455">
        <f t="shared" si="2"/>
        <v>9.2299999999999993E-2</v>
      </c>
      <c r="J16" s="456">
        <f t="shared" si="3"/>
        <v>4.7000000000000171</v>
      </c>
      <c r="K16" s="455">
        <f t="shared" si="4"/>
        <v>1.0012000000000001</v>
      </c>
      <c r="L16" s="454" t="s">
        <v>66</v>
      </c>
      <c r="M16" s="453"/>
      <c r="N16" s="460" t="s">
        <v>371</v>
      </c>
      <c r="O16" s="451">
        <f>D16</f>
        <v>170.19633082010611</v>
      </c>
      <c r="P16" s="450">
        <f>'OTHER(C3)-A15'!Q76/10</f>
        <v>165.49633082010612</v>
      </c>
      <c r="Q16" s="449">
        <f>O16-P16</f>
        <v>4.6999999999999886</v>
      </c>
      <c r="R16" s="448"/>
    </row>
    <row r="17" spans="1:18">
      <c r="A17" s="453"/>
      <c r="B17" s="460" t="s">
        <v>374</v>
      </c>
      <c r="C17" s="459">
        <f>C14*1.03+C15*1.09+C16</f>
        <v>524.67200000000003</v>
      </c>
      <c r="D17" s="459">
        <f>D14*1.03+D15*1.09+D16</f>
        <v>498.07933082010618</v>
      </c>
      <c r="E17" s="459">
        <f>E14*1.03+E15*1.09</f>
        <v>29.179000000000002</v>
      </c>
      <c r="F17" s="459">
        <f>F14*1.03+F15*1.09</f>
        <v>14.231</v>
      </c>
      <c r="G17" s="459">
        <f t="shared" si="0"/>
        <v>513.02733082010616</v>
      </c>
      <c r="H17" s="455">
        <f t="shared" si="1"/>
        <v>5.6899999999999999E-2</v>
      </c>
      <c r="I17" s="455">
        <f t="shared" si="2"/>
        <v>2.86E-2</v>
      </c>
      <c r="J17" s="456">
        <f t="shared" si="3"/>
        <v>-14.947999999999979</v>
      </c>
      <c r="K17" s="455">
        <f t="shared" si="4"/>
        <v>0.94930000000000003</v>
      </c>
      <c r="L17" s="454"/>
      <c r="M17" s="453"/>
      <c r="N17" s="460" t="s">
        <v>374</v>
      </c>
      <c r="O17" s="451"/>
      <c r="P17" s="450"/>
      <c r="Q17" s="461">
        <f>Q14*1.03+Q15*1.09+Q16</f>
        <v>-9.8120000000000278</v>
      </c>
      <c r="R17" s="448"/>
    </row>
    <row r="18" spans="1:18">
      <c r="A18" s="453"/>
      <c r="B18" s="460" t="s">
        <v>375</v>
      </c>
      <c r="C18" s="459">
        <f>'BENZENE-A16'!Q18/10</f>
        <v>574.1</v>
      </c>
      <c r="D18" s="459">
        <f>'BENZENE-A16'!Q47/10</f>
        <v>401</v>
      </c>
      <c r="E18" s="458">
        <v>13</v>
      </c>
      <c r="F18" s="458">
        <v>77</v>
      </c>
      <c r="G18" s="459">
        <f t="shared" si="0"/>
        <v>337</v>
      </c>
      <c r="H18" s="455">
        <f t="shared" si="1"/>
        <v>3.8600000000000002E-2</v>
      </c>
      <c r="I18" s="455">
        <f t="shared" si="2"/>
        <v>0.192</v>
      </c>
      <c r="J18" s="456">
        <f t="shared" si="3"/>
        <v>64</v>
      </c>
      <c r="K18" s="455">
        <f t="shared" si="4"/>
        <v>0.69850000000000001</v>
      </c>
      <c r="L18" s="454" t="s">
        <v>65</v>
      </c>
      <c r="M18" s="453"/>
      <c r="N18" s="460" t="s">
        <v>375</v>
      </c>
      <c r="O18" s="451">
        <f>D18</f>
        <v>401</v>
      </c>
      <c r="P18" s="450">
        <f>'BENZENE-A16'!Q76/10</f>
        <v>337</v>
      </c>
      <c r="Q18" s="449">
        <f>O18-P18</f>
        <v>64</v>
      </c>
      <c r="R18" s="448"/>
    </row>
    <row r="19" spans="1:18">
      <c r="A19" s="453"/>
      <c r="B19" s="460" t="s">
        <v>376</v>
      </c>
      <c r="C19" s="459">
        <f>'TOLUENE-A17'!Q18/10</f>
        <v>268</v>
      </c>
      <c r="D19" s="459">
        <f>'TOLUENE-A17'!Q47/10</f>
        <v>207</v>
      </c>
      <c r="E19" s="458">
        <v>2</v>
      </c>
      <c r="F19" s="458">
        <v>71</v>
      </c>
      <c r="G19" s="459">
        <f t="shared" si="0"/>
        <v>138</v>
      </c>
      <c r="H19" s="455">
        <f t="shared" si="1"/>
        <v>1.4500000000000001E-2</v>
      </c>
      <c r="I19" s="455">
        <f t="shared" si="2"/>
        <v>0.34300000000000003</v>
      </c>
      <c r="J19" s="456">
        <f t="shared" si="3"/>
        <v>69</v>
      </c>
      <c r="K19" s="455">
        <f t="shared" si="4"/>
        <v>0.77239999999999998</v>
      </c>
      <c r="L19" s="454" t="s">
        <v>65</v>
      </c>
      <c r="M19" s="453"/>
      <c r="N19" s="460" t="s">
        <v>376</v>
      </c>
      <c r="O19" s="451">
        <f>D19</f>
        <v>207</v>
      </c>
      <c r="P19" s="450">
        <f>'TOLUENE-A17'!Q76/10</f>
        <v>138</v>
      </c>
      <c r="Q19" s="449">
        <f>O19-P19</f>
        <v>69</v>
      </c>
      <c r="R19" s="448"/>
    </row>
    <row r="20" spans="1:18">
      <c r="A20" s="453"/>
      <c r="B20" s="460" t="s">
        <v>377</v>
      </c>
      <c r="C20" s="459">
        <f>'XYLENES-A18'!Q18/10</f>
        <v>880.3</v>
      </c>
      <c r="D20" s="459">
        <f>'XYLENES-A18'!Q47/10</f>
        <v>676</v>
      </c>
      <c r="E20" s="458">
        <v>0</v>
      </c>
      <c r="F20" s="458">
        <v>191</v>
      </c>
      <c r="G20" s="459">
        <f t="shared" si="0"/>
        <v>485</v>
      </c>
      <c r="H20" s="455" t="str">
        <f t="shared" si="1"/>
        <v xml:space="preserve">     0%</v>
      </c>
      <c r="I20" s="455">
        <f t="shared" si="2"/>
        <v>0.28249999999999997</v>
      </c>
      <c r="J20" s="456">
        <f t="shared" si="3"/>
        <v>191</v>
      </c>
      <c r="K20" s="455">
        <f t="shared" si="4"/>
        <v>0.76790000000000003</v>
      </c>
      <c r="L20" s="454" t="s">
        <v>65</v>
      </c>
      <c r="M20" s="453"/>
      <c r="N20" s="460" t="s">
        <v>377</v>
      </c>
      <c r="O20" s="451">
        <f>D20</f>
        <v>676</v>
      </c>
      <c r="P20" s="450">
        <f>'XYLENES-A18'!Q76/10</f>
        <v>485</v>
      </c>
      <c r="Q20" s="449">
        <f>O20-P20</f>
        <v>191</v>
      </c>
      <c r="R20" s="448"/>
    </row>
    <row r="21" spans="1:18">
      <c r="A21" s="453"/>
      <c r="B21" s="460" t="s">
        <v>64</v>
      </c>
      <c r="C21" s="459">
        <f>'PX-A19'!Q18/10</f>
        <v>368.2</v>
      </c>
      <c r="D21" s="459">
        <f>'PX-A19'!Q47/10</f>
        <v>347</v>
      </c>
      <c r="E21" s="458">
        <v>5</v>
      </c>
      <c r="F21" s="458">
        <v>323</v>
      </c>
      <c r="G21" s="459">
        <f t="shared" si="0"/>
        <v>29</v>
      </c>
      <c r="H21" s="455">
        <f t="shared" si="1"/>
        <v>0.1724</v>
      </c>
      <c r="I21" s="455">
        <f t="shared" si="2"/>
        <v>0.93079999999999996</v>
      </c>
      <c r="J21" s="456">
        <f t="shared" si="3"/>
        <v>318</v>
      </c>
      <c r="K21" s="455">
        <f t="shared" si="4"/>
        <v>0.94240000000000002</v>
      </c>
      <c r="L21" s="454" t="s">
        <v>65</v>
      </c>
      <c r="M21" s="453"/>
      <c r="N21" s="452" t="s">
        <v>64</v>
      </c>
      <c r="O21" s="451">
        <f>D21</f>
        <v>347</v>
      </c>
      <c r="P21" s="450">
        <f>'PX-A19'!Q76/10</f>
        <v>29</v>
      </c>
      <c r="Q21" s="449">
        <f>O21-P21</f>
        <v>318</v>
      </c>
      <c r="R21" s="448"/>
    </row>
    <row r="22" spans="1:18">
      <c r="A22" s="453"/>
      <c r="B22" s="460" t="s">
        <v>62</v>
      </c>
      <c r="C22" s="459">
        <f>'PTA-A20'!Q18/10</f>
        <v>65</v>
      </c>
      <c r="D22" s="459">
        <f>'PTA-A20'!Q47/10</f>
        <v>47</v>
      </c>
      <c r="E22" s="458">
        <v>9.5</v>
      </c>
      <c r="F22" s="458">
        <v>1.5</v>
      </c>
      <c r="G22" s="457">
        <f t="shared" si="0"/>
        <v>55</v>
      </c>
      <c r="H22" s="455">
        <f t="shared" si="1"/>
        <v>0.17269999999999999</v>
      </c>
      <c r="I22" s="455">
        <f t="shared" si="2"/>
        <v>3.1899999999999998E-2</v>
      </c>
      <c r="J22" s="456">
        <f t="shared" si="3"/>
        <v>-8</v>
      </c>
      <c r="K22" s="455">
        <f t="shared" si="4"/>
        <v>0.72309999999999997</v>
      </c>
      <c r="L22" s="454" t="s">
        <v>63</v>
      </c>
      <c r="M22" s="453"/>
      <c r="N22" s="452" t="s">
        <v>62</v>
      </c>
      <c r="O22" s="451">
        <f>D22</f>
        <v>47</v>
      </c>
      <c r="P22" s="450">
        <f>'PTA-A20'!Q76/10</f>
        <v>55</v>
      </c>
      <c r="Q22" s="449">
        <f>O22-P22</f>
        <v>-8</v>
      </c>
      <c r="R22" s="448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9.6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476" t="s">
        <v>379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64">
        <f>'ETHYLENE-A1'!K10/10</f>
        <v>2335.1999999999998</v>
      </c>
      <c r="D5" s="459">
        <f>'ETHYLENE-A1'!K39/10</f>
        <v>2228.2846294820715</v>
      </c>
      <c r="E5" s="458">
        <v>216</v>
      </c>
      <c r="F5" s="458">
        <v>1</v>
      </c>
      <c r="G5" s="459">
        <f t="shared" ref="G5:G22" si="0">D5+E5-F5</f>
        <v>2443.2846294820715</v>
      </c>
      <c r="H5" s="455">
        <f>IF(AND(E5=0,G5=0),"    -",IF(E5=0,"     0%",IF(G5=0,"     -",ROUND(E5/G5,4))))</f>
        <v>8.8400000000000006E-2</v>
      </c>
      <c r="I5" s="455">
        <f>IF(AND(D5=0,F5=0),"    -",IF(F5=0,"     0%",IF(D5=0,"     -",ROUND(F5/D5,4))))</f>
        <v>4.0000000000000002E-4</v>
      </c>
      <c r="J5" s="456">
        <f t="shared" ref="J5:J22" si="1">D5-G5</f>
        <v>-215</v>
      </c>
      <c r="K5" s="455">
        <f t="shared" ref="K5:K22" si="2">IF(AND(D5=0,C5=0),"    -",IF(C5=0,"     0%",IF(D5=0,"     -",ROUND(D5/C5,4))))</f>
        <v>0.95420000000000005</v>
      </c>
      <c r="L5" s="454" t="s">
        <v>243</v>
      </c>
      <c r="M5" s="453"/>
      <c r="N5" s="452" t="s">
        <v>79</v>
      </c>
      <c r="O5" s="451">
        <f t="shared" ref="O5:O22" si="3">D5</f>
        <v>2228.2846294820715</v>
      </c>
      <c r="P5" s="450">
        <f>'ETHYLENE-A1'!K68/10</f>
        <v>2443.3846294820714</v>
      </c>
      <c r="Q5" s="449">
        <f>O5-P5</f>
        <v>-215.09999999999991</v>
      </c>
      <c r="R5" s="448"/>
    </row>
    <row r="6" spans="1:18">
      <c r="A6" s="453"/>
      <c r="B6" s="460" t="s">
        <v>78</v>
      </c>
      <c r="C6" s="459">
        <f>'LDPE-A2'!K10/10</f>
        <v>1062.7</v>
      </c>
      <c r="D6" s="459">
        <f>'LDPE-A2'!K39/10</f>
        <v>1006.4</v>
      </c>
      <c r="E6" s="458">
        <v>564</v>
      </c>
      <c r="F6" s="458">
        <v>10</v>
      </c>
      <c r="G6" s="459">
        <f t="shared" si="0"/>
        <v>1560.4</v>
      </c>
      <c r="H6" s="455">
        <f t="shared" ref="H6:H22" si="4">IF(AND(E6=0,G6=0),"    -",IF(E6=0,"     0%",IF(G6=0,"     -",ROUND(E6/G6,4))))</f>
        <v>0.3614</v>
      </c>
      <c r="I6" s="455">
        <f t="shared" ref="I6:I22" si="5">IF(AND(D6=0,F6=0),"    -",IF(F6=0,"     0%",IF(D6=0,"     -",ROUND(F6/D6,4))))</f>
        <v>9.9000000000000008E-3</v>
      </c>
      <c r="J6" s="456">
        <f t="shared" si="1"/>
        <v>-554.00000000000011</v>
      </c>
      <c r="K6" s="455">
        <f t="shared" si="2"/>
        <v>0.94699999999999995</v>
      </c>
      <c r="L6" s="454" t="s">
        <v>243</v>
      </c>
      <c r="M6" s="453"/>
      <c r="N6" s="452" t="s">
        <v>78</v>
      </c>
      <c r="O6" s="451">
        <f t="shared" si="3"/>
        <v>1006.4</v>
      </c>
      <c r="P6" s="450">
        <f>'LDPE-A2'!K68/10</f>
        <v>1560.3</v>
      </c>
      <c r="Q6" s="449">
        <f t="shared" ref="Q6:Q22" si="6">O6-P6</f>
        <v>-553.9</v>
      </c>
      <c r="R6" s="448"/>
    </row>
    <row r="7" spans="1:18">
      <c r="A7" s="453"/>
      <c r="B7" s="460" t="s">
        <v>76</v>
      </c>
      <c r="C7" s="459">
        <f>'HDPE-A3'!K10/10</f>
        <v>695.5</v>
      </c>
      <c r="D7" s="459">
        <f>'HDPE-A3'!K39/10</f>
        <v>641.29999999999995</v>
      </c>
      <c r="E7" s="458">
        <v>639</v>
      </c>
      <c r="F7" s="458">
        <v>15</v>
      </c>
      <c r="G7" s="459">
        <f t="shared" si="0"/>
        <v>1265.3</v>
      </c>
      <c r="H7" s="455">
        <f t="shared" si="4"/>
        <v>0.505</v>
      </c>
      <c r="I7" s="455">
        <f t="shared" si="5"/>
        <v>2.3400000000000001E-2</v>
      </c>
      <c r="J7" s="456">
        <f t="shared" si="1"/>
        <v>-624</v>
      </c>
      <c r="K7" s="455">
        <f t="shared" si="2"/>
        <v>0.92210000000000003</v>
      </c>
      <c r="L7" s="454" t="s">
        <v>243</v>
      </c>
      <c r="M7" s="453"/>
      <c r="N7" s="452" t="s">
        <v>76</v>
      </c>
      <c r="O7" s="451">
        <f t="shared" si="3"/>
        <v>641.29999999999995</v>
      </c>
      <c r="P7" s="450">
        <f>'HDPE-A3'!K68/10</f>
        <v>1265.3</v>
      </c>
      <c r="Q7" s="449">
        <f t="shared" si="6"/>
        <v>-624</v>
      </c>
      <c r="R7" s="448"/>
    </row>
    <row r="8" spans="1:18">
      <c r="A8" s="453"/>
      <c r="B8" s="460" t="s">
        <v>75</v>
      </c>
      <c r="C8" s="459">
        <f>'SM-A6'!K10/10</f>
        <v>826.5</v>
      </c>
      <c r="D8" s="459">
        <f>'SM-A6'!K39/10</f>
        <v>665.4</v>
      </c>
      <c r="E8" s="458">
        <v>324</v>
      </c>
      <c r="F8" s="458">
        <v>5</v>
      </c>
      <c r="G8" s="459">
        <f t="shared" si="0"/>
        <v>984.4</v>
      </c>
      <c r="H8" s="455">
        <f t="shared" si="4"/>
        <v>0.3291</v>
      </c>
      <c r="I8" s="455">
        <f t="shared" si="5"/>
        <v>7.4999999999999997E-3</v>
      </c>
      <c r="J8" s="456">
        <f t="shared" si="1"/>
        <v>-319</v>
      </c>
      <c r="K8" s="455">
        <f t="shared" si="2"/>
        <v>0.80510000000000004</v>
      </c>
      <c r="L8" s="454" t="s">
        <v>243</v>
      </c>
      <c r="M8" s="453"/>
      <c r="N8" s="452" t="s">
        <v>75</v>
      </c>
      <c r="O8" s="451">
        <f t="shared" si="3"/>
        <v>665.4</v>
      </c>
      <c r="P8" s="450">
        <f>'SM-A6'!K68/10</f>
        <v>984.1</v>
      </c>
      <c r="Q8" s="449">
        <f t="shared" si="6"/>
        <v>-318.70000000000005</v>
      </c>
      <c r="R8" s="448"/>
    </row>
    <row r="9" spans="1:18">
      <c r="A9" s="453"/>
      <c r="B9" s="460" t="s">
        <v>74</v>
      </c>
      <c r="C9" s="459">
        <f>'EG-A10'!K10/10</f>
        <v>808.5</v>
      </c>
      <c r="D9" s="459">
        <f>'EG-A10'!K39/10</f>
        <v>627.79999999999995</v>
      </c>
      <c r="E9" s="458">
        <v>874</v>
      </c>
      <c r="F9" s="458">
        <v>1</v>
      </c>
      <c r="G9" s="459">
        <f t="shared" si="0"/>
        <v>1500.8</v>
      </c>
      <c r="H9" s="455">
        <f t="shared" si="4"/>
        <v>0.58240000000000003</v>
      </c>
      <c r="I9" s="455">
        <f t="shared" si="5"/>
        <v>1.6000000000000001E-3</v>
      </c>
      <c r="J9" s="456">
        <f t="shared" si="1"/>
        <v>-873</v>
      </c>
      <c r="K9" s="455">
        <f t="shared" si="2"/>
        <v>0.77649999999999997</v>
      </c>
      <c r="L9" s="454" t="s">
        <v>243</v>
      </c>
      <c r="M9" s="453"/>
      <c r="N9" s="452" t="s">
        <v>74</v>
      </c>
      <c r="O9" s="451">
        <f t="shared" si="3"/>
        <v>627.79999999999995</v>
      </c>
      <c r="P9" s="450">
        <f>'EG-A10'!K68/10</f>
        <v>1500.5</v>
      </c>
      <c r="Q9" s="449">
        <f t="shared" si="6"/>
        <v>-872.7</v>
      </c>
      <c r="R9" s="448"/>
    </row>
    <row r="10" spans="1:18">
      <c r="A10" s="453"/>
      <c r="B10" s="460" t="s">
        <v>72</v>
      </c>
      <c r="C10" s="459">
        <f>'PVC-A7'!K10/10</f>
        <v>2206</v>
      </c>
      <c r="D10" s="459">
        <f>'PVC-A7'!K39/10</f>
        <v>1731.3</v>
      </c>
      <c r="E10" s="458">
        <v>91</v>
      </c>
      <c r="F10" s="458">
        <v>97</v>
      </c>
      <c r="G10" s="459">
        <f t="shared" si="0"/>
        <v>1725.3</v>
      </c>
      <c r="H10" s="455">
        <f t="shared" si="4"/>
        <v>5.2699999999999997E-2</v>
      </c>
      <c r="I10" s="455">
        <f t="shared" si="5"/>
        <v>5.6000000000000001E-2</v>
      </c>
      <c r="J10" s="456">
        <f t="shared" si="1"/>
        <v>6</v>
      </c>
      <c r="K10" s="455">
        <f t="shared" si="2"/>
        <v>0.78480000000000005</v>
      </c>
      <c r="L10" s="454" t="s">
        <v>244</v>
      </c>
      <c r="M10" s="453"/>
      <c r="N10" s="452" t="s">
        <v>72</v>
      </c>
      <c r="O10" s="451">
        <f t="shared" si="3"/>
        <v>1731.3</v>
      </c>
      <c r="P10" s="450">
        <f>'PVC-A7'!K68/10</f>
        <v>1725</v>
      </c>
      <c r="Q10" s="449">
        <f t="shared" si="6"/>
        <v>6.2999999999999545</v>
      </c>
      <c r="R10" s="448"/>
    </row>
    <row r="11" spans="1:18">
      <c r="A11" s="453"/>
      <c r="B11" s="460" t="s">
        <v>371</v>
      </c>
      <c r="C11" s="459">
        <f>'OTHER(C2)-A11'!K10/10</f>
        <v>141.1764705882353</v>
      </c>
      <c r="D11" s="459">
        <f>'OTHER(C2)-A11'!K39/10</f>
        <v>120</v>
      </c>
      <c r="E11" s="458">
        <v>0</v>
      </c>
      <c r="F11" s="458">
        <v>0</v>
      </c>
      <c r="G11" s="459">
        <f t="shared" si="0"/>
        <v>120</v>
      </c>
      <c r="H11" s="455" t="str">
        <f t="shared" si="4"/>
        <v xml:space="preserve">     0%</v>
      </c>
      <c r="I11" s="455" t="str">
        <f t="shared" si="5"/>
        <v xml:space="preserve">     0%</v>
      </c>
      <c r="J11" s="456">
        <f t="shared" si="1"/>
        <v>0</v>
      </c>
      <c r="K11" s="455">
        <f t="shared" si="2"/>
        <v>0.85</v>
      </c>
      <c r="L11" s="454"/>
      <c r="M11" s="453"/>
      <c r="N11" s="460" t="s">
        <v>371</v>
      </c>
      <c r="O11" s="451">
        <f t="shared" si="3"/>
        <v>120</v>
      </c>
      <c r="P11" s="450">
        <f>'OTHER(C2)-A11'!K68/10</f>
        <v>120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3">
        <f>C6*0.98+C7*1.04+C8*0.29+C9*0.66*C24+C10*0.5*C25+C11</f>
        <v>2846.4764705882349</v>
      </c>
      <c r="D12" s="463">
        <f>D6*0.98+D7*1.04+D8*0.29+D9*0.66*D24+D10*0.5*D25+D11</f>
        <v>2441.4245000000001</v>
      </c>
      <c r="E12" s="462">
        <f>E6*0.98+E7*1.04+E8*0.29+E9*0.66+E10*0.5</f>
        <v>1933.5800000000004</v>
      </c>
      <c r="F12" s="462">
        <f>F6*0.98+F7*1.04+F8*0.29+F9*0.66+F10*0.5</f>
        <v>76.010000000000005</v>
      </c>
      <c r="G12" s="459">
        <f t="shared" si="0"/>
        <v>4298.9945000000007</v>
      </c>
      <c r="H12" s="455">
        <f t="shared" si="4"/>
        <v>0.44979999999999998</v>
      </c>
      <c r="I12" s="455">
        <f t="shared" si="5"/>
        <v>3.1099999999999999E-2</v>
      </c>
      <c r="J12" s="456">
        <f t="shared" si="1"/>
        <v>-1857.5700000000006</v>
      </c>
      <c r="K12" s="455">
        <f t="shared" si="2"/>
        <v>0.85770000000000002</v>
      </c>
      <c r="L12" s="454" t="s">
        <v>243</v>
      </c>
      <c r="M12" s="453"/>
      <c r="N12" s="460" t="s">
        <v>372</v>
      </c>
      <c r="O12" s="451"/>
      <c r="P12" s="450"/>
      <c r="Q12" s="461">
        <f>Q6*0.98+Q7*1.04+Q8*0.29+Q9*0.66*D24+Q10*0.5*D25+Q11</f>
        <v>-1715.5930000000003</v>
      </c>
      <c r="R12" s="448"/>
    </row>
    <row r="13" spans="1:18">
      <c r="A13" s="453"/>
      <c r="B13" s="460" t="s">
        <v>373</v>
      </c>
      <c r="C13" s="459">
        <f>'PROPYLENE-A12'!K10/10</f>
        <v>3098.8</v>
      </c>
      <c r="D13" s="459">
        <f>'PROPYLENE-A12'!K39/10</f>
        <v>2638.4379999999996</v>
      </c>
      <c r="E13" s="458">
        <v>310</v>
      </c>
      <c r="F13" s="458">
        <v>0</v>
      </c>
      <c r="G13" s="459">
        <f t="shared" si="0"/>
        <v>2948.4379999999996</v>
      </c>
      <c r="H13" s="455">
        <f t="shared" si="4"/>
        <v>0.1051</v>
      </c>
      <c r="I13" s="455" t="str">
        <f t="shared" si="5"/>
        <v xml:space="preserve">     0%</v>
      </c>
      <c r="J13" s="456">
        <f t="shared" si="1"/>
        <v>-310</v>
      </c>
      <c r="K13" s="455">
        <f t="shared" si="2"/>
        <v>0.85140000000000005</v>
      </c>
      <c r="L13" s="454" t="s">
        <v>243</v>
      </c>
      <c r="M13" s="453"/>
      <c r="N13" s="460" t="s">
        <v>373</v>
      </c>
      <c r="O13" s="451">
        <f t="shared" si="3"/>
        <v>2638.4379999999996</v>
      </c>
      <c r="P13" s="450">
        <f>'PROPYLENE-A12'!K68/10</f>
        <v>2948.3379999999997</v>
      </c>
      <c r="Q13" s="449">
        <f t="shared" si="6"/>
        <v>-309.90000000000009</v>
      </c>
      <c r="R13" s="448"/>
    </row>
    <row r="14" spans="1:18">
      <c r="A14" s="453"/>
      <c r="B14" s="460" t="s">
        <v>69</v>
      </c>
      <c r="C14" s="459">
        <f>'PP-A13'!K10/10</f>
        <v>2512.4</v>
      </c>
      <c r="D14" s="459">
        <f>'PP-A13'!K39/10</f>
        <v>2182.4</v>
      </c>
      <c r="E14" s="458">
        <v>475</v>
      </c>
      <c r="F14" s="458">
        <v>35</v>
      </c>
      <c r="G14" s="459">
        <f t="shared" si="0"/>
        <v>2622.4</v>
      </c>
      <c r="H14" s="455">
        <f t="shared" si="4"/>
        <v>0.18110000000000001</v>
      </c>
      <c r="I14" s="455">
        <f t="shared" si="5"/>
        <v>1.6E-2</v>
      </c>
      <c r="J14" s="456">
        <f t="shared" si="1"/>
        <v>-440</v>
      </c>
      <c r="K14" s="455">
        <f t="shared" si="2"/>
        <v>0.86870000000000003</v>
      </c>
      <c r="L14" s="454" t="s">
        <v>243</v>
      </c>
      <c r="M14" s="453"/>
      <c r="N14" s="452" t="s">
        <v>69</v>
      </c>
      <c r="O14" s="451">
        <f t="shared" si="3"/>
        <v>2182.4</v>
      </c>
      <c r="P14" s="450">
        <f>'PP-A13'!K68/10</f>
        <v>2622.8</v>
      </c>
      <c r="Q14" s="449">
        <f t="shared" si="6"/>
        <v>-440.40000000000009</v>
      </c>
      <c r="R14" s="448"/>
    </row>
    <row r="15" spans="1:18">
      <c r="A15" s="453"/>
      <c r="B15" s="460" t="s">
        <v>67</v>
      </c>
      <c r="C15" s="459">
        <f>'AN-A14'!K10/10</f>
        <v>190</v>
      </c>
      <c r="D15" s="459">
        <f>'AN-A14'!K39/10</f>
        <v>184</v>
      </c>
      <c r="E15" s="458">
        <v>27</v>
      </c>
      <c r="F15" s="458">
        <v>1</v>
      </c>
      <c r="G15" s="459">
        <f t="shared" si="0"/>
        <v>210</v>
      </c>
      <c r="H15" s="455">
        <f t="shared" si="4"/>
        <v>0.12859999999999999</v>
      </c>
      <c r="I15" s="455">
        <f t="shared" si="5"/>
        <v>5.4000000000000003E-3</v>
      </c>
      <c r="J15" s="456">
        <f t="shared" si="1"/>
        <v>-26</v>
      </c>
      <c r="K15" s="455">
        <f t="shared" si="2"/>
        <v>0.96840000000000004</v>
      </c>
      <c r="L15" s="454" t="s">
        <v>243</v>
      </c>
      <c r="M15" s="453"/>
      <c r="N15" s="452" t="s">
        <v>67</v>
      </c>
      <c r="O15" s="451">
        <f t="shared" si="3"/>
        <v>184</v>
      </c>
      <c r="P15" s="450">
        <f>'AN-A14'!K68/10</f>
        <v>210.1</v>
      </c>
      <c r="Q15" s="449">
        <f t="shared" si="6"/>
        <v>-26.099999999999994</v>
      </c>
      <c r="R15" s="448"/>
    </row>
    <row r="16" spans="1:18">
      <c r="A16" s="453"/>
      <c r="B16" s="460" t="s">
        <v>371</v>
      </c>
      <c r="C16" s="459">
        <f>'OTHER(C3)-A15'!K10/10</f>
        <v>624.88249999999971</v>
      </c>
      <c r="D16" s="459">
        <f>'OTHER(C3)-A15'!K39/10</f>
        <v>499.90599999999978</v>
      </c>
      <c r="E16" s="458"/>
      <c r="F16" s="458">
        <v>0</v>
      </c>
      <c r="G16" s="459">
        <f t="shared" si="0"/>
        <v>499.90599999999978</v>
      </c>
      <c r="H16" s="455" t="str">
        <f t="shared" si="4"/>
        <v xml:space="preserve">     0%</v>
      </c>
      <c r="I16" s="455" t="str">
        <f t="shared" si="5"/>
        <v xml:space="preserve">     0%</v>
      </c>
      <c r="J16" s="456">
        <f t="shared" si="1"/>
        <v>0</v>
      </c>
      <c r="K16" s="455">
        <f t="shared" si="2"/>
        <v>0.8</v>
      </c>
      <c r="L16" s="454" t="s">
        <v>243</v>
      </c>
      <c r="M16" s="453"/>
      <c r="N16" s="460" t="s">
        <v>371</v>
      </c>
      <c r="O16" s="451">
        <f t="shared" si="3"/>
        <v>499.90599999999978</v>
      </c>
      <c r="P16" s="450">
        <f>'OTHER(C3)-A15'!K68/10</f>
        <v>499.90599999999978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3419.7544999999996</v>
      </c>
      <c r="D17" s="459">
        <f>D14*1.03+D15*1.09+D16</f>
        <v>2948.3380000000002</v>
      </c>
      <c r="E17" s="459">
        <f>E14*1.03+E15*1.09</f>
        <v>518.67999999999995</v>
      </c>
      <c r="F17" s="459">
        <f>F14*1.03+F15*1.09</f>
        <v>37.140000000000008</v>
      </c>
      <c r="G17" s="459">
        <f t="shared" si="0"/>
        <v>3429.8780000000002</v>
      </c>
      <c r="H17" s="455">
        <f t="shared" si="4"/>
        <v>0.1512</v>
      </c>
      <c r="I17" s="455">
        <f t="shared" si="5"/>
        <v>1.26E-2</v>
      </c>
      <c r="J17" s="456">
        <f t="shared" si="1"/>
        <v>-481.53999999999996</v>
      </c>
      <c r="K17" s="455">
        <f t="shared" si="2"/>
        <v>0.86209999999999998</v>
      </c>
      <c r="L17" s="454"/>
      <c r="M17" s="453"/>
      <c r="N17" s="460" t="s">
        <v>374</v>
      </c>
      <c r="O17" s="451"/>
      <c r="P17" s="450"/>
      <c r="Q17" s="461">
        <f>Q14*1.03+Q15*1.09+Q16</f>
        <v>-482.06100000000009</v>
      </c>
      <c r="R17" s="448"/>
    </row>
    <row r="18" spans="1:18">
      <c r="A18" s="453"/>
      <c r="B18" s="460" t="s">
        <v>375</v>
      </c>
      <c r="C18" s="459">
        <f>'BENZENE-A16'!K10/10</f>
        <v>1674.7</v>
      </c>
      <c r="D18" s="459">
        <f>'BENZENE-A16'!K39/10</f>
        <v>1096.8</v>
      </c>
      <c r="E18" s="458">
        <v>252</v>
      </c>
      <c r="F18" s="458">
        <v>3</v>
      </c>
      <c r="G18" s="459">
        <f t="shared" si="0"/>
        <v>1345.8</v>
      </c>
      <c r="H18" s="455">
        <f t="shared" si="4"/>
        <v>0.18720000000000001</v>
      </c>
      <c r="I18" s="455">
        <f t="shared" si="5"/>
        <v>2.7000000000000001E-3</v>
      </c>
      <c r="J18" s="456">
        <f t="shared" si="1"/>
        <v>-249</v>
      </c>
      <c r="K18" s="455">
        <f t="shared" si="2"/>
        <v>0.65490000000000004</v>
      </c>
      <c r="L18" s="454" t="s">
        <v>243</v>
      </c>
      <c r="M18" s="453"/>
      <c r="N18" s="460" t="s">
        <v>375</v>
      </c>
      <c r="O18" s="451">
        <f t="shared" si="3"/>
        <v>1096.8</v>
      </c>
      <c r="P18" s="450">
        <f>'BENZENE-A16'!K68/10</f>
        <v>1345.6</v>
      </c>
      <c r="Q18" s="449">
        <f t="shared" si="6"/>
        <v>-248.79999999999995</v>
      </c>
      <c r="R18" s="448"/>
    </row>
    <row r="19" spans="1:18">
      <c r="A19" s="453"/>
      <c r="B19" s="460" t="s">
        <v>376</v>
      </c>
      <c r="C19" s="459">
        <f>'TOLUENE-A17'!K10/10</f>
        <v>1642.7</v>
      </c>
      <c r="D19" s="459">
        <f>'TOLUENE-A17'!K39/10</f>
        <v>639.5</v>
      </c>
      <c r="E19" s="458">
        <v>51</v>
      </c>
      <c r="F19" s="458">
        <v>0</v>
      </c>
      <c r="G19" s="459">
        <f t="shared" si="0"/>
        <v>690.5</v>
      </c>
      <c r="H19" s="455">
        <f t="shared" si="4"/>
        <v>7.3899999999999993E-2</v>
      </c>
      <c r="I19" s="455" t="str">
        <f t="shared" si="5"/>
        <v xml:space="preserve">     0%</v>
      </c>
      <c r="J19" s="456">
        <f t="shared" si="1"/>
        <v>-51</v>
      </c>
      <c r="K19" s="455">
        <f t="shared" si="2"/>
        <v>0.38929999999999998</v>
      </c>
      <c r="L19" s="454" t="s">
        <v>243</v>
      </c>
      <c r="M19" s="453"/>
      <c r="N19" s="460" t="s">
        <v>376</v>
      </c>
      <c r="O19" s="451">
        <f t="shared" si="3"/>
        <v>639.5</v>
      </c>
      <c r="P19" s="450">
        <f>'TOLUENE-A17'!K68/10</f>
        <v>690.3</v>
      </c>
      <c r="Q19" s="449">
        <f t="shared" si="6"/>
        <v>-50.799999999999955</v>
      </c>
      <c r="R19" s="448"/>
    </row>
    <row r="20" spans="1:18">
      <c r="A20" s="453"/>
      <c r="B20" s="460" t="s">
        <v>377</v>
      </c>
      <c r="C20" s="459">
        <f>'XYLENES-A18'!K10/10</f>
        <v>2512</v>
      </c>
      <c r="D20" s="459">
        <f>'XYLENES-A18'!K39/10</f>
        <v>1074.5</v>
      </c>
      <c r="E20" s="458">
        <v>48</v>
      </c>
      <c r="F20" s="458">
        <v>1</v>
      </c>
      <c r="G20" s="459">
        <f t="shared" si="0"/>
        <v>1121.5</v>
      </c>
      <c r="H20" s="455">
        <f t="shared" si="4"/>
        <v>4.2799999999999998E-2</v>
      </c>
      <c r="I20" s="455">
        <f t="shared" si="5"/>
        <v>8.9999999999999998E-4</v>
      </c>
      <c r="J20" s="456">
        <f t="shared" si="1"/>
        <v>-47</v>
      </c>
      <c r="K20" s="455">
        <f t="shared" si="2"/>
        <v>0.42770000000000002</v>
      </c>
      <c r="L20" s="454" t="s">
        <v>243</v>
      </c>
      <c r="M20" s="453"/>
      <c r="N20" s="460" t="s">
        <v>377</v>
      </c>
      <c r="O20" s="451">
        <f t="shared" si="3"/>
        <v>1074.5</v>
      </c>
      <c r="P20" s="450">
        <f>'XYLENES-A18'!K68/10</f>
        <v>1121.9000000000001</v>
      </c>
      <c r="Q20" s="449">
        <f t="shared" si="6"/>
        <v>-47.400000000000091</v>
      </c>
      <c r="R20" s="448"/>
    </row>
    <row r="21" spans="1:18">
      <c r="A21" s="453"/>
      <c r="B21" s="460" t="s">
        <v>64</v>
      </c>
      <c r="C21" s="459">
        <f>'PX-A19'!K10/10</f>
        <v>1174</v>
      </c>
      <c r="D21" s="459">
        <f>'PX-A19'!K39/10</f>
        <v>937.1</v>
      </c>
      <c r="E21" s="458">
        <v>1444</v>
      </c>
      <c r="F21" s="458">
        <v>4</v>
      </c>
      <c r="G21" s="459">
        <f t="shared" si="0"/>
        <v>2377.1</v>
      </c>
      <c r="H21" s="455">
        <f t="shared" si="4"/>
        <v>0.60750000000000004</v>
      </c>
      <c r="I21" s="455">
        <f t="shared" si="5"/>
        <v>4.3E-3</v>
      </c>
      <c r="J21" s="456">
        <f t="shared" si="1"/>
        <v>-1440</v>
      </c>
      <c r="K21" s="455">
        <f t="shared" si="2"/>
        <v>0.79820000000000002</v>
      </c>
      <c r="L21" s="454" t="s">
        <v>243</v>
      </c>
      <c r="M21" s="453"/>
      <c r="N21" s="452" t="s">
        <v>64</v>
      </c>
      <c r="O21" s="451">
        <f t="shared" si="3"/>
        <v>937.1</v>
      </c>
      <c r="P21" s="450">
        <f>'PX-A19'!K68/10</f>
        <v>2377.4</v>
      </c>
      <c r="Q21" s="449">
        <f t="shared" si="6"/>
        <v>-1440.3000000000002</v>
      </c>
      <c r="R21" s="448"/>
    </row>
    <row r="22" spans="1:18">
      <c r="A22" s="453"/>
      <c r="B22" s="460" t="s">
        <v>62</v>
      </c>
      <c r="C22" s="459">
        <f>'PTA-A20'!K10/10</f>
        <v>4018.5</v>
      </c>
      <c r="D22" s="459">
        <f>'PTA-A20'!K39/10</f>
        <v>3569</v>
      </c>
      <c r="E22" s="458">
        <v>54</v>
      </c>
      <c r="F22" s="458">
        <v>53</v>
      </c>
      <c r="G22" s="459">
        <f t="shared" si="0"/>
        <v>3570</v>
      </c>
      <c r="H22" s="455">
        <f t="shared" si="4"/>
        <v>1.5100000000000001E-2</v>
      </c>
      <c r="I22" s="455">
        <f t="shared" si="5"/>
        <v>1.49E-2</v>
      </c>
      <c r="J22" s="456">
        <f t="shared" si="1"/>
        <v>-1</v>
      </c>
      <c r="K22" s="455">
        <f t="shared" si="2"/>
        <v>0.8881</v>
      </c>
      <c r="L22" s="454" t="s">
        <v>243</v>
      </c>
      <c r="M22" s="453"/>
      <c r="N22" s="452" t="s">
        <v>62</v>
      </c>
      <c r="O22" s="451">
        <f t="shared" si="3"/>
        <v>3569</v>
      </c>
      <c r="P22" s="450">
        <f>'PTA-A20'!K68/10</f>
        <v>3570.4</v>
      </c>
      <c r="Q22" s="449">
        <f t="shared" si="6"/>
        <v>-1.4000000000000909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A24" s="453"/>
      <c r="B24" s="453"/>
      <c r="C24" s="479">
        <v>0.9</v>
      </c>
      <c r="D24" s="479">
        <v>0.75</v>
      </c>
      <c r="E24" s="478" t="s">
        <v>92</v>
      </c>
      <c r="F24" s="477"/>
      <c r="G24" s="477"/>
      <c r="H24" s="453"/>
      <c r="I24" s="453"/>
      <c r="J24" s="453"/>
      <c r="K24" s="453"/>
      <c r="L24" s="453"/>
      <c r="M24" s="453"/>
    </row>
    <row r="25" spans="1:18">
      <c r="A25" s="453"/>
      <c r="B25" s="453"/>
      <c r="C25" s="479">
        <v>0.2</v>
      </c>
      <c r="D25" s="479">
        <v>0.19</v>
      </c>
      <c r="E25" s="478" t="s">
        <v>91</v>
      </c>
      <c r="F25" s="477"/>
      <c r="G25" s="477"/>
      <c r="H25" s="453"/>
      <c r="I25" s="453"/>
      <c r="J25" s="453"/>
      <c r="K25" s="453"/>
      <c r="L25" s="453"/>
      <c r="M25" s="453"/>
    </row>
    <row r="26" spans="1:18">
      <c r="A26" s="453"/>
      <c r="B26" s="453"/>
      <c r="C26" s="453"/>
      <c r="D26" s="453"/>
      <c r="E26" s="453"/>
      <c r="F26" s="453"/>
      <c r="G26" s="453"/>
      <c r="H26" s="453"/>
      <c r="I26" s="453"/>
      <c r="J26" s="453"/>
      <c r="K26" s="453"/>
      <c r="L26" s="453"/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3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T26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9.6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  <col min="19" max="19" width="11.375" customWidth="1"/>
    <col min="20" max="20" width="22.375" customWidth="1"/>
  </cols>
  <sheetData>
    <row r="1" spans="1:20" ht="39" customHeight="1">
      <c r="A1" s="476" t="s">
        <v>380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20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473"/>
      <c r="O2" s="632"/>
      <c r="P2" s="633"/>
      <c r="Q2" s="638" t="s">
        <v>364</v>
      </c>
      <c r="R2" s="588"/>
      <c r="T2" s="588"/>
    </row>
    <row r="3" spans="1:20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469"/>
      <c r="O3" s="635" t="s">
        <v>368</v>
      </c>
      <c r="P3" s="635" t="s">
        <v>369</v>
      </c>
      <c r="Q3" s="639" t="s">
        <v>83</v>
      </c>
      <c r="R3" s="588"/>
      <c r="T3" s="588"/>
    </row>
    <row r="4" spans="1:20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465"/>
      <c r="O4" s="636"/>
      <c r="P4" s="637"/>
      <c r="Q4" s="640" t="s">
        <v>370</v>
      </c>
    </row>
    <row r="5" spans="1:20">
      <c r="A5" s="453"/>
      <c r="B5" s="460" t="s">
        <v>79</v>
      </c>
      <c r="C5" s="464">
        <f>'ETHYLENE-A1'!Q10/10</f>
        <v>4112.8</v>
      </c>
      <c r="D5" s="459">
        <f>'ETHYLENE-A1'!Q39/10</f>
        <v>3380.3734782438783</v>
      </c>
      <c r="E5" s="458">
        <v>150</v>
      </c>
      <c r="F5" s="458">
        <v>0</v>
      </c>
      <c r="G5" s="459">
        <f t="shared" ref="G5:G22" si="0">D5+E5-F5</f>
        <v>3530.3734782438783</v>
      </c>
      <c r="H5" s="455">
        <f>IF(AND(E5=0,G5=0),"    -",IF(E5=0,"     0%",IF(G5=0,"     -",ROUND(E5/G5,4))))</f>
        <v>4.2500000000000003E-2</v>
      </c>
      <c r="I5" s="455" t="str">
        <f>IF(AND(D5=0,F5=0),"    -",IF(F5=0,"     0%",IF(D5=0,"     -",ROUND(F5/D5,4))))</f>
        <v xml:space="preserve">     0%</v>
      </c>
      <c r="J5" s="456">
        <f t="shared" ref="J5:J22" si="1">D5-G5</f>
        <v>-150</v>
      </c>
      <c r="K5" s="455">
        <f t="shared" ref="K5:K22" si="2">IF(AND(D5=0,C5=0),"    -",IF(C5=0,"     0%",IF(D5=0,"     -",ROUND(D5/C5,4))))</f>
        <v>0.82189999999999996</v>
      </c>
      <c r="L5" s="454" t="s">
        <v>243</v>
      </c>
      <c r="M5" s="453"/>
      <c r="N5" s="452" t="s">
        <v>79</v>
      </c>
      <c r="O5" s="451">
        <f>D5</f>
        <v>3380.3734782438783</v>
      </c>
      <c r="P5" s="450">
        <f>'ETHYLENE-A1'!Q68/10</f>
        <v>3530.3734782438783</v>
      </c>
      <c r="Q5" s="449">
        <f>O5-P5</f>
        <v>-150</v>
      </c>
      <c r="R5" s="448"/>
      <c r="T5" s="448"/>
    </row>
    <row r="6" spans="1:20">
      <c r="A6" s="453"/>
      <c r="B6" s="460" t="s">
        <v>78</v>
      </c>
      <c r="C6" s="459">
        <f>'LDPE-A2'!Q10/10</f>
        <v>1443.4</v>
      </c>
      <c r="D6" s="459">
        <f>'LDPE-A2'!Q39/10</f>
        <v>1300.4000000000001</v>
      </c>
      <c r="E6" s="458">
        <v>787</v>
      </c>
      <c r="F6" s="458">
        <v>0</v>
      </c>
      <c r="G6" s="459">
        <f t="shared" si="0"/>
        <v>2087.4</v>
      </c>
      <c r="H6" s="455">
        <f t="shared" ref="H6:H22" si="3">IF(AND(E6=0,G6=0),"    -",IF(E6=0,"     0%",IF(G6=0,"     -",ROUND(E6/G6,4))))</f>
        <v>0.377</v>
      </c>
      <c r="I6" s="455" t="str">
        <f t="shared" ref="I6:I22" si="4">IF(AND(D6=0,F6=0),"    -",IF(F6=0,"     0%",IF(D6=0,"     -",ROUND(F6/D6,4))))</f>
        <v xml:space="preserve">     0%</v>
      </c>
      <c r="J6" s="456">
        <f t="shared" si="1"/>
        <v>-787</v>
      </c>
      <c r="K6" s="455">
        <f t="shared" si="2"/>
        <v>0.90090000000000003</v>
      </c>
      <c r="L6" s="454" t="s">
        <v>243</v>
      </c>
      <c r="M6" s="453"/>
      <c r="N6" s="452" t="s">
        <v>78</v>
      </c>
      <c r="O6" s="451">
        <f t="shared" ref="O6:O22" si="5">D6</f>
        <v>1300.4000000000001</v>
      </c>
      <c r="P6" s="450">
        <f>'LDPE-A2'!Q68/10</f>
        <v>2086.9</v>
      </c>
      <c r="Q6" s="449">
        <f t="shared" ref="Q6:Q22" si="6">O6-P6</f>
        <v>-786.5</v>
      </c>
      <c r="R6" s="448"/>
      <c r="T6" s="448"/>
    </row>
    <row r="7" spans="1:20">
      <c r="A7" s="453"/>
      <c r="B7" s="460" t="s">
        <v>76</v>
      </c>
      <c r="C7" s="459">
        <f>'HDPE-A3'!Q10/10</f>
        <v>1193.5</v>
      </c>
      <c r="D7" s="459">
        <f>'HDPE-A3'!Q39/10</f>
        <v>1021.5</v>
      </c>
      <c r="E7" s="458">
        <v>658</v>
      </c>
      <c r="F7" s="458">
        <v>0</v>
      </c>
      <c r="G7" s="459">
        <f t="shared" si="0"/>
        <v>1679.5</v>
      </c>
      <c r="H7" s="455">
        <f t="shared" si="3"/>
        <v>0.39179999999999998</v>
      </c>
      <c r="I7" s="455" t="str">
        <f t="shared" si="4"/>
        <v xml:space="preserve">     0%</v>
      </c>
      <c r="J7" s="456">
        <f t="shared" si="1"/>
        <v>-658</v>
      </c>
      <c r="K7" s="455">
        <f t="shared" si="2"/>
        <v>0.85589999999999999</v>
      </c>
      <c r="L7" s="454" t="s">
        <v>243</v>
      </c>
      <c r="M7" s="453"/>
      <c r="N7" s="452" t="s">
        <v>76</v>
      </c>
      <c r="O7" s="451">
        <f t="shared" si="5"/>
        <v>1021.5</v>
      </c>
      <c r="P7" s="450">
        <f>'HDPE-A3'!Q68/10</f>
        <v>1679.7</v>
      </c>
      <c r="Q7" s="449">
        <f t="shared" si="6"/>
        <v>-658.2</v>
      </c>
      <c r="R7" s="448"/>
      <c r="T7" s="448"/>
    </row>
    <row r="8" spans="1:20">
      <c r="A8" s="453"/>
      <c r="B8" s="460" t="s">
        <v>75</v>
      </c>
      <c r="C8" s="459">
        <f>'SM-A6'!Q10/10</f>
        <v>1579.9</v>
      </c>
      <c r="D8" s="459">
        <f>'SM-A6'!Q39/10</f>
        <v>1055</v>
      </c>
      <c r="E8" s="458">
        <v>125</v>
      </c>
      <c r="F8" s="458">
        <v>0</v>
      </c>
      <c r="G8" s="459">
        <f t="shared" si="0"/>
        <v>1180</v>
      </c>
      <c r="H8" s="455">
        <f t="shared" si="3"/>
        <v>0.10589999999999999</v>
      </c>
      <c r="I8" s="455" t="str">
        <f t="shared" si="4"/>
        <v xml:space="preserve">     0%</v>
      </c>
      <c r="J8" s="456">
        <f t="shared" si="1"/>
        <v>-125</v>
      </c>
      <c r="K8" s="455">
        <f t="shared" si="2"/>
        <v>0.66779999999999995</v>
      </c>
      <c r="L8" s="454" t="s">
        <v>243</v>
      </c>
      <c r="M8" s="453"/>
      <c r="N8" s="452" t="s">
        <v>75</v>
      </c>
      <c r="O8" s="451">
        <f t="shared" si="5"/>
        <v>1055</v>
      </c>
      <c r="P8" s="450">
        <f>'SM-A6'!Q68/10</f>
        <v>1179.5</v>
      </c>
      <c r="Q8" s="449">
        <f t="shared" si="6"/>
        <v>-124.5</v>
      </c>
      <c r="R8" s="448"/>
      <c r="T8" s="448"/>
    </row>
    <row r="9" spans="1:20">
      <c r="A9" s="453"/>
      <c r="B9" s="460" t="s">
        <v>74</v>
      </c>
      <c r="C9" s="459">
        <f>'EG-A10'!Q10/10</f>
        <v>1931.3</v>
      </c>
      <c r="D9" s="459">
        <f>'EG-A10'!Q39/10</f>
        <v>1383</v>
      </c>
      <c r="E9" s="458">
        <v>788</v>
      </c>
      <c r="F9" s="458">
        <v>0</v>
      </c>
      <c r="G9" s="459">
        <f t="shared" si="0"/>
        <v>2171</v>
      </c>
      <c r="H9" s="455">
        <f t="shared" si="3"/>
        <v>0.36299999999999999</v>
      </c>
      <c r="I9" s="455" t="str">
        <f t="shared" si="4"/>
        <v xml:space="preserve">     0%</v>
      </c>
      <c r="J9" s="456">
        <f t="shared" si="1"/>
        <v>-788</v>
      </c>
      <c r="K9" s="455">
        <f t="shared" si="2"/>
        <v>0.71609999999999996</v>
      </c>
      <c r="L9" s="454" t="s">
        <v>243</v>
      </c>
      <c r="M9" s="453"/>
      <c r="N9" s="452" t="s">
        <v>74</v>
      </c>
      <c r="O9" s="451">
        <f t="shared" si="5"/>
        <v>1383</v>
      </c>
      <c r="P9" s="450">
        <f>'EG-A10'!Q68/10</f>
        <v>2170.6</v>
      </c>
      <c r="Q9" s="449">
        <f t="shared" si="6"/>
        <v>-787.59999999999991</v>
      </c>
      <c r="R9" s="448"/>
      <c r="T9" s="448"/>
    </row>
    <row r="10" spans="1:20">
      <c r="A10" s="453"/>
      <c r="B10" s="460" t="s">
        <v>72</v>
      </c>
      <c r="C10" s="459">
        <f>'PVC-A7'!Q10/10</f>
        <v>2756.7</v>
      </c>
      <c r="D10" s="459">
        <f>'PVC-A7'!Q39/10</f>
        <v>2518.6999999999998</v>
      </c>
      <c r="E10" s="458">
        <v>80</v>
      </c>
      <c r="F10" s="458">
        <v>214</v>
      </c>
      <c r="G10" s="459">
        <f t="shared" si="0"/>
        <v>2384.6999999999998</v>
      </c>
      <c r="H10" s="455">
        <f t="shared" si="3"/>
        <v>3.3500000000000002E-2</v>
      </c>
      <c r="I10" s="455">
        <f t="shared" si="4"/>
        <v>8.5000000000000006E-2</v>
      </c>
      <c r="J10" s="456">
        <f t="shared" si="1"/>
        <v>134</v>
      </c>
      <c r="K10" s="455">
        <f t="shared" si="2"/>
        <v>0.91369999999999996</v>
      </c>
      <c r="L10" s="454" t="s">
        <v>244</v>
      </c>
      <c r="M10" s="453"/>
      <c r="N10" s="452" t="s">
        <v>72</v>
      </c>
      <c r="O10" s="451">
        <f t="shared" si="5"/>
        <v>2518.6999999999998</v>
      </c>
      <c r="P10" s="450">
        <f>'PVC-A7'!Q68/10</f>
        <v>2384.6</v>
      </c>
      <c r="Q10" s="449">
        <f t="shared" si="6"/>
        <v>134.09999999999991</v>
      </c>
      <c r="R10" s="448"/>
      <c r="T10" s="448"/>
    </row>
    <row r="11" spans="1:20">
      <c r="A11" s="453"/>
      <c r="B11" s="460" t="s">
        <v>371</v>
      </c>
      <c r="C11" s="459">
        <f>'OTHER(C2)-A11'!Q10/10</f>
        <v>176.47058823529412</v>
      </c>
      <c r="D11" s="459">
        <f>'OTHER(C2)-A11'!Q39/10</f>
        <v>150</v>
      </c>
      <c r="E11" s="458">
        <v>0</v>
      </c>
      <c r="F11" s="458">
        <v>0</v>
      </c>
      <c r="G11" s="459">
        <f t="shared" si="0"/>
        <v>150</v>
      </c>
      <c r="H11" s="455" t="str">
        <f t="shared" si="3"/>
        <v xml:space="preserve">     0%</v>
      </c>
      <c r="I11" s="455" t="str">
        <f t="shared" si="4"/>
        <v xml:space="preserve">     0%</v>
      </c>
      <c r="J11" s="456">
        <f t="shared" si="1"/>
        <v>0</v>
      </c>
      <c r="K11" s="455">
        <f t="shared" si="2"/>
        <v>0.85</v>
      </c>
      <c r="L11" s="454"/>
      <c r="M11" s="453"/>
      <c r="N11" s="460" t="s">
        <v>371</v>
      </c>
      <c r="O11" s="451">
        <f t="shared" si="5"/>
        <v>150</v>
      </c>
      <c r="P11" s="450">
        <f>'OTHER(C2)-A11'!Q68/10</f>
        <v>150</v>
      </c>
      <c r="Q11" s="449">
        <f t="shared" si="6"/>
        <v>0</v>
      </c>
      <c r="R11" s="448"/>
      <c r="T11" s="448"/>
    </row>
    <row r="12" spans="1:20">
      <c r="A12" s="453"/>
      <c r="B12" s="460" t="s">
        <v>372</v>
      </c>
      <c r="C12" s="463">
        <f>C6*0.98+C7*1.04+C8*0.29+C9*0.66*C24+C10*0.5*C25+C11</f>
        <v>4713.2757882352935</v>
      </c>
      <c r="D12" s="463">
        <f>D6*0.98+D7*1.04+D8*0.29+D9*0.66*D24+D10*0.5*D25+D11</f>
        <v>3530.5418000000004</v>
      </c>
      <c r="E12" s="462">
        <f>E6*0.98+E7*1.04+E8*0.29+E9*0.66+E10*0.5</f>
        <v>2051.91</v>
      </c>
      <c r="F12" s="462">
        <f>F6*0.98+F7*1.04+F8*0.29+F9*0.66+F10*0.5</f>
        <v>107</v>
      </c>
      <c r="G12" s="459">
        <f t="shared" si="0"/>
        <v>5475.4518000000007</v>
      </c>
      <c r="H12" s="455">
        <f t="shared" si="3"/>
        <v>0.37469999999999998</v>
      </c>
      <c r="I12" s="455">
        <f t="shared" si="4"/>
        <v>3.0300000000000001E-2</v>
      </c>
      <c r="J12" s="456">
        <f t="shared" si="1"/>
        <v>-1944.9100000000003</v>
      </c>
      <c r="K12" s="455">
        <f t="shared" si="2"/>
        <v>0.74909999999999999</v>
      </c>
      <c r="L12" s="454" t="s">
        <v>243</v>
      </c>
      <c r="M12" s="453"/>
      <c r="N12" s="460" t="s">
        <v>372</v>
      </c>
      <c r="O12" s="451"/>
      <c r="P12" s="450"/>
      <c r="Q12" s="461">
        <f>Q6*0.98+Q7*1.04+Q8*0.29+Q9*0.66*D24+Q10*0.5*D25+Q11</f>
        <v>-1770.4309600000001</v>
      </c>
      <c r="R12" s="448"/>
      <c r="T12" s="448"/>
    </row>
    <row r="13" spans="1:20">
      <c r="A13" s="453"/>
      <c r="B13" s="460" t="s">
        <v>373</v>
      </c>
      <c r="C13" s="459">
        <f>'PROPYLENE-A12'!Q10/10</f>
        <v>4997.8999999999996</v>
      </c>
      <c r="D13" s="459">
        <f>'PROPYLENE-A12'!Q39/10</f>
        <v>4038.7100000000005</v>
      </c>
      <c r="E13" s="458">
        <v>273</v>
      </c>
      <c r="F13" s="458">
        <v>0</v>
      </c>
      <c r="G13" s="459">
        <f t="shared" si="0"/>
        <v>4311.7100000000009</v>
      </c>
      <c r="H13" s="455">
        <f t="shared" si="3"/>
        <v>6.3299999999999995E-2</v>
      </c>
      <c r="I13" s="455" t="str">
        <f t="shared" si="4"/>
        <v xml:space="preserve">     0%</v>
      </c>
      <c r="J13" s="456">
        <f t="shared" si="1"/>
        <v>-273.00000000000045</v>
      </c>
      <c r="K13" s="455">
        <f t="shared" si="2"/>
        <v>0.80810000000000004</v>
      </c>
      <c r="L13" s="454" t="s">
        <v>243</v>
      </c>
      <c r="M13" s="453"/>
      <c r="N13" s="460" t="s">
        <v>373</v>
      </c>
      <c r="O13" s="451">
        <f t="shared" si="5"/>
        <v>4038.7100000000005</v>
      </c>
      <c r="P13" s="450">
        <f>'PROPYLENE-A12'!Q68/10</f>
        <v>4311.8100000000004</v>
      </c>
      <c r="Q13" s="449">
        <f t="shared" si="6"/>
        <v>-273.09999999999991</v>
      </c>
      <c r="R13" s="448"/>
      <c r="T13" s="448"/>
    </row>
    <row r="14" spans="1:20">
      <c r="A14" s="453"/>
      <c r="B14" s="460" t="s">
        <v>69</v>
      </c>
      <c r="C14" s="459">
        <f>'PP-A13'!Q10/10</f>
        <v>3825.6</v>
      </c>
      <c r="D14" s="459">
        <f>'PP-A13'!Q39/10</f>
        <v>3336.5</v>
      </c>
      <c r="E14" s="458">
        <v>210</v>
      </c>
      <c r="F14" s="458">
        <v>0</v>
      </c>
      <c r="G14" s="459">
        <f t="shared" si="0"/>
        <v>3546.5</v>
      </c>
      <c r="H14" s="455">
        <f t="shared" si="3"/>
        <v>5.9200000000000003E-2</v>
      </c>
      <c r="I14" s="455" t="str">
        <f t="shared" si="4"/>
        <v xml:space="preserve">     0%</v>
      </c>
      <c r="J14" s="456">
        <f t="shared" si="1"/>
        <v>-210</v>
      </c>
      <c r="K14" s="455">
        <f t="shared" si="2"/>
        <v>0.87219999999999998</v>
      </c>
      <c r="L14" s="454" t="s">
        <v>243</v>
      </c>
      <c r="M14" s="453"/>
      <c r="N14" s="452" t="s">
        <v>69</v>
      </c>
      <c r="O14" s="451">
        <f t="shared" si="5"/>
        <v>3336.5</v>
      </c>
      <c r="P14" s="450">
        <f>'PP-A13'!Q68/10</f>
        <v>3546.5</v>
      </c>
      <c r="Q14" s="449">
        <f t="shared" si="6"/>
        <v>-210</v>
      </c>
      <c r="R14" s="448"/>
      <c r="T14" s="448"/>
    </row>
    <row r="15" spans="1:20">
      <c r="A15" s="453"/>
      <c r="B15" s="460" t="s">
        <v>67</v>
      </c>
      <c r="C15" s="459">
        <f>'AN-A14'!Q10/10</f>
        <v>359.6</v>
      </c>
      <c r="D15" s="459">
        <f>'AN-A14'!Q39/10</f>
        <v>252.5</v>
      </c>
      <c r="E15" s="458">
        <v>18</v>
      </c>
      <c r="F15" s="458">
        <v>0</v>
      </c>
      <c r="G15" s="459">
        <f t="shared" si="0"/>
        <v>270.5</v>
      </c>
      <c r="H15" s="455">
        <f t="shared" si="3"/>
        <v>6.6500000000000004E-2</v>
      </c>
      <c r="I15" s="455" t="str">
        <f t="shared" si="4"/>
        <v xml:space="preserve">     0%</v>
      </c>
      <c r="J15" s="456">
        <f t="shared" si="1"/>
        <v>-18</v>
      </c>
      <c r="K15" s="455">
        <f t="shared" si="2"/>
        <v>0.70220000000000005</v>
      </c>
      <c r="L15" s="454" t="s">
        <v>243</v>
      </c>
      <c r="M15" s="453"/>
      <c r="N15" s="452" t="s">
        <v>67</v>
      </c>
      <c r="O15" s="451">
        <f t="shared" si="5"/>
        <v>252.5</v>
      </c>
      <c r="P15" s="450">
        <f>'AN-A14'!Q68/10</f>
        <v>270.10000000000002</v>
      </c>
      <c r="Q15" s="449">
        <f t="shared" si="6"/>
        <v>-17.600000000000023</v>
      </c>
      <c r="R15" s="448"/>
      <c r="T15" s="448"/>
    </row>
    <row r="16" spans="1:20">
      <c r="A16" s="453"/>
      <c r="B16" s="460" t="s">
        <v>371</v>
      </c>
      <c r="C16" s="459">
        <f>'OTHER(C3)-A15'!Q10/10</f>
        <v>749.98749999999973</v>
      </c>
      <c r="D16" s="459">
        <f>'OTHER(C3)-A15'!Q39/10</f>
        <v>599.98999999999978</v>
      </c>
      <c r="E16" s="458">
        <v>0</v>
      </c>
      <c r="F16" s="458">
        <v>0</v>
      </c>
      <c r="G16" s="459">
        <f t="shared" si="0"/>
        <v>599.98999999999978</v>
      </c>
      <c r="H16" s="455" t="str">
        <f t="shared" si="3"/>
        <v xml:space="preserve">     0%</v>
      </c>
      <c r="I16" s="455" t="str">
        <f t="shared" si="4"/>
        <v xml:space="preserve">     0%</v>
      </c>
      <c r="J16" s="456">
        <f t="shared" si="1"/>
        <v>0</v>
      </c>
      <c r="K16" s="455">
        <f t="shared" si="2"/>
        <v>0.8</v>
      </c>
      <c r="L16" s="454" t="s">
        <v>243</v>
      </c>
      <c r="M16" s="453"/>
      <c r="N16" s="460" t="s">
        <v>371</v>
      </c>
      <c r="O16" s="451">
        <f t="shared" si="5"/>
        <v>599.98999999999978</v>
      </c>
      <c r="P16" s="450">
        <f>'OTHER(C3)-A15'!Q68/10</f>
        <v>599.98999999999978</v>
      </c>
      <c r="Q16" s="449">
        <f t="shared" si="6"/>
        <v>0</v>
      </c>
      <c r="R16" s="448"/>
      <c r="T16" s="448"/>
    </row>
    <row r="17" spans="1:20">
      <c r="A17" s="453"/>
      <c r="B17" s="460" t="s">
        <v>374</v>
      </c>
      <c r="C17" s="459">
        <f>C14*1.03+C15*1.09+C16</f>
        <v>5082.3194999999996</v>
      </c>
      <c r="D17" s="459">
        <f>D14*1.03+D15*1.09+D16</f>
        <v>4311.8099999999995</v>
      </c>
      <c r="E17" s="459">
        <f>E14*1.03+E15*1.09</f>
        <v>235.92000000000002</v>
      </c>
      <c r="F17" s="459">
        <f>F14*1.03+F15*1.09</f>
        <v>0</v>
      </c>
      <c r="G17" s="459">
        <f t="shared" si="0"/>
        <v>4547.7299999999996</v>
      </c>
      <c r="H17" s="455">
        <f t="shared" si="3"/>
        <v>5.1900000000000002E-2</v>
      </c>
      <c r="I17" s="455" t="str">
        <f t="shared" si="4"/>
        <v xml:space="preserve">     0%</v>
      </c>
      <c r="J17" s="456">
        <f t="shared" si="1"/>
        <v>-235.92000000000007</v>
      </c>
      <c r="K17" s="455">
        <f t="shared" si="2"/>
        <v>0.84840000000000004</v>
      </c>
      <c r="L17" s="454"/>
      <c r="M17" s="453"/>
      <c r="N17" s="460" t="s">
        <v>374</v>
      </c>
      <c r="O17" s="451"/>
      <c r="P17" s="450"/>
      <c r="Q17" s="461">
        <f>Q14*1.03+Q15*1.09+Q16</f>
        <v>-235.48400000000004</v>
      </c>
      <c r="R17" s="448"/>
      <c r="T17" s="448"/>
    </row>
    <row r="18" spans="1:20">
      <c r="A18" s="453"/>
      <c r="B18" s="460" t="s">
        <v>375</v>
      </c>
      <c r="C18" s="459">
        <f>'BENZENE-A16'!Q10/10</f>
        <v>2540.6999999999998</v>
      </c>
      <c r="D18" s="459">
        <f>'BENZENE-A16'!Q39/10</f>
        <v>1656.8</v>
      </c>
      <c r="E18" s="458">
        <v>354</v>
      </c>
      <c r="F18" s="458">
        <v>0</v>
      </c>
      <c r="G18" s="459">
        <f t="shared" si="0"/>
        <v>2010.8</v>
      </c>
      <c r="H18" s="455">
        <f t="shared" si="3"/>
        <v>0.17599999999999999</v>
      </c>
      <c r="I18" s="455" t="str">
        <f t="shared" si="4"/>
        <v xml:space="preserve">     0%</v>
      </c>
      <c r="J18" s="456">
        <f t="shared" si="1"/>
        <v>-354</v>
      </c>
      <c r="K18" s="455">
        <f t="shared" si="2"/>
        <v>0.65210000000000001</v>
      </c>
      <c r="L18" s="454" t="s">
        <v>243</v>
      </c>
      <c r="M18" s="453"/>
      <c r="N18" s="460" t="s">
        <v>375</v>
      </c>
      <c r="O18" s="451">
        <f t="shared" si="5"/>
        <v>1656.8</v>
      </c>
      <c r="P18" s="450">
        <f>'BENZENE-A16'!Q68/10</f>
        <v>2010.9</v>
      </c>
      <c r="Q18" s="449">
        <f t="shared" si="6"/>
        <v>-354.10000000000014</v>
      </c>
      <c r="R18" s="448"/>
      <c r="T18" s="448"/>
    </row>
    <row r="19" spans="1:20">
      <c r="A19" s="453"/>
      <c r="B19" s="460" t="s">
        <v>376</v>
      </c>
      <c r="C19" s="459">
        <f>'TOLUENE-A17'!Q10/10</f>
        <v>2605.1999999999998</v>
      </c>
      <c r="D19" s="459">
        <f>'TOLUENE-A17'!Q39/10</f>
        <v>969.5</v>
      </c>
      <c r="E19" s="458">
        <v>101</v>
      </c>
      <c r="F19" s="458">
        <v>0</v>
      </c>
      <c r="G19" s="459">
        <f t="shared" si="0"/>
        <v>1070.5</v>
      </c>
      <c r="H19" s="455">
        <f t="shared" si="3"/>
        <v>9.4299999999999995E-2</v>
      </c>
      <c r="I19" s="455" t="str">
        <f t="shared" si="4"/>
        <v xml:space="preserve">     0%</v>
      </c>
      <c r="J19" s="456">
        <f t="shared" si="1"/>
        <v>-101</v>
      </c>
      <c r="K19" s="455">
        <f t="shared" si="2"/>
        <v>0.37209999999999999</v>
      </c>
      <c r="L19" s="454" t="s">
        <v>243</v>
      </c>
      <c r="M19" s="453"/>
      <c r="N19" s="460" t="s">
        <v>376</v>
      </c>
      <c r="O19" s="451">
        <f t="shared" si="5"/>
        <v>969.5</v>
      </c>
      <c r="P19" s="450">
        <f>'TOLUENE-A17'!Q68/10</f>
        <v>1070.5</v>
      </c>
      <c r="Q19" s="449">
        <f t="shared" si="6"/>
        <v>-101</v>
      </c>
      <c r="R19" s="448"/>
      <c r="T19" s="448"/>
    </row>
    <row r="20" spans="1:20">
      <c r="A20" s="453"/>
      <c r="B20" s="460" t="s">
        <v>377</v>
      </c>
      <c r="C20" s="459">
        <f>'XYLENES-A18'!Q10/10</f>
        <v>4670.2</v>
      </c>
      <c r="D20" s="459">
        <f>'XYLENES-A18'!Q39/10</f>
        <v>1980</v>
      </c>
      <c r="E20" s="458">
        <v>130</v>
      </c>
      <c r="F20" s="458">
        <v>0</v>
      </c>
      <c r="G20" s="459">
        <f t="shared" si="0"/>
        <v>2110</v>
      </c>
      <c r="H20" s="455">
        <f t="shared" si="3"/>
        <v>6.1600000000000002E-2</v>
      </c>
      <c r="I20" s="455" t="str">
        <f t="shared" si="4"/>
        <v xml:space="preserve">     0%</v>
      </c>
      <c r="J20" s="456">
        <f t="shared" si="1"/>
        <v>-130</v>
      </c>
      <c r="K20" s="455">
        <f t="shared" si="2"/>
        <v>0.42399999999999999</v>
      </c>
      <c r="L20" s="454" t="s">
        <v>243</v>
      </c>
      <c r="M20" s="453"/>
      <c r="N20" s="460" t="s">
        <v>377</v>
      </c>
      <c r="O20" s="451">
        <f t="shared" si="5"/>
        <v>1980</v>
      </c>
      <c r="P20" s="450">
        <f>'XYLENES-A18'!Q68/10</f>
        <v>2110.4</v>
      </c>
      <c r="Q20" s="449">
        <f t="shared" si="6"/>
        <v>-130.40000000000009</v>
      </c>
      <c r="R20" s="448"/>
      <c r="T20" s="448"/>
    </row>
    <row r="21" spans="1:20">
      <c r="A21" s="453"/>
      <c r="B21" s="460" t="s">
        <v>64</v>
      </c>
      <c r="C21" s="459">
        <f>'PX-A19'!Q10/10</f>
        <v>3308</v>
      </c>
      <c r="D21" s="459">
        <f>'PX-A19'!Q39/10</f>
        <v>2000</v>
      </c>
      <c r="E21" s="458">
        <v>1350</v>
      </c>
      <c r="F21" s="458">
        <v>0</v>
      </c>
      <c r="G21" s="459">
        <f t="shared" si="0"/>
        <v>3350</v>
      </c>
      <c r="H21" s="455">
        <f t="shared" si="3"/>
        <v>0.40300000000000002</v>
      </c>
      <c r="I21" s="455" t="str">
        <f t="shared" si="4"/>
        <v xml:space="preserve">     0%</v>
      </c>
      <c r="J21" s="456">
        <f t="shared" si="1"/>
        <v>-1350</v>
      </c>
      <c r="K21" s="455">
        <f t="shared" si="2"/>
        <v>0.60460000000000003</v>
      </c>
      <c r="L21" s="454" t="s">
        <v>243</v>
      </c>
      <c r="M21" s="453"/>
      <c r="N21" s="452" t="s">
        <v>64</v>
      </c>
      <c r="O21" s="451">
        <f t="shared" si="5"/>
        <v>2000</v>
      </c>
      <c r="P21" s="450">
        <f>'PX-A19'!Q68/10</f>
        <v>3350</v>
      </c>
      <c r="Q21" s="449">
        <f t="shared" si="6"/>
        <v>-1350</v>
      </c>
      <c r="R21" s="448"/>
      <c r="T21" s="448"/>
    </row>
    <row r="22" spans="1:20">
      <c r="A22" s="453"/>
      <c r="B22" s="460" t="s">
        <v>62</v>
      </c>
      <c r="C22" s="459">
        <f>'PTA-A20'!Q10/10</f>
        <v>6391</v>
      </c>
      <c r="D22" s="459">
        <f>'PTA-A20'!Q39/10</f>
        <v>5031</v>
      </c>
      <c r="E22" s="458">
        <v>0</v>
      </c>
      <c r="F22" s="458">
        <v>100</v>
      </c>
      <c r="G22" s="459">
        <f t="shared" si="0"/>
        <v>4931</v>
      </c>
      <c r="H22" s="455" t="str">
        <f t="shared" si="3"/>
        <v xml:space="preserve">     0%</v>
      </c>
      <c r="I22" s="455">
        <f t="shared" si="4"/>
        <v>1.9900000000000001E-2</v>
      </c>
      <c r="J22" s="456">
        <f t="shared" si="1"/>
        <v>100</v>
      </c>
      <c r="K22" s="455">
        <f t="shared" si="2"/>
        <v>0.78720000000000001</v>
      </c>
      <c r="L22" s="454" t="s">
        <v>243</v>
      </c>
      <c r="M22" s="453"/>
      <c r="N22" s="452" t="s">
        <v>62</v>
      </c>
      <c r="O22" s="451">
        <f t="shared" si="5"/>
        <v>5031</v>
      </c>
      <c r="P22" s="450">
        <f>'PTA-A20'!Q68/10</f>
        <v>4931</v>
      </c>
      <c r="Q22" s="449">
        <f t="shared" si="6"/>
        <v>100</v>
      </c>
      <c r="R22" s="448"/>
      <c r="T22" s="448"/>
    </row>
    <row r="23" spans="1:20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20">
      <c r="A24" s="453"/>
      <c r="B24" s="453"/>
      <c r="C24" s="479">
        <v>0.9</v>
      </c>
      <c r="D24" s="479">
        <v>0.56000000000000005</v>
      </c>
      <c r="E24" s="478" t="s">
        <v>92</v>
      </c>
      <c r="F24" s="477"/>
      <c r="G24" s="477"/>
      <c r="H24" s="479"/>
      <c r="I24" s="453"/>
      <c r="J24" s="453"/>
      <c r="K24" s="453"/>
      <c r="L24" s="453"/>
      <c r="M24" s="453"/>
    </row>
    <row r="25" spans="1:20">
      <c r="A25" s="453"/>
      <c r="B25" s="453"/>
      <c r="C25" s="479">
        <v>0.2</v>
      </c>
      <c r="D25" s="479">
        <v>0.18</v>
      </c>
      <c r="E25" s="478" t="s">
        <v>91</v>
      </c>
      <c r="F25" s="477"/>
      <c r="G25" s="477"/>
      <c r="H25" s="479"/>
      <c r="I25" s="453"/>
      <c r="J25" s="453"/>
      <c r="K25" s="453"/>
      <c r="L25" s="453"/>
      <c r="M25" s="453"/>
    </row>
    <row r="26" spans="1:20">
      <c r="A26" s="453"/>
      <c r="B26" s="453"/>
      <c r="C26" s="453"/>
      <c r="D26" s="453"/>
      <c r="E26" s="453"/>
      <c r="F26" s="453"/>
      <c r="G26" s="453"/>
      <c r="H26" s="453"/>
      <c r="I26" s="453"/>
      <c r="J26" s="453"/>
      <c r="K26" s="453"/>
      <c r="L26" s="453"/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3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41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381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'ETHYLENE-A1'!K7/10</f>
        <v>887</v>
      </c>
      <c r="D5" s="459">
        <f>'ETHYLENE-A1'!K36/10</f>
        <v>879.3</v>
      </c>
      <c r="E5" s="458">
        <v>11</v>
      </c>
      <c r="F5" s="458">
        <v>82</v>
      </c>
      <c r="G5" s="459">
        <f t="shared" ref="G5:G22" si="0">D5+E5-F5</f>
        <v>808.3</v>
      </c>
      <c r="H5" s="455">
        <f t="shared" ref="H5:H22" si="1">IF(AND(E5=0,G5=0),"    -",IF(E5=0,"     0%",IF(G5=0,"     -",ROUND(E5/G5,4))))</f>
        <v>1.3599999999999999E-2</v>
      </c>
      <c r="I5" s="455">
        <f t="shared" ref="I5:I22" si="2">IF(AND(D5=0,F5=0),"    -",IF(F5=0,"     0%",IF(D5=0,"     -",ROUND(F5/D5,4))))</f>
        <v>9.3299999999999994E-2</v>
      </c>
      <c r="J5" s="456">
        <f t="shared" ref="J5:J22" si="3">D5-G5</f>
        <v>71</v>
      </c>
      <c r="K5" s="455">
        <f t="shared" ref="K5:K22" si="4">IF(AND(D5=0,C5=0),"    -",IF(C5=0,"     0%",IF(D5=0,"     -",ROUND(D5/C5,4))))</f>
        <v>0.99129999999999996</v>
      </c>
      <c r="L5" s="454" t="s">
        <v>104</v>
      </c>
      <c r="M5" s="453"/>
      <c r="N5" s="452" t="s">
        <v>79</v>
      </c>
      <c r="O5" s="451">
        <f>D5</f>
        <v>879.3</v>
      </c>
      <c r="P5" s="450">
        <f>'ETHYLENE-A1'!K65/10</f>
        <v>808.6</v>
      </c>
      <c r="Q5" s="449">
        <f>O5-P5</f>
        <v>70.699999999999932</v>
      </c>
      <c r="R5" s="448"/>
    </row>
    <row r="6" spans="1:18">
      <c r="A6" s="453"/>
      <c r="B6" s="460" t="s">
        <v>78</v>
      </c>
      <c r="C6" s="459">
        <f>'LDPE-A2'!K7/10</f>
        <v>287.8</v>
      </c>
      <c r="D6" s="459">
        <f>'LDPE-A2'!K36/10</f>
        <v>295.3</v>
      </c>
      <c r="E6" s="458">
        <v>20</v>
      </c>
      <c r="F6" s="458">
        <v>173</v>
      </c>
      <c r="G6" s="459">
        <f t="shared" si="0"/>
        <v>142.30000000000001</v>
      </c>
      <c r="H6" s="455">
        <f t="shared" si="1"/>
        <v>0.14050000000000001</v>
      </c>
      <c r="I6" s="455">
        <f t="shared" si="2"/>
        <v>0.58579999999999999</v>
      </c>
      <c r="J6" s="456">
        <f t="shared" si="3"/>
        <v>153</v>
      </c>
      <c r="K6" s="455">
        <f t="shared" si="4"/>
        <v>1.0261</v>
      </c>
      <c r="L6" s="454" t="s">
        <v>103</v>
      </c>
      <c r="M6" s="453"/>
      <c r="N6" s="452" t="s">
        <v>78</v>
      </c>
      <c r="O6" s="451">
        <f t="shared" ref="O6:O22" si="5">D6</f>
        <v>295.3</v>
      </c>
      <c r="P6" s="450">
        <f>'LDPE-A2'!K65/10</f>
        <v>142</v>
      </c>
      <c r="Q6" s="449">
        <f t="shared" ref="Q6:Q22" si="6">O6-P6</f>
        <v>153.30000000000001</v>
      </c>
      <c r="R6" s="448"/>
    </row>
    <row r="7" spans="1:18">
      <c r="A7" s="453"/>
      <c r="B7" s="460" t="s">
        <v>76</v>
      </c>
      <c r="C7" s="459">
        <f>'HDPE-A3'!K7/10</f>
        <v>238.5</v>
      </c>
      <c r="D7" s="459">
        <f>'HDPE-A3'!K36/10</f>
        <v>208.3</v>
      </c>
      <c r="E7" s="458">
        <v>8</v>
      </c>
      <c r="F7" s="458">
        <v>113</v>
      </c>
      <c r="G7" s="459">
        <f t="shared" si="0"/>
        <v>103.30000000000001</v>
      </c>
      <c r="H7" s="455">
        <f t="shared" si="1"/>
        <v>7.7399999999999997E-2</v>
      </c>
      <c r="I7" s="455">
        <f t="shared" si="2"/>
        <v>0.54249999999999998</v>
      </c>
      <c r="J7" s="456">
        <f t="shared" si="3"/>
        <v>105</v>
      </c>
      <c r="K7" s="455">
        <f t="shared" si="4"/>
        <v>0.87339999999999995</v>
      </c>
      <c r="L7" s="454" t="s">
        <v>101</v>
      </c>
      <c r="M7" s="453"/>
      <c r="N7" s="452" t="s">
        <v>76</v>
      </c>
      <c r="O7" s="451">
        <f t="shared" si="5"/>
        <v>208.3</v>
      </c>
      <c r="P7" s="450">
        <f>'HDPE-A3'!K65/10</f>
        <v>103</v>
      </c>
      <c r="Q7" s="449">
        <f t="shared" si="6"/>
        <v>105.30000000000001</v>
      </c>
      <c r="R7" s="448"/>
    </row>
    <row r="8" spans="1:18">
      <c r="A8" s="453"/>
      <c r="B8" s="460" t="s">
        <v>75</v>
      </c>
      <c r="C8" s="459">
        <f>'SM-A6'!K7/10</f>
        <v>330.6</v>
      </c>
      <c r="D8" s="459">
        <f>'SM-A6'!K36/10</f>
        <v>300.8</v>
      </c>
      <c r="E8" s="458">
        <v>79</v>
      </c>
      <c r="F8" s="458">
        <v>126</v>
      </c>
      <c r="G8" s="459">
        <f t="shared" si="0"/>
        <v>253.8</v>
      </c>
      <c r="H8" s="455">
        <f t="shared" si="1"/>
        <v>0.31130000000000002</v>
      </c>
      <c r="I8" s="455">
        <f t="shared" si="2"/>
        <v>0.41889999999999999</v>
      </c>
      <c r="J8" s="456">
        <f t="shared" si="3"/>
        <v>47</v>
      </c>
      <c r="K8" s="455">
        <f t="shared" si="4"/>
        <v>0.90990000000000004</v>
      </c>
      <c r="L8" s="454" t="s">
        <v>102</v>
      </c>
      <c r="M8" s="453"/>
      <c r="N8" s="452" t="s">
        <v>75</v>
      </c>
      <c r="O8" s="451">
        <f t="shared" si="5"/>
        <v>300.8</v>
      </c>
      <c r="P8" s="450">
        <f>'SM-A6'!K65/10</f>
        <v>254</v>
      </c>
      <c r="Q8" s="449">
        <f t="shared" si="6"/>
        <v>46.800000000000011</v>
      </c>
      <c r="R8" s="448"/>
    </row>
    <row r="9" spans="1:18">
      <c r="A9" s="453"/>
      <c r="B9" s="460" t="s">
        <v>74</v>
      </c>
      <c r="C9" s="459">
        <f>'EG-A10'!K7/10</f>
        <v>160.5</v>
      </c>
      <c r="D9" s="459">
        <f>'EG-A10'!K36/10</f>
        <v>124.4</v>
      </c>
      <c r="E9" s="458">
        <v>25</v>
      </c>
      <c r="F9" s="458">
        <v>45</v>
      </c>
      <c r="G9" s="459">
        <f t="shared" si="0"/>
        <v>104.4</v>
      </c>
      <c r="H9" s="455">
        <f t="shared" si="1"/>
        <v>0.23949999999999999</v>
      </c>
      <c r="I9" s="455">
        <f t="shared" si="2"/>
        <v>0.36170000000000002</v>
      </c>
      <c r="J9" s="456">
        <f t="shared" si="3"/>
        <v>20</v>
      </c>
      <c r="K9" s="455">
        <f t="shared" si="4"/>
        <v>0.77510000000000001</v>
      </c>
      <c r="L9" s="454" t="s">
        <v>101</v>
      </c>
      <c r="M9" s="453"/>
      <c r="N9" s="452" t="s">
        <v>74</v>
      </c>
      <c r="O9" s="451">
        <f t="shared" si="5"/>
        <v>124.4</v>
      </c>
      <c r="P9" s="450">
        <f>'EG-A10'!K65/10</f>
        <v>104.2</v>
      </c>
      <c r="Q9" s="449">
        <f t="shared" si="6"/>
        <v>20.200000000000003</v>
      </c>
      <c r="R9" s="448"/>
    </row>
    <row r="10" spans="1:18">
      <c r="A10" s="453"/>
      <c r="B10" s="460" t="s">
        <v>72</v>
      </c>
      <c r="C10" s="459">
        <f>'PVC-A7'!K7/10</f>
        <v>156.69999999999999</v>
      </c>
      <c r="D10" s="459">
        <f>'PVC-A7'!K36/10</f>
        <v>160.1</v>
      </c>
      <c r="E10" s="458">
        <v>14</v>
      </c>
      <c r="F10" s="458">
        <v>55</v>
      </c>
      <c r="G10" s="459">
        <f t="shared" si="0"/>
        <v>119.1</v>
      </c>
      <c r="H10" s="455">
        <f t="shared" si="1"/>
        <v>0.11749999999999999</v>
      </c>
      <c r="I10" s="455">
        <f t="shared" si="2"/>
        <v>0.34350000000000003</v>
      </c>
      <c r="J10" s="456">
        <f t="shared" si="3"/>
        <v>41</v>
      </c>
      <c r="K10" s="455">
        <f t="shared" si="4"/>
        <v>1.0217000000000001</v>
      </c>
      <c r="L10" s="454" t="s">
        <v>100</v>
      </c>
      <c r="M10" s="453"/>
      <c r="N10" s="452" t="s">
        <v>72</v>
      </c>
      <c r="O10" s="451">
        <f t="shared" si="5"/>
        <v>160.1</v>
      </c>
      <c r="P10" s="450">
        <f>'PVC-A7'!K65/10</f>
        <v>119.3</v>
      </c>
      <c r="Q10" s="449">
        <f t="shared" si="6"/>
        <v>40.799999999999997</v>
      </c>
      <c r="R10" s="448"/>
    </row>
    <row r="11" spans="1:18">
      <c r="A11" s="453"/>
      <c r="B11" s="460" t="s">
        <v>371</v>
      </c>
      <c r="C11" s="459">
        <f>'OTHER(C2)-A11'!K7/10</f>
        <v>60</v>
      </c>
      <c r="D11" s="459">
        <f>'OTHER(C2)-A11'!K36/10</f>
        <v>50</v>
      </c>
      <c r="E11" s="458"/>
      <c r="F11" s="458"/>
      <c r="G11" s="459">
        <f t="shared" si="0"/>
        <v>50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0.83330000000000004</v>
      </c>
      <c r="L11" s="454"/>
      <c r="M11" s="453"/>
      <c r="N11" s="460" t="s">
        <v>371</v>
      </c>
      <c r="O11" s="451">
        <f t="shared" si="5"/>
        <v>50</v>
      </c>
      <c r="P11" s="450">
        <f>'OTHER(C2)-A11'!K65/10</f>
        <v>50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870.23800000000017</v>
      </c>
      <c r="D12" s="462">
        <f>D6*0.98+D7*1.04+D8*0.29+D9*0.66+D10*0.5+D11</f>
        <v>805.41200000000003</v>
      </c>
      <c r="E12" s="462">
        <f>E6*0.98+E7*1.04+E8*0.29+E9*0.66+E10*0.5</f>
        <v>74.33</v>
      </c>
      <c r="F12" s="462">
        <f>F6*0.98+F7*1.04+F8*0.29+F9*0.66+F10*0.5</f>
        <v>380.8</v>
      </c>
      <c r="G12" s="459">
        <f t="shared" si="0"/>
        <v>498.94200000000006</v>
      </c>
      <c r="H12" s="455">
        <f t="shared" si="1"/>
        <v>0.14899999999999999</v>
      </c>
      <c r="I12" s="455">
        <f t="shared" si="2"/>
        <v>0.4728</v>
      </c>
      <c r="J12" s="456">
        <f t="shared" si="3"/>
        <v>306.46999999999997</v>
      </c>
      <c r="K12" s="455">
        <f t="shared" si="4"/>
        <v>0.92549999999999999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307.05</v>
      </c>
      <c r="R12" s="448"/>
    </row>
    <row r="13" spans="1:18">
      <c r="A13" s="453"/>
      <c r="B13" s="460" t="s">
        <v>373</v>
      </c>
      <c r="C13" s="459">
        <f>'PROPYLENE-A12'!K7/10</f>
        <v>841</v>
      </c>
      <c r="D13" s="459">
        <f>'PROPYLENE-A12'!K36/10</f>
        <v>832.2</v>
      </c>
      <c r="E13" s="458">
        <v>20</v>
      </c>
      <c r="F13" s="458">
        <v>172</v>
      </c>
      <c r="G13" s="459">
        <f t="shared" si="0"/>
        <v>680.2</v>
      </c>
      <c r="H13" s="455">
        <f t="shared" si="1"/>
        <v>2.9399999999999999E-2</v>
      </c>
      <c r="I13" s="455">
        <f t="shared" si="2"/>
        <v>0.20669999999999999</v>
      </c>
      <c r="J13" s="456">
        <f t="shared" si="3"/>
        <v>152</v>
      </c>
      <c r="K13" s="455">
        <f t="shared" si="4"/>
        <v>0.98950000000000005</v>
      </c>
      <c r="L13" s="454" t="s">
        <v>242</v>
      </c>
      <c r="M13" s="453"/>
      <c r="N13" s="460" t="s">
        <v>373</v>
      </c>
      <c r="O13" s="451">
        <f t="shared" si="5"/>
        <v>832.2</v>
      </c>
      <c r="P13" s="450">
        <f>'PROPYLENE-A12'!K65/10</f>
        <v>680.5</v>
      </c>
      <c r="Q13" s="449">
        <f t="shared" si="6"/>
        <v>151.70000000000005</v>
      </c>
      <c r="R13" s="448"/>
    </row>
    <row r="14" spans="1:18">
      <c r="A14" s="453"/>
      <c r="B14" s="460" t="s">
        <v>69</v>
      </c>
      <c r="C14" s="459">
        <f>'PP-A13'!K7/10</f>
        <v>448.7</v>
      </c>
      <c r="D14" s="459">
        <f>'PP-A13'!K36/10</f>
        <v>430.3</v>
      </c>
      <c r="E14" s="458">
        <v>4</v>
      </c>
      <c r="F14" s="458">
        <v>279</v>
      </c>
      <c r="G14" s="459">
        <f t="shared" si="0"/>
        <v>155.30000000000001</v>
      </c>
      <c r="H14" s="455">
        <f t="shared" si="1"/>
        <v>2.58E-2</v>
      </c>
      <c r="I14" s="455">
        <f t="shared" si="2"/>
        <v>0.64839999999999998</v>
      </c>
      <c r="J14" s="456">
        <f t="shared" si="3"/>
        <v>275</v>
      </c>
      <c r="K14" s="455">
        <f t="shared" si="4"/>
        <v>0.95899999999999996</v>
      </c>
      <c r="L14" s="454" t="s">
        <v>99</v>
      </c>
      <c r="M14" s="453"/>
      <c r="N14" s="452" t="s">
        <v>69</v>
      </c>
      <c r="O14" s="451">
        <f t="shared" si="5"/>
        <v>430.3</v>
      </c>
      <c r="P14" s="450">
        <f>'PP-A13'!K65/10</f>
        <v>155.4</v>
      </c>
      <c r="Q14" s="449">
        <f t="shared" si="6"/>
        <v>274.89999999999998</v>
      </c>
      <c r="R14" s="448"/>
    </row>
    <row r="15" spans="1:18">
      <c r="A15" s="453"/>
      <c r="B15" s="460" t="s">
        <v>67</v>
      </c>
      <c r="C15" s="459">
        <f>'AN-A14'!K7/10</f>
        <v>85</v>
      </c>
      <c r="D15" s="459">
        <f>'AN-A14'!K36/10</f>
        <v>77.599999999999994</v>
      </c>
      <c r="E15" s="458">
        <v>15</v>
      </c>
      <c r="F15" s="458">
        <v>27</v>
      </c>
      <c r="G15" s="459">
        <f t="shared" si="0"/>
        <v>65.599999999999994</v>
      </c>
      <c r="H15" s="455">
        <f t="shared" si="1"/>
        <v>0.22869999999999999</v>
      </c>
      <c r="I15" s="455">
        <f t="shared" si="2"/>
        <v>0.34789999999999999</v>
      </c>
      <c r="J15" s="456">
        <f t="shared" si="3"/>
        <v>12</v>
      </c>
      <c r="K15" s="455">
        <f t="shared" si="4"/>
        <v>0.91290000000000004</v>
      </c>
      <c r="L15" s="454" t="s">
        <v>98</v>
      </c>
      <c r="M15" s="453"/>
      <c r="N15" s="452" t="s">
        <v>67</v>
      </c>
      <c r="O15" s="451">
        <f t="shared" si="5"/>
        <v>77.599999999999994</v>
      </c>
      <c r="P15" s="450">
        <f>'AN-A14'!K65/10</f>
        <v>65.599999999999994</v>
      </c>
      <c r="Q15" s="449">
        <f t="shared" si="6"/>
        <v>12</v>
      </c>
      <c r="R15" s="448"/>
    </row>
    <row r="16" spans="1:18">
      <c r="A16" s="453"/>
      <c r="B16" s="460" t="s">
        <v>371</v>
      </c>
      <c r="C16" s="459">
        <f>'OTHER(C3)-A15'!K7/10</f>
        <v>150</v>
      </c>
      <c r="D16" s="459">
        <f>'OTHER(C3)-A15'!K36/10</f>
        <v>140</v>
      </c>
      <c r="E16" s="458"/>
      <c r="F16" s="458"/>
      <c r="G16" s="459">
        <f t="shared" si="0"/>
        <v>140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0.93330000000000002</v>
      </c>
      <c r="L16" s="454"/>
      <c r="M16" s="453"/>
      <c r="N16" s="460" t="s">
        <v>371</v>
      </c>
      <c r="O16" s="451">
        <f t="shared" si="5"/>
        <v>140</v>
      </c>
      <c r="P16" s="450">
        <f>'OTHER(C3)-A15'!K65/10</f>
        <v>140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704.81100000000004</v>
      </c>
      <c r="D17" s="459">
        <f>D14*1.03+D15*1.09+D16</f>
        <v>667.79300000000001</v>
      </c>
      <c r="E17" s="459">
        <f>E14*1.03+E15*1.09</f>
        <v>20.470000000000002</v>
      </c>
      <c r="F17" s="459">
        <f>F14*1.03+F15*1.09</f>
        <v>316.8</v>
      </c>
      <c r="G17" s="459">
        <f t="shared" si="0"/>
        <v>371.46300000000002</v>
      </c>
      <c r="H17" s="455">
        <f t="shared" si="1"/>
        <v>5.5100000000000003E-2</v>
      </c>
      <c r="I17" s="455">
        <f t="shared" si="2"/>
        <v>0.47439999999999999</v>
      </c>
      <c r="J17" s="456">
        <f t="shared" si="3"/>
        <v>296.33</v>
      </c>
      <c r="K17" s="455">
        <f t="shared" si="4"/>
        <v>0.94750000000000001</v>
      </c>
      <c r="L17" s="454"/>
      <c r="M17" s="453"/>
      <c r="N17" s="460" t="s">
        <v>374</v>
      </c>
      <c r="O17" s="451"/>
      <c r="P17" s="450"/>
      <c r="Q17" s="461">
        <f>Q14*1.03+Q15*1.09+Q16</f>
        <v>296.22699999999998</v>
      </c>
      <c r="R17" s="448"/>
    </row>
    <row r="18" spans="1:18">
      <c r="A18" s="453"/>
      <c r="B18" s="460" t="s">
        <v>375</v>
      </c>
      <c r="C18" s="459">
        <f>'BENZENE-A16'!K7/10</f>
        <v>648.79999999999995</v>
      </c>
      <c r="D18" s="459">
        <f>'BENZENE-A16'!K36/10</f>
        <v>649.29999999999995</v>
      </c>
      <c r="E18" s="458">
        <v>3</v>
      </c>
      <c r="F18" s="458">
        <v>263</v>
      </c>
      <c r="G18" s="459">
        <f t="shared" si="0"/>
        <v>389.29999999999995</v>
      </c>
      <c r="H18" s="455">
        <f t="shared" si="1"/>
        <v>7.7000000000000002E-3</v>
      </c>
      <c r="I18" s="455">
        <f t="shared" si="2"/>
        <v>0.40510000000000002</v>
      </c>
      <c r="J18" s="456">
        <f t="shared" si="3"/>
        <v>260</v>
      </c>
      <c r="K18" s="455">
        <f t="shared" si="4"/>
        <v>1.0007999999999999</v>
      </c>
      <c r="L18" s="454" t="s">
        <v>97</v>
      </c>
      <c r="M18" s="453"/>
      <c r="N18" s="460" t="s">
        <v>375</v>
      </c>
      <c r="O18" s="451">
        <f t="shared" si="5"/>
        <v>649.29999999999995</v>
      </c>
      <c r="P18" s="450">
        <f>'BENZENE-A16'!K65/10</f>
        <v>389.7</v>
      </c>
      <c r="Q18" s="449">
        <f t="shared" si="6"/>
        <v>259.59999999999997</v>
      </c>
      <c r="R18" s="448"/>
    </row>
    <row r="19" spans="1:18">
      <c r="A19" s="453"/>
      <c r="B19" s="460" t="s">
        <v>376</v>
      </c>
      <c r="C19" s="459">
        <f>'TOLUENE-A17'!K7/10</f>
        <v>280.5</v>
      </c>
      <c r="D19" s="459">
        <f>'TOLUENE-A17'!K36/10</f>
        <v>159.4</v>
      </c>
      <c r="E19" s="458">
        <v>77</v>
      </c>
      <c r="F19" s="458">
        <v>36</v>
      </c>
      <c r="G19" s="459">
        <f t="shared" si="0"/>
        <v>200.4</v>
      </c>
      <c r="H19" s="455">
        <f t="shared" si="1"/>
        <v>0.38419999999999999</v>
      </c>
      <c r="I19" s="455">
        <f t="shared" si="2"/>
        <v>0.2258</v>
      </c>
      <c r="J19" s="456">
        <f t="shared" si="3"/>
        <v>-41</v>
      </c>
      <c r="K19" s="455">
        <f t="shared" si="4"/>
        <v>0.56830000000000003</v>
      </c>
      <c r="L19" s="454" t="s">
        <v>96</v>
      </c>
      <c r="M19" s="453"/>
      <c r="N19" s="460" t="s">
        <v>376</v>
      </c>
      <c r="O19" s="451">
        <f t="shared" si="5"/>
        <v>159.4</v>
      </c>
      <c r="P19" s="450">
        <f>'TOLUENE-A17'!K65/10</f>
        <v>200.8</v>
      </c>
      <c r="Q19" s="449">
        <f t="shared" si="6"/>
        <v>-41.400000000000006</v>
      </c>
      <c r="R19" s="448"/>
    </row>
    <row r="20" spans="1:18">
      <c r="A20" s="453"/>
      <c r="B20" s="460" t="s">
        <v>377</v>
      </c>
      <c r="C20" s="459">
        <f>'XYLENES-A18'!K7/10</f>
        <v>516</v>
      </c>
      <c r="D20" s="459">
        <f>'XYLENES-A18'!K36/10</f>
        <v>394.8</v>
      </c>
      <c r="E20" s="458">
        <v>179</v>
      </c>
      <c r="F20" s="458">
        <v>130</v>
      </c>
      <c r="G20" s="459">
        <f t="shared" si="0"/>
        <v>443.79999999999995</v>
      </c>
      <c r="H20" s="455">
        <f t="shared" si="1"/>
        <v>0.40329999999999999</v>
      </c>
      <c r="I20" s="455">
        <f t="shared" si="2"/>
        <v>0.32929999999999998</v>
      </c>
      <c r="J20" s="456">
        <f t="shared" si="3"/>
        <v>-48.999999999999943</v>
      </c>
      <c r="K20" s="455">
        <f t="shared" si="4"/>
        <v>0.7651</v>
      </c>
      <c r="L20" s="454" t="s">
        <v>95</v>
      </c>
      <c r="M20" s="453"/>
      <c r="N20" s="460" t="s">
        <v>377</v>
      </c>
      <c r="O20" s="451">
        <f t="shared" si="5"/>
        <v>394.8</v>
      </c>
      <c r="P20" s="450">
        <f>'XYLENES-A18'!K65/10</f>
        <v>443.6</v>
      </c>
      <c r="Q20" s="449">
        <f t="shared" si="6"/>
        <v>-48.800000000000011</v>
      </c>
      <c r="R20" s="448"/>
    </row>
    <row r="21" spans="1:18">
      <c r="A21" s="453"/>
      <c r="B21" s="460" t="s">
        <v>64</v>
      </c>
      <c r="C21" s="459">
        <f>'PX-A19'!K7/10</f>
        <v>1019</v>
      </c>
      <c r="D21" s="459">
        <f>'PX-A19'!K36/10</f>
        <v>1057.0999999999999</v>
      </c>
      <c r="E21" s="458">
        <v>3</v>
      </c>
      <c r="F21" s="458">
        <v>732</v>
      </c>
      <c r="G21" s="459">
        <f t="shared" si="0"/>
        <v>328.09999999999991</v>
      </c>
      <c r="H21" s="455">
        <f t="shared" si="1"/>
        <v>9.1000000000000004E-3</v>
      </c>
      <c r="I21" s="455">
        <f t="shared" si="2"/>
        <v>0.6925</v>
      </c>
      <c r="J21" s="456">
        <f t="shared" si="3"/>
        <v>729</v>
      </c>
      <c r="K21" s="455">
        <f t="shared" si="4"/>
        <v>1.0374000000000001</v>
      </c>
      <c r="L21" s="454" t="s">
        <v>94</v>
      </c>
      <c r="M21" s="453"/>
      <c r="N21" s="452" t="s">
        <v>64</v>
      </c>
      <c r="O21" s="451">
        <f t="shared" si="5"/>
        <v>1057.0999999999999</v>
      </c>
      <c r="P21" s="450">
        <f>'PX-A19'!K65/10</f>
        <v>328</v>
      </c>
      <c r="Q21" s="449">
        <f t="shared" si="6"/>
        <v>729.09999999999991</v>
      </c>
      <c r="R21" s="448"/>
    </row>
    <row r="22" spans="1:18">
      <c r="A22" s="453"/>
      <c r="B22" s="460" t="s">
        <v>62</v>
      </c>
      <c r="C22" s="459">
        <f>'PTA-A20'!K7/10</f>
        <v>558</v>
      </c>
      <c r="D22" s="459">
        <f>'PTA-A20'!K36/10</f>
        <v>487</v>
      </c>
      <c r="E22" s="458">
        <v>0</v>
      </c>
      <c r="F22" s="458">
        <v>194</v>
      </c>
      <c r="G22" s="459">
        <f t="shared" si="0"/>
        <v>293</v>
      </c>
      <c r="H22" s="455" t="str">
        <f t="shared" si="1"/>
        <v xml:space="preserve">     0%</v>
      </c>
      <c r="I22" s="455">
        <f t="shared" si="2"/>
        <v>0.39839999999999998</v>
      </c>
      <c r="J22" s="456">
        <f t="shared" si="3"/>
        <v>194</v>
      </c>
      <c r="K22" s="455">
        <f t="shared" si="4"/>
        <v>0.87280000000000002</v>
      </c>
      <c r="L22" s="454" t="s">
        <v>93</v>
      </c>
      <c r="M22" s="453"/>
      <c r="N22" s="452" t="s">
        <v>62</v>
      </c>
      <c r="O22" s="451">
        <f t="shared" si="5"/>
        <v>487</v>
      </c>
      <c r="P22" s="450">
        <f>'PTA-A20'!K65/10</f>
        <v>293.10000000000002</v>
      </c>
      <c r="Q22" s="449">
        <f t="shared" si="6"/>
        <v>193.89999999999998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0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T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41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382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'ETHYLENE-A1'!Q7/10</f>
        <v>1356.5</v>
      </c>
      <c r="D5" s="459">
        <f>'ETHYLENE-A1'!Q36/10</f>
        <v>1240</v>
      </c>
      <c r="E5" s="458">
        <v>5</v>
      </c>
      <c r="F5" s="458">
        <v>155</v>
      </c>
      <c r="G5" s="459">
        <f t="shared" ref="G5:G22" si="0">D5+E5-F5</f>
        <v>1090</v>
      </c>
      <c r="H5" s="455">
        <f t="shared" ref="H5:H22" si="1">IF(AND(E5=0,G5=0),"    -",IF(E5=0,"     0%",IF(G5=0,"     -",ROUND(E5/G5,4))))</f>
        <v>4.5999999999999999E-3</v>
      </c>
      <c r="I5" s="455">
        <f t="shared" ref="I5:I22" si="2">IF(AND(D5=0,F5=0),"    -",IF(F5=0,"     0%",IF(D5=0,"     -",ROUND(F5/D5,4))))</f>
        <v>0.125</v>
      </c>
      <c r="J5" s="456">
        <f t="shared" ref="J5:J22" si="3">D5-G5</f>
        <v>150</v>
      </c>
      <c r="K5" s="455">
        <f t="shared" ref="K5:K22" si="4">IF(AND(D5=0,C5=0),"    -",IF(C5=0,"     0%",IF(D5=0,"     -",ROUND(D5/C5,4))))</f>
        <v>0.91410000000000002</v>
      </c>
      <c r="L5" s="454" t="s">
        <v>104</v>
      </c>
      <c r="M5" s="453"/>
      <c r="N5" s="452" t="s">
        <v>79</v>
      </c>
      <c r="O5" s="451">
        <f>D5</f>
        <v>1240</v>
      </c>
      <c r="P5" s="450">
        <f>'ETHYLENE-A1'!Q65/10</f>
        <v>1090</v>
      </c>
      <c r="Q5" s="449">
        <f>O5-P5</f>
        <v>150</v>
      </c>
      <c r="R5" s="448"/>
    </row>
    <row r="6" spans="1:18">
      <c r="A6" s="453"/>
      <c r="B6" s="460" t="s">
        <v>78</v>
      </c>
      <c r="C6" s="459">
        <f>'LDPE-A2'!Q7/10</f>
        <v>447.8</v>
      </c>
      <c r="D6" s="459">
        <f>'LDPE-A2'!Q36/10</f>
        <v>400</v>
      </c>
      <c r="E6" s="458">
        <v>10</v>
      </c>
      <c r="F6" s="458">
        <v>240</v>
      </c>
      <c r="G6" s="459">
        <f t="shared" si="0"/>
        <v>170</v>
      </c>
      <c r="H6" s="455">
        <f t="shared" si="1"/>
        <v>5.8799999999999998E-2</v>
      </c>
      <c r="I6" s="455">
        <f t="shared" si="2"/>
        <v>0.6</v>
      </c>
      <c r="J6" s="456">
        <f t="shared" si="3"/>
        <v>230</v>
      </c>
      <c r="K6" s="455">
        <f t="shared" si="4"/>
        <v>0.89329999999999998</v>
      </c>
      <c r="L6" s="454" t="s">
        <v>103</v>
      </c>
      <c r="M6" s="453"/>
      <c r="N6" s="452" t="s">
        <v>78</v>
      </c>
      <c r="O6" s="451">
        <f t="shared" ref="O6:O22" si="5">D6</f>
        <v>400</v>
      </c>
      <c r="P6" s="450">
        <f>'LDPE-A2'!Q65/10</f>
        <v>170</v>
      </c>
      <c r="Q6" s="449">
        <f t="shared" ref="Q6:Q22" si="6">O6-P6</f>
        <v>230</v>
      </c>
      <c r="R6" s="448"/>
    </row>
    <row r="7" spans="1:18">
      <c r="A7" s="453"/>
      <c r="B7" s="460" t="s">
        <v>76</v>
      </c>
      <c r="C7" s="459">
        <f>'HDPE-A3'!Q7/10</f>
        <v>443.5</v>
      </c>
      <c r="D7" s="459">
        <f>'HDPE-A3'!Q36/10</f>
        <v>360</v>
      </c>
      <c r="E7" s="458">
        <v>5</v>
      </c>
      <c r="F7" s="458">
        <v>249</v>
      </c>
      <c r="G7" s="459">
        <f t="shared" si="0"/>
        <v>116</v>
      </c>
      <c r="H7" s="455">
        <f t="shared" si="1"/>
        <v>4.3099999999999999E-2</v>
      </c>
      <c r="I7" s="455">
        <f t="shared" si="2"/>
        <v>0.69169999999999998</v>
      </c>
      <c r="J7" s="456">
        <f t="shared" si="3"/>
        <v>244</v>
      </c>
      <c r="K7" s="455">
        <f t="shared" si="4"/>
        <v>0.81169999999999998</v>
      </c>
      <c r="L7" s="454" t="s">
        <v>101</v>
      </c>
      <c r="M7" s="453"/>
      <c r="N7" s="452" t="s">
        <v>76</v>
      </c>
      <c r="O7" s="451">
        <f t="shared" si="5"/>
        <v>360</v>
      </c>
      <c r="P7" s="450">
        <f>'HDPE-A3'!Q65/10</f>
        <v>116</v>
      </c>
      <c r="Q7" s="449">
        <f t="shared" si="6"/>
        <v>244</v>
      </c>
      <c r="R7" s="448"/>
    </row>
    <row r="8" spans="1:18">
      <c r="A8" s="453"/>
      <c r="B8" s="460" t="s">
        <v>75</v>
      </c>
      <c r="C8" s="459">
        <f>'SM-A6'!Q7/10</f>
        <v>330.6</v>
      </c>
      <c r="D8" s="459">
        <f>'SM-A6'!Q36/10</f>
        <v>307</v>
      </c>
      <c r="E8" s="458">
        <v>79</v>
      </c>
      <c r="F8" s="458">
        <v>121</v>
      </c>
      <c r="G8" s="459">
        <f t="shared" si="0"/>
        <v>265</v>
      </c>
      <c r="H8" s="455">
        <f t="shared" si="1"/>
        <v>0.29809999999999998</v>
      </c>
      <c r="I8" s="455">
        <f t="shared" si="2"/>
        <v>0.39410000000000001</v>
      </c>
      <c r="J8" s="456">
        <f t="shared" si="3"/>
        <v>42</v>
      </c>
      <c r="K8" s="455">
        <f t="shared" si="4"/>
        <v>0.92859999999999998</v>
      </c>
      <c r="L8" s="454" t="s">
        <v>102</v>
      </c>
      <c r="M8" s="453"/>
      <c r="N8" s="452" t="s">
        <v>75</v>
      </c>
      <c r="O8" s="451">
        <f t="shared" si="5"/>
        <v>307</v>
      </c>
      <c r="P8" s="450">
        <f>'SM-A6'!Q65/10</f>
        <v>265</v>
      </c>
      <c r="Q8" s="449">
        <f t="shared" si="6"/>
        <v>42</v>
      </c>
      <c r="R8" s="448"/>
    </row>
    <row r="9" spans="1:18">
      <c r="A9" s="453"/>
      <c r="B9" s="460" t="s">
        <v>74</v>
      </c>
      <c r="C9" s="459">
        <f>'EG-A10'!Q7/10</f>
        <v>160.5</v>
      </c>
      <c r="D9" s="459">
        <f>'EG-A10'!Q36/10</f>
        <v>125</v>
      </c>
      <c r="E9" s="458">
        <v>25</v>
      </c>
      <c r="F9" s="458">
        <v>45</v>
      </c>
      <c r="G9" s="459">
        <f t="shared" si="0"/>
        <v>105</v>
      </c>
      <c r="H9" s="455">
        <f t="shared" si="1"/>
        <v>0.23810000000000001</v>
      </c>
      <c r="I9" s="455">
        <f t="shared" si="2"/>
        <v>0.36</v>
      </c>
      <c r="J9" s="456">
        <f t="shared" si="3"/>
        <v>20</v>
      </c>
      <c r="K9" s="455">
        <f t="shared" si="4"/>
        <v>0.77880000000000005</v>
      </c>
      <c r="L9" s="454" t="s">
        <v>101</v>
      </c>
      <c r="M9" s="453"/>
      <c r="N9" s="452" t="s">
        <v>74</v>
      </c>
      <c r="O9" s="451">
        <f t="shared" si="5"/>
        <v>125</v>
      </c>
      <c r="P9" s="450">
        <f>'EG-A10'!Q65/10</f>
        <v>105</v>
      </c>
      <c r="Q9" s="449">
        <f t="shared" si="6"/>
        <v>20</v>
      </c>
      <c r="R9" s="448"/>
    </row>
    <row r="10" spans="1:18">
      <c r="A10" s="453"/>
      <c r="B10" s="460" t="s">
        <v>72</v>
      </c>
      <c r="C10" s="459">
        <f>'PVC-A7'!Q7/10</f>
        <v>156.69999999999999</v>
      </c>
      <c r="D10" s="459">
        <f>'PVC-A7'!Q36/10</f>
        <v>160</v>
      </c>
      <c r="E10" s="458">
        <v>10</v>
      </c>
      <c r="F10" s="458">
        <v>50</v>
      </c>
      <c r="G10" s="459">
        <f t="shared" si="0"/>
        <v>120</v>
      </c>
      <c r="H10" s="455">
        <f t="shared" si="1"/>
        <v>8.3299999999999999E-2</v>
      </c>
      <c r="I10" s="455">
        <f t="shared" si="2"/>
        <v>0.3125</v>
      </c>
      <c r="J10" s="456">
        <f t="shared" si="3"/>
        <v>40</v>
      </c>
      <c r="K10" s="455">
        <f t="shared" si="4"/>
        <v>1.0210999999999999</v>
      </c>
      <c r="L10" s="454" t="s">
        <v>100</v>
      </c>
      <c r="M10" s="453"/>
      <c r="N10" s="452" t="s">
        <v>72</v>
      </c>
      <c r="O10" s="451">
        <f t="shared" si="5"/>
        <v>160</v>
      </c>
      <c r="P10" s="450">
        <f>'PVC-A7'!Q65/10</f>
        <v>120</v>
      </c>
      <c r="Q10" s="449">
        <f t="shared" si="6"/>
        <v>40</v>
      </c>
      <c r="R10" s="448"/>
    </row>
    <row r="11" spans="1:18">
      <c r="A11" s="453"/>
      <c r="B11" s="460" t="s">
        <v>371</v>
      </c>
      <c r="C11" s="459">
        <f>'OTHER(C2)-A11'!Q7/10</f>
        <v>100</v>
      </c>
      <c r="D11" s="459">
        <f>'OTHER(C2)-A11'!Q36/10</f>
        <v>90</v>
      </c>
      <c r="E11" s="458"/>
      <c r="F11" s="458">
        <v>20</v>
      </c>
      <c r="G11" s="459">
        <f t="shared" si="0"/>
        <v>70</v>
      </c>
      <c r="H11" s="455" t="str">
        <f t="shared" si="1"/>
        <v xml:space="preserve">     0%</v>
      </c>
      <c r="I11" s="455">
        <f t="shared" si="2"/>
        <v>0.22220000000000001</v>
      </c>
      <c r="J11" s="456">
        <f t="shared" si="3"/>
        <v>20</v>
      </c>
      <c r="K11" s="455">
        <f t="shared" si="4"/>
        <v>0.9</v>
      </c>
      <c r="L11" s="454"/>
      <c r="M11" s="453"/>
      <c r="N11" s="460" t="s">
        <v>371</v>
      </c>
      <c r="O11" s="451">
        <f t="shared" si="5"/>
        <v>90</v>
      </c>
      <c r="P11" s="450">
        <f>'OTHER(C2)-A11'!Q65/10</f>
        <v>70</v>
      </c>
      <c r="Q11" s="449">
        <f t="shared" si="6"/>
        <v>20</v>
      </c>
      <c r="R11" s="448"/>
    </row>
    <row r="12" spans="1:18">
      <c r="A12" s="453"/>
      <c r="B12" s="460" t="s">
        <v>372</v>
      </c>
      <c r="C12" s="462">
        <f>C6*0.98+C7*1.04+C8*0.29+C9*0.66+C10*0.5+C11</f>
        <v>1280.2380000000001</v>
      </c>
      <c r="D12" s="462">
        <f>D6*0.98+D7*1.04+D8*0.29+D9*0.66+D10*0.5+D11</f>
        <v>1107.93</v>
      </c>
      <c r="E12" s="462">
        <f>E6*0.98+E7*1.04+E8*0.29+E9*0.66+E10*0.5</f>
        <v>59.41</v>
      </c>
      <c r="F12" s="462">
        <f>F6*0.98+F7*1.04+F8*0.29+F9*0.66+F10*0.5</f>
        <v>583.95000000000005</v>
      </c>
      <c r="G12" s="459">
        <f t="shared" si="0"/>
        <v>583.3900000000001</v>
      </c>
      <c r="H12" s="455">
        <f t="shared" si="1"/>
        <v>0.1018</v>
      </c>
      <c r="I12" s="455">
        <f t="shared" si="2"/>
        <v>0.52710000000000001</v>
      </c>
      <c r="J12" s="456">
        <f t="shared" si="3"/>
        <v>524.54</v>
      </c>
      <c r="K12" s="455">
        <f t="shared" si="4"/>
        <v>0.86539999999999995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544.54</v>
      </c>
      <c r="R12" s="448"/>
    </row>
    <row r="13" spans="1:18">
      <c r="A13" s="453"/>
      <c r="B13" s="460" t="s">
        <v>373</v>
      </c>
      <c r="C13" s="459">
        <f>'PROPYLENE-A12'!Q7/10</f>
        <v>1140</v>
      </c>
      <c r="D13" s="459">
        <f>'PROPYLENE-A12'!Q36/10</f>
        <v>1070</v>
      </c>
      <c r="E13" s="458">
        <v>5</v>
      </c>
      <c r="F13" s="458">
        <v>145</v>
      </c>
      <c r="G13" s="459">
        <f t="shared" si="0"/>
        <v>930</v>
      </c>
      <c r="H13" s="455">
        <f t="shared" si="1"/>
        <v>5.4000000000000003E-3</v>
      </c>
      <c r="I13" s="455">
        <f t="shared" si="2"/>
        <v>0.13550000000000001</v>
      </c>
      <c r="J13" s="456">
        <f t="shared" si="3"/>
        <v>140</v>
      </c>
      <c r="K13" s="455">
        <f t="shared" si="4"/>
        <v>0.93859999999999999</v>
      </c>
      <c r="L13" s="454" t="s">
        <v>242</v>
      </c>
      <c r="M13" s="453"/>
      <c r="N13" s="460" t="s">
        <v>373</v>
      </c>
      <c r="O13" s="451">
        <f t="shared" si="5"/>
        <v>1070</v>
      </c>
      <c r="P13" s="450">
        <f>'PROPYLENE-A12'!Q65/10</f>
        <v>930</v>
      </c>
      <c r="Q13" s="449">
        <f t="shared" si="6"/>
        <v>140</v>
      </c>
      <c r="R13" s="448"/>
    </row>
    <row r="14" spans="1:18">
      <c r="A14" s="453"/>
      <c r="B14" s="460" t="s">
        <v>69</v>
      </c>
      <c r="C14" s="459">
        <f>'PP-A13'!Q7/10</f>
        <v>659.2</v>
      </c>
      <c r="D14" s="459">
        <f>'PP-A13'!Q36/10</f>
        <v>600</v>
      </c>
      <c r="E14" s="458">
        <v>3</v>
      </c>
      <c r="F14" s="458">
        <v>433</v>
      </c>
      <c r="G14" s="459">
        <f t="shared" si="0"/>
        <v>170</v>
      </c>
      <c r="H14" s="455">
        <f t="shared" si="1"/>
        <v>1.7600000000000001E-2</v>
      </c>
      <c r="I14" s="455">
        <f t="shared" si="2"/>
        <v>0.72170000000000001</v>
      </c>
      <c r="J14" s="456">
        <f t="shared" si="3"/>
        <v>430</v>
      </c>
      <c r="K14" s="455">
        <f t="shared" si="4"/>
        <v>0.91020000000000001</v>
      </c>
      <c r="L14" s="454" t="s">
        <v>99</v>
      </c>
      <c r="M14" s="453"/>
      <c r="N14" s="452" t="s">
        <v>69</v>
      </c>
      <c r="O14" s="451">
        <f t="shared" si="5"/>
        <v>600</v>
      </c>
      <c r="P14" s="450">
        <f>'PP-A13'!Q65/10</f>
        <v>170</v>
      </c>
      <c r="Q14" s="449">
        <f t="shared" si="6"/>
        <v>430</v>
      </c>
      <c r="R14" s="448"/>
    </row>
    <row r="15" spans="1:18">
      <c r="A15" s="453"/>
      <c r="B15" s="460" t="s">
        <v>67</v>
      </c>
      <c r="C15" s="459">
        <f>'AN-A14'!Q7/10</f>
        <v>90</v>
      </c>
      <c r="D15" s="459">
        <f>'AN-A14'!Q36/10</f>
        <v>80</v>
      </c>
      <c r="E15" s="458">
        <v>10</v>
      </c>
      <c r="F15" s="458">
        <v>24</v>
      </c>
      <c r="G15" s="459">
        <f t="shared" si="0"/>
        <v>66</v>
      </c>
      <c r="H15" s="455">
        <f t="shared" si="1"/>
        <v>0.1515</v>
      </c>
      <c r="I15" s="455">
        <f t="shared" si="2"/>
        <v>0.3</v>
      </c>
      <c r="J15" s="456">
        <f t="shared" si="3"/>
        <v>14</v>
      </c>
      <c r="K15" s="455">
        <f t="shared" si="4"/>
        <v>0.88890000000000002</v>
      </c>
      <c r="L15" s="454" t="s">
        <v>98</v>
      </c>
      <c r="M15" s="453"/>
      <c r="N15" s="452" t="s">
        <v>67</v>
      </c>
      <c r="O15" s="451">
        <f t="shared" si="5"/>
        <v>80</v>
      </c>
      <c r="P15" s="450">
        <f>'AN-A14'!Q65/10</f>
        <v>66</v>
      </c>
      <c r="Q15" s="449">
        <f t="shared" si="6"/>
        <v>14</v>
      </c>
      <c r="R15" s="448"/>
    </row>
    <row r="16" spans="1:18">
      <c r="A16" s="453"/>
      <c r="B16" s="460" t="s">
        <v>371</v>
      </c>
      <c r="C16" s="459">
        <f>'OTHER(C3)-A15'!Q7/10</f>
        <v>228</v>
      </c>
      <c r="D16" s="459">
        <f>'OTHER(C3)-A15'!Q36/10</f>
        <v>215</v>
      </c>
      <c r="E16" s="458"/>
      <c r="F16" s="458"/>
      <c r="G16" s="459">
        <f t="shared" si="0"/>
        <v>215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0.94299999999999995</v>
      </c>
      <c r="L16" s="454"/>
      <c r="M16" s="453"/>
      <c r="N16" s="460" t="s">
        <v>371</v>
      </c>
      <c r="O16" s="451">
        <f t="shared" si="5"/>
        <v>215</v>
      </c>
      <c r="P16" s="450">
        <f>'OTHER(C3)-A15'!Q65/10</f>
        <v>215</v>
      </c>
      <c r="Q16" s="449">
        <f t="shared" si="6"/>
        <v>0</v>
      </c>
      <c r="R16" s="448"/>
    </row>
    <row r="17" spans="1:20">
      <c r="A17" s="453"/>
      <c r="B17" s="460" t="s">
        <v>374</v>
      </c>
      <c r="C17" s="459">
        <f>C14*1.03+C15*1.09+C16</f>
        <v>1005.0760000000001</v>
      </c>
      <c r="D17" s="459">
        <f>D14*1.03+D15*1.09+D16</f>
        <v>920.2</v>
      </c>
      <c r="E17" s="459">
        <f>E14*1.03+E15*1.09</f>
        <v>13.99</v>
      </c>
      <c r="F17" s="459">
        <f>F14*1.03+F15*1.09</f>
        <v>472.15000000000003</v>
      </c>
      <c r="G17" s="459">
        <f t="shared" si="0"/>
        <v>462.04</v>
      </c>
      <c r="H17" s="455">
        <f t="shared" si="1"/>
        <v>3.0300000000000001E-2</v>
      </c>
      <c r="I17" s="455">
        <f t="shared" si="2"/>
        <v>0.5131</v>
      </c>
      <c r="J17" s="456">
        <f t="shared" si="3"/>
        <v>458.16</v>
      </c>
      <c r="K17" s="455">
        <f t="shared" si="4"/>
        <v>0.91559999999999997</v>
      </c>
      <c r="L17" s="454"/>
      <c r="M17" s="453"/>
      <c r="N17" s="460" t="s">
        <v>374</v>
      </c>
      <c r="O17" s="451"/>
      <c r="P17" s="450"/>
      <c r="Q17" s="461">
        <f>Q14*1.03+Q15*1.09+Q16</f>
        <v>458.16</v>
      </c>
      <c r="R17" s="448"/>
    </row>
    <row r="18" spans="1:20">
      <c r="A18" s="453"/>
      <c r="B18" s="460" t="s">
        <v>375</v>
      </c>
      <c r="C18" s="459">
        <f>'BENZENE-A16'!Q7/10</f>
        <v>652.79999999999995</v>
      </c>
      <c r="D18" s="459">
        <f>'BENZENE-A16'!Q36/10</f>
        <v>640</v>
      </c>
      <c r="E18" s="458">
        <v>3</v>
      </c>
      <c r="F18" s="458">
        <v>243</v>
      </c>
      <c r="G18" s="459">
        <f t="shared" si="0"/>
        <v>400</v>
      </c>
      <c r="H18" s="455">
        <f t="shared" si="1"/>
        <v>7.4999999999999997E-3</v>
      </c>
      <c r="I18" s="455">
        <f t="shared" si="2"/>
        <v>0.37969999999999998</v>
      </c>
      <c r="J18" s="456">
        <f t="shared" si="3"/>
        <v>240</v>
      </c>
      <c r="K18" s="455">
        <f t="shared" si="4"/>
        <v>0.98040000000000005</v>
      </c>
      <c r="L18" s="454" t="s">
        <v>97</v>
      </c>
      <c r="M18" s="453"/>
      <c r="N18" s="460" t="s">
        <v>375</v>
      </c>
      <c r="O18" s="451">
        <f t="shared" si="5"/>
        <v>640</v>
      </c>
      <c r="P18" s="450">
        <f>'BENZENE-A16'!Q65/10</f>
        <v>400</v>
      </c>
      <c r="Q18" s="449">
        <f t="shared" si="6"/>
        <v>240</v>
      </c>
      <c r="R18" s="448"/>
    </row>
    <row r="19" spans="1:20">
      <c r="A19" s="453"/>
      <c r="B19" s="460" t="s">
        <v>376</v>
      </c>
      <c r="C19" s="459">
        <f>'TOLUENE-A17'!Q7/10</f>
        <v>280.5</v>
      </c>
      <c r="D19" s="459">
        <f>'TOLUENE-A17'!Q36/10</f>
        <v>170</v>
      </c>
      <c r="E19" s="458">
        <v>60</v>
      </c>
      <c r="F19" s="458">
        <v>50</v>
      </c>
      <c r="G19" s="459">
        <f t="shared" si="0"/>
        <v>180</v>
      </c>
      <c r="H19" s="455">
        <f t="shared" si="1"/>
        <v>0.33329999999999999</v>
      </c>
      <c r="I19" s="455">
        <f t="shared" si="2"/>
        <v>0.29409999999999997</v>
      </c>
      <c r="J19" s="456">
        <f t="shared" si="3"/>
        <v>-10</v>
      </c>
      <c r="K19" s="455">
        <f t="shared" si="4"/>
        <v>0.60609999999999997</v>
      </c>
      <c r="L19" s="454" t="s">
        <v>96</v>
      </c>
      <c r="M19" s="453"/>
      <c r="N19" s="460" t="s">
        <v>376</v>
      </c>
      <c r="O19" s="451">
        <f t="shared" si="5"/>
        <v>170</v>
      </c>
      <c r="P19" s="450">
        <f>'TOLUENE-A17'!Q65/10</f>
        <v>180</v>
      </c>
      <c r="Q19" s="449">
        <f t="shared" si="6"/>
        <v>-10</v>
      </c>
      <c r="R19" s="448"/>
    </row>
    <row r="20" spans="1:20">
      <c r="A20" s="453"/>
      <c r="B20" s="460" t="s">
        <v>377</v>
      </c>
      <c r="C20" s="459">
        <f>'XYLENES-A18'!Q7/10</f>
        <v>516</v>
      </c>
      <c r="D20" s="459">
        <f>'XYLENES-A18'!Q36/10</f>
        <v>400</v>
      </c>
      <c r="E20" s="458">
        <v>180</v>
      </c>
      <c r="F20" s="458">
        <v>160</v>
      </c>
      <c r="G20" s="459">
        <f t="shared" si="0"/>
        <v>420</v>
      </c>
      <c r="H20" s="455">
        <f t="shared" si="1"/>
        <v>0.42859999999999998</v>
      </c>
      <c r="I20" s="455">
        <f t="shared" si="2"/>
        <v>0.4</v>
      </c>
      <c r="J20" s="456">
        <f t="shared" si="3"/>
        <v>-20</v>
      </c>
      <c r="K20" s="455">
        <f t="shared" si="4"/>
        <v>0.7752</v>
      </c>
      <c r="L20" s="454" t="s">
        <v>95</v>
      </c>
      <c r="M20" s="453"/>
      <c r="N20" s="460" t="s">
        <v>377</v>
      </c>
      <c r="O20" s="451">
        <f t="shared" si="5"/>
        <v>400</v>
      </c>
      <c r="P20" s="450">
        <f>'XYLENES-A18'!Q65/10</f>
        <v>420</v>
      </c>
      <c r="Q20" s="449">
        <f t="shared" si="6"/>
        <v>-20</v>
      </c>
      <c r="R20" s="448"/>
    </row>
    <row r="21" spans="1:20">
      <c r="A21" s="453"/>
      <c r="B21" s="460" t="s">
        <v>64</v>
      </c>
      <c r="C21" s="459">
        <f>'PX-A19'!Q7/10</f>
        <v>1019</v>
      </c>
      <c r="D21" s="459">
        <f>'PX-A19'!Q36/10</f>
        <v>1000</v>
      </c>
      <c r="E21" s="458">
        <v>0</v>
      </c>
      <c r="F21" s="458">
        <v>700</v>
      </c>
      <c r="G21" s="459">
        <f t="shared" si="0"/>
        <v>300</v>
      </c>
      <c r="H21" s="455" t="str">
        <f t="shared" si="1"/>
        <v xml:space="preserve">     0%</v>
      </c>
      <c r="I21" s="455">
        <f t="shared" si="2"/>
        <v>0.7</v>
      </c>
      <c r="J21" s="456">
        <f t="shared" si="3"/>
        <v>700</v>
      </c>
      <c r="K21" s="455">
        <f t="shared" si="4"/>
        <v>0.98140000000000005</v>
      </c>
      <c r="L21" s="454" t="s">
        <v>94</v>
      </c>
      <c r="M21" s="453"/>
      <c r="N21" s="452" t="s">
        <v>64</v>
      </c>
      <c r="O21" s="451">
        <f t="shared" si="5"/>
        <v>1000</v>
      </c>
      <c r="P21" s="450">
        <f>'PX-A19'!Q65/10</f>
        <v>300</v>
      </c>
      <c r="Q21" s="449">
        <f t="shared" si="6"/>
        <v>700</v>
      </c>
      <c r="R21" s="448"/>
    </row>
    <row r="22" spans="1:20">
      <c r="A22" s="453"/>
      <c r="B22" s="460" t="s">
        <v>62</v>
      </c>
      <c r="C22" s="459">
        <f>'PTA-A20'!Q7/10</f>
        <v>558</v>
      </c>
      <c r="D22" s="459">
        <f>'PTA-A20'!Q36/10</f>
        <v>450</v>
      </c>
      <c r="E22" s="458">
        <v>0</v>
      </c>
      <c r="F22" s="458">
        <v>170</v>
      </c>
      <c r="G22" s="459">
        <f t="shared" si="0"/>
        <v>280</v>
      </c>
      <c r="H22" s="455" t="str">
        <f t="shared" si="1"/>
        <v xml:space="preserve">     0%</v>
      </c>
      <c r="I22" s="455">
        <f t="shared" si="2"/>
        <v>0.37780000000000002</v>
      </c>
      <c r="J22" s="456">
        <f t="shared" si="3"/>
        <v>170</v>
      </c>
      <c r="K22" s="455">
        <f t="shared" si="4"/>
        <v>0.80649999999999999</v>
      </c>
      <c r="L22" s="454" t="s">
        <v>93</v>
      </c>
      <c r="M22" s="453"/>
      <c r="N22" s="452" t="s">
        <v>62</v>
      </c>
      <c r="O22" s="451">
        <f t="shared" si="5"/>
        <v>450</v>
      </c>
      <c r="P22" s="450">
        <f>'PTA-A20'!Q65/10</f>
        <v>280</v>
      </c>
      <c r="Q22" s="449">
        <f t="shared" si="6"/>
        <v>170</v>
      </c>
      <c r="R22" s="448"/>
      <c r="T22" t="s">
        <v>44</v>
      </c>
    </row>
    <row r="23" spans="1:20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0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3.87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17.25" bestFit="1" customWidth="1"/>
  </cols>
  <sheetData>
    <row r="1" spans="1:18" ht="39" customHeight="1">
      <c r="A1" s="641" t="s">
        <v>383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64">
        <f>'ETHYLENE-A1'!K8/10</f>
        <v>400.5</v>
      </c>
      <c r="D5" s="459">
        <f>'ETHYLENE-A1'!K37/10</f>
        <v>401.3</v>
      </c>
      <c r="E5" s="458">
        <v>46</v>
      </c>
      <c r="F5" s="458">
        <v>20</v>
      </c>
      <c r="G5" s="459">
        <f t="shared" ref="G5:G22" si="0">D5+E5-F5</f>
        <v>427.3</v>
      </c>
      <c r="H5" s="455">
        <f t="shared" ref="H5:H22" si="1">IF(AND(E5=0,G5=0),"    -",IF(E5=0,"     0%",IF(G5=0,"     -",ROUND(E5/G5,4))))</f>
        <v>0.1077</v>
      </c>
      <c r="I5" s="455">
        <f t="shared" ref="I5:I22" si="2">IF(AND(D5=0,F5=0),"    -",IF(F5=0,"     0%",IF(D5=0,"     -",ROUND(F5/D5,4))))</f>
        <v>4.9799999999999997E-2</v>
      </c>
      <c r="J5" s="456">
        <f t="shared" ref="J5:J22" si="3">D5-G5</f>
        <v>-26</v>
      </c>
      <c r="K5" s="455">
        <f t="shared" ref="K5:K22" si="4">IF(AND(D5=0,C5=0),"    -",IF(C5=0,"     0%",IF(D5=0,"     -",ROUND(D5/C5,4))))</f>
        <v>1.002</v>
      </c>
      <c r="L5" s="480" t="s">
        <v>110</v>
      </c>
      <c r="M5" s="453"/>
      <c r="N5" s="452" t="s">
        <v>79</v>
      </c>
      <c r="O5" s="451">
        <f t="shared" ref="O5:O22" si="5">D5</f>
        <v>401.3</v>
      </c>
      <c r="P5" s="450">
        <f>'ETHYLENE-A1'!K66/10</f>
        <v>427.3</v>
      </c>
      <c r="Q5" s="449">
        <f>O5-P5</f>
        <v>-26</v>
      </c>
      <c r="R5" s="448"/>
    </row>
    <row r="6" spans="1:18">
      <c r="A6" s="453"/>
      <c r="B6" s="460" t="s">
        <v>78</v>
      </c>
      <c r="C6" s="459">
        <f>'LDPE-A2'!K8/10</f>
        <v>87.9</v>
      </c>
      <c r="D6" s="459">
        <f>'LDPE-A2'!K37/10</f>
        <v>68.7</v>
      </c>
      <c r="E6" s="458">
        <v>33</v>
      </c>
      <c r="F6" s="458">
        <v>53</v>
      </c>
      <c r="G6" s="459">
        <f t="shared" si="0"/>
        <v>48.7</v>
      </c>
      <c r="H6" s="455">
        <f t="shared" si="1"/>
        <v>0.67759999999999998</v>
      </c>
      <c r="I6" s="455">
        <f t="shared" si="2"/>
        <v>0.77149999999999996</v>
      </c>
      <c r="J6" s="456">
        <f t="shared" si="3"/>
        <v>20</v>
      </c>
      <c r="K6" s="455">
        <f t="shared" si="4"/>
        <v>0.78159999999999996</v>
      </c>
      <c r="L6" s="454" t="s">
        <v>114</v>
      </c>
      <c r="M6" s="453"/>
      <c r="N6" s="452" t="s">
        <v>78</v>
      </c>
      <c r="O6" s="451">
        <f t="shared" si="5"/>
        <v>68.7</v>
      </c>
      <c r="P6" s="450">
        <f>'LDPE-A2'!K66/10</f>
        <v>49.1</v>
      </c>
      <c r="Q6" s="449">
        <f t="shared" ref="Q6:Q22" si="6">O6-P6</f>
        <v>19.600000000000001</v>
      </c>
      <c r="R6" s="448"/>
    </row>
    <row r="7" spans="1:18">
      <c r="A7" s="453"/>
      <c r="B7" s="460" t="s">
        <v>76</v>
      </c>
      <c r="C7" s="459">
        <f>'HDPE-A3'!K8/10</f>
        <v>66.599999999999994</v>
      </c>
      <c r="D7" s="459">
        <f>'HDPE-A3'!K37/10</f>
        <v>58.2</v>
      </c>
      <c r="E7" s="458">
        <v>8</v>
      </c>
      <c r="F7" s="458">
        <v>35</v>
      </c>
      <c r="G7" s="459">
        <f t="shared" si="0"/>
        <v>31.200000000000003</v>
      </c>
      <c r="H7" s="455">
        <f t="shared" si="1"/>
        <v>0.25640000000000002</v>
      </c>
      <c r="I7" s="455">
        <f t="shared" si="2"/>
        <v>0.60140000000000005</v>
      </c>
      <c r="J7" s="456">
        <f t="shared" si="3"/>
        <v>27</v>
      </c>
      <c r="K7" s="455">
        <f t="shared" si="4"/>
        <v>0.87390000000000001</v>
      </c>
      <c r="L7" s="454" t="s">
        <v>114</v>
      </c>
      <c r="M7" s="453"/>
      <c r="N7" s="452" t="s">
        <v>76</v>
      </c>
      <c r="O7" s="451">
        <f t="shared" si="5"/>
        <v>58.2</v>
      </c>
      <c r="P7" s="450">
        <f>'HDPE-A3'!K66/10</f>
        <v>31.5</v>
      </c>
      <c r="Q7" s="449">
        <f t="shared" si="6"/>
        <v>26.700000000000003</v>
      </c>
      <c r="R7" s="448"/>
    </row>
    <row r="8" spans="1:18">
      <c r="A8" s="453"/>
      <c r="B8" s="460" t="s">
        <v>75</v>
      </c>
      <c r="C8" s="459">
        <f>'SM-A6'!K8/10</f>
        <v>203</v>
      </c>
      <c r="D8" s="459">
        <f>'SM-A6'!K37/10</f>
        <v>182.3</v>
      </c>
      <c r="E8" s="458">
        <v>33</v>
      </c>
      <c r="F8" s="458">
        <v>24</v>
      </c>
      <c r="G8" s="459">
        <f t="shared" si="0"/>
        <v>191.3</v>
      </c>
      <c r="H8" s="455">
        <f t="shared" si="1"/>
        <v>0.17249999999999999</v>
      </c>
      <c r="I8" s="455">
        <f t="shared" si="2"/>
        <v>0.13170000000000001</v>
      </c>
      <c r="J8" s="456">
        <f t="shared" si="3"/>
        <v>-9</v>
      </c>
      <c r="K8" s="455">
        <f t="shared" si="4"/>
        <v>0.89800000000000002</v>
      </c>
      <c r="L8" s="480" t="s">
        <v>113</v>
      </c>
      <c r="M8" s="453"/>
      <c r="N8" s="452" t="s">
        <v>75</v>
      </c>
      <c r="O8" s="451">
        <f t="shared" si="5"/>
        <v>182.3</v>
      </c>
      <c r="P8" s="450">
        <f>'SM-A6'!K66/10</f>
        <v>191.3</v>
      </c>
      <c r="Q8" s="449">
        <f t="shared" si="6"/>
        <v>-9</v>
      </c>
      <c r="R8" s="448"/>
    </row>
    <row r="9" spans="1:18">
      <c r="A9" s="453"/>
      <c r="B9" s="460" t="s">
        <v>74</v>
      </c>
      <c r="C9" s="459">
        <f>'EG-A10'!K8/10</f>
        <v>260</v>
      </c>
      <c r="D9" s="459">
        <f>'EG-A10'!K37/10</f>
        <v>236.7</v>
      </c>
      <c r="E9" s="458">
        <v>13</v>
      </c>
      <c r="F9" s="458">
        <v>149</v>
      </c>
      <c r="G9" s="459">
        <f t="shared" si="0"/>
        <v>100.69999999999999</v>
      </c>
      <c r="H9" s="455">
        <f t="shared" si="1"/>
        <v>0.12909999999999999</v>
      </c>
      <c r="I9" s="455">
        <f t="shared" si="2"/>
        <v>0.62949999999999995</v>
      </c>
      <c r="J9" s="456">
        <f t="shared" si="3"/>
        <v>136</v>
      </c>
      <c r="K9" s="455">
        <f t="shared" si="4"/>
        <v>0.91039999999999999</v>
      </c>
      <c r="L9" s="481" t="s">
        <v>112</v>
      </c>
      <c r="M9" s="453"/>
      <c r="N9" s="452" t="s">
        <v>74</v>
      </c>
      <c r="O9" s="451">
        <f t="shared" si="5"/>
        <v>236.7</v>
      </c>
      <c r="P9" s="450">
        <f>'EG-A10'!K66/10</f>
        <v>100.4</v>
      </c>
      <c r="Q9" s="449">
        <f t="shared" si="6"/>
        <v>136.29999999999998</v>
      </c>
      <c r="R9" s="448"/>
    </row>
    <row r="10" spans="1:18">
      <c r="A10" s="453"/>
      <c r="B10" s="460" t="s">
        <v>72</v>
      </c>
      <c r="C10" s="459">
        <f>'PVC-A7'!K8/10</f>
        <v>183</v>
      </c>
      <c r="D10" s="459">
        <f>'PVC-A7'!K37/10</f>
        <v>168.3</v>
      </c>
      <c r="E10" s="458">
        <v>3</v>
      </c>
      <c r="F10" s="458">
        <v>124</v>
      </c>
      <c r="G10" s="459">
        <f t="shared" si="0"/>
        <v>47.300000000000011</v>
      </c>
      <c r="H10" s="455">
        <f t="shared" si="1"/>
        <v>6.3399999999999998E-2</v>
      </c>
      <c r="I10" s="455">
        <f t="shared" si="2"/>
        <v>0.73680000000000001</v>
      </c>
      <c r="J10" s="456">
        <f t="shared" si="3"/>
        <v>121</v>
      </c>
      <c r="K10" s="455">
        <f t="shared" si="4"/>
        <v>0.91969999999999996</v>
      </c>
      <c r="L10" s="481" t="s">
        <v>111</v>
      </c>
      <c r="M10" s="453"/>
      <c r="N10" s="452" t="s">
        <v>72</v>
      </c>
      <c r="O10" s="451">
        <f t="shared" si="5"/>
        <v>168.3</v>
      </c>
      <c r="P10" s="450">
        <f>'PVC-A7'!K66/10</f>
        <v>47.5</v>
      </c>
      <c r="Q10" s="449">
        <f t="shared" si="6"/>
        <v>120.80000000000001</v>
      </c>
      <c r="R10" s="448"/>
    </row>
    <row r="11" spans="1:18">
      <c r="A11" s="453"/>
      <c r="B11" s="460" t="s">
        <v>371</v>
      </c>
      <c r="C11" s="459">
        <f>'OTHER(C2)-A11'!K8/10</f>
        <v>40</v>
      </c>
      <c r="D11" s="459">
        <f>'OTHER(C2)-A11'!K37/10</f>
        <v>15</v>
      </c>
      <c r="E11" s="458"/>
      <c r="F11" s="458">
        <v>3</v>
      </c>
      <c r="G11" s="459">
        <f t="shared" si="0"/>
        <v>12</v>
      </c>
      <c r="H11" s="455" t="str">
        <f t="shared" si="1"/>
        <v xml:space="preserve">     0%</v>
      </c>
      <c r="I11" s="455">
        <f t="shared" si="2"/>
        <v>0.2</v>
      </c>
      <c r="J11" s="456">
        <f t="shared" si="3"/>
        <v>3</v>
      </c>
      <c r="K11" s="455">
        <f t="shared" si="4"/>
        <v>0.375</v>
      </c>
      <c r="L11" s="454"/>
      <c r="M11" s="453"/>
      <c r="N11" s="460" t="s">
        <v>371</v>
      </c>
      <c r="O11" s="451">
        <f t="shared" si="5"/>
        <v>15</v>
      </c>
      <c r="P11" s="450">
        <f>'OTHER(C2)-A11'!K66/10</f>
        <v>12</v>
      </c>
      <c r="Q11" s="449">
        <f t="shared" si="6"/>
        <v>3</v>
      </c>
      <c r="R11" s="448"/>
    </row>
    <row r="12" spans="1:18">
      <c r="A12" s="453"/>
      <c r="B12" s="460" t="s">
        <v>372</v>
      </c>
      <c r="C12" s="462">
        <f>C6*0.98+C7*1.04+C8*0.29+C9*0.66+C10*0.5+C11</f>
        <v>517.37599999999998</v>
      </c>
      <c r="D12" s="462">
        <f>D6*0.98+D7*1.04+D8*0.29+D9*0.66+D10*0.5+D11</f>
        <v>436.09299999999996</v>
      </c>
      <c r="E12" s="462">
        <f>E6*0.98+E7*1.04+E8*0.29+E9*0.66+E10*0.5</f>
        <v>60.309999999999995</v>
      </c>
      <c r="F12" s="462">
        <f>F6*0.98+F7*1.04+F8*0.29+F9*0.66+F10*0.5</f>
        <v>255.64</v>
      </c>
      <c r="G12" s="459">
        <f t="shared" si="0"/>
        <v>240.76299999999998</v>
      </c>
      <c r="H12" s="455">
        <f t="shared" si="1"/>
        <v>0.2505</v>
      </c>
      <c r="I12" s="455">
        <f t="shared" si="2"/>
        <v>0.58620000000000005</v>
      </c>
      <c r="J12" s="456">
        <f t="shared" si="3"/>
        <v>195.32999999999998</v>
      </c>
      <c r="K12" s="455">
        <f t="shared" si="4"/>
        <v>0.84289999999999998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197.72400000000002</v>
      </c>
      <c r="R12" s="448"/>
    </row>
    <row r="13" spans="1:18">
      <c r="A13" s="453"/>
      <c r="B13" s="460" t="s">
        <v>373</v>
      </c>
      <c r="C13" s="459">
        <f>'PROPYLENE-A12'!K8/10</f>
        <v>359.5</v>
      </c>
      <c r="D13" s="459">
        <f>'PROPYLENE-A12'!K37/10</f>
        <v>330.5</v>
      </c>
      <c r="E13" s="458">
        <v>29</v>
      </c>
      <c r="F13" s="458">
        <v>62</v>
      </c>
      <c r="G13" s="459">
        <f t="shared" si="0"/>
        <v>297.5</v>
      </c>
      <c r="H13" s="455">
        <f t="shared" si="1"/>
        <v>9.7500000000000003E-2</v>
      </c>
      <c r="I13" s="455">
        <f t="shared" si="2"/>
        <v>0.18759999999999999</v>
      </c>
      <c r="J13" s="456">
        <f t="shared" si="3"/>
        <v>33</v>
      </c>
      <c r="K13" s="455">
        <f t="shared" si="4"/>
        <v>0.91930000000000001</v>
      </c>
      <c r="L13" s="480" t="s">
        <v>110</v>
      </c>
      <c r="M13" s="453"/>
      <c r="N13" s="460" t="s">
        <v>373</v>
      </c>
      <c r="O13" s="451">
        <f t="shared" si="5"/>
        <v>330.5</v>
      </c>
      <c r="P13" s="450">
        <f>'PROPYLENE-A12'!K66/10</f>
        <v>297.39999999999998</v>
      </c>
      <c r="Q13" s="449">
        <f t="shared" si="6"/>
        <v>33.100000000000023</v>
      </c>
      <c r="R13" s="448"/>
    </row>
    <row r="14" spans="1:18">
      <c r="A14" s="453"/>
      <c r="B14" s="460" t="s">
        <v>69</v>
      </c>
      <c r="C14" s="459">
        <f>'PP-A13'!K8/10</f>
        <v>140</v>
      </c>
      <c r="D14" s="459">
        <f>'PP-A13'!K37/10</f>
        <v>133.9</v>
      </c>
      <c r="E14" s="458">
        <v>16</v>
      </c>
      <c r="F14" s="458">
        <v>92</v>
      </c>
      <c r="G14" s="459">
        <f t="shared" si="0"/>
        <v>57.900000000000006</v>
      </c>
      <c r="H14" s="455">
        <f t="shared" si="1"/>
        <v>0.27629999999999999</v>
      </c>
      <c r="I14" s="455">
        <f t="shared" si="2"/>
        <v>0.68710000000000004</v>
      </c>
      <c r="J14" s="456">
        <f t="shared" si="3"/>
        <v>76</v>
      </c>
      <c r="K14" s="455">
        <f t="shared" si="4"/>
        <v>0.95640000000000003</v>
      </c>
      <c r="L14" s="481" t="s">
        <v>109</v>
      </c>
      <c r="M14" s="453"/>
      <c r="N14" s="452" t="s">
        <v>69</v>
      </c>
      <c r="O14" s="451">
        <f t="shared" si="5"/>
        <v>133.9</v>
      </c>
      <c r="P14" s="450">
        <f>'PP-A13'!K66/10</f>
        <v>57.9</v>
      </c>
      <c r="Q14" s="449">
        <f t="shared" si="6"/>
        <v>76</v>
      </c>
      <c r="R14" s="448"/>
    </row>
    <row r="15" spans="1:18">
      <c r="A15" s="453"/>
      <c r="B15" s="460" t="s">
        <v>67</v>
      </c>
      <c r="C15" s="459">
        <f>'AN-A14'!K8/10</f>
        <v>52</v>
      </c>
      <c r="D15" s="459">
        <f>'AN-A14'!K37/10</f>
        <v>48.2</v>
      </c>
      <c r="E15" s="458">
        <v>9</v>
      </c>
      <c r="F15" s="458">
        <v>16</v>
      </c>
      <c r="G15" s="459">
        <f t="shared" si="0"/>
        <v>41.2</v>
      </c>
      <c r="H15" s="455">
        <f t="shared" si="1"/>
        <v>0.21840000000000001</v>
      </c>
      <c r="I15" s="455">
        <f t="shared" si="2"/>
        <v>0.33200000000000002</v>
      </c>
      <c r="J15" s="456">
        <f t="shared" si="3"/>
        <v>7</v>
      </c>
      <c r="K15" s="455">
        <f t="shared" si="4"/>
        <v>0.92689999999999995</v>
      </c>
      <c r="L15" s="454" t="s">
        <v>108</v>
      </c>
      <c r="M15" s="453"/>
      <c r="N15" s="452" t="s">
        <v>67</v>
      </c>
      <c r="O15" s="451">
        <f t="shared" si="5"/>
        <v>48.2</v>
      </c>
      <c r="P15" s="450">
        <f>'AN-A14'!K66/10</f>
        <v>41.5</v>
      </c>
      <c r="Q15" s="449">
        <f t="shared" si="6"/>
        <v>6.7000000000000028</v>
      </c>
      <c r="R15" s="448"/>
    </row>
    <row r="16" spans="1:18">
      <c r="A16" s="453"/>
      <c r="B16" s="460" t="s">
        <v>371</v>
      </c>
      <c r="C16" s="459">
        <f>'OTHER(C3)-A15'!K8/10</f>
        <v>122.1</v>
      </c>
      <c r="D16" s="459">
        <f>'OTHER(C3)-A15'!K37/10</f>
        <v>112.6</v>
      </c>
      <c r="E16" s="458"/>
      <c r="F16" s="458"/>
      <c r="G16" s="459">
        <f t="shared" si="0"/>
        <v>112.6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0.92220000000000002</v>
      </c>
      <c r="L16" s="454"/>
      <c r="M16" s="453"/>
      <c r="N16" s="460" t="s">
        <v>371</v>
      </c>
      <c r="O16" s="451">
        <f t="shared" si="5"/>
        <v>112.6</v>
      </c>
      <c r="P16" s="450">
        <f>'OTHER(C3)-A15'!K66/10</f>
        <v>112.6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322.98</v>
      </c>
      <c r="D17" s="459">
        <f>D14*1.03+D15*1.09+D16</f>
        <v>303.05500000000001</v>
      </c>
      <c r="E17" s="459">
        <f>E14*1.03+E15*1.09</f>
        <v>26.29</v>
      </c>
      <c r="F17" s="459">
        <f>F14*1.03+F15*1.09</f>
        <v>112.2</v>
      </c>
      <c r="G17" s="459">
        <f t="shared" si="0"/>
        <v>217.14500000000004</v>
      </c>
      <c r="H17" s="455">
        <f t="shared" si="1"/>
        <v>0.1211</v>
      </c>
      <c r="I17" s="455">
        <f t="shared" si="2"/>
        <v>0.37019999999999997</v>
      </c>
      <c r="J17" s="456">
        <f t="shared" si="3"/>
        <v>85.909999999999968</v>
      </c>
      <c r="K17" s="455">
        <f t="shared" si="4"/>
        <v>0.93830000000000002</v>
      </c>
      <c r="L17" s="454"/>
      <c r="M17" s="453"/>
      <c r="N17" s="460" t="s">
        <v>374</v>
      </c>
      <c r="O17" s="451"/>
      <c r="P17" s="450"/>
      <c r="Q17" s="461">
        <f>Q14*1.03+Q15*1.09+Q16</f>
        <v>85.582999999999998</v>
      </c>
      <c r="R17" s="448"/>
    </row>
    <row r="18" spans="1:18">
      <c r="A18" s="453"/>
      <c r="B18" s="460" t="s">
        <v>375</v>
      </c>
      <c r="C18" s="459">
        <f>'BENZENE-A16'!K8/10</f>
        <v>198</v>
      </c>
      <c r="D18" s="459">
        <f>'BENZENE-A16'!K37/10</f>
        <v>168</v>
      </c>
      <c r="E18" s="458">
        <v>72</v>
      </c>
      <c r="F18" s="458">
        <v>13</v>
      </c>
      <c r="G18" s="459">
        <f t="shared" si="0"/>
        <v>227</v>
      </c>
      <c r="H18" s="455">
        <f t="shared" si="1"/>
        <v>0.31719999999999998</v>
      </c>
      <c r="I18" s="455">
        <f t="shared" si="2"/>
        <v>7.7399999999999997E-2</v>
      </c>
      <c r="J18" s="456">
        <f t="shared" si="3"/>
        <v>-59</v>
      </c>
      <c r="K18" s="455">
        <f t="shared" si="4"/>
        <v>0.84850000000000003</v>
      </c>
      <c r="L18" s="480" t="s">
        <v>107</v>
      </c>
      <c r="M18" s="453"/>
      <c r="N18" s="460" t="s">
        <v>375</v>
      </c>
      <c r="O18" s="451">
        <f t="shared" si="5"/>
        <v>168</v>
      </c>
      <c r="P18" s="450">
        <f>'BENZENE-A16'!K66/10</f>
        <v>227.2</v>
      </c>
      <c r="Q18" s="449">
        <f t="shared" si="6"/>
        <v>-59.199999999999989</v>
      </c>
      <c r="R18" s="448"/>
    </row>
    <row r="19" spans="1:18">
      <c r="A19" s="453"/>
      <c r="B19" s="460" t="s">
        <v>376</v>
      </c>
      <c r="C19" s="459">
        <f>'TOLUENE-A17'!K8/10</f>
        <v>34.5</v>
      </c>
      <c r="D19" s="459">
        <f>'TOLUENE-A17'!K37/10</f>
        <v>33.4</v>
      </c>
      <c r="E19" s="458">
        <v>16</v>
      </c>
      <c r="F19" s="458">
        <v>30</v>
      </c>
      <c r="G19" s="459">
        <f t="shared" si="0"/>
        <v>19.399999999999999</v>
      </c>
      <c r="H19" s="455">
        <f t="shared" si="1"/>
        <v>0.82469999999999999</v>
      </c>
      <c r="I19" s="455">
        <f t="shared" si="2"/>
        <v>0.8982</v>
      </c>
      <c r="J19" s="456">
        <f t="shared" si="3"/>
        <v>14</v>
      </c>
      <c r="K19" s="455">
        <f t="shared" si="4"/>
        <v>0.96809999999999996</v>
      </c>
      <c r="L19" s="480" t="s">
        <v>107</v>
      </c>
      <c r="M19" s="453"/>
      <c r="N19" s="460" t="s">
        <v>376</v>
      </c>
      <c r="O19" s="451">
        <f t="shared" si="5"/>
        <v>33.4</v>
      </c>
      <c r="P19" s="450">
        <f>'TOLUENE-A17'!K66/10</f>
        <v>19.899999999999999</v>
      </c>
      <c r="Q19" s="449">
        <f t="shared" si="6"/>
        <v>13.5</v>
      </c>
      <c r="R19" s="448"/>
    </row>
    <row r="20" spans="1:18">
      <c r="A20" s="453"/>
      <c r="B20" s="460" t="s">
        <v>377</v>
      </c>
      <c r="C20" s="459">
        <f>'XYLENES-A18'!K8/10</f>
        <v>276</v>
      </c>
      <c r="D20" s="459">
        <f>'XYLENES-A18'!K37/10</f>
        <v>203.4</v>
      </c>
      <c r="E20" s="458">
        <v>142</v>
      </c>
      <c r="F20" s="458">
        <v>167</v>
      </c>
      <c r="G20" s="459">
        <f t="shared" si="0"/>
        <v>178.39999999999998</v>
      </c>
      <c r="H20" s="455">
        <f t="shared" si="1"/>
        <v>0.79600000000000004</v>
      </c>
      <c r="I20" s="455">
        <f t="shared" si="2"/>
        <v>0.82099999999999995</v>
      </c>
      <c r="J20" s="456">
        <f t="shared" si="3"/>
        <v>25.000000000000028</v>
      </c>
      <c r="K20" s="455">
        <f t="shared" si="4"/>
        <v>0.73699999999999999</v>
      </c>
      <c r="L20" s="480" t="s">
        <v>107</v>
      </c>
      <c r="M20" s="453"/>
      <c r="N20" s="460" t="s">
        <v>377</v>
      </c>
      <c r="O20" s="451">
        <f t="shared" si="5"/>
        <v>203.4</v>
      </c>
      <c r="P20" s="450">
        <f>'XYLENES-A18'!K66/10</f>
        <v>178.1</v>
      </c>
      <c r="Q20" s="449">
        <f t="shared" si="6"/>
        <v>25.300000000000011</v>
      </c>
      <c r="R20" s="448"/>
    </row>
    <row r="21" spans="1:18">
      <c r="A21" s="453"/>
      <c r="B21" s="460" t="s">
        <v>64</v>
      </c>
      <c r="C21" s="459">
        <f>'PX-A19'!K8/10</f>
        <v>172</v>
      </c>
      <c r="D21" s="459">
        <f>'PX-A19'!K37/10</f>
        <v>179</v>
      </c>
      <c r="E21" s="458">
        <v>134</v>
      </c>
      <c r="F21" s="458">
        <v>163</v>
      </c>
      <c r="G21" s="459">
        <f t="shared" si="0"/>
        <v>150</v>
      </c>
      <c r="H21" s="455">
        <f t="shared" si="1"/>
        <v>0.89329999999999998</v>
      </c>
      <c r="I21" s="455">
        <f t="shared" si="2"/>
        <v>0.91059999999999997</v>
      </c>
      <c r="J21" s="456">
        <f t="shared" si="3"/>
        <v>29</v>
      </c>
      <c r="K21" s="455">
        <f t="shared" si="4"/>
        <v>1.0407</v>
      </c>
      <c r="L21" s="480" t="s">
        <v>106</v>
      </c>
      <c r="M21" s="453"/>
      <c r="N21" s="452" t="s">
        <v>64</v>
      </c>
      <c r="O21" s="451">
        <f t="shared" si="5"/>
        <v>179</v>
      </c>
      <c r="P21" s="450">
        <f>'PX-A19'!K66/10</f>
        <v>150</v>
      </c>
      <c r="Q21" s="449">
        <f t="shared" si="6"/>
        <v>29</v>
      </c>
      <c r="R21" s="448"/>
    </row>
    <row r="22" spans="1:18">
      <c r="A22" s="453"/>
      <c r="B22" s="460" t="s">
        <v>62</v>
      </c>
      <c r="C22" s="459">
        <f>'PTA-A20'!K8/10</f>
        <v>440</v>
      </c>
      <c r="D22" s="459">
        <f>'PTA-A20'!K37/10</f>
        <v>266.89999999999998</v>
      </c>
      <c r="E22" s="458">
        <v>7</v>
      </c>
      <c r="F22" s="458">
        <v>24</v>
      </c>
      <c r="G22" s="459">
        <f t="shared" si="0"/>
        <v>249.89999999999998</v>
      </c>
      <c r="H22" s="455">
        <f t="shared" si="1"/>
        <v>2.8000000000000001E-2</v>
      </c>
      <c r="I22" s="455">
        <f t="shared" si="2"/>
        <v>8.9899999999999994E-2</v>
      </c>
      <c r="J22" s="456">
        <f t="shared" si="3"/>
        <v>17</v>
      </c>
      <c r="K22" s="455">
        <f t="shared" si="4"/>
        <v>0.60660000000000003</v>
      </c>
      <c r="L22" s="480" t="s">
        <v>105</v>
      </c>
      <c r="M22" s="453"/>
      <c r="N22" s="452" t="s">
        <v>62</v>
      </c>
      <c r="O22" s="451">
        <f t="shared" si="5"/>
        <v>266.89999999999998</v>
      </c>
      <c r="P22" s="450">
        <f>'PTA-A20'!K66/10</f>
        <v>249.6</v>
      </c>
      <c r="Q22" s="449">
        <f t="shared" si="6"/>
        <v>17.299999999999983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M24" s="453"/>
    </row>
    <row r="25" spans="1:18">
      <c r="M25" s="453"/>
    </row>
    <row r="26" spans="1:18"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3.87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384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'ETHYLENE-A1'!Q8/10</f>
        <v>400.5</v>
      </c>
      <c r="D5" s="459">
        <f>'ETHYLENE-A1'!Q37/10</f>
        <v>420</v>
      </c>
      <c r="E5" s="458">
        <v>35</v>
      </c>
      <c r="F5" s="458">
        <v>20</v>
      </c>
      <c r="G5" s="459">
        <f t="shared" ref="G5:G22" si="0">D5+E5-F5</f>
        <v>435</v>
      </c>
      <c r="H5" s="455">
        <f t="shared" ref="H5:H22" si="1">IF(AND(E5=0,G5=0),"    -",IF(E5=0,"     0%",IF(G5=0,"     -",ROUND(E5/G5,4))))</f>
        <v>8.0500000000000002E-2</v>
      </c>
      <c r="I5" s="455">
        <f t="shared" ref="I5:I22" si="2">IF(AND(D5=0,F5=0),"    -",IF(F5=0,"     0%",IF(D5=0,"     -",ROUND(F5/D5,4))))</f>
        <v>4.7600000000000003E-2</v>
      </c>
      <c r="J5" s="456">
        <f t="shared" ref="J5:J22" si="3">D5-G5</f>
        <v>-15</v>
      </c>
      <c r="K5" s="455">
        <f>IF(AND(D5=0,C5=0),"    -",IF(C5=0,"     0%",IF(D5=0,"     -",ROUND(D5/C5,4))))</f>
        <v>1.0487</v>
      </c>
      <c r="L5" s="480" t="s">
        <v>110</v>
      </c>
      <c r="M5" s="453"/>
      <c r="N5" s="452" t="s">
        <v>79</v>
      </c>
      <c r="O5" s="451">
        <f>D5</f>
        <v>420</v>
      </c>
      <c r="P5" s="450">
        <f>'ETHYLENE-A1'!Q66/10</f>
        <v>435</v>
      </c>
      <c r="Q5" s="449">
        <f>O5-P5</f>
        <v>-15</v>
      </c>
      <c r="R5" s="448"/>
    </row>
    <row r="6" spans="1:18">
      <c r="A6" s="453"/>
      <c r="B6" s="460" t="s">
        <v>78</v>
      </c>
      <c r="C6" s="459">
        <f>'LDPE-A2'!Q8/10</f>
        <v>87.9</v>
      </c>
      <c r="D6" s="459">
        <f>'LDPE-A2'!Q37/10</f>
        <v>70</v>
      </c>
      <c r="E6" s="458">
        <v>30</v>
      </c>
      <c r="F6" s="458">
        <v>49</v>
      </c>
      <c r="G6" s="459">
        <f t="shared" si="0"/>
        <v>51</v>
      </c>
      <c r="H6" s="455">
        <f t="shared" si="1"/>
        <v>0.58819999999999995</v>
      </c>
      <c r="I6" s="455">
        <f t="shared" si="2"/>
        <v>0.7</v>
      </c>
      <c r="J6" s="456">
        <f t="shared" si="3"/>
        <v>19</v>
      </c>
      <c r="K6" s="455">
        <f t="shared" ref="K6:K22" si="4">IF(AND(D6=0,C6=0),"    -",IF(C6=0,"     0%",IF(D6=0,"     -",ROUND(D6/C6,4))))</f>
        <v>0.7964</v>
      </c>
      <c r="L6" s="454" t="s">
        <v>114</v>
      </c>
      <c r="M6" s="453"/>
      <c r="N6" s="452" t="s">
        <v>78</v>
      </c>
      <c r="O6" s="451">
        <f t="shared" ref="O6:O22" si="5">D6</f>
        <v>70</v>
      </c>
      <c r="P6" s="450">
        <f>'LDPE-A2'!Q66/10</f>
        <v>51</v>
      </c>
      <c r="Q6" s="449">
        <f t="shared" ref="Q6:Q22" si="6">O6-P6</f>
        <v>19</v>
      </c>
      <c r="R6" s="448"/>
    </row>
    <row r="7" spans="1:18">
      <c r="A7" s="453"/>
      <c r="B7" s="460" t="s">
        <v>76</v>
      </c>
      <c r="C7" s="459">
        <f>'HDPE-A3'!Q8/10</f>
        <v>66.599999999999994</v>
      </c>
      <c r="D7" s="459">
        <f>'HDPE-A3'!Q37/10</f>
        <v>60</v>
      </c>
      <c r="E7" s="458">
        <v>10</v>
      </c>
      <c r="F7" s="458">
        <v>36</v>
      </c>
      <c r="G7" s="459">
        <f t="shared" si="0"/>
        <v>34</v>
      </c>
      <c r="H7" s="455">
        <f t="shared" si="1"/>
        <v>0.29409999999999997</v>
      </c>
      <c r="I7" s="455">
        <f t="shared" si="2"/>
        <v>0.6</v>
      </c>
      <c r="J7" s="456">
        <f t="shared" si="3"/>
        <v>26</v>
      </c>
      <c r="K7" s="455">
        <f t="shared" si="4"/>
        <v>0.90090000000000003</v>
      </c>
      <c r="L7" s="454" t="s">
        <v>114</v>
      </c>
      <c r="M7" s="453"/>
      <c r="N7" s="452" t="s">
        <v>76</v>
      </c>
      <c r="O7" s="451">
        <f t="shared" si="5"/>
        <v>60</v>
      </c>
      <c r="P7" s="450">
        <f>'HDPE-A3'!Q66/10</f>
        <v>34</v>
      </c>
      <c r="Q7" s="449">
        <f t="shared" si="6"/>
        <v>26</v>
      </c>
      <c r="R7" s="448"/>
    </row>
    <row r="8" spans="1:18">
      <c r="A8" s="453"/>
      <c r="B8" s="460" t="s">
        <v>75</v>
      </c>
      <c r="C8" s="459">
        <f>'SM-A6'!Q8/10</f>
        <v>203</v>
      </c>
      <c r="D8" s="459">
        <f>'SM-A6'!Q37/10</f>
        <v>200</v>
      </c>
      <c r="E8" s="458">
        <v>25</v>
      </c>
      <c r="F8" s="458">
        <v>30</v>
      </c>
      <c r="G8" s="459">
        <f t="shared" si="0"/>
        <v>195</v>
      </c>
      <c r="H8" s="455">
        <f t="shared" si="1"/>
        <v>0.12820000000000001</v>
      </c>
      <c r="I8" s="455">
        <f t="shared" si="2"/>
        <v>0.15</v>
      </c>
      <c r="J8" s="456">
        <f t="shared" si="3"/>
        <v>5</v>
      </c>
      <c r="K8" s="455">
        <f t="shared" si="4"/>
        <v>0.98519999999999996</v>
      </c>
      <c r="L8" s="480" t="s">
        <v>113</v>
      </c>
      <c r="M8" s="453"/>
      <c r="N8" s="452" t="s">
        <v>75</v>
      </c>
      <c r="O8" s="451">
        <f t="shared" si="5"/>
        <v>200</v>
      </c>
      <c r="P8" s="450">
        <f>'SM-A6'!Q66/10</f>
        <v>195</v>
      </c>
      <c r="Q8" s="449">
        <f t="shared" si="6"/>
        <v>5</v>
      </c>
      <c r="R8" s="448"/>
    </row>
    <row r="9" spans="1:18">
      <c r="A9" s="453"/>
      <c r="B9" s="460" t="s">
        <v>74</v>
      </c>
      <c r="C9" s="459">
        <f>'EG-A10'!Q8/10</f>
        <v>260</v>
      </c>
      <c r="D9" s="459">
        <f>'EG-A10'!Q37/10</f>
        <v>240</v>
      </c>
      <c r="E9" s="458">
        <v>15</v>
      </c>
      <c r="F9" s="458">
        <v>130</v>
      </c>
      <c r="G9" s="459">
        <f t="shared" si="0"/>
        <v>125</v>
      </c>
      <c r="H9" s="455">
        <f t="shared" si="1"/>
        <v>0.12</v>
      </c>
      <c r="I9" s="455">
        <f t="shared" si="2"/>
        <v>0.54169999999999996</v>
      </c>
      <c r="J9" s="456">
        <f t="shared" si="3"/>
        <v>115</v>
      </c>
      <c r="K9" s="455">
        <f t="shared" si="4"/>
        <v>0.92310000000000003</v>
      </c>
      <c r="L9" s="481" t="s">
        <v>112</v>
      </c>
      <c r="M9" s="453"/>
      <c r="N9" s="452" t="s">
        <v>74</v>
      </c>
      <c r="O9" s="451">
        <f t="shared" si="5"/>
        <v>240</v>
      </c>
      <c r="P9" s="450">
        <f>'EG-A10'!Q66/10</f>
        <v>125</v>
      </c>
      <c r="Q9" s="449">
        <f t="shared" si="6"/>
        <v>115</v>
      </c>
      <c r="R9" s="448"/>
    </row>
    <row r="10" spans="1:18">
      <c r="A10" s="453"/>
      <c r="B10" s="460" t="s">
        <v>72</v>
      </c>
      <c r="C10" s="459">
        <f>'PVC-A7'!Q8/10</f>
        <v>183</v>
      </c>
      <c r="D10" s="459">
        <f>'PVC-A7'!Q37/10</f>
        <v>170</v>
      </c>
      <c r="E10" s="458">
        <v>3</v>
      </c>
      <c r="F10" s="458">
        <v>120</v>
      </c>
      <c r="G10" s="459">
        <f t="shared" si="0"/>
        <v>53</v>
      </c>
      <c r="H10" s="455">
        <f t="shared" si="1"/>
        <v>5.6599999999999998E-2</v>
      </c>
      <c r="I10" s="455">
        <f t="shared" si="2"/>
        <v>0.70589999999999997</v>
      </c>
      <c r="J10" s="456">
        <f t="shared" si="3"/>
        <v>117</v>
      </c>
      <c r="K10" s="455">
        <f t="shared" si="4"/>
        <v>0.92900000000000005</v>
      </c>
      <c r="L10" s="481" t="s">
        <v>111</v>
      </c>
      <c r="M10" s="453"/>
      <c r="N10" s="452" t="s">
        <v>72</v>
      </c>
      <c r="O10" s="451">
        <f t="shared" si="5"/>
        <v>170</v>
      </c>
      <c r="P10" s="450">
        <f>'PVC-A7'!Q66/10</f>
        <v>53</v>
      </c>
      <c r="Q10" s="449">
        <f t="shared" si="6"/>
        <v>117</v>
      </c>
      <c r="R10" s="448"/>
    </row>
    <row r="11" spans="1:18">
      <c r="A11" s="453"/>
      <c r="B11" s="460" t="s">
        <v>371</v>
      </c>
      <c r="C11" s="459">
        <f>'OTHER(C2)-A11'!Q8/10</f>
        <v>40</v>
      </c>
      <c r="D11" s="459">
        <f>'OTHER(C2)-A11'!Q37/10</f>
        <v>15</v>
      </c>
      <c r="E11" s="458"/>
      <c r="F11" s="458"/>
      <c r="G11" s="459">
        <f>D11+E11-F11</f>
        <v>15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0.375</v>
      </c>
      <c r="L11" s="454"/>
      <c r="M11" s="453"/>
      <c r="N11" s="460" t="s">
        <v>371</v>
      </c>
      <c r="O11" s="451">
        <f t="shared" si="5"/>
        <v>15</v>
      </c>
      <c r="P11" s="450">
        <f>'OTHER(C2)-A11'!Q66/10</f>
        <v>15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517.37599999999998</v>
      </c>
      <c r="D12" s="462">
        <f>D6*0.98+D7*1.04+D8*0.29+D9*0.66+D10*0.5+D11</f>
        <v>447.4</v>
      </c>
      <c r="E12" s="462">
        <f>E6*0.98+E7*1.04+E8*0.29+E9*0.66+E10*0.5</f>
        <v>58.449999999999996</v>
      </c>
      <c r="F12" s="462">
        <f>F6*0.98+F7*1.04+F8*0.29+F9*0.66+F10*0.5</f>
        <v>239.95999999999998</v>
      </c>
      <c r="G12" s="459">
        <f t="shared" si="0"/>
        <v>265.89</v>
      </c>
      <c r="H12" s="455">
        <f t="shared" si="1"/>
        <v>0.2198</v>
      </c>
      <c r="I12" s="455">
        <f t="shared" si="2"/>
        <v>0.5363</v>
      </c>
      <c r="J12" s="456">
        <f t="shared" si="3"/>
        <v>181.51</v>
      </c>
      <c r="K12" s="455">
        <f t="shared" si="4"/>
        <v>0.86470000000000002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181.51</v>
      </c>
      <c r="R12" s="448"/>
    </row>
    <row r="13" spans="1:18">
      <c r="A13" s="453"/>
      <c r="B13" s="460" t="s">
        <v>373</v>
      </c>
      <c r="C13" s="459">
        <f>'PROPYLENE-A12'!Q8/10</f>
        <v>359.5</v>
      </c>
      <c r="D13" s="459">
        <f>'PROPYLENE-A12'!Q37/10</f>
        <v>350</v>
      </c>
      <c r="E13" s="458">
        <v>30</v>
      </c>
      <c r="F13" s="458">
        <v>80</v>
      </c>
      <c r="G13" s="459">
        <f t="shared" si="0"/>
        <v>300</v>
      </c>
      <c r="H13" s="455">
        <f t="shared" si="1"/>
        <v>0.1</v>
      </c>
      <c r="I13" s="455">
        <f t="shared" si="2"/>
        <v>0.2286</v>
      </c>
      <c r="J13" s="456">
        <f t="shared" si="3"/>
        <v>50</v>
      </c>
      <c r="K13" s="455">
        <f t="shared" si="4"/>
        <v>0.97360000000000002</v>
      </c>
      <c r="L13" s="480" t="s">
        <v>110</v>
      </c>
      <c r="M13" s="453"/>
      <c r="N13" s="460" t="s">
        <v>373</v>
      </c>
      <c r="O13" s="451">
        <f t="shared" si="5"/>
        <v>350</v>
      </c>
      <c r="P13" s="450">
        <f>'PROPYLENE-A12'!Q66/10</f>
        <v>300</v>
      </c>
      <c r="Q13" s="449">
        <f t="shared" si="6"/>
        <v>50</v>
      </c>
      <c r="R13" s="448"/>
    </row>
    <row r="14" spans="1:18">
      <c r="A14" s="453"/>
      <c r="B14" s="460" t="s">
        <v>69</v>
      </c>
      <c r="C14" s="459">
        <f>'PP-A13'!Q8/10</f>
        <v>140</v>
      </c>
      <c r="D14" s="459">
        <f>'PP-A13'!Q37/10</f>
        <v>140</v>
      </c>
      <c r="E14" s="458">
        <v>20</v>
      </c>
      <c r="F14" s="458">
        <v>96</v>
      </c>
      <c r="G14" s="459">
        <f t="shared" si="0"/>
        <v>64</v>
      </c>
      <c r="H14" s="455">
        <f t="shared" si="1"/>
        <v>0.3125</v>
      </c>
      <c r="I14" s="455">
        <f t="shared" si="2"/>
        <v>0.68569999999999998</v>
      </c>
      <c r="J14" s="456">
        <f t="shared" si="3"/>
        <v>76</v>
      </c>
      <c r="K14" s="455">
        <f t="shared" si="4"/>
        <v>1</v>
      </c>
      <c r="L14" s="481" t="s">
        <v>109</v>
      </c>
      <c r="M14" s="453"/>
      <c r="N14" s="452" t="s">
        <v>69</v>
      </c>
      <c r="O14" s="451">
        <f t="shared" si="5"/>
        <v>140</v>
      </c>
      <c r="P14" s="450">
        <f>'PP-A13'!Q66/10</f>
        <v>64</v>
      </c>
      <c r="Q14" s="449">
        <f t="shared" si="6"/>
        <v>76</v>
      </c>
      <c r="R14" s="448"/>
    </row>
    <row r="15" spans="1:18">
      <c r="A15" s="453"/>
      <c r="B15" s="460" t="s">
        <v>67</v>
      </c>
      <c r="C15" s="459">
        <f>'AN-A14'!Q8/10</f>
        <v>52</v>
      </c>
      <c r="D15" s="459">
        <f>'AN-A14'!Q37/10</f>
        <v>47.5</v>
      </c>
      <c r="E15" s="458">
        <v>10</v>
      </c>
      <c r="F15" s="458">
        <v>16</v>
      </c>
      <c r="G15" s="459">
        <f t="shared" si="0"/>
        <v>41.5</v>
      </c>
      <c r="H15" s="455">
        <f t="shared" si="1"/>
        <v>0.24099999999999999</v>
      </c>
      <c r="I15" s="455">
        <f t="shared" si="2"/>
        <v>0.33679999999999999</v>
      </c>
      <c r="J15" s="456">
        <f t="shared" si="3"/>
        <v>6</v>
      </c>
      <c r="K15" s="455">
        <f t="shared" si="4"/>
        <v>0.91349999999999998</v>
      </c>
      <c r="L15" s="454" t="s">
        <v>108</v>
      </c>
      <c r="M15" s="453"/>
      <c r="N15" s="452" t="s">
        <v>67</v>
      </c>
      <c r="O15" s="451">
        <f t="shared" si="5"/>
        <v>47.5</v>
      </c>
      <c r="P15" s="450">
        <f>'AN-A14'!Q66/10</f>
        <v>42</v>
      </c>
      <c r="Q15" s="449">
        <f t="shared" si="6"/>
        <v>5.5</v>
      </c>
      <c r="R15" s="448"/>
    </row>
    <row r="16" spans="1:18">
      <c r="A16" s="453"/>
      <c r="B16" s="460" t="s">
        <v>371</v>
      </c>
      <c r="C16" s="459">
        <f>'OTHER(C3)-A15'!Q8/10</f>
        <v>122.1</v>
      </c>
      <c r="D16" s="459">
        <f>'OTHER(C3)-A15'!Q37/10</f>
        <v>111</v>
      </c>
      <c r="E16" s="458"/>
      <c r="F16" s="458"/>
      <c r="G16" s="459">
        <f t="shared" si="0"/>
        <v>111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0.90910000000000002</v>
      </c>
      <c r="L16" s="454"/>
      <c r="M16" s="453"/>
      <c r="N16" s="460" t="s">
        <v>371</v>
      </c>
      <c r="O16" s="451">
        <f t="shared" si="5"/>
        <v>111</v>
      </c>
      <c r="P16" s="450">
        <f>'OTHER(C3)-A15'!Q66/10</f>
        <v>111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322.98</v>
      </c>
      <c r="D17" s="459">
        <f>D14*1.03+D15*1.09+D16</f>
        <v>306.97500000000002</v>
      </c>
      <c r="E17" s="459">
        <f>E14*1.03+E15*1.09</f>
        <v>31.5</v>
      </c>
      <c r="F17" s="459">
        <f>F14*1.03+F15*1.09</f>
        <v>116.32</v>
      </c>
      <c r="G17" s="459">
        <f t="shared" si="0"/>
        <v>222.15500000000003</v>
      </c>
      <c r="H17" s="455">
        <f t="shared" si="1"/>
        <v>0.14180000000000001</v>
      </c>
      <c r="I17" s="455">
        <f t="shared" si="2"/>
        <v>0.37890000000000001</v>
      </c>
      <c r="J17" s="456">
        <f t="shared" si="3"/>
        <v>84.82</v>
      </c>
      <c r="K17" s="455">
        <f t="shared" si="4"/>
        <v>0.95040000000000002</v>
      </c>
      <c r="L17" s="454"/>
      <c r="M17" s="453"/>
      <c r="N17" s="460" t="s">
        <v>374</v>
      </c>
      <c r="O17" s="451"/>
      <c r="P17" s="450"/>
      <c r="Q17" s="461">
        <f>Q14*1.03+Q15*1.09+Q16</f>
        <v>84.275000000000006</v>
      </c>
      <c r="R17" s="448"/>
    </row>
    <row r="18" spans="1:18">
      <c r="A18" s="453"/>
      <c r="B18" s="460" t="s">
        <v>375</v>
      </c>
      <c r="C18" s="459">
        <f>'BENZENE-A16'!Q8/10</f>
        <v>198</v>
      </c>
      <c r="D18" s="459">
        <f>'BENZENE-A16'!Q37/10</f>
        <v>175</v>
      </c>
      <c r="E18" s="458">
        <v>75</v>
      </c>
      <c r="F18" s="458">
        <v>5</v>
      </c>
      <c r="G18" s="459">
        <f t="shared" si="0"/>
        <v>245</v>
      </c>
      <c r="H18" s="455">
        <f t="shared" si="1"/>
        <v>0.30609999999999998</v>
      </c>
      <c r="I18" s="455">
        <f t="shared" si="2"/>
        <v>2.86E-2</v>
      </c>
      <c r="J18" s="456">
        <f t="shared" si="3"/>
        <v>-70</v>
      </c>
      <c r="K18" s="455">
        <f t="shared" si="4"/>
        <v>0.88380000000000003</v>
      </c>
      <c r="L18" s="480" t="s">
        <v>107</v>
      </c>
      <c r="M18" s="453"/>
      <c r="N18" s="460" t="s">
        <v>375</v>
      </c>
      <c r="O18" s="451">
        <f t="shared" si="5"/>
        <v>175</v>
      </c>
      <c r="P18" s="450">
        <f>'BENZENE-A16'!Q66/10</f>
        <v>245</v>
      </c>
      <c r="Q18" s="449">
        <f t="shared" si="6"/>
        <v>-70</v>
      </c>
      <c r="R18" s="448"/>
    </row>
    <row r="19" spans="1:18">
      <c r="A19" s="453"/>
      <c r="B19" s="460" t="s">
        <v>376</v>
      </c>
      <c r="C19" s="459">
        <f>'TOLUENE-A17'!Q8/10</f>
        <v>34.5</v>
      </c>
      <c r="D19" s="459">
        <f>'TOLUENE-A17'!Q37/10</f>
        <v>34</v>
      </c>
      <c r="E19" s="458">
        <v>15</v>
      </c>
      <c r="F19" s="458">
        <v>34</v>
      </c>
      <c r="G19" s="459">
        <f t="shared" si="0"/>
        <v>15</v>
      </c>
      <c r="H19" s="455">
        <f t="shared" si="1"/>
        <v>1</v>
      </c>
      <c r="I19" s="455">
        <f t="shared" si="2"/>
        <v>1</v>
      </c>
      <c r="J19" s="456">
        <f t="shared" si="3"/>
        <v>19</v>
      </c>
      <c r="K19" s="455">
        <f t="shared" si="4"/>
        <v>0.98550000000000004</v>
      </c>
      <c r="L19" s="480" t="s">
        <v>107</v>
      </c>
      <c r="M19" s="453"/>
      <c r="N19" s="460" t="s">
        <v>376</v>
      </c>
      <c r="O19" s="451">
        <f t="shared" si="5"/>
        <v>34</v>
      </c>
      <c r="P19" s="450">
        <f>'TOLUENE-A17'!Q66/10</f>
        <v>15.5</v>
      </c>
      <c r="Q19" s="449">
        <f t="shared" si="6"/>
        <v>18.5</v>
      </c>
      <c r="R19" s="448"/>
    </row>
    <row r="20" spans="1:18">
      <c r="A20" s="453"/>
      <c r="B20" s="460" t="s">
        <v>377</v>
      </c>
      <c r="C20" s="459">
        <f>'XYLENES-A18'!Q8/10</f>
        <v>276</v>
      </c>
      <c r="D20" s="459">
        <f>'XYLENES-A18'!Q37/10</f>
        <v>240</v>
      </c>
      <c r="E20" s="458">
        <v>100</v>
      </c>
      <c r="F20" s="458">
        <v>150</v>
      </c>
      <c r="G20" s="459">
        <f t="shared" si="0"/>
        <v>190</v>
      </c>
      <c r="H20" s="455">
        <f t="shared" si="1"/>
        <v>0.52629999999999999</v>
      </c>
      <c r="I20" s="455">
        <f t="shared" si="2"/>
        <v>0.625</v>
      </c>
      <c r="J20" s="456">
        <f t="shared" si="3"/>
        <v>50</v>
      </c>
      <c r="K20" s="455">
        <f t="shared" si="4"/>
        <v>0.86960000000000004</v>
      </c>
      <c r="L20" s="480" t="s">
        <v>107</v>
      </c>
      <c r="M20" s="453"/>
      <c r="N20" s="460" t="s">
        <v>377</v>
      </c>
      <c r="O20" s="451">
        <f t="shared" si="5"/>
        <v>240</v>
      </c>
      <c r="P20" s="450">
        <f>'XYLENES-A18'!Q66/10</f>
        <v>190</v>
      </c>
      <c r="Q20" s="449">
        <f t="shared" si="6"/>
        <v>50</v>
      </c>
      <c r="R20" s="448"/>
    </row>
    <row r="21" spans="1:18">
      <c r="A21" s="453"/>
      <c r="B21" s="460" t="s">
        <v>64</v>
      </c>
      <c r="C21" s="459">
        <f>'PX-A19'!Q8/10</f>
        <v>172</v>
      </c>
      <c r="D21" s="459">
        <f>'PX-A19'!Q37/10</f>
        <v>179</v>
      </c>
      <c r="E21" s="458">
        <v>171</v>
      </c>
      <c r="F21" s="458">
        <v>100</v>
      </c>
      <c r="G21" s="459">
        <f t="shared" si="0"/>
        <v>250</v>
      </c>
      <c r="H21" s="455">
        <f t="shared" si="1"/>
        <v>0.68400000000000005</v>
      </c>
      <c r="I21" s="455">
        <f t="shared" si="2"/>
        <v>0.55869999999999997</v>
      </c>
      <c r="J21" s="456">
        <f t="shared" si="3"/>
        <v>-71</v>
      </c>
      <c r="K21" s="455">
        <f t="shared" si="4"/>
        <v>1.0407</v>
      </c>
      <c r="L21" s="480" t="s">
        <v>106</v>
      </c>
      <c r="M21" s="453"/>
      <c r="N21" s="452" t="s">
        <v>64</v>
      </c>
      <c r="O21" s="451">
        <f t="shared" si="5"/>
        <v>179</v>
      </c>
      <c r="P21" s="450">
        <f>'PX-A19'!Q66/10</f>
        <v>250</v>
      </c>
      <c r="Q21" s="449">
        <f t="shared" si="6"/>
        <v>-71</v>
      </c>
      <c r="R21" s="448"/>
    </row>
    <row r="22" spans="1:18">
      <c r="A22" s="453"/>
      <c r="B22" s="460" t="s">
        <v>62</v>
      </c>
      <c r="C22" s="459">
        <f>'PTA-A20'!Q8/10</f>
        <v>440</v>
      </c>
      <c r="D22" s="459">
        <f>'PTA-A20'!Q37/10</f>
        <v>385</v>
      </c>
      <c r="E22" s="458">
        <v>0</v>
      </c>
      <c r="F22" s="458">
        <v>130</v>
      </c>
      <c r="G22" s="459">
        <f t="shared" si="0"/>
        <v>255</v>
      </c>
      <c r="H22" s="455" t="str">
        <f t="shared" si="1"/>
        <v xml:space="preserve">     0%</v>
      </c>
      <c r="I22" s="455">
        <f t="shared" si="2"/>
        <v>0.3377</v>
      </c>
      <c r="J22" s="456">
        <f t="shared" si="3"/>
        <v>130</v>
      </c>
      <c r="K22" s="455">
        <f t="shared" si="4"/>
        <v>0.875</v>
      </c>
      <c r="L22" s="480" t="s">
        <v>105</v>
      </c>
      <c r="M22" s="453"/>
      <c r="N22" s="452" t="s">
        <v>62</v>
      </c>
      <c r="O22" s="451">
        <f t="shared" si="5"/>
        <v>385</v>
      </c>
      <c r="P22" s="450">
        <f>'PTA-A20'!Q66/10</f>
        <v>255</v>
      </c>
      <c r="Q22" s="449">
        <f t="shared" si="6"/>
        <v>130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2" t="s">
        <v>385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'ETHYLENE-A1'!K11/10</f>
        <v>460.9</v>
      </c>
      <c r="D5" s="459">
        <f>'ETHYLENE-A1'!K40/10</f>
        <v>425.24873100000002</v>
      </c>
      <c r="E5" s="458">
        <f>0.1*28.223</f>
        <v>2.8223000000000003</v>
      </c>
      <c r="F5" s="458">
        <f>0.1*129.127</f>
        <v>12.912700000000001</v>
      </c>
      <c r="G5" s="459">
        <f t="shared" ref="G5:G22" si="0">D5+E5-F5</f>
        <v>415.15833099999998</v>
      </c>
      <c r="H5" s="455">
        <f t="shared" ref="H5:H22" si="1">IF(AND(E5=0,G5=0),"    -",IF(E5=0,"     0%",IF(G5=0,"     -",ROUND(E5/G5,4))))</f>
        <v>6.7999999999999996E-3</v>
      </c>
      <c r="I5" s="455">
        <f t="shared" ref="I5:I22" si="2">IF(AND(D5=0,F5=0),"    -",IF(F5=0,"     0%",IF(D5=0,"     -",ROUND(F5/D5,4))))</f>
        <v>3.04E-2</v>
      </c>
      <c r="J5" s="456">
        <f t="shared" ref="J5:J22" si="3">D5-G5</f>
        <v>10.090400000000045</v>
      </c>
      <c r="K5" s="455">
        <f t="shared" ref="K5:K22" si="4">IF(AND(D5=0,C5=0),"    -",IF(C5=0,"     0%",IF(D5=0,"     -",ROUND(D5/C5,4))))</f>
        <v>0.92259999999999998</v>
      </c>
      <c r="L5" s="454" t="s">
        <v>128</v>
      </c>
      <c r="M5" s="453"/>
      <c r="N5" s="452" t="s">
        <v>79</v>
      </c>
      <c r="O5" s="451">
        <f t="shared" ref="O5:O22" si="5">D5</f>
        <v>425.24873100000002</v>
      </c>
      <c r="P5" s="450">
        <f>'ETHYLENE-A1'!K69/10</f>
        <v>415.15833099999998</v>
      </c>
      <c r="Q5" s="449">
        <f>O5-P5</f>
        <v>10.090400000000045</v>
      </c>
      <c r="R5" s="448"/>
    </row>
    <row r="6" spans="1:18">
      <c r="A6" s="453"/>
      <c r="B6" s="460" t="s">
        <v>78</v>
      </c>
      <c r="C6" s="459">
        <f>'LDPE-A2'!K11/10</f>
        <v>217</v>
      </c>
      <c r="D6" s="459">
        <f>'LDPE-A2'!K40/10</f>
        <v>150</v>
      </c>
      <c r="E6" s="458">
        <f>0.1*227.871</f>
        <v>22.787100000000002</v>
      </c>
      <c r="F6" s="458">
        <f>0.1*612.873</f>
        <v>61.287300000000009</v>
      </c>
      <c r="G6" s="459">
        <f t="shared" si="0"/>
        <v>111.49979999999999</v>
      </c>
      <c r="H6" s="455">
        <f t="shared" si="1"/>
        <v>0.2044</v>
      </c>
      <c r="I6" s="455">
        <f t="shared" si="2"/>
        <v>0.40860000000000002</v>
      </c>
      <c r="J6" s="456">
        <f t="shared" si="3"/>
        <v>38.500200000000007</v>
      </c>
      <c r="K6" s="455">
        <f t="shared" si="4"/>
        <v>0.69120000000000004</v>
      </c>
      <c r="L6" s="454" t="s">
        <v>127</v>
      </c>
      <c r="M6" s="453"/>
      <c r="N6" s="452" t="s">
        <v>78</v>
      </c>
      <c r="O6" s="451">
        <f t="shared" si="5"/>
        <v>150</v>
      </c>
      <c r="P6" s="450">
        <f>'LDPE-A2'!K69/10</f>
        <v>111.49980000000001</v>
      </c>
      <c r="Q6" s="449">
        <f t="shared" ref="Q6:Q22" si="6">O6-P6</f>
        <v>38.500199999999992</v>
      </c>
      <c r="R6" s="448"/>
    </row>
    <row r="7" spans="1:18">
      <c r="A7" s="453"/>
      <c r="B7" s="460" t="s">
        <v>76</v>
      </c>
      <c r="C7" s="459">
        <f>'HDPE-A3'!K11/10</f>
        <v>191.2</v>
      </c>
      <c r="D7" s="459">
        <f>'HDPE-A3'!K40/10</f>
        <v>181.7</v>
      </c>
      <c r="E7" s="458">
        <f>0.1*154.801</f>
        <v>15.4801</v>
      </c>
      <c r="F7" s="458">
        <f>0.1*1165.592</f>
        <v>116.55920000000002</v>
      </c>
      <c r="G7" s="459">
        <f t="shared" si="0"/>
        <v>80.620899999999963</v>
      </c>
      <c r="H7" s="455">
        <f t="shared" si="1"/>
        <v>0.192</v>
      </c>
      <c r="I7" s="455">
        <f t="shared" si="2"/>
        <v>0.64149999999999996</v>
      </c>
      <c r="J7" s="456">
        <f t="shared" si="3"/>
        <v>101.07910000000003</v>
      </c>
      <c r="K7" s="455">
        <f t="shared" si="4"/>
        <v>0.95030000000000003</v>
      </c>
      <c r="L7" s="454" t="s">
        <v>126</v>
      </c>
      <c r="M7" s="453"/>
      <c r="N7" s="452" t="s">
        <v>76</v>
      </c>
      <c r="O7" s="451">
        <f t="shared" si="5"/>
        <v>181.7</v>
      </c>
      <c r="P7" s="450">
        <f>'HDPE-A3'!K69/10</f>
        <v>80.620899999999978</v>
      </c>
      <c r="Q7" s="449">
        <f t="shared" si="6"/>
        <v>101.07910000000001</v>
      </c>
      <c r="R7" s="448"/>
    </row>
    <row r="8" spans="1:18">
      <c r="A8" s="453"/>
      <c r="B8" s="460" t="s">
        <v>75</v>
      </c>
      <c r="C8" s="459">
        <f>'SM-A6'!K11/10</f>
        <v>58</v>
      </c>
      <c r="D8" s="459">
        <f>'SM-A6'!K40/10</f>
        <v>48.283899999999996</v>
      </c>
      <c r="E8" s="458">
        <f>0.1*87.99</f>
        <v>8.7989999999999995</v>
      </c>
      <c r="F8" s="458">
        <f>0.1*32.829</f>
        <v>3.2829000000000002</v>
      </c>
      <c r="G8" s="459">
        <f t="shared" si="0"/>
        <v>53.8</v>
      </c>
      <c r="H8" s="455">
        <f t="shared" si="1"/>
        <v>0.1636</v>
      </c>
      <c r="I8" s="455">
        <f t="shared" si="2"/>
        <v>6.8000000000000005E-2</v>
      </c>
      <c r="J8" s="456">
        <f t="shared" si="3"/>
        <v>-5.5161000000000016</v>
      </c>
      <c r="K8" s="455">
        <f t="shared" si="4"/>
        <v>0.83250000000000002</v>
      </c>
      <c r="L8" s="454" t="s">
        <v>125</v>
      </c>
      <c r="M8" s="453"/>
      <c r="N8" s="452" t="s">
        <v>75</v>
      </c>
      <c r="O8" s="451">
        <f t="shared" si="5"/>
        <v>48.283899999999996</v>
      </c>
      <c r="P8" s="450">
        <f>'SM-A6'!K69/10</f>
        <v>53.8</v>
      </c>
      <c r="Q8" s="449">
        <f t="shared" si="6"/>
        <v>-5.5161000000000016</v>
      </c>
      <c r="R8" s="448"/>
    </row>
    <row r="9" spans="1:18">
      <c r="A9" s="453"/>
      <c r="B9" s="460" t="s">
        <v>74</v>
      </c>
      <c r="C9" s="459">
        <f>'EG-A10'!K11/10</f>
        <v>42</v>
      </c>
      <c r="D9" s="459">
        <f>'EG-A10'!K40/10</f>
        <v>39.299999999999997</v>
      </c>
      <c r="E9" s="458">
        <f>0.1*144</f>
        <v>14.4</v>
      </c>
      <c r="F9" s="458">
        <f>0.1*32</f>
        <v>3.2</v>
      </c>
      <c r="G9" s="459">
        <f t="shared" si="0"/>
        <v>50.499999999999993</v>
      </c>
      <c r="H9" s="455">
        <f t="shared" si="1"/>
        <v>0.28510000000000002</v>
      </c>
      <c r="I9" s="455">
        <f t="shared" si="2"/>
        <v>8.14E-2</v>
      </c>
      <c r="J9" s="456">
        <f t="shared" si="3"/>
        <v>-11.199999999999996</v>
      </c>
      <c r="K9" s="455">
        <f t="shared" si="4"/>
        <v>0.93569999999999998</v>
      </c>
      <c r="L9" s="454" t="s">
        <v>124</v>
      </c>
      <c r="M9" s="453"/>
      <c r="N9" s="452" t="s">
        <v>74</v>
      </c>
      <c r="O9" s="451">
        <f t="shared" si="5"/>
        <v>39.299999999999997</v>
      </c>
      <c r="P9" s="450">
        <f>'EG-A10'!K69/10</f>
        <v>50.5</v>
      </c>
      <c r="Q9" s="449">
        <f t="shared" si="6"/>
        <v>-11.200000000000003</v>
      </c>
      <c r="R9" s="448"/>
    </row>
    <row r="10" spans="1:18">
      <c r="A10" s="453"/>
      <c r="B10" s="460" t="s">
        <v>72</v>
      </c>
      <c r="C10" s="459">
        <f>'PVC-A7'!K11/10</f>
        <v>84.6</v>
      </c>
      <c r="D10" s="459">
        <f>'PVC-A7'!K40/10</f>
        <v>78.5</v>
      </c>
      <c r="E10" s="458">
        <f>0.1*110.106</f>
        <v>11.0106</v>
      </c>
      <c r="F10" s="458">
        <f>0.1*461.219</f>
        <v>46.121900000000004</v>
      </c>
      <c r="G10" s="459">
        <f t="shared" si="0"/>
        <v>43.388699999999993</v>
      </c>
      <c r="H10" s="455">
        <f t="shared" si="1"/>
        <v>0.25380000000000003</v>
      </c>
      <c r="I10" s="455">
        <f t="shared" si="2"/>
        <v>0.58750000000000002</v>
      </c>
      <c r="J10" s="456">
        <f t="shared" si="3"/>
        <v>35.111300000000007</v>
      </c>
      <c r="K10" s="455">
        <f t="shared" si="4"/>
        <v>0.92789999999999995</v>
      </c>
      <c r="L10" s="454" t="s">
        <v>123</v>
      </c>
      <c r="M10" s="453"/>
      <c r="N10" s="452" t="s">
        <v>72</v>
      </c>
      <c r="O10" s="451">
        <f t="shared" si="5"/>
        <v>78.5</v>
      </c>
      <c r="P10" s="450">
        <f>'PVC-A7'!K69/10</f>
        <v>43.3887</v>
      </c>
      <c r="Q10" s="449">
        <f t="shared" si="6"/>
        <v>35.1113</v>
      </c>
      <c r="R10" s="448"/>
    </row>
    <row r="11" spans="1:18">
      <c r="A11" s="453"/>
      <c r="B11" s="460" t="s">
        <v>371</v>
      </c>
      <c r="C11" s="459">
        <f>'OTHER(C2)-A11'!K11/10</f>
        <v>0</v>
      </c>
      <c r="D11" s="459">
        <f>'OTHER(C2)-A11'!K40/10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56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'OTHER(C2)-A11'!K69/10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498.34800000000001</v>
      </c>
      <c r="D12" s="462">
        <f>D6*0.98+D7*1.04+D8*0.29+D9*0.66+D10*0.5+D11</f>
        <v>415.15833099999998</v>
      </c>
      <c r="E12" s="462">
        <f>E6*0.98+E7*1.04+E8*0.29+E9*0.66+E10*0.5</f>
        <v>55.991672000000001</v>
      </c>
      <c r="F12" s="462">
        <f>F6*0.98+F7*1.04+F8*0.29+F9*0.66+F10*0.5</f>
        <v>207.40811300000001</v>
      </c>
      <c r="G12" s="459">
        <f t="shared" si="0"/>
        <v>263.74188999999996</v>
      </c>
      <c r="H12" s="455">
        <f t="shared" si="1"/>
        <v>0.21229999999999999</v>
      </c>
      <c r="I12" s="455">
        <f t="shared" si="2"/>
        <v>0.49959999999999999</v>
      </c>
      <c r="J12" s="456">
        <f t="shared" si="3"/>
        <v>151.41644100000002</v>
      </c>
      <c r="K12" s="455">
        <f t="shared" si="4"/>
        <v>0.83309999999999995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151.41644100000002</v>
      </c>
      <c r="R12" s="448"/>
    </row>
    <row r="13" spans="1:18">
      <c r="A13" s="453"/>
      <c r="B13" s="460" t="s">
        <v>373</v>
      </c>
      <c r="C13" s="459">
        <f>'PROPYLENE-A12'!K11/10</f>
        <v>291</v>
      </c>
      <c r="D13" s="459">
        <f>'PROPYLENE-A12'!K40/10</f>
        <v>256.6054302113572</v>
      </c>
      <c r="E13" s="458">
        <f>0.1*13.604</f>
        <v>1.3604000000000001</v>
      </c>
      <c r="F13" s="458">
        <f>0.1*234.228</f>
        <v>23.422800000000002</v>
      </c>
      <c r="G13" s="459">
        <f t="shared" si="0"/>
        <v>234.54303021135723</v>
      </c>
      <c r="H13" s="455">
        <f t="shared" si="1"/>
        <v>5.7999999999999996E-3</v>
      </c>
      <c r="I13" s="455">
        <f t="shared" si="2"/>
        <v>9.1300000000000006E-2</v>
      </c>
      <c r="J13" s="456">
        <f t="shared" si="3"/>
        <v>22.062399999999968</v>
      </c>
      <c r="K13" s="455">
        <f t="shared" si="4"/>
        <v>0.88180000000000003</v>
      </c>
      <c r="L13" s="454" t="s">
        <v>122</v>
      </c>
      <c r="M13" s="453"/>
      <c r="N13" s="460" t="s">
        <v>373</v>
      </c>
      <c r="O13" s="451">
        <f t="shared" si="5"/>
        <v>256.6054302113572</v>
      </c>
      <c r="P13" s="450">
        <f>'PROPYLENE-A12'!K69/10</f>
        <v>234.54303021135721</v>
      </c>
      <c r="Q13" s="449">
        <f t="shared" si="6"/>
        <v>22.062399999999997</v>
      </c>
      <c r="R13" s="448"/>
    </row>
    <row r="14" spans="1:18">
      <c r="A14" s="453"/>
      <c r="B14" s="460" t="s">
        <v>69</v>
      </c>
      <c r="C14" s="459">
        <f>'PP-A13'!K11/10</f>
        <v>202.5</v>
      </c>
      <c r="D14" s="459">
        <f>'PP-A13'!K40/10</f>
        <v>179.586496474272</v>
      </c>
      <c r="E14" s="458">
        <f>0.1*163.43</f>
        <v>16.343</v>
      </c>
      <c r="F14" s="458">
        <f>0.1*483.026</f>
        <v>48.302600000000005</v>
      </c>
      <c r="G14" s="459">
        <f t="shared" si="0"/>
        <v>147.62689647427197</v>
      </c>
      <c r="H14" s="455">
        <f t="shared" si="1"/>
        <v>0.11070000000000001</v>
      </c>
      <c r="I14" s="455">
        <f t="shared" si="2"/>
        <v>0.26900000000000002</v>
      </c>
      <c r="J14" s="456">
        <f t="shared" si="3"/>
        <v>31.959600000000023</v>
      </c>
      <c r="K14" s="455">
        <f t="shared" si="4"/>
        <v>0.88680000000000003</v>
      </c>
      <c r="L14" s="454" t="s">
        <v>121</v>
      </c>
      <c r="M14" s="453"/>
      <c r="N14" s="452" t="s">
        <v>69</v>
      </c>
      <c r="O14" s="451">
        <f t="shared" si="5"/>
        <v>179.586496474272</v>
      </c>
      <c r="P14" s="450">
        <f>'PP-A13'!K69/10</f>
        <v>147.62689647427197</v>
      </c>
      <c r="Q14" s="449">
        <f t="shared" si="6"/>
        <v>31.959600000000023</v>
      </c>
      <c r="R14" s="448"/>
    </row>
    <row r="15" spans="1:18">
      <c r="A15" s="453"/>
      <c r="B15" s="460" t="s">
        <v>67</v>
      </c>
      <c r="C15" s="459">
        <f>'AN-A14'!K11/10</f>
        <v>20</v>
      </c>
      <c r="D15" s="459">
        <f>'AN-A14'!K40/10</f>
        <v>18.737300000000001</v>
      </c>
      <c r="E15" s="458">
        <f>0.1*13.343</f>
        <v>1.3343</v>
      </c>
      <c r="F15" s="458">
        <f>0.1*44.716</f>
        <v>4.4716000000000005</v>
      </c>
      <c r="G15" s="459">
        <f t="shared" si="0"/>
        <v>15.6</v>
      </c>
      <c r="H15" s="455">
        <f t="shared" si="1"/>
        <v>8.5500000000000007E-2</v>
      </c>
      <c r="I15" s="455">
        <f t="shared" si="2"/>
        <v>0.23860000000000001</v>
      </c>
      <c r="J15" s="456">
        <f t="shared" si="3"/>
        <v>3.1373000000000015</v>
      </c>
      <c r="K15" s="455">
        <f t="shared" si="4"/>
        <v>0.93689999999999996</v>
      </c>
      <c r="L15" s="454" t="s">
        <v>120</v>
      </c>
      <c r="M15" s="453"/>
      <c r="N15" s="452" t="s">
        <v>67</v>
      </c>
      <c r="O15" s="451">
        <f t="shared" si="5"/>
        <v>18.737300000000001</v>
      </c>
      <c r="P15" s="450">
        <f>'AN-A14'!K69/10</f>
        <v>15.6</v>
      </c>
      <c r="Q15" s="449">
        <f t="shared" si="6"/>
        <v>3.1373000000000015</v>
      </c>
      <c r="R15" s="448"/>
    </row>
    <row r="16" spans="1:18">
      <c r="A16" s="453"/>
      <c r="B16" s="460" t="s">
        <v>371</v>
      </c>
      <c r="C16" s="459">
        <f>'OTHER(C3)-A15'!K11/10</f>
        <v>55</v>
      </c>
      <c r="D16" s="459">
        <f>'OTHER(C3)-A15'!K40/10</f>
        <v>49.568938842857065</v>
      </c>
      <c r="E16" s="458">
        <v>0</v>
      </c>
      <c r="F16" s="458">
        <f>0.1*46.0209310810848</f>
        <v>4.6020931081084795</v>
      </c>
      <c r="G16" s="459">
        <f t="shared" si="0"/>
        <v>44.966845734748588</v>
      </c>
      <c r="H16" s="455" t="str">
        <f t="shared" si="1"/>
        <v xml:space="preserve">     0%</v>
      </c>
      <c r="I16" s="455">
        <f t="shared" si="2"/>
        <v>9.2799999999999994E-2</v>
      </c>
      <c r="J16" s="456">
        <f t="shared" si="3"/>
        <v>4.6020931081084768</v>
      </c>
      <c r="K16" s="455">
        <f t="shared" si="4"/>
        <v>0.90129999999999999</v>
      </c>
      <c r="L16" s="454" t="s">
        <v>119</v>
      </c>
      <c r="M16" s="453"/>
      <c r="N16" s="460" t="s">
        <v>371</v>
      </c>
      <c r="O16" s="451">
        <f t="shared" si="5"/>
        <v>49.568938842857065</v>
      </c>
      <c r="P16" s="450">
        <f>'OTHER(C3)-A15'!K69/10</f>
        <v>44.966845734748588</v>
      </c>
      <c r="Q16" s="449">
        <f t="shared" si="6"/>
        <v>4.6020931081084768</v>
      </c>
      <c r="R16" s="448"/>
    </row>
    <row r="17" spans="1:18">
      <c r="A17" s="453"/>
      <c r="B17" s="460" t="s">
        <v>374</v>
      </c>
      <c r="C17" s="459">
        <f>C14*1.03+C15*1.09+C16</f>
        <v>285.375</v>
      </c>
      <c r="D17" s="459">
        <f>D14*1.03+D15*1.09+D16</f>
        <v>254.96668721135723</v>
      </c>
      <c r="E17" s="459">
        <f>E14*1.03+E15*1.09</f>
        <v>18.287677000000002</v>
      </c>
      <c r="F17" s="459">
        <f>F14*1.03+F15*1.09</f>
        <v>54.625722000000003</v>
      </c>
      <c r="G17" s="459">
        <f t="shared" si="0"/>
        <v>218.62864221135726</v>
      </c>
      <c r="H17" s="455">
        <f t="shared" si="1"/>
        <v>8.3599999999999994E-2</v>
      </c>
      <c r="I17" s="455">
        <f t="shared" si="2"/>
        <v>0.2142</v>
      </c>
      <c r="J17" s="456">
        <f t="shared" si="3"/>
        <v>36.338044999999966</v>
      </c>
      <c r="K17" s="455">
        <f t="shared" si="4"/>
        <v>0.89339999999999997</v>
      </c>
      <c r="L17" s="454"/>
      <c r="M17" s="453"/>
      <c r="N17" s="460" t="s">
        <v>374</v>
      </c>
      <c r="O17" s="451"/>
      <c r="P17" s="450"/>
      <c r="Q17" s="461">
        <f>Q14*1.03+Q15*1.09+Q16</f>
        <v>40.940138108108499</v>
      </c>
      <c r="R17" s="448"/>
    </row>
    <row r="18" spans="1:18">
      <c r="A18" s="453"/>
      <c r="B18" s="460" t="s">
        <v>375</v>
      </c>
      <c r="C18" s="459">
        <f>'BENZENE-A16'!K11/10</f>
        <v>141.30000000000001</v>
      </c>
      <c r="D18" s="459">
        <f>'BENZENE-A16'!K40/10</f>
        <v>134.99304699999996</v>
      </c>
      <c r="E18" s="458">
        <f>0.1*12.584</f>
        <v>1.2584</v>
      </c>
      <c r="F18" s="458">
        <f>0.1*487.477</f>
        <v>48.747700000000002</v>
      </c>
      <c r="G18" s="459">
        <f t="shared" si="0"/>
        <v>87.503746999999947</v>
      </c>
      <c r="H18" s="455">
        <f t="shared" si="1"/>
        <v>1.44E-2</v>
      </c>
      <c r="I18" s="455">
        <f t="shared" si="2"/>
        <v>0.36109999999999998</v>
      </c>
      <c r="J18" s="456">
        <f t="shared" si="3"/>
        <v>47.489300000000014</v>
      </c>
      <c r="K18" s="455">
        <f t="shared" si="4"/>
        <v>0.95540000000000003</v>
      </c>
      <c r="L18" s="454" t="s">
        <v>118</v>
      </c>
      <c r="M18" s="453"/>
      <c r="N18" s="460" t="s">
        <v>375</v>
      </c>
      <c r="O18" s="451">
        <f t="shared" si="5"/>
        <v>134.99304699999996</v>
      </c>
      <c r="P18" s="450">
        <f>'BENZENE-A16'!K69/10</f>
        <v>87.503746999999976</v>
      </c>
      <c r="Q18" s="449">
        <f t="shared" si="6"/>
        <v>47.489299999999986</v>
      </c>
      <c r="R18" s="448"/>
    </row>
    <row r="19" spans="1:18">
      <c r="A19" s="453"/>
      <c r="B19" s="460" t="s">
        <v>376</v>
      </c>
      <c r="C19" s="459">
        <f>'TOLUENE-A17'!K11/10</f>
        <v>113.6</v>
      </c>
      <c r="D19" s="459">
        <f>'TOLUENE-A17'!K40/10</f>
        <v>105.7</v>
      </c>
      <c r="E19" s="458">
        <f>0.1*1</f>
        <v>0.1</v>
      </c>
      <c r="F19" s="458">
        <f>0.1*238.298</f>
        <v>23.829800000000002</v>
      </c>
      <c r="G19" s="459">
        <f t="shared" si="0"/>
        <v>81.970199999999991</v>
      </c>
      <c r="H19" s="455">
        <f t="shared" si="1"/>
        <v>1.1999999999999999E-3</v>
      </c>
      <c r="I19" s="455">
        <f t="shared" si="2"/>
        <v>0.22539999999999999</v>
      </c>
      <c r="J19" s="456">
        <f t="shared" si="3"/>
        <v>23.729800000000012</v>
      </c>
      <c r="K19" s="455">
        <f t="shared" si="4"/>
        <v>0.93049999999999999</v>
      </c>
      <c r="L19" s="454" t="s">
        <v>117</v>
      </c>
      <c r="M19" s="453"/>
      <c r="N19" s="460" t="s">
        <v>376</v>
      </c>
      <c r="O19" s="451">
        <f t="shared" si="5"/>
        <v>105.7</v>
      </c>
      <c r="P19" s="450">
        <f>'TOLUENE-A17'!K69/10</f>
        <v>81.970199999999991</v>
      </c>
      <c r="Q19" s="449">
        <f t="shared" si="6"/>
        <v>23.729800000000012</v>
      </c>
      <c r="R19" s="448"/>
    </row>
    <row r="20" spans="1:18">
      <c r="A20" s="453"/>
      <c r="B20" s="460" t="s">
        <v>377</v>
      </c>
      <c r="C20" s="459">
        <f>'XYLENES-A18'!K11/10</f>
        <v>280.5</v>
      </c>
      <c r="D20" s="459">
        <f>'XYLENES-A18'!K40/10</f>
        <v>221.07717480000002</v>
      </c>
      <c r="E20" s="458">
        <v>0</v>
      </c>
      <c r="F20" s="458">
        <v>0</v>
      </c>
      <c r="G20" s="459">
        <f t="shared" si="0"/>
        <v>221.07717480000002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0.78820000000000001</v>
      </c>
      <c r="L20" s="454" t="s">
        <v>117</v>
      </c>
      <c r="M20" s="453"/>
      <c r="N20" s="460" t="s">
        <v>377</v>
      </c>
      <c r="O20" s="451">
        <f t="shared" si="5"/>
        <v>221.07717480000002</v>
      </c>
      <c r="P20" s="450">
        <f>'XYLENES-A18'!K69/10</f>
        <v>221.07717480000002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'PX-A19'!K11/10</f>
        <v>237</v>
      </c>
      <c r="D21" s="459">
        <f>'PX-A19'!K40/10</f>
        <v>184.23097899999999</v>
      </c>
      <c r="E21" s="458">
        <f>0.1*122.244</f>
        <v>12.224400000000001</v>
      </c>
      <c r="F21" s="458">
        <f>0.1*455.823</f>
        <v>45.582300000000004</v>
      </c>
      <c r="G21" s="459">
        <f t="shared" si="0"/>
        <v>150.87307899999999</v>
      </c>
      <c r="H21" s="455">
        <f t="shared" si="1"/>
        <v>8.1000000000000003E-2</v>
      </c>
      <c r="I21" s="455">
        <f t="shared" si="2"/>
        <v>0.24740000000000001</v>
      </c>
      <c r="J21" s="456">
        <f t="shared" si="3"/>
        <v>33.357900000000001</v>
      </c>
      <c r="K21" s="455">
        <f t="shared" si="4"/>
        <v>0.77729999999999999</v>
      </c>
      <c r="L21" s="454" t="s">
        <v>116</v>
      </c>
      <c r="M21" s="453"/>
      <c r="N21" s="452" t="s">
        <v>64</v>
      </c>
      <c r="O21" s="451">
        <f t="shared" si="5"/>
        <v>184.23097899999999</v>
      </c>
      <c r="P21" s="450">
        <f>'PX-A19'!K69/10</f>
        <v>150.87307900000002</v>
      </c>
      <c r="Q21" s="449">
        <f t="shared" si="6"/>
        <v>33.357899999999972</v>
      </c>
      <c r="R21" s="448"/>
    </row>
    <row r="22" spans="1:18">
      <c r="A22" s="453"/>
      <c r="B22" s="460" t="s">
        <v>62</v>
      </c>
      <c r="C22" s="459">
        <f>'PTA-A20'!K11/10</f>
        <v>266</v>
      </c>
      <c r="D22" s="459">
        <f>'PTA-A20'!K40/10</f>
        <v>225.18369999999999</v>
      </c>
      <c r="E22" s="458">
        <f>0.1*0.02</f>
        <v>2E-3</v>
      </c>
      <c r="F22" s="458">
        <f>0.1*960.857</f>
        <v>96.085700000000003</v>
      </c>
      <c r="G22" s="459">
        <f t="shared" si="0"/>
        <v>129.1</v>
      </c>
      <c r="H22" s="455">
        <f t="shared" si="1"/>
        <v>0</v>
      </c>
      <c r="I22" s="455">
        <f t="shared" si="2"/>
        <v>0.42670000000000002</v>
      </c>
      <c r="J22" s="456">
        <f t="shared" si="3"/>
        <v>96.083699999999993</v>
      </c>
      <c r="K22" s="455">
        <f t="shared" si="4"/>
        <v>0.84660000000000002</v>
      </c>
      <c r="L22" s="454" t="s">
        <v>115</v>
      </c>
      <c r="M22" s="453"/>
      <c r="N22" s="452" t="s">
        <v>62</v>
      </c>
      <c r="O22" s="451">
        <f t="shared" si="5"/>
        <v>225.18369999999999</v>
      </c>
      <c r="P22" s="450">
        <f>'PTA-A20'!K69/10</f>
        <v>129.1</v>
      </c>
      <c r="Q22" s="449">
        <f t="shared" si="6"/>
        <v>96.083699999999993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M24" s="453"/>
    </row>
    <row r="25" spans="1:18">
      <c r="M25" s="453"/>
    </row>
    <row r="26" spans="1:18"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3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2" t="s">
        <v>386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'ETHYLENE-A1'!Q11/10</f>
        <v>531.9</v>
      </c>
      <c r="D5" s="459">
        <f>'ETHYLENE-A1'!Q40/10</f>
        <v>451.93033100000002</v>
      </c>
      <c r="E5" s="458">
        <f>0.1*40</f>
        <v>4</v>
      </c>
      <c r="F5" s="458">
        <f>0.1*90</f>
        <v>9</v>
      </c>
      <c r="G5" s="459">
        <f t="shared" ref="G5:G22" si="0">D5+E5-F5</f>
        <v>446.93033100000002</v>
      </c>
      <c r="H5" s="455">
        <f t="shared" ref="H5:H22" si="1">IF(AND(E5=0,G5=0),"    -",IF(E5=0,"     0%",IF(G5=0,"     -",ROUND(E5/G5,4))))</f>
        <v>8.8999999999999999E-3</v>
      </c>
      <c r="I5" s="455">
        <f t="shared" ref="I5:I22" si="2">IF(AND(D5=0,F5=0),"    -",IF(F5=0,"     0%",IF(D5=0,"     -",ROUND(F5/D5,4))))</f>
        <v>1.9900000000000001E-2</v>
      </c>
      <c r="J5" s="456">
        <f t="shared" ref="J5:J22" si="3">D5-G5</f>
        <v>5</v>
      </c>
      <c r="K5" s="455">
        <f t="shared" ref="K5:K22" si="4">IF(AND(D5=0,C5=0),"    -",IF(C5=0,"     0%",IF(D5=0,"     -",ROUND(D5/C5,4))))</f>
        <v>0.84970000000000001</v>
      </c>
      <c r="L5" s="454" t="s">
        <v>128</v>
      </c>
      <c r="M5" s="453"/>
      <c r="N5" s="452" t="s">
        <v>79</v>
      </c>
      <c r="O5" s="451">
        <f t="shared" ref="O5:O22" si="5">D5</f>
        <v>451.93033100000002</v>
      </c>
      <c r="P5" s="450">
        <f>'ETHYLENE-A1'!Q69/10</f>
        <v>446.93033100000002</v>
      </c>
      <c r="Q5" s="449">
        <f>O5-P5</f>
        <v>5</v>
      </c>
      <c r="R5" s="448"/>
    </row>
    <row r="6" spans="1:18">
      <c r="A6" s="453"/>
      <c r="B6" s="460" t="s">
        <v>78</v>
      </c>
      <c r="C6" s="459">
        <f>'LDPE-A2'!Q11/10</f>
        <v>257</v>
      </c>
      <c r="D6" s="459">
        <f>'LDPE-A2'!Q40/10</f>
        <v>180</v>
      </c>
      <c r="E6" s="458">
        <f>0.1*200</f>
        <v>20</v>
      </c>
      <c r="F6" s="458">
        <f>0.1*605.965697462957</f>
        <v>60.5965697462957</v>
      </c>
      <c r="G6" s="459">
        <f t="shared" si="0"/>
        <v>139.4034302537043</v>
      </c>
      <c r="H6" s="455">
        <f t="shared" si="1"/>
        <v>0.14349999999999999</v>
      </c>
      <c r="I6" s="455">
        <f t="shared" si="2"/>
        <v>0.33660000000000001</v>
      </c>
      <c r="J6" s="456">
        <f t="shared" si="3"/>
        <v>40.5965697462957</v>
      </c>
      <c r="K6" s="455">
        <f t="shared" si="4"/>
        <v>0.70040000000000002</v>
      </c>
      <c r="L6" s="454" t="s">
        <v>127</v>
      </c>
      <c r="M6" s="453"/>
      <c r="N6" s="452" t="s">
        <v>78</v>
      </c>
      <c r="O6" s="451">
        <f t="shared" si="5"/>
        <v>180</v>
      </c>
      <c r="P6" s="450">
        <f>'LDPE-A2'!Q69/10</f>
        <v>139.40343025370424</v>
      </c>
      <c r="Q6" s="449">
        <f t="shared" ref="Q6:Q22" si="6">O6-P6</f>
        <v>40.596569746295756</v>
      </c>
      <c r="R6" s="448"/>
    </row>
    <row r="7" spans="1:18">
      <c r="A7" s="453"/>
      <c r="B7" s="460" t="s">
        <v>76</v>
      </c>
      <c r="C7" s="459">
        <f>'HDPE-A3'!Q11/10</f>
        <v>191.2</v>
      </c>
      <c r="D7" s="459">
        <f>'HDPE-A3'!Q40/10</f>
        <v>181.7</v>
      </c>
      <c r="E7" s="458">
        <f>0.1*150</f>
        <v>15</v>
      </c>
      <c r="F7" s="458">
        <f>0.1*959.031374931537</f>
        <v>95.903137493153707</v>
      </c>
      <c r="G7" s="459">
        <f t="shared" si="0"/>
        <v>100.79686250684628</v>
      </c>
      <c r="H7" s="455">
        <f t="shared" si="1"/>
        <v>0.14879999999999999</v>
      </c>
      <c r="I7" s="455">
        <f t="shared" si="2"/>
        <v>0.52780000000000005</v>
      </c>
      <c r="J7" s="456">
        <f t="shared" si="3"/>
        <v>80.903137493153707</v>
      </c>
      <c r="K7" s="455">
        <f t="shared" si="4"/>
        <v>0.95030000000000003</v>
      </c>
      <c r="L7" s="454" t="s">
        <v>126</v>
      </c>
      <c r="M7" s="453"/>
      <c r="N7" s="452" t="s">
        <v>76</v>
      </c>
      <c r="O7" s="451">
        <f t="shared" si="5"/>
        <v>181.7</v>
      </c>
      <c r="P7" s="450">
        <f>'HDPE-A3'!Q69/10</f>
        <v>100.79686250684631</v>
      </c>
      <c r="Q7" s="449">
        <f t="shared" si="6"/>
        <v>80.903137493153679</v>
      </c>
      <c r="R7" s="448"/>
    </row>
    <row r="8" spans="1:18">
      <c r="A8" s="453"/>
      <c r="B8" s="460" t="s">
        <v>75</v>
      </c>
      <c r="C8" s="459">
        <f>'SM-A6'!Q11/10</f>
        <v>58</v>
      </c>
      <c r="D8" s="459">
        <f>'SM-A6'!Q40/10</f>
        <v>48.283899999999996</v>
      </c>
      <c r="E8" s="458">
        <f>0.1*51.161</f>
        <v>5.1161000000000003</v>
      </c>
      <c r="F8" s="458">
        <f>0.1*0</f>
        <v>0</v>
      </c>
      <c r="G8" s="459">
        <f t="shared" si="0"/>
        <v>53.4</v>
      </c>
      <c r="H8" s="455">
        <f t="shared" si="1"/>
        <v>9.5799999999999996E-2</v>
      </c>
      <c r="I8" s="455" t="str">
        <f t="shared" si="2"/>
        <v xml:space="preserve">     0%</v>
      </c>
      <c r="J8" s="456">
        <f t="shared" si="3"/>
        <v>-5.116100000000003</v>
      </c>
      <c r="K8" s="455">
        <f t="shared" si="4"/>
        <v>0.83250000000000002</v>
      </c>
      <c r="L8" s="454" t="s">
        <v>125</v>
      </c>
      <c r="M8" s="453"/>
      <c r="N8" s="452" t="s">
        <v>75</v>
      </c>
      <c r="O8" s="451">
        <f t="shared" si="5"/>
        <v>48.283899999999996</v>
      </c>
      <c r="P8" s="450">
        <f>'SM-A6'!Q69/10</f>
        <v>53.4</v>
      </c>
      <c r="Q8" s="449">
        <f t="shared" si="6"/>
        <v>-5.116100000000003</v>
      </c>
      <c r="R8" s="448"/>
    </row>
    <row r="9" spans="1:18">
      <c r="A9" s="453"/>
      <c r="B9" s="460" t="s">
        <v>74</v>
      </c>
      <c r="C9" s="459">
        <f>'EG-A10'!Q11/10</f>
        <v>42</v>
      </c>
      <c r="D9" s="459">
        <f>'EG-A10'!Q40/10</f>
        <v>41</v>
      </c>
      <c r="E9" s="458">
        <f>0.1*204.3715</f>
        <v>20.437150000000003</v>
      </c>
      <c r="F9" s="458">
        <f>0.1*0.000360087573085366</f>
        <v>3.6008757308536598E-5</v>
      </c>
      <c r="G9" s="459">
        <f t="shared" si="0"/>
        <v>61.437113991242697</v>
      </c>
      <c r="H9" s="455">
        <f t="shared" si="1"/>
        <v>0.3327</v>
      </c>
      <c r="I9" s="455">
        <f t="shared" si="2"/>
        <v>0</v>
      </c>
      <c r="J9" s="456">
        <f t="shared" si="3"/>
        <v>-20.437113991242697</v>
      </c>
      <c r="K9" s="455">
        <f t="shared" si="4"/>
        <v>0.97619999999999996</v>
      </c>
      <c r="L9" s="454" t="s">
        <v>124</v>
      </c>
      <c r="M9" s="453"/>
      <c r="N9" s="452" t="s">
        <v>74</v>
      </c>
      <c r="O9" s="451">
        <f t="shared" si="5"/>
        <v>41</v>
      </c>
      <c r="P9" s="450">
        <f>'EG-A10'!Q69/10</f>
        <v>61.43711399124269</v>
      </c>
      <c r="Q9" s="449">
        <f t="shared" si="6"/>
        <v>-20.43711399124269</v>
      </c>
      <c r="R9" s="448"/>
    </row>
    <row r="10" spans="1:18">
      <c r="A10" s="453"/>
      <c r="B10" s="460" t="s">
        <v>72</v>
      </c>
      <c r="C10" s="459">
        <f>'PVC-A7'!Q11/10</f>
        <v>84.6</v>
      </c>
      <c r="D10" s="459">
        <f>'PVC-A7'!Q40/10</f>
        <v>81</v>
      </c>
      <c r="E10" s="458">
        <f>0.1*50</f>
        <v>5</v>
      </c>
      <c r="F10" s="458">
        <f>0.1*374.340393051288</f>
        <v>37.434039305128799</v>
      </c>
      <c r="G10" s="459">
        <f t="shared" si="0"/>
        <v>48.565960694871201</v>
      </c>
      <c r="H10" s="455">
        <f t="shared" si="1"/>
        <v>0.10299999999999999</v>
      </c>
      <c r="I10" s="455">
        <f t="shared" si="2"/>
        <v>0.46210000000000001</v>
      </c>
      <c r="J10" s="456">
        <f t="shared" si="3"/>
        <v>32.434039305128799</v>
      </c>
      <c r="K10" s="455">
        <f t="shared" si="4"/>
        <v>0.95740000000000003</v>
      </c>
      <c r="L10" s="454" t="s">
        <v>123</v>
      </c>
      <c r="M10" s="453"/>
      <c r="N10" s="452" t="s">
        <v>72</v>
      </c>
      <c r="O10" s="451">
        <f t="shared" si="5"/>
        <v>81</v>
      </c>
      <c r="P10" s="450">
        <f>'PVC-A7'!Q69/10</f>
        <v>48.56596069487118</v>
      </c>
      <c r="Q10" s="449">
        <f t="shared" si="6"/>
        <v>32.43403930512882</v>
      </c>
      <c r="R10" s="448"/>
    </row>
    <row r="11" spans="1:18">
      <c r="A11" s="453"/>
      <c r="B11" s="460" t="s">
        <v>371</v>
      </c>
      <c r="C11" s="459">
        <f>'OTHER(C2)-A11'!Q11/10</f>
        <v>0</v>
      </c>
      <c r="D11" s="459">
        <f>'OTHER(C2)-A11'!Q40/10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56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'OTHER(C2)-A11'!Q69/10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537.548</v>
      </c>
      <c r="D12" s="462">
        <f>D6*0.98+D7*1.04+D8*0.29+D9*0.66+D10*0.5+D11</f>
        <v>446.93033099999997</v>
      </c>
      <c r="E12" s="462">
        <f>E6*0.98+E7*1.04+E8*0.29+E9*0.66+E10*0.5</f>
        <v>52.672188000000006</v>
      </c>
      <c r="F12" s="462">
        <f>F6*0.98+F7*1.04+F8*0.29+F9*0.66+F10*0.5</f>
        <v>177.84094476259386</v>
      </c>
      <c r="G12" s="459">
        <f t="shared" si="0"/>
        <v>321.76157423740608</v>
      </c>
      <c r="H12" s="455">
        <f t="shared" si="1"/>
        <v>0.16370000000000001</v>
      </c>
      <c r="I12" s="455">
        <f t="shared" si="2"/>
        <v>0.39789999999999998</v>
      </c>
      <c r="J12" s="456">
        <f t="shared" si="3"/>
        <v>125.16875676259389</v>
      </c>
      <c r="K12" s="455">
        <f t="shared" si="4"/>
        <v>0.83140000000000003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125.16875676259392</v>
      </c>
      <c r="R12" s="448"/>
    </row>
    <row r="13" spans="1:18">
      <c r="A13" s="453"/>
      <c r="B13" s="460" t="s">
        <v>373</v>
      </c>
      <c r="C13" s="459">
        <f>'PROPYLENE-A12'!Q11/10</f>
        <v>316</v>
      </c>
      <c r="D13" s="459">
        <f>'PROPYLENE-A12'!Q40/10</f>
        <v>311.76249999999999</v>
      </c>
      <c r="E13" s="458">
        <f>0.1*5</f>
        <v>0.5</v>
      </c>
      <c r="F13" s="458">
        <f>0.1*300</f>
        <v>30</v>
      </c>
      <c r="G13" s="459">
        <f t="shared" si="0"/>
        <v>282.26249999999999</v>
      </c>
      <c r="H13" s="455">
        <f t="shared" si="1"/>
        <v>1.8E-3</v>
      </c>
      <c r="I13" s="455">
        <f t="shared" si="2"/>
        <v>9.6199999999999994E-2</v>
      </c>
      <c r="J13" s="456">
        <f t="shared" si="3"/>
        <v>29.5</v>
      </c>
      <c r="K13" s="455">
        <f t="shared" si="4"/>
        <v>0.98660000000000003</v>
      </c>
      <c r="L13" s="454" t="s">
        <v>122</v>
      </c>
      <c r="M13" s="453"/>
      <c r="N13" s="460" t="s">
        <v>373</v>
      </c>
      <c r="O13" s="451">
        <f t="shared" si="5"/>
        <v>311.76249999999999</v>
      </c>
      <c r="P13" s="450">
        <f>'PROPYLENE-A12'!Q69/10</f>
        <v>282.26249999999999</v>
      </c>
      <c r="Q13" s="449">
        <f t="shared" si="6"/>
        <v>29.5</v>
      </c>
      <c r="R13" s="448"/>
    </row>
    <row r="14" spans="1:18">
      <c r="A14" s="453"/>
      <c r="B14" s="460" t="s">
        <v>69</v>
      </c>
      <c r="C14" s="459">
        <f>'PP-A13'!Q11/10</f>
        <v>225</v>
      </c>
      <c r="D14" s="459">
        <f>'PP-A13'!Q40/10</f>
        <v>213.75</v>
      </c>
      <c r="E14" s="458">
        <f>0.1*0.462159621866704</f>
        <v>4.6215962186670401E-2</v>
      </c>
      <c r="F14" s="458">
        <f>0.1*475</f>
        <v>47.5</v>
      </c>
      <c r="G14" s="459">
        <f t="shared" si="0"/>
        <v>166.29621596218666</v>
      </c>
      <c r="H14" s="455">
        <f t="shared" si="1"/>
        <v>2.9999999999999997E-4</v>
      </c>
      <c r="I14" s="455">
        <f t="shared" si="2"/>
        <v>0.22220000000000001</v>
      </c>
      <c r="J14" s="456">
        <f t="shared" si="3"/>
        <v>47.453784037813335</v>
      </c>
      <c r="K14" s="455">
        <f t="shared" si="4"/>
        <v>0.95</v>
      </c>
      <c r="L14" s="454" t="s">
        <v>121</v>
      </c>
      <c r="M14" s="453"/>
      <c r="N14" s="452" t="s">
        <v>69</v>
      </c>
      <c r="O14" s="451">
        <f t="shared" si="5"/>
        <v>213.75</v>
      </c>
      <c r="P14" s="450">
        <f>'PP-A13'!Q69/10</f>
        <v>166.29621596218664</v>
      </c>
      <c r="Q14" s="449">
        <f t="shared" si="6"/>
        <v>47.453784037813364</v>
      </c>
      <c r="R14" s="448"/>
    </row>
    <row r="15" spans="1:18">
      <c r="A15" s="453"/>
      <c r="B15" s="460" t="s">
        <v>67</v>
      </c>
      <c r="C15" s="459">
        <f>'AN-A14'!Q11/10</f>
        <v>20</v>
      </c>
      <c r="D15" s="459">
        <f>'AN-A14'!Q40/10</f>
        <v>18.737300000000001</v>
      </c>
      <c r="E15" s="458">
        <f>0.1*44.5935574205263</f>
        <v>4.4593557420526304</v>
      </c>
      <c r="F15" s="458">
        <f>0.1*50</f>
        <v>5</v>
      </c>
      <c r="G15" s="459">
        <f t="shared" si="0"/>
        <v>18.196655742052631</v>
      </c>
      <c r="H15" s="455">
        <f t="shared" si="1"/>
        <v>0.24510000000000001</v>
      </c>
      <c r="I15" s="455">
        <f t="shared" si="2"/>
        <v>0.26679999999999998</v>
      </c>
      <c r="J15" s="456">
        <f t="shared" si="3"/>
        <v>0.54064425794737048</v>
      </c>
      <c r="K15" s="455">
        <f t="shared" si="4"/>
        <v>0.93689999999999996</v>
      </c>
      <c r="L15" s="454" t="s">
        <v>120</v>
      </c>
      <c r="M15" s="453"/>
      <c r="N15" s="452" t="s">
        <v>67</v>
      </c>
      <c r="O15" s="451">
        <f t="shared" si="5"/>
        <v>18.737300000000001</v>
      </c>
      <c r="P15" s="450">
        <f>'AN-A14'!Q69/10</f>
        <v>18.196655742052634</v>
      </c>
      <c r="Q15" s="449">
        <f t="shared" si="6"/>
        <v>0.54064425794736692</v>
      </c>
      <c r="R15" s="448"/>
    </row>
    <row r="16" spans="1:18">
      <c r="A16" s="453"/>
      <c r="B16" s="460" t="s">
        <v>371</v>
      </c>
      <c r="C16" s="459">
        <f>'OTHER(C3)-A15'!Q11/10</f>
        <v>69</v>
      </c>
      <c r="D16" s="459">
        <f>'OTHER(C3)-A15'!Q40/10</f>
        <v>62.1</v>
      </c>
      <c r="E16" s="458">
        <v>0</v>
      </c>
      <c r="F16" s="458">
        <f>0.1*58.7987634853962</f>
        <v>5.8798763485396206</v>
      </c>
      <c r="G16" s="459">
        <f t="shared" si="0"/>
        <v>56.220123651460383</v>
      </c>
      <c r="H16" s="455" t="str">
        <f t="shared" si="1"/>
        <v xml:space="preserve">     0%</v>
      </c>
      <c r="I16" s="455">
        <f t="shared" si="2"/>
        <v>9.4700000000000006E-2</v>
      </c>
      <c r="J16" s="456">
        <f t="shared" si="3"/>
        <v>5.8798763485396179</v>
      </c>
      <c r="K16" s="455">
        <f t="shared" si="4"/>
        <v>0.9</v>
      </c>
      <c r="L16" s="454" t="s">
        <v>119</v>
      </c>
      <c r="M16" s="453"/>
      <c r="N16" s="460" t="s">
        <v>371</v>
      </c>
      <c r="O16" s="451">
        <f t="shared" si="5"/>
        <v>62.1</v>
      </c>
      <c r="P16" s="450">
        <f>'OTHER(C3)-A15'!Q69/10</f>
        <v>56.220123651460383</v>
      </c>
      <c r="Q16" s="449">
        <f t="shared" si="6"/>
        <v>5.8798763485396179</v>
      </c>
      <c r="R16" s="448"/>
    </row>
    <row r="17" spans="1:18">
      <c r="A17" s="453"/>
      <c r="B17" s="460" t="s">
        <v>374</v>
      </c>
      <c r="C17" s="459">
        <f>C14*1.03+C15*1.09+C16</f>
        <v>322.55</v>
      </c>
      <c r="D17" s="459">
        <f>D14*1.03+D15*1.09+D16</f>
        <v>302.68615699999998</v>
      </c>
      <c r="E17" s="459">
        <f>E14*1.03+E15*1.09</f>
        <v>4.9083001998896378</v>
      </c>
      <c r="F17" s="459">
        <f>F14*1.03+F15*1.09</f>
        <v>54.375000000000007</v>
      </c>
      <c r="G17" s="459">
        <f t="shared" si="0"/>
        <v>253.21945719988963</v>
      </c>
      <c r="H17" s="455">
        <f t="shared" si="1"/>
        <v>1.9400000000000001E-2</v>
      </c>
      <c r="I17" s="455">
        <f t="shared" si="2"/>
        <v>0.17960000000000001</v>
      </c>
      <c r="J17" s="456">
        <f t="shared" si="3"/>
        <v>49.466699800110348</v>
      </c>
      <c r="K17" s="455">
        <f t="shared" si="4"/>
        <v>0.93840000000000001</v>
      </c>
      <c r="L17" s="454"/>
      <c r="M17" s="453"/>
      <c r="N17" s="460" t="s">
        <v>374</v>
      </c>
      <c r="O17" s="451"/>
      <c r="P17" s="450"/>
      <c r="Q17" s="461">
        <f>Q14*1.03+Q15*1.09+Q16</f>
        <v>55.346576148650009</v>
      </c>
      <c r="R17" s="448"/>
    </row>
    <row r="18" spans="1:18">
      <c r="A18" s="453"/>
      <c r="B18" s="460" t="s">
        <v>375</v>
      </c>
      <c r="C18" s="459">
        <f>'BENZENE-A16'!Q11/10</f>
        <v>141.30000000000001</v>
      </c>
      <c r="D18" s="459">
        <f>'BENZENE-A16'!Q40/10</f>
        <v>140.59534899999994</v>
      </c>
      <c r="E18" s="458">
        <v>0</v>
      </c>
      <c r="F18" s="458">
        <f>0.1*420</f>
        <v>42</v>
      </c>
      <c r="G18" s="459">
        <f t="shared" si="0"/>
        <v>98.595348999999942</v>
      </c>
      <c r="H18" s="455" t="str">
        <f t="shared" si="1"/>
        <v xml:space="preserve">     0%</v>
      </c>
      <c r="I18" s="455">
        <f t="shared" si="2"/>
        <v>0.29870000000000002</v>
      </c>
      <c r="J18" s="456">
        <f t="shared" si="3"/>
        <v>42</v>
      </c>
      <c r="K18" s="455">
        <f t="shared" si="4"/>
        <v>0.995</v>
      </c>
      <c r="L18" s="454" t="s">
        <v>118</v>
      </c>
      <c r="M18" s="453"/>
      <c r="N18" s="460" t="s">
        <v>375</v>
      </c>
      <c r="O18" s="451">
        <f t="shared" si="5"/>
        <v>140.59534899999994</v>
      </c>
      <c r="P18" s="450">
        <f>'BENZENE-A16'!Q69/10</f>
        <v>98.595348999999956</v>
      </c>
      <c r="Q18" s="449">
        <f t="shared" si="6"/>
        <v>41.999999999999986</v>
      </c>
      <c r="R18" s="448"/>
    </row>
    <row r="19" spans="1:18">
      <c r="A19" s="453"/>
      <c r="B19" s="460" t="s">
        <v>376</v>
      </c>
      <c r="C19" s="459">
        <f>'TOLUENE-A17'!Q11/10</f>
        <v>113.6</v>
      </c>
      <c r="D19" s="459">
        <f>'TOLUENE-A17'!Q40/10</f>
        <v>105.7</v>
      </c>
      <c r="E19" s="458">
        <v>0</v>
      </c>
      <c r="F19" s="458">
        <f>0.1*139.488871215148</f>
        <v>13.948887121514801</v>
      </c>
      <c r="G19" s="459">
        <f t="shared" si="0"/>
        <v>91.751112878485202</v>
      </c>
      <c r="H19" s="455" t="str">
        <f t="shared" si="1"/>
        <v xml:space="preserve">     0%</v>
      </c>
      <c r="I19" s="455">
        <f t="shared" si="2"/>
        <v>0.13200000000000001</v>
      </c>
      <c r="J19" s="456">
        <f t="shared" si="3"/>
        <v>13.948887121514801</v>
      </c>
      <c r="K19" s="455">
        <f t="shared" si="4"/>
        <v>0.93049999999999999</v>
      </c>
      <c r="L19" s="454" t="s">
        <v>117</v>
      </c>
      <c r="M19" s="453"/>
      <c r="N19" s="460" t="s">
        <v>376</v>
      </c>
      <c r="O19" s="451">
        <f t="shared" si="5"/>
        <v>105.7</v>
      </c>
      <c r="P19" s="450">
        <f>'TOLUENE-A17'!Q69/10</f>
        <v>91.751112878485188</v>
      </c>
      <c r="Q19" s="449">
        <f t="shared" si="6"/>
        <v>13.948887121514815</v>
      </c>
      <c r="R19" s="448"/>
    </row>
    <row r="20" spans="1:18">
      <c r="A20" s="453"/>
      <c r="B20" s="460" t="s">
        <v>377</v>
      </c>
      <c r="C20" s="459">
        <f>'XYLENES-A18'!Q11/10</f>
        <v>280.5</v>
      </c>
      <c r="D20" s="459">
        <f>'XYLENES-A18'!Q40/10</f>
        <v>245.58996000000002</v>
      </c>
      <c r="E20" s="458">
        <v>0</v>
      </c>
      <c r="F20" s="458">
        <v>0</v>
      </c>
      <c r="G20" s="459">
        <f t="shared" si="0"/>
        <v>245.58996000000002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0.87549999999999994</v>
      </c>
      <c r="L20" s="454" t="s">
        <v>117</v>
      </c>
      <c r="M20" s="453"/>
      <c r="N20" s="460" t="s">
        <v>377</v>
      </c>
      <c r="O20" s="451">
        <f t="shared" si="5"/>
        <v>245.58996000000002</v>
      </c>
      <c r="P20" s="450">
        <f>'XYLENES-A18'!Q69/10</f>
        <v>245.58996000000002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'PX-A19'!Q11/10</f>
        <v>237</v>
      </c>
      <c r="D21" s="459">
        <f>'PX-A19'!Q40/10</f>
        <v>204.6583</v>
      </c>
      <c r="E21" s="458">
        <v>0</v>
      </c>
      <c r="F21" s="458">
        <f>0.1*620.823</f>
        <v>62.082300000000004</v>
      </c>
      <c r="G21" s="459">
        <f t="shared" si="0"/>
        <v>142.57599999999999</v>
      </c>
      <c r="H21" s="455" t="str">
        <f t="shared" si="1"/>
        <v xml:space="preserve">     0%</v>
      </c>
      <c r="I21" s="455">
        <f t="shared" si="2"/>
        <v>0.30330000000000001</v>
      </c>
      <c r="J21" s="456">
        <f t="shared" si="3"/>
        <v>62.082300000000004</v>
      </c>
      <c r="K21" s="455">
        <f t="shared" si="4"/>
        <v>0.86350000000000005</v>
      </c>
      <c r="L21" s="454" t="s">
        <v>116</v>
      </c>
      <c r="M21" s="453"/>
      <c r="N21" s="452" t="s">
        <v>64</v>
      </c>
      <c r="O21" s="451">
        <f t="shared" si="5"/>
        <v>204.6583</v>
      </c>
      <c r="P21" s="450">
        <f>'PX-A19'!Q69/10</f>
        <v>142.57599999999999</v>
      </c>
      <c r="Q21" s="449">
        <f t="shared" si="6"/>
        <v>62.082300000000004</v>
      </c>
      <c r="R21" s="448"/>
    </row>
    <row r="22" spans="1:18">
      <c r="A22" s="453"/>
      <c r="B22" s="460" t="s">
        <v>62</v>
      </c>
      <c r="C22" s="459">
        <f>'PTA-A20'!Q11/10</f>
        <v>266</v>
      </c>
      <c r="D22" s="459">
        <f>'PTA-A20'!Q40/10</f>
        <v>212.8</v>
      </c>
      <c r="E22" s="458">
        <v>0</v>
      </c>
      <c r="F22" s="458">
        <f>0.1*556.213912480853</f>
        <v>55.621391248085303</v>
      </c>
      <c r="G22" s="459">
        <f t="shared" si="0"/>
        <v>157.17860875191471</v>
      </c>
      <c r="H22" s="455" t="str">
        <f t="shared" si="1"/>
        <v xml:space="preserve">     0%</v>
      </c>
      <c r="I22" s="455">
        <f t="shared" si="2"/>
        <v>0.26140000000000002</v>
      </c>
      <c r="J22" s="456">
        <f t="shared" si="3"/>
        <v>55.621391248085303</v>
      </c>
      <c r="K22" s="455">
        <f t="shared" si="4"/>
        <v>0.8</v>
      </c>
      <c r="L22" s="454" t="s">
        <v>115</v>
      </c>
      <c r="M22" s="453"/>
      <c r="N22" s="452" t="s">
        <v>62</v>
      </c>
      <c r="O22" s="451">
        <f t="shared" si="5"/>
        <v>212.8</v>
      </c>
      <c r="P22" s="450">
        <f>'PTA-A20'!Q69/10</f>
        <v>157.17860875191471</v>
      </c>
      <c r="Q22" s="449">
        <f t="shared" si="6"/>
        <v>55.621391248085303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M24" s="453"/>
    </row>
    <row r="25" spans="1:18">
      <c r="M25" s="453"/>
    </row>
    <row r="26" spans="1:18"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3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21.375" bestFit="1" customWidth="1"/>
    <col min="2" max="2" width="21.125" customWidth="1"/>
    <col min="3" max="11" width="12.875" customWidth="1"/>
    <col min="12" max="12" width="27.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2" t="s">
        <v>387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'ETHYLENE-A1'!K16/10</f>
        <v>177</v>
      </c>
      <c r="D5" s="459">
        <f>'ETHYLENE-A1'!K45/10</f>
        <v>143.36704700000001</v>
      </c>
      <c r="E5" s="458">
        <f>0.1*61.798</f>
        <v>6.1798000000000002</v>
      </c>
      <c r="F5" s="458">
        <f>0.1*200.667</f>
        <v>20.066700000000001</v>
      </c>
      <c r="G5" s="459">
        <f t="shared" ref="G5:G22" si="0">D5+E5-F5</f>
        <v>129.48014700000002</v>
      </c>
      <c r="H5" s="455">
        <f t="shared" ref="H5:H22" si="1">IF(AND(E5=0,G5=0),"    -",IF(E5=0,"     0%",IF(G5=0,"     -",ROUND(E5/G5,4))))</f>
        <v>4.7699999999999999E-2</v>
      </c>
      <c r="I5" s="455">
        <f t="shared" ref="I5:I22" si="2">IF(AND(D5=0,F5=0),"    -",IF(F5=0,"     0%",IF(D5=0,"     -",ROUND(F5/D5,4))))</f>
        <v>0.14000000000000001</v>
      </c>
      <c r="J5" s="456">
        <f t="shared" ref="J5:J22" si="3">D5-G5</f>
        <v>13.886899999999997</v>
      </c>
      <c r="K5" s="455">
        <f t="shared" ref="K5:K22" si="4">IF(AND(D5=0,C5=0),"    -",IF(C5=0,"     0%",IF(D5=0,"     -",ROUND(D5/C5,4))))</f>
        <v>0.81</v>
      </c>
      <c r="L5" s="454" t="s">
        <v>132</v>
      </c>
      <c r="M5" s="453"/>
      <c r="N5" s="452" t="s">
        <v>79</v>
      </c>
      <c r="O5" s="451">
        <f t="shared" ref="O5:O22" si="5">D5</f>
        <v>143.36704700000001</v>
      </c>
      <c r="P5" s="450">
        <f>'ETHYLENE-A1'!K74/10</f>
        <v>129.48014700000002</v>
      </c>
      <c r="Q5" s="449">
        <f>O5-P5</f>
        <v>13.886899999999997</v>
      </c>
      <c r="R5" s="448"/>
    </row>
    <row r="6" spans="1:18">
      <c r="A6" s="453"/>
      <c r="B6" s="460" t="s">
        <v>78</v>
      </c>
      <c r="C6" s="459">
        <f>'LDPE-A2'!K16/10</f>
        <v>59</v>
      </c>
      <c r="D6" s="459">
        <f>'LDPE-A2'!K45/10</f>
        <v>49.0959</v>
      </c>
      <c r="E6" s="458">
        <f>0.1*454.614</f>
        <v>45.461399999999998</v>
      </c>
      <c r="F6" s="458">
        <f>0.1*283.573</f>
        <v>28.357299999999999</v>
      </c>
      <c r="G6" s="459">
        <f t="shared" si="0"/>
        <v>66.2</v>
      </c>
      <c r="H6" s="455">
        <f t="shared" si="1"/>
        <v>0.68669999999999998</v>
      </c>
      <c r="I6" s="455">
        <f t="shared" si="2"/>
        <v>0.5776</v>
      </c>
      <c r="J6" s="456">
        <f t="shared" si="3"/>
        <v>-17.104100000000003</v>
      </c>
      <c r="K6" s="455">
        <f t="shared" si="4"/>
        <v>0.83209999999999995</v>
      </c>
      <c r="L6" s="454" t="s">
        <v>132</v>
      </c>
      <c r="M6" s="453"/>
      <c r="N6" s="452" t="s">
        <v>78</v>
      </c>
      <c r="O6" s="451">
        <f t="shared" si="5"/>
        <v>49.0959</v>
      </c>
      <c r="P6" s="450">
        <f>'LDPE-A2'!K74/10</f>
        <v>66.2</v>
      </c>
      <c r="Q6" s="449">
        <f t="shared" ref="Q6:Q22" si="6">O6-P6</f>
        <v>-17.104100000000003</v>
      </c>
      <c r="R6" s="448"/>
    </row>
    <row r="7" spans="1:18">
      <c r="A7" s="453"/>
      <c r="B7" s="460" t="s">
        <v>76</v>
      </c>
      <c r="C7" s="459">
        <f>'HDPE-A3'!K16/10</f>
        <v>53</v>
      </c>
      <c r="D7" s="459">
        <f>'HDPE-A3'!K45/10</f>
        <v>46.2</v>
      </c>
      <c r="E7" s="458">
        <f>0.1*615.058</f>
        <v>61.505800000000001</v>
      </c>
      <c r="F7" s="458">
        <f>0.1*452.766</f>
        <v>45.276600000000002</v>
      </c>
      <c r="G7" s="459">
        <f t="shared" si="0"/>
        <v>62.429200000000009</v>
      </c>
      <c r="H7" s="455">
        <f t="shared" si="1"/>
        <v>0.98519999999999996</v>
      </c>
      <c r="I7" s="455">
        <f t="shared" si="2"/>
        <v>0.98</v>
      </c>
      <c r="J7" s="456">
        <f t="shared" si="3"/>
        <v>-16.229200000000006</v>
      </c>
      <c r="K7" s="455">
        <f t="shared" si="4"/>
        <v>0.87170000000000003</v>
      </c>
      <c r="L7" s="454" t="s">
        <v>132</v>
      </c>
      <c r="M7" s="453"/>
      <c r="N7" s="452" t="s">
        <v>76</v>
      </c>
      <c r="O7" s="451">
        <f t="shared" si="5"/>
        <v>46.2</v>
      </c>
      <c r="P7" s="450">
        <f>'HDPE-A3'!K74/10</f>
        <v>62.429199999999994</v>
      </c>
      <c r="Q7" s="449">
        <f t="shared" si="6"/>
        <v>-16.229199999999992</v>
      </c>
      <c r="R7" s="448"/>
    </row>
    <row r="8" spans="1:18">
      <c r="A8" s="453"/>
      <c r="B8" s="460" t="s">
        <v>75</v>
      </c>
      <c r="C8" s="459">
        <f>'SM-A6'!K16/10</f>
        <v>24</v>
      </c>
      <c r="D8" s="459">
        <f>'SM-A6'!K45/10</f>
        <v>22.358499999999999</v>
      </c>
      <c r="E8" s="458">
        <f>0.1*183.328</f>
        <v>18.332800000000002</v>
      </c>
      <c r="F8" s="458">
        <f>0.1*41.913</f>
        <v>4.1913</v>
      </c>
      <c r="G8" s="459">
        <f t="shared" si="0"/>
        <v>36.5</v>
      </c>
      <c r="H8" s="455">
        <f t="shared" si="1"/>
        <v>0.50229999999999997</v>
      </c>
      <c r="I8" s="455">
        <f t="shared" si="2"/>
        <v>0.1875</v>
      </c>
      <c r="J8" s="456">
        <f t="shared" si="3"/>
        <v>-14.141500000000001</v>
      </c>
      <c r="K8" s="455">
        <f t="shared" si="4"/>
        <v>0.93159999999999998</v>
      </c>
      <c r="L8" s="454" t="s">
        <v>137</v>
      </c>
      <c r="M8" s="453"/>
      <c r="N8" s="452" t="s">
        <v>75</v>
      </c>
      <c r="O8" s="451">
        <f t="shared" si="5"/>
        <v>22.358499999999999</v>
      </c>
      <c r="P8" s="450">
        <f>'SM-A6'!K74/10</f>
        <v>36.5</v>
      </c>
      <c r="Q8" s="449">
        <f t="shared" si="6"/>
        <v>-14.141500000000001</v>
      </c>
      <c r="R8" s="448"/>
    </row>
    <row r="9" spans="1:18">
      <c r="A9" s="453"/>
      <c r="B9" s="460" t="s">
        <v>74</v>
      </c>
      <c r="C9" s="459">
        <f>'EG-A10'!K16/10</f>
        <v>36.5</v>
      </c>
      <c r="D9" s="459">
        <f>'EG-A10'!K45/10</f>
        <v>35</v>
      </c>
      <c r="E9" s="458">
        <f>0.1*14.408</f>
        <v>1.4408000000000001</v>
      </c>
      <c r="F9" s="458">
        <f>0.1*118.983</f>
        <v>11.898300000000001</v>
      </c>
      <c r="G9" s="459">
        <f t="shared" si="0"/>
        <v>24.542500000000004</v>
      </c>
      <c r="H9" s="455">
        <f t="shared" si="1"/>
        <v>5.8700000000000002E-2</v>
      </c>
      <c r="I9" s="455">
        <f t="shared" si="2"/>
        <v>0.34</v>
      </c>
      <c r="J9" s="456">
        <f t="shared" si="3"/>
        <v>10.457499999999996</v>
      </c>
      <c r="K9" s="455">
        <f t="shared" si="4"/>
        <v>0.95889999999999997</v>
      </c>
      <c r="L9" s="454" t="s">
        <v>136</v>
      </c>
      <c r="M9" s="453"/>
      <c r="N9" s="452" t="s">
        <v>74</v>
      </c>
      <c r="O9" s="451">
        <f t="shared" si="5"/>
        <v>35</v>
      </c>
      <c r="P9" s="450">
        <f>'EG-A10'!K74/10</f>
        <v>24.542499999999997</v>
      </c>
      <c r="Q9" s="449">
        <f t="shared" si="6"/>
        <v>10.457500000000003</v>
      </c>
      <c r="R9" s="448"/>
    </row>
    <row r="10" spans="1:18">
      <c r="A10" s="453"/>
      <c r="B10" s="460" t="s">
        <v>72</v>
      </c>
      <c r="C10" s="459">
        <f>'PVC-A7'!K16/10</f>
        <v>13</v>
      </c>
      <c r="D10" s="459">
        <f>'PVC-A7'!K45/10</f>
        <v>7.4683999999999999</v>
      </c>
      <c r="E10" s="458">
        <f>0.1*228.537</f>
        <v>22.853700000000003</v>
      </c>
      <c r="F10" s="458">
        <f>0.1*49.221</f>
        <v>4.9221000000000004</v>
      </c>
      <c r="G10" s="459">
        <f t="shared" si="0"/>
        <v>25.400000000000002</v>
      </c>
      <c r="H10" s="455">
        <f t="shared" si="1"/>
        <v>0.89980000000000004</v>
      </c>
      <c r="I10" s="455">
        <f t="shared" si="2"/>
        <v>0.65910000000000002</v>
      </c>
      <c r="J10" s="456">
        <f t="shared" si="3"/>
        <v>-17.931600000000003</v>
      </c>
      <c r="K10" s="455">
        <f t="shared" si="4"/>
        <v>0.57450000000000001</v>
      </c>
      <c r="L10" s="454" t="s">
        <v>135</v>
      </c>
      <c r="M10" s="453"/>
      <c r="N10" s="452" t="s">
        <v>72</v>
      </c>
      <c r="O10" s="451">
        <f t="shared" si="5"/>
        <v>7.4683999999999999</v>
      </c>
      <c r="P10" s="450">
        <f>'PVC-A7'!K74/10</f>
        <v>25.4</v>
      </c>
      <c r="Q10" s="449">
        <f t="shared" si="6"/>
        <v>-17.9316</v>
      </c>
      <c r="R10" s="448"/>
    </row>
    <row r="11" spans="1:18">
      <c r="A11" s="453"/>
      <c r="B11" s="460" t="s">
        <v>371</v>
      </c>
      <c r="C11" s="459">
        <f>'OTHER(C2)-A11'!K16/10</f>
        <v>0</v>
      </c>
      <c r="D11" s="459">
        <f>'OTHER(C2)-A11'!K45/10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56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'OTHER(C2)-A11'!K74/10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150.48999999999998</v>
      </c>
      <c r="D12" s="462">
        <f>D6*0.98+D7*1.04+D8*0.29+D9*0.66+D10*0.5+D11</f>
        <v>129.48014699999999</v>
      </c>
      <c r="E12" s="462">
        <f>E6*0.98+E7*1.04+E8*0.29+E9*0.66+E10*0.5</f>
        <v>126.21249400000001</v>
      </c>
      <c r="F12" s="462">
        <f>F6*0.98+F7*1.04+F8*0.29+F9*0.66+F10*0.5</f>
        <v>86.407223000000016</v>
      </c>
      <c r="G12" s="459">
        <f t="shared" si="0"/>
        <v>169.28541799999996</v>
      </c>
      <c r="H12" s="455">
        <f t="shared" si="1"/>
        <v>0.74560000000000004</v>
      </c>
      <c r="I12" s="455">
        <f t="shared" si="2"/>
        <v>0.6673</v>
      </c>
      <c r="J12" s="456">
        <f t="shared" si="3"/>
        <v>-39.805270999999976</v>
      </c>
      <c r="K12" s="455">
        <f t="shared" si="4"/>
        <v>0.86040000000000005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-39.805270999999983</v>
      </c>
      <c r="R12" s="448"/>
    </row>
    <row r="13" spans="1:18">
      <c r="A13" s="453"/>
      <c r="B13" s="460" t="s">
        <v>373</v>
      </c>
      <c r="C13" s="459">
        <f>'PROPYLENE-A12'!K16/10</f>
        <v>113.5</v>
      </c>
      <c r="D13" s="459">
        <f>'PROPYLENE-A12'!K45/10</f>
        <v>69.828240188999999</v>
      </c>
      <c r="E13" s="458">
        <f>0.1*53.175</f>
        <v>5.3174999999999999</v>
      </c>
      <c r="F13" s="458">
        <f>0.1*3.871</f>
        <v>0.3871</v>
      </c>
      <c r="G13" s="459">
        <f t="shared" si="0"/>
        <v>74.758640188999991</v>
      </c>
      <c r="H13" s="455">
        <f t="shared" si="1"/>
        <v>7.1099999999999997E-2</v>
      </c>
      <c r="I13" s="455">
        <f t="shared" si="2"/>
        <v>5.4999999999999997E-3</v>
      </c>
      <c r="J13" s="456">
        <f t="shared" si="3"/>
        <v>-4.9303999999999917</v>
      </c>
      <c r="K13" s="455">
        <f t="shared" si="4"/>
        <v>0.61519999999999997</v>
      </c>
      <c r="L13" s="454" t="s">
        <v>134</v>
      </c>
      <c r="M13" s="453"/>
      <c r="N13" s="460" t="s">
        <v>373</v>
      </c>
      <c r="O13" s="451">
        <f t="shared" si="5"/>
        <v>69.828240188999999</v>
      </c>
      <c r="P13" s="450">
        <f>'PROPYLENE-A12'!K74/10</f>
        <v>74.758640188999991</v>
      </c>
      <c r="Q13" s="449">
        <f t="shared" si="6"/>
        <v>-4.9303999999999917</v>
      </c>
      <c r="R13" s="448"/>
    </row>
    <row r="14" spans="1:18">
      <c r="A14" s="453"/>
      <c r="B14" s="460" t="s">
        <v>69</v>
      </c>
      <c r="C14" s="459">
        <f>'PP-A13'!K16/10</f>
        <v>47</v>
      </c>
      <c r="D14" s="459">
        <f>'PP-A13'!K45/10</f>
        <v>35.794796300000002</v>
      </c>
      <c r="E14" s="458">
        <f>0.1*451.016</f>
        <v>45.101600000000005</v>
      </c>
      <c r="F14" s="458">
        <f>0.1*305.455</f>
        <v>30.545500000000001</v>
      </c>
      <c r="G14" s="459">
        <f t="shared" si="0"/>
        <v>50.350896300000002</v>
      </c>
      <c r="H14" s="455">
        <f t="shared" si="1"/>
        <v>0.89570000000000005</v>
      </c>
      <c r="I14" s="455">
        <f t="shared" si="2"/>
        <v>0.85340000000000005</v>
      </c>
      <c r="J14" s="456">
        <f t="shared" si="3"/>
        <v>-14.556100000000001</v>
      </c>
      <c r="K14" s="455">
        <f t="shared" si="4"/>
        <v>0.76160000000000005</v>
      </c>
      <c r="L14" s="454" t="s">
        <v>131</v>
      </c>
      <c r="M14" s="453"/>
      <c r="N14" s="452" t="s">
        <v>69</v>
      </c>
      <c r="O14" s="451">
        <f t="shared" si="5"/>
        <v>35.794796300000002</v>
      </c>
      <c r="P14" s="450">
        <f>'PP-A13'!K74/10</f>
        <v>50.350896300000002</v>
      </c>
      <c r="Q14" s="449">
        <f t="shared" si="6"/>
        <v>-14.556100000000001</v>
      </c>
      <c r="R14" s="448"/>
    </row>
    <row r="15" spans="1:18">
      <c r="A15" s="453"/>
      <c r="B15" s="460" t="s">
        <v>67</v>
      </c>
      <c r="C15" s="459">
        <f>'AN-A14'!K16/10</f>
        <v>0</v>
      </c>
      <c r="D15" s="459">
        <f>'AN-A14'!K45/10</f>
        <v>0</v>
      </c>
      <c r="E15" s="458">
        <f>0.1*95.93</f>
        <v>9.5930000000000017</v>
      </c>
      <c r="F15" s="458">
        <v>0</v>
      </c>
      <c r="G15" s="459">
        <f t="shared" si="0"/>
        <v>9.5930000000000017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-9.5930000000000017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'AN-A14'!K74/10</f>
        <v>9.593</v>
      </c>
      <c r="Q15" s="449">
        <f t="shared" si="6"/>
        <v>-9.593</v>
      </c>
      <c r="R15" s="448"/>
    </row>
    <row r="16" spans="1:18">
      <c r="A16" s="453"/>
      <c r="B16" s="460" t="s">
        <v>371</v>
      </c>
      <c r="C16" s="459">
        <f>'OTHER(C3)-A15'!K16/10</f>
        <v>42.1</v>
      </c>
      <c r="D16" s="459">
        <f>'OTHER(C3)-A15'!K45/10</f>
        <v>37.89</v>
      </c>
      <c r="E16" s="458">
        <v>0</v>
      </c>
      <c r="F16" s="458">
        <f>0.1*77.6539647135809</f>
        <v>7.7653964713580912</v>
      </c>
      <c r="G16" s="459">
        <f t="shared" si="0"/>
        <v>30.124603528641909</v>
      </c>
      <c r="H16" s="455" t="str">
        <f t="shared" si="1"/>
        <v xml:space="preserve">     0%</v>
      </c>
      <c r="I16" s="455">
        <f t="shared" si="2"/>
        <v>0.2049</v>
      </c>
      <c r="J16" s="456">
        <f t="shared" si="3"/>
        <v>7.7653964713580912</v>
      </c>
      <c r="K16" s="455">
        <f t="shared" si="4"/>
        <v>0.9</v>
      </c>
      <c r="L16" s="454" t="s">
        <v>133</v>
      </c>
      <c r="M16" s="453"/>
      <c r="N16" s="460" t="s">
        <v>371</v>
      </c>
      <c r="O16" s="451">
        <f t="shared" si="5"/>
        <v>37.89</v>
      </c>
      <c r="P16" s="450">
        <f>'OTHER(C3)-A15'!K74/10</f>
        <v>30.124603528641909</v>
      </c>
      <c r="Q16" s="449">
        <f t="shared" si="6"/>
        <v>7.7653964713580912</v>
      </c>
      <c r="R16" s="448"/>
    </row>
    <row r="17" spans="1:18">
      <c r="A17" s="453"/>
      <c r="B17" s="460" t="s">
        <v>374</v>
      </c>
      <c r="C17" s="459">
        <f>C14*1.03+C15*1.09+C16</f>
        <v>90.51</v>
      </c>
      <c r="D17" s="459">
        <f>D14*1.03+D15*1.09+D16</f>
        <v>74.758640189000005</v>
      </c>
      <c r="E17" s="459">
        <f>E14*1.03+E15*1.09</f>
        <v>56.911018000000013</v>
      </c>
      <c r="F17" s="459">
        <f>F14*1.03+F15*1.09</f>
        <v>31.461865000000003</v>
      </c>
      <c r="G17" s="459">
        <f t="shared" si="0"/>
        <v>100.20779318900001</v>
      </c>
      <c r="H17" s="455">
        <f t="shared" si="1"/>
        <v>0.56789999999999996</v>
      </c>
      <c r="I17" s="455">
        <f t="shared" si="2"/>
        <v>0.42080000000000001</v>
      </c>
      <c r="J17" s="456">
        <f t="shared" si="3"/>
        <v>-25.44915300000001</v>
      </c>
      <c r="K17" s="455">
        <f t="shared" si="4"/>
        <v>0.82599999999999996</v>
      </c>
      <c r="L17" s="454"/>
      <c r="M17" s="453"/>
      <c r="N17" s="460" t="s">
        <v>374</v>
      </c>
      <c r="O17" s="451"/>
      <c r="P17" s="450"/>
      <c r="Q17" s="461">
        <f>Q14*1.03+Q15*1.09+Q16</f>
        <v>-17.683756528641911</v>
      </c>
      <c r="R17" s="448"/>
    </row>
    <row r="18" spans="1:18">
      <c r="A18" s="453"/>
      <c r="B18" s="460" t="s">
        <v>375</v>
      </c>
      <c r="C18" s="459">
        <f>'BENZENE-A16'!K16/10</f>
        <v>32</v>
      </c>
      <c r="D18" s="459">
        <f>'BENZENE-A16'!K45/10</f>
        <v>27.423000000000002</v>
      </c>
      <c r="E18" s="458">
        <f>0.1*102.928</f>
        <v>10.2928</v>
      </c>
      <c r="F18" s="458">
        <f>0.1*197.158</f>
        <v>19.715800000000002</v>
      </c>
      <c r="G18" s="459">
        <f t="shared" si="0"/>
        <v>18</v>
      </c>
      <c r="H18" s="455">
        <f t="shared" si="1"/>
        <v>0.57179999999999997</v>
      </c>
      <c r="I18" s="455">
        <f t="shared" si="2"/>
        <v>0.71899999999999997</v>
      </c>
      <c r="J18" s="456">
        <f t="shared" si="3"/>
        <v>9.4230000000000018</v>
      </c>
      <c r="K18" s="455">
        <f t="shared" si="4"/>
        <v>0.85699999999999998</v>
      </c>
      <c r="L18" s="454" t="s">
        <v>132</v>
      </c>
      <c r="M18" s="453"/>
      <c r="N18" s="460" t="s">
        <v>375</v>
      </c>
      <c r="O18" s="451">
        <f t="shared" si="5"/>
        <v>27.423000000000002</v>
      </c>
      <c r="P18" s="450">
        <f>'BENZENE-A16'!K74/10</f>
        <v>18</v>
      </c>
      <c r="Q18" s="449">
        <f t="shared" si="6"/>
        <v>9.4230000000000018</v>
      </c>
      <c r="R18" s="448"/>
    </row>
    <row r="19" spans="1:18">
      <c r="A19" s="453"/>
      <c r="B19" s="460" t="s">
        <v>376</v>
      </c>
      <c r="C19" s="459">
        <f>'TOLUENE-A17'!K16/10</f>
        <v>6</v>
      </c>
      <c r="D19" s="459">
        <f>'TOLUENE-A17'!K45/10</f>
        <v>6</v>
      </c>
      <c r="E19" s="458">
        <f>0.1*40.872</f>
        <v>4.0872000000000002</v>
      </c>
      <c r="F19" s="458">
        <f>0.1*17.166</f>
        <v>1.7166000000000001</v>
      </c>
      <c r="G19" s="459">
        <f t="shared" si="0"/>
        <v>8.3705999999999996</v>
      </c>
      <c r="H19" s="455">
        <f t="shared" si="1"/>
        <v>0.48830000000000001</v>
      </c>
      <c r="I19" s="455">
        <f t="shared" si="2"/>
        <v>0.28610000000000002</v>
      </c>
      <c r="J19" s="456">
        <f t="shared" si="3"/>
        <v>-2.3705999999999996</v>
      </c>
      <c r="K19" s="455">
        <f t="shared" si="4"/>
        <v>1</v>
      </c>
      <c r="L19" s="454" t="s">
        <v>131</v>
      </c>
      <c r="M19" s="453"/>
      <c r="N19" s="460" t="s">
        <v>376</v>
      </c>
      <c r="O19" s="451">
        <f t="shared" si="5"/>
        <v>6</v>
      </c>
      <c r="P19" s="450">
        <f>'TOLUENE-A17'!K74/10</f>
        <v>8.4</v>
      </c>
      <c r="Q19" s="449">
        <f t="shared" si="6"/>
        <v>-2.4000000000000004</v>
      </c>
      <c r="R19" s="448"/>
    </row>
    <row r="20" spans="1:18">
      <c r="A20" s="453"/>
      <c r="B20" s="460" t="s">
        <v>377</v>
      </c>
      <c r="C20" s="459">
        <f>'XYLENES-A18'!K16/10</f>
        <v>4</v>
      </c>
      <c r="D20" s="459">
        <f>'XYLENES-A18'!K45/10</f>
        <v>3.7</v>
      </c>
      <c r="E20" s="458">
        <f>0.1*53</f>
        <v>5.3000000000000007</v>
      </c>
      <c r="F20" s="458">
        <v>0</v>
      </c>
      <c r="G20" s="459">
        <f t="shared" si="0"/>
        <v>9</v>
      </c>
      <c r="H20" s="455">
        <f t="shared" si="1"/>
        <v>0.58889999999999998</v>
      </c>
      <c r="I20" s="455" t="str">
        <f t="shared" si="2"/>
        <v xml:space="preserve">     0%</v>
      </c>
      <c r="J20" s="456">
        <f t="shared" si="3"/>
        <v>-5.3</v>
      </c>
      <c r="K20" s="455">
        <f t="shared" si="4"/>
        <v>0.92500000000000004</v>
      </c>
      <c r="L20" s="454" t="s">
        <v>131</v>
      </c>
      <c r="M20" s="453"/>
      <c r="N20" s="460" t="s">
        <v>377</v>
      </c>
      <c r="O20" s="451">
        <f t="shared" si="5"/>
        <v>3.7</v>
      </c>
      <c r="P20" s="450">
        <f>'XYLENES-A18'!K74/10</f>
        <v>9</v>
      </c>
      <c r="Q20" s="449">
        <f t="shared" si="6"/>
        <v>-5.3</v>
      </c>
      <c r="R20" s="448"/>
    </row>
    <row r="21" spans="1:18">
      <c r="A21" s="453"/>
      <c r="B21" s="460" t="s">
        <v>64</v>
      </c>
      <c r="C21" s="459">
        <f>'PX-A19'!K16/10</f>
        <v>50</v>
      </c>
      <c r="D21" s="459">
        <f>'PX-A19'!K45/10</f>
        <v>48.941800000000001</v>
      </c>
      <c r="E21" s="458">
        <f>0.1*294.659</f>
        <v>29.465900000000001</v>
      </c>
      <c r="F21" s="458">
        <f>0.1*430.317</f>
        <v>43.031700000000001</v>
      </c>
      <c r="G21" s="459">
        <f t="shared" si="0"/>
        <v>35.376000000000005</v>
      </c>
      <c r="H21" s="455">
        <f t="shared" si="1"/>
        <v>0.83289999999999997</v>
      </c>
      <c r="I21" s="455">
        <f t="shared" si="2"/>
        <v>0.87919999999999998</v>
      </c>
      <c r="J21" s="456">
        <f t="shared" si="3"/>
        <v>13.565799999999996</v>
      </c>
      <c r="K21" s="455">
        <f t="shared" si="4"/>
        <v>0.9788</v>
      </c>
      <c r="L21" s="454" t="s">
        <v>130</v>
      </c>
      <c r="M21" s="453"/>
      <c r="N21" s="452" t="s">
        <v>64</v>
      </c>
      <c r="O21" s="451">
        <f t="shared" si="5"/>
        <v>48.941800000000001</v>
      </c>
      <c r="P21" s="450">
        <f>'PX-A19'!K74/10</f>
        <v>35.376000000000005</v>
      </c>
      <c r="Q21" s="449">
        <f t="shared" si="6"/>
        <v>13.565799999999996</v>
      </c>
      <c r="R21" s="448"/>
    </row>
    <row r="22" spans="1:18">
      <c r="A22" s="453"/>
      <c r="B22" s="460" t="s">
        <v>62</v>
      </c>
      <c r="C22" s="459">
        <f>'PTA-A20'!K16/10</f>
        <v>60</v>
      </c>
      <c r="D22" s="459">
        <f>'PTA-A20'!K45/10</f>
        <v>52.8</v>
      </c>
      <c r="E22" s="458">
        <f>0.1*52.043</f>
        <v>5.2042999999999999</v>
      </c>
      <c r="F22" s="458">
        <f>0.1*79.685</f>
        <v>7.9685000000000006</v>
      </c>
      <c r="G22" s="459">
        <f t="shared" si="0"/>
        <v>50.035800000000002</v>
      </c>
      <c r="H22" s="455">
        <f t="shared" si="1"/>
        <v>0.104</v>
      </c>
      <c r="I22" s="455">
        <f t="shared" si="2"/>
        <v>0.15090000000000001</v>
      </c>
      <c r="J22" s="456">
        <f t="shared" si="3"/>
        <v>2.7641999999999953</v>
      </c>
      <c r="K22" s="455">
        <f t="shared" si="4"/>
        <v>0.88</v>
      </c>
      <c r="L22" s="454" t="s">
        <v>129</v>
      </c>
      <c r="M22" s="453"/>
      <c r="N22" s="452" t="s">
        <v>62</v>
      </c>
      <c r="O22" s="451">
        <f t="shared" si="5"/>
        <v>52.8</v>
      </c>
      <c r="P22" s="450">
        <f>'PTA-A20'!K74/10</f>
        <v>50.035800000000002</v>
      </c>
      <c r="Q22" s="449">
        <f t="shared" si="6"/>
        <v>2.7641999999999953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M24" s="453"/>
    </row>
    <row r="25" spans="1:18">
      <c r="M25" s="453"/>
    </row>
    <row r="26" spans="1:18"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2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pageSetUpPr fitToPage="1"/>
  </sheetPr>
  <dimension ref="A1:R26"/>
  <sheetViews>
    <sheetView showGridLines="0" view="pageBreakPreview" zoomScale="60" zoomScaleNormal="100" workbookViewId="0"/>
  </sheetViews>
  <sheetFormatPr defaultRowHeight="13.5"/>
  <cols>
    <col min="1" max="1" width="21.375" customWidth="1"/>
    <col min="2" max="2" width="21.125" customWidth="1"/>
    <col min="3" max="11" width="12.875" customWidth="1"/>
    <col min="12" max="12" width="27.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2" t="s">
        <v>388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'ETHYLENE-A1'!Q16/10</f>
        <v>312</v>
      </c>
      <c r="D5" s="459">
        <f>'ETHYLENE-A1'!Q45/10</f>
        <v>272.28564700000004</v>
      </c>
      <c r="E5" s="458">
        <f>0.1*0</f>
        <v>0</v>
      </c>
      <c r="F5" s="458">
        <f>0.1*300</f>
        <v>30</v>
      </c>
      <c r="G5" s="459">
        <f t="shared" ref="G5:G22" si="0">D5+E5-F5</f>
        <v>242.28564700000004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0.11020000000000001</v>
      </c>
      <c r="J5" s="456">
        <f t="shared" ref="J5:J22" si="3">D5-G5</f>
        <v>30</v>
      </c>
      <c r="K5" s="455">
        <f t="shared" ref="K5:K22" si="4">IF(AND(D5=0,C5=0),"    -",IF(C5=0,"     0%",IF(D5=0,"     -",ROUND(D5/C5,4))))</f>
        <v>0.87270000000000003</v>
      </c>
      <c r="L5" s="454" t="s">
        <v>132</v>
      </c>
      <c r="M5" s="453"/>
      <c r="N5" s="452" t="s">
        <v>79</v>
      </c>
      <c r="O5" s="451">
        <f t="shared" ref="O5:O22" si="5">D5</f>
        <v>272.28564700000004</v>
      </c>
      <c r="P5" s="450">
        <f>('ETHYLENE-A1'!Q74)/10</f>
        <v>242.28564700000001</v>
      </c>
      <c r="Q5" s="449">
        <f>O5-P5</f>
        <v>30.000000000000028</v>
      </c>
      <c r="R5" s="448"/>
    </row>
    <row r="6" spans="1:18">
      <c r="A6" s="453"/>
      <c r="B6" s="460" t="s">
        <v>78</v>
      </c>
      <c r="C6" s="459">
        <f>'LDPE-A2'!Q16/10</f>
        <v>94</v>
      </c>
      <c r="D6" s="459">
        <f>'LDPE-A2'!Q45/10</f>
        <v>84.0959</v>
      </c>
      <c r="E6" s="458">
        <f>0.1*200</f>
        <v>20</v>
      </c>
      <c r="F6" s="458">
        <f>0.1*165.413590977796</f>
        <v>16.541359097779601</v>
      </c>
      <c r="G6" s="459">
        <f t="shared" si="0"/>
        <v>87.554540902220396</v>
      </c>
      <c r="H6" s="455">
        <f t="shared" si="1"/>
        <v>0.22839999999999999</v>
      </c>
      <c r="I6" s="455">
        <f t="shared" si="2"/>
        <v>0.19670000000000001</v>
      </c>
      <c r="J6" s="456">
        <f t="shared" si="3"/>
        <v>-3.4586409022203952</v>
      </c>
      <c r="K6" s="455">
        <f t="shared" si="4"/>
        <v>0.89459999999999995</v>
      </c>
      <c r="L6" s="454" t="s">
        <v>132</v>
      </c>
      <c r="M6" s="453"/>
      <c r="N6" s="452" t="s">
        <v>78</v>
      </c>
      <c r="O6" s="451">
        <f t="shared" si="5"/>
        <v>84.0959</v>
      </c>
      <c r="P6" s="450">
        <f>('LDPE-A2'!Q74)/10</f>
        <v>87.554540902220396</v>
      </c>
      <c r="Q6" s="449">
        <f t="shared" ref="Q6:Q22" si="6">O6-P6</f>
        <v>-3.4586409022203952</v>
      </c>
      <c r="R6" s="448"/>
    </row>
    <row r="7" spans="1:18">
      <c r="A7" s="453"/>
      <c r="B7" s="460" t="s">
        <v>76</v>
      </c>
      <c r="C7" s="459">
        <f>'HDPE-A3'!Q16/10</f>
        <v>88</v>
      </c>
      <c r="D7" s="459">
        <f>'HDPE-A3'!Q45/10</f>
        <v>76.2</v>
      </c>
      <c r="E7" s="458">
        <f>0.1*263.673707687749</f>
        <v>26.367370768774904</v>
      </c>
      <c r="F7" s="458">
        <f>0.1*200</f>
        <v>20</v>
      </c>
      <c r="G7" s="459">
        <f t="shared" si="0"/>
        <v>82.567370768774907</v>
      </c>
      <c r="H7" s="455">
        <f t="shared" si="1"/>
        <v>0.31929999999999997</v>
      </c>
      <c r="I7" s="455">
        <f t="shared" si="2"/>
        <v>0.26250000000000001</v>
      </c>
      <c r="J7" s="456">
        <f t="shared" si="3"/>
        <v>-6.3673707687749044</v>
      </c>
      <c r="K7" s="455">
        <f t="shared" si="4"/>
        <v>0.8659</v>
      </c>
      <c r="L7" s="454" t="s">
        <v>132</v>
      </c>
      <c r="M7" s="453"/>
      <c r="N7" s="452" t="s">
        <v>76</v>
      </c>
      <c r="O7" s="451">
        <f t="shared" si="5"/>
        <v>76.2</v>
      </c>
      <c r="P7" s="450">
        <f>('HDPE-A3'!Q74)/10</f>
        <v>82.567370768774879</v>
      </c>
      <c r="Q7" s="449">
        <f t="shared" si="6"/>
        <v>-6.367370768774876</v>
      </c>
      <c r="R7" s="448"/>
    </row>
    <row r="8" spans="1:18">
      <c r="A8" s="453"/>
      <c r="B8" s="460" t="s">
        <v>75</v>
      </c>
      <c r="C8" s="459">
        <f>'SM-A6'!Q16/10</f>
        <v>24</v>
      </c>
      <c r="D8" s="459">
        <f>'SM-A6'!Q45/10</f>
        <v>22.358499999999999</v>
      </c>
      <c r="E8" s="458">
        <f>0.1*150</f>
        <v>15</v>
      </c>
      <c r="F8" s="458">
        <f>0.1*8.58500000000004</f>
        <v>0.85850000000000404</v>
      </c>
      <c r="G8" s="459">
        <f t="shared" si="0"/>
        <v>36.499999999999993</v>
      </c>
      <c r="H8" s="455">
        <f t="shared" si="1"/>
        <v>0.41099999999999998</v>
      </c>
      <c r="I8" s="455">
        <f t="shared" si="2"/>
        <v>3.8399999999999997E-2</v>
      </c>
      <c r="J8" s="456">
        <f t="shared" si="3"/>
        <v>-14.141499999999994</v>
      </c>
      <c r="K8" s="455">
        <f t="shared" si="4"/>
        <v>0.93159999999999998</v>
      </c>
      <c r="L8" s="454" t="s">
        <v>137</v>
      </c>
      <c r="M8" s="453"/>
      <c r="N8" s="452" t="s">
        <v>75</v>
      </c>
      <c r="O8" s="451">
        <f t="shared" si="5"/>
        <v>22.358499999999999</v>
      </c>
      <c r="P8" s="450">
        <f>('SM-A6'!Q74)/10</f>
        <v>36.5</v>
      </c>
      <c r="Q8" s="449">
        <f t="shared" si="6"/>
        <v>-14.141500000000001</v>
      </c>
      <c r="R8" s="448"/>
    </row>
    <row r="9" spans="1:18">
      <c r="A9" s="453"/>
      <c r="B9" s="460" t="s">
        <v>74</v>
      </c>
      <c r="C9" s="459">
        <f>'EG-A10'!Q16/10</f>
        <v>111.5</v>
      </c>
      <c r="D9" s="459">
        <f>'EG-A10'!Q45/10</f>
        <v>106.67499999999998</v>
      </c>
      <c r="E9" s="458">
        <f>0.1*10</f>
        <v>1</v>
      </c>
      <c r="F9" s="458">
        <f>0.1*831.325</f>
        <v>83.132500000000007</v>
      </c>
      <c r="G9" s="459">
        <f t="shared" si="0"/>
        <v>24.542499999999976</v>
      </c>
      <c r="H9" s="455">
        <f t="shared" si="1"/>
        <v>4.07E-2</v>
      </c>
      <c r="I9" s="455">
        <f t="shared" si="2"/>
        <v>0.77929999999999999</v>
      </c>
      <c r="J9" s="456">
        <f t="shared" si="3"/>
        <v>82.132500000000007</v>
      </c>
      <c r="K9" s="455">
        <f t="shared" si="4"/>
        <v>0.95669999999999999</v>
      </c>
      <c r="L9" s="454" t="s">
        <v>136</v>
      </c>
      <c r="M9" s="453"/>
      <c r="N9" s="452" t="s">
        <v>74</v>
      </c>
      <c r="O9" s="451">
        <f t="shared" si="5"/>
        <v>106.67499999999998</v>
      </c>
      <c r="P9" s="450">
        <f>('EG-A10'!Q74)/10</f>
        <v>24.542499999999997</v>
      </c>
      <c r="Q9" s="449">
        <f t="shared" si="6"/>
        <v>82.132499999999993</v>
      </c>
      <c r="R9" s="448"/>
    </row>
    <row r="10" spans="1:18">
      <c r="A10" s="453"/>
      <c r="B10" s="460" t="s">
        <v>72</v>
      </c>
      <c r="C10" s="459">
        <f>'PVC-A7'!Q16/10</f>
        <v>13</v>
      </c>
      <c r="D10" s="459">
        <f>'PVC-A7'!Q45/10</f>
        <v>7.4683999999999999</v>
      </c>
      <c r="E10" s="458">
        <f>0.1*261.255</f>
        <v>26.125500000000002</v>
      </c>
      <c r="F10" s="458">
        <f>0.1*0.00465877395794223</f>
        <v>4.6587739579422298E-4</v>
      </c>
      <c r="G10" s="459">
        <f t="shared" si="0"/>
        <v>33.593434122604208</v>
      </c>
      <c r="H10" s="455">
        <f t="shared" si="1"/>
        <v>0.77769999999999995</v>
      </c>
      <c r="I10" s="455">
        <f t="shared" si="2"/>
        <v>1E-4</v>
      </c>
      <c r="J10" s="456">
        <f t="shared" si="3"/>
        <v>-26.125034122604209</v>
      </c>
      <c r="K10" s="455">
        <f t="shared" si="4"/>
        <v>0.57450000000000001</v>
      </c>
      <c r="L10" s="454" t="s">
        <v>135</v>
      </c>
      <c r="M10" s="453"/>
      <c r="N10" s="452" t="s">
        <v>72</v>
      </c>
      <c r="O10" s="451">
        <f t="shared" si="5"/>
        <v>7.4683999999999999</v>
      </c>
      <c r="P10" s="450">
        <f>('PVC-A7'!Q74)/10</f>
        <v>33.593434122604201</v>
      </c>
      <c r="Q10" s="449">
        <f t="shared" si="6"/>
        <v>-26.125034122604202</v>
      </c>
      <c r="R10" s="448"/>
    </row>
    <row r="11" spans="1:18">
      <c r="A11" s="453"/>
      <c r="B11" s="460" t="s">
        <v>371</v>
      </c>
      <c r="C11" s="459">
        <f>'OTHER(C2)-A11'!Q16/10</f>
        <v>0</v>
      </c>
      <c r="D11" s="459">
        <f>'OTHER(C2)-A11'!Q45/10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56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('OTHER(C2)-A11'!Q74)/10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270.69000000000005</v>
      </c>
      <c r="D12" s="462">
        <f>D6*0.98+D7*1.04+D8*0.29+D9*0.66+D10*0.5+D11</f>
        <v>242.28564700000001</v>
      </c>
      <c r="E12" s="462">
        <f>E6*0.98+E7*1.04+E8*0.29+E9*0.66+E10*0.5</f>
        <v>65.094815599525901</v>
      </c>
      <c r="F12" s="462">
        <f>F6*0.98+F7*1.04+F8*0.29+F9*0.66+F10*0.5</f>
        <v>92.127179854521913</v>
      </c>
      <c r="G12" s="459">
        <f t="shared" si="0"/>
        <v>215.25328274500401</v>
      </c>
      <c r="H12" s="455">
        <f t="shared" si="1"/>
        <v>0.3024</v>
      </c>
      <c r="I12" s="455">
        <f t="shared" si="2"/>
        <v>0.38019999999999998</v>
      </c>
      <c r="J12" s="456">
        <f t="shared" si="3"/>
        <v>27.032364254995997</v>
      </c>
      <c r="K12" s="455">
        <f t="shared" si="4"/>
        <v>0.89510000000000001</v>
      </c>
      <c r="L12" s="454"/>
      <c r="M12" s="453"/>
      <c r="N12" s="460" t="s">
        <v>372</v>
      </c>
      <c r="O12" s="451"/>
      <c r="P12" s="450">
        <v>0</v>
      </c>
      <c r="Q12" s="461">
        <f>Q6*0.98+Q7*1.04+Q8*0.29+Q9*0.66+Q10*0.5+Q11</f>
        <v>27.03236425499604</v>
      </c>
      <c r="R12" s="448"/>
    </row>
    <row r="13" spans="1:18">
      <c r="A13" s="453"/>
      <c r="B13" s="460" t="s">
        <v>373</v>
      </c>
      <c r="C13" s="459">
        <f>'PROPYLENE-A12'!Q16/10</f>
        <v>224.5</v>
      </c>
      <c r="D13" s="459">
        <f>'PROPYLENE-A12'!Q45/10</f>
        <v>213.64068123638464</v>
      </c>
      <c r="E13" s="458">
        <f>0.1*10</f>
        <v>1</v>
      </c>
      <c r="F13" s="458">
        <f>0.1*237</f>
        <v>23.700000000000003</v>
      </c>
      <c r="G13" s="459">
        <f t="shared" si="0"/>
        <v>190.94068123638465</v>
      </c>
      <c r="H13" s="455">
        <f t="shared" si="1"/>
        <v>5.1999999999999998E-3</v>
      </c>
      <c r="I13" s="455">
        <f t="shared" si="2"/>
        <v>0.1109</v>
      </c>
      <c r="J13" s="456">
        <f t="shared" si="3"/>
        <v>22.699999999999989</v>
      </c>
      <c r="K13" s="455">
        <f t="shared" si="4"/>
        <v>0.9516</v>
      </c>
      <c r="L13" s="454" t="s">
        <v>134</v>
      </c>
      <c r="M13" s="453"/>
      <c r="N13" s="460" t="s">
        <v>373</v>
      </c>
      <c r="O13" s="451">
        <f t="shared" si="5"/>
        <v>213.64068123638464</v>
      </c>
      <c r="P13" s="450">
        <f>('PROPYLENE-A12'!Q74)/10</f>
        <v>190.94068123638462</v>
      </c>
      <c r="Q13" s="449">
        <f t="shared" si="6"/>
        <v>22.700000000000017</v>
      </c>
      <c r="R13" s="448"/>
    </row>
    <row r="14" spans="1:18">
      <c r="A14" s="453"/>
      <c r="B14" s="460" t="s">
        <v>69</v>
      </c>
      <c r="C14" s="459">
        <f>'PP-A13'!Q16/10</f>
        <v>157</v>
      </c>
      <c r="D14" s="459">
        <f>'PP-A13'!Q45/10</f>
        <v>148.59289440425692</v>
      </c>
      <c r="E14" s="458">
        <f>0.1*0.200000000000273</f>
        <v>2.0000000000027301E-2</v>
      </c>
      <c r="F14" s="458">
        <f>0.1*820.2</f>
        <v>82.02000000000001</v>
      </c>
      <c r="G14" s="459">
        <f t="shared" si="0"/>
        <v>66.592894404256953</v>
      </c>
      <c r="H14" s="455">
        <f t="shared" si="1"/>
        <v>2.9999999999999997E-4</v>
      </c>
      <c r="I14" s="455">
        <f t="shared" si="2"/>
        <v>0.55200000000000005</v>
      </c>
      <c r="J14" s="456">
        <f t="shared" si="3"/>
        <v>81.999999999999972</v>
      </c>
      <c r="K14" s="455">
        <f t="shared" si="4"/>
        <v>0.94650000000000001</v>
      </c>
      <c r="L14" s="454" t="s">
        <v>132</v>
      </c>
      <c r="M14" s="453"/>
      <c r="N14" s="452" t="s">
        <v>69</v>
      </c>
      <c r="O14" s="451">
        <f t="shared" si="5"/>
        <v>148.59289440425692</v>
      </c>
      <c r="P14" s="450">
        <f>('PP-A13'!Q74)/10</f>
        <v>66.592894404256924</v>
      </c>
      <c r="Q14" s="449">
        <f t="shared" si="6"/>
        <v>82</v>
      </c>
      <c r="R14" s="448"/>
    </row>
    <row r="15" spans="1:18">
      <c r="A15" s="453"/>
      <c r="B15" s="460" t="s">
        <v>67</v>
      </c>
      <c r="C15" s="459">
        <f>'AN-A14'!Q16/10</f>
        <v>0</v>
      </c>
      <c r="D15" s="459">
        <f>'AN-A14'!Q45/10</f>
        <v>0</v>
      </c>
      <c r="E15" s="458">
        <f>0.1*126.874729739426</f>
        <v>12.687472973942601</v>
      </c>
      <c r="F15" s="458">
        <v>0</v>
      </c>
      <c r="G15" s="459">
        <f t="shared" si="0"/>
        <v>12.687472973942601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-12.687472973942601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('AN-A14'!Q74)/10</f>
        <v>12.687472973942604</v>
      </c>
      <c r="Q15" s="449">
        <f t="shared" si="6"/>
        <v>-12.687472973942604</v>
      </c>
      <c r="R15" s="448"/>
    </row>
    <row r="16" spans="1:18">
      <c r="A16" s="453"/>
      <c r="B16" s="460" t="s">
        <v>371</v>
      </c>
      <c r="C16" s="459">
        <f>'OTHER(C3)-A15'!Q16/10</f>
        <v>42.1</v>
      </c>
      <c r="D16" s="459">
        <f>'OTHER(C3)-A15'!Q45/10</f>
        <v>37.89</v>
      </c>
      <c r="E16" s="458">
        <f>0.1*20</f>
        <v>2</v>
      </c>
      <c r="F16" s="458">
        <v>0</v>
      </c>
      <c r="G16" s="459">
        <f t="shared" si="0"/>
        <v>39.89</v>
      </c>
      <c r="H16" s="455">
        <f t="shared" si="1"/>
        <v>5.0099999999999999E-2</v>
      </c>
      <c r="I16" s="455" t="str">
        <f t="shared" si="2"/>
        <v xml:space="preserve">     0%</v>
      </c>
      <c r="J16" s="456">
        <f t="shared" si="3"/>
        <v>-2</v>
      </c>
      <c r="K16" s="455">
        <f t="shared" si="4"/>
        <v>0.9</v>
      </c>
      <c r="L16" s="454" t="s">
        <v>133</v>
      </c>
      <c r="M16" s="453"/>
      <c r="N16" s="460" t="s">
        <v>371</v>
      </c>
      <c r="O16" s="451">
        <f t="shared" si="5"/>
        <v>37.89</v>
      </c>
      <c r="P16" s="450">
        <f>('OTHER(C3)-A15'!Q74)/10</f>
        <v>39.842082051535513</v>
      </c>
      <c r="Q16" s="449">
        <f t="shared" si="6"/>
        <v>-1.9520820515355126</v>
      </c>
      <c r="R16" s="448"/>
    </row>
    <row r="17" spans="1:18">
      <c r="A17" s="453"/>
      <c r="B17" s="460" t="s">
        <v>374</v>
      </c>
      <c r="C17" s="459">
        <f>C14*1.03+C15*1.09+C16</f>
        <v>203.81</v>
      </c>
      <c r="D17" s="459">
        <f>D14*1.03+D15*1.09+D16</f>
        <v>190.94068123638465</v>
      </c>
      <c r="E17" s="459">
        <f>E14*1.03+E15*1.09</f>
        <v>13.849945541597464</v>
      </c>
      <c r="F17" s="459">
        <f>F14*1.03+F15*1.09</f>
        <v>84.48060000000001</v>
      </c>
      <c r="G17" s="459">
        <f t="shared" si="0"/>
        <v>120.3100267779821</v>
      </c>
      <c r="H17" s="455">
        <f t="shared" si="1"/>
        <v>0.11509999999999999</v>
      </c>
      <c r="I17" s="455">
        <f t="shared" si="2"/>
        <v>0.44240000000000002</v>
      </c>
      <c r="J17" s="456">
        <f t="shared" si="3"/>
        <v>70.630654458402546</v>
      </c>
      <c r="K17" s="455">
        <f t="shared" si="4"/>
        <v>0.93689999999999996</v>
      </c>
      <c r="L17" s="454"/>
      <c r="M17" s="453"/>
      <c r="N17" s="460" t="s">
        <v>374</v>
      </c>
      <c r="O17" s="451"/>
      <c r="P17" s="450">
        <v>0</v>
      </c>
      <c r="Q17" s="461">
        <f>Q14*1.03+Q15*1.09+Q16</f>
        <v>68.678572406867062</v>
      </c>
      <c r="R17" s="448"/>
    </row>
    <row r="18" spans="1:18">
      <c r="A18" s="453"/>
      <c r="B18" s="460" t="s">
        <v>375</v>
      </c>
      <c r="C18" s="459">
        <f>'BENZENE-A16'!Q16/10</f>
        <v>64</v>
      </c>
      <c r="D18" s="459">
        <f>'BENZENE-A16'!Q45/10</f>
        <v>55.479661899999996</v>
      </c>
      <c r="E18" s="458">
        <f>0.1*150</f>
        <v>15</v>
      </c>
      <c r="F18" s="458">
        <f>0.1*524.796619</f>
        <v>52.479661899999996</v>
      </c>
      <c r="G18" s="459">
        <f t="shared" si="0"/>
        <v>18</v>
      </c>
      <c r="H18" s="455">
        <f t="shared" si="1"/>
        <v>0.83330000000000004</v>
      </c>
      <c r="I18" s="455">
        <f t="shared" si="2"/>
        <v>0.94589999999999996</v>
      </c>
      <c r="J18" s="456">
        <f t="shared" si="3"/>
        <v>37.479661899999996</v>
      </c>
      <c r="K18" s="455">
        <f t="shared" si="4"/>
        <v>0.8669</v>
      </c>
      <c r="L18" s="454" t="s">
        <v>132</v>
      </c>
      <c r="M18" s="453"/>
      <c r="N18" s="460" t="s">
        <v>375</v>
      </c>
      <c r="O18" s="451">
        <f t="shared" si="5"/>
        <v>55.479661899999996</v>
      </c>
      <c r="P18" s="450">
        <f>('BENZENE-A16'!Q74)/10</f>
        <v>18</v>
      </c>
      <c r="Q18" s="449">
        <f t="shared" si="6"/>
        <v>37.479661899999996</v>
      </c>
      <c r="R18" s="448"/>
    </row>
    <row r="19" spans="1:18">
      <c r="A19" s="453"/>
      <c r="B19" s="460" t="s">
        <v>376</v>
      </c>
      <c r="C19" s="459">
        <f>'TOLUENE-A17'!Q16/10</f>
        <v>10.5</v>
      </c>
      <c r="D19" s="459">
        <f>'TOLUENE-A17'!Q45/10</f>
        <v>10.5</v>
      </c>
      <c r="E19" s="458">
        <f>0.1*30</f>
        <v>3</v>
      </c>
      <c r="F19" s="458">
        <f>0.1*51</f>
        <v>5.1000000000000005</v>
      </c>
      <c r="G19" s="459">
        <f t="shared" si="0"/>
        <v>8.3999999999999986</v>
      </c>
      <c r="H19" s="455">
        <f t="shared" si="1"/>
        <v>0.35709999999999997</v>
      </c>
      <c r="I19" s="455">
        <f t="shared" si="2"/>
        <v>0.48570000000000002</v>
      </c>
      <c r="J19" s="456">
        <f t="shared" si="3"/>
        <v>2.1000000000000014</v>
      </c>
      <c r="K19" s="455">
        <f t="shared" si="4"/>
        <v>1</v>
      </c>
      <c r="L19" s="454" t="s">
        <v>131</v>
      </c>
      <c r="M19" s="453"/>
      <c r="N19" s="460" t="s">
        <v>376</v>
      </c>
      <c r="O19" s="451">
        <f t="shared" si="5"/>
        <v>10.5</v>
      </c>
      <c r="P19" s="450">
        <f>('TOLUENE-A17'!Q74)/10</f>
        <v>8.4</v>
      </c>
      <c r="Q19" s="449">
        <f t="shared" si="6"/>
        <v>2.0999999999999996</v>
      </c>
      <c r="R19" s="448"/>
    </row>
    <row r="20" spans="1:18">
      <c r="A20" s="453"/>
      <c r="B20" s="460" t="s">
        <v>377</v>
      </c>
      <c r="C20" s="459">
        <f>'XYLENES-A18'!Q16/10</f>
        <v>4</v>
      </c>
      <c r="D20" s="459">
        <f>'XYLENES-A18'!Q45/10</f>
        <v>3.7</v>
      </c>
      <c r="E20" s="458">
        <f>0.1*53</f>
        <v>5.3000000000000007</v>
      </c>
      <c r="F20" s="458">
        <v>0</v>
      </c>
      <c r="G20" s="459">
        <f t="shared" si="0"/>
        <v>9</v>
      </c>
      <c r="H20" s="455">
        <f t="shared" si="1"/>
        <v>0.58889999999999998</v>
      </c>
      <c r="I20" s="455" t="str">
        <f t="shared" si="2"/>
        <v xml:space="preserve">     0%</v>
      </c>
      <c r="J20" s="456">
        <f t="shared" si="3"/>
        <v>-5.3</v>
      </c>
      <c r="K20" s="455">
        <f t="shared" si="4"/>
        <v>0.92500000000000004</v>
      </c>
      <c r="L20" s="454" t="s">
        <v>131</v>
      </c>
      <c r="M20" s="453"/>
      <c r="N20" s="460" t="s">
        <v>377</v>
      </c>
      <c r="O20" s="451">
        <f t="shared" si="5"/>
        <v>3.7</v>
      </c>
      <c r="P20" s="450">
        <f>('XYLENES-A18'!Q74)/10</f>
        <v>9</v>
      </c>
      <c r="Q20" s="449">
        <f t="shared" si="6"/>
        <v>-5.3</v>
      </c>
      <c r="R20" s="448"/>
    </row>
    <row r="21" spans="1:18">
      <c r="A21" s="453"/>
      <c r="B21" s="460" t="s">
        <v>64</v>
      </c>
      <c r="C21" s="459">
        <f>'PX-A19'!Q16/10</f>
        <v>50</v>
      </c>
      <c r="D21" s="459">
        <f>'PX-A19'!Q45/10</f>
        <v>48.941800000000001</v>
      </c>
      <c r="E21" s="458">
        <f>0.1*194.086</f>
        <v>19.408600000000003</v>
      </c>
      <c r="F21" s="458">
        <f>0.1*329.744</f>
        <v>32.974400000000003</v>
      </c>
      <c r="G21" s="459">
        <f t="shared" si="0"/>
        <v>35.376000000000005</v>
      </c>
      <c r="H21" s="455">
        <f t="shared" si="1"/>
        <v>0.54859999999999998</v>
      </c>
      <c r="I21" s="455">
        <f t="shared" si="2"/>
        <v>0.67369999999999997</v>
      </c>
      <c r="J21" s="456">
        <f t="shared" si="3"/>
        <v>13.565799999999996</v>
      </c>
      <c r="K21" s="455">
        <f t="shared" si="4"/>
        <v>0.9788</v>
      </c>
      <c r="L21" s="454" t="s">
        <v>130</v>
      </c>
      <c r="M21" s="453"/>
      <c r="N21" s="452" t="s">
        <v>64</v>
      </c>
      <c r="O21" s="451">
        <f t="shared" si="5"/>
        <v>48.941800000000001</v>
      </c>
      <c r="P21" s="450">
        <f>('PX-A19'!Q74)/10</f>
        <v>35.376000000000005</v>
      </c>
      <c r="Q21" s="449">
        <f t="shared" si="6"/>
        <v>13.565799999999996</v>
      </c>
      <c r="R21" s="448"/>
    </row>
    <row r="22" spans="1:18">
      <c r="A22" s="453"/>
      <c r="B22" s="460" t="s">
        <v>62</v>
      </c>
      <c r="C22" s="459">
        <f>'PTA-A20'!Q16/10</f>
        <v>60</v>
      </c>
      <c r="D22" s="459">
        <f>'PTA-A20'!Q45/10</f>
        <v>52.8</v>
      </c>
      <c r="E22" s="458">
        <v>0</v>
      </c>
      <c r="F22" s="458">
        <f>0.1*27.642</f>
        <v>2.7642000000000002</v>
      </c>
      <c r="G22" s="459">
        <f t="shared" si="0"/>
        <v>50.035799999999995</v>
      </c>
      <c r="H22" s="455" t="str">
        <f t="shared" si="1"/>
        <v xml:space="preserve">     0%</v>
      </c>
      <c r="I22" s="455">
        <f t="shared" si="2"/>
        <v>5.2400000000000002E-2</v>
      </c>
      <c r="J22" s="456">
        <f t="shared" si="3"/>
        <v>2.7642000000000024</v>
      </c>
      <c r="K22" s="455">
        <f t="shared" si="4"/>
        <v>0.88</v>
      </c>
      <c r="L22" s="454" t="s">
        <v>129</v>
      </c>
      <c r="M22" s="453"/>
      <c r="N22" s="452" t="s">
        <v>62</v>
      </c>
      <c r="O22" s="451">
        <f t="shared" si="5"/>
        <v>52.8</v>
      </c>
      <c r="P22" s="450">
        <f>('PTA-A20'!Q74)/10</f>
        <v>50.035800000000002</v>
      </c>
      <c r="Q22" s="449">
        <f t="shared" si="6"/>
        <v>2.7641999999999953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4" spans="1:18">
      <c r="M24" s="453"/>
    </row>
    <row r="25" spans="1:18">
      <c r="M25" s="453"/>
    </row>
    <row r="26" spans="1:18">
      <c r="M26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2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389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'ETHYLENE-A1'!K13/10</f>
        <v>555.5</v>
      </c>
      <c r="D5" s="459">
        <f>'ETHYLENE-A1'!K42/10</f>
        <v>475</v>
      </c>
      <c r="E5" s="458">
        <v>5</v>
      </c>
      <c r="F5" s="458">
        <v>0</v>
      </c>
      <c r="G5" s="459">
        <f t="shared" ref="G5:G22" si="0">D5+E5-F5</f>
        <v>480</v>
      </c>
      <c r="H5" s="455">
        <f t="shared" ref="H5:H22" si="1">IF(AND(E5=0,G5=0),"    -",IF(E5=0,"     0%",IF(G5=0,"     -",ROUND(E5/G5,4))))</f>
        <v>1.04E-2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-5</v>
      </c>
      <c r="K5" s="455">
        <f t="shared" ref="K5:K22" si="4">IF(AND(D5=0,C5=0),"    -",IF(C5=0,"     0%",IF(D5=0,"     -",ROUND(D5/C5,4))))</f>
        <v>0.85509999999999997</v>
      </c>
      <c r="L5" s="454" t="s">
        <v>426</v>
      </c>
      <c r="M5" s="453"/>
      <c r="N5" s="452" t="s">
        <v>79</v>
      </c>
      <c r="O5" s="451">
        <f t="shared" ref="O5:O22" si="5">D5</f>
        <v>475</v>
      </c>
      <c r="P5" s="450">
        <f>('ETHYLENE-A1'!K71)/10</f>
        <v>480</v>
      </c>
      <c r="Q5" s="449">
        <f>O5-P5</f>
        <v>-5</v>
      </c>
      <c r="R5" s="448"/>
    </row>
    <row r="6" spans="1:18">
      <c r="A6" s="453"/>
      <c r="B6" s="460" t="s">
        <v>78</v>
      </c>
      <c r="C6" s="459">
        <f>'LDPE-A2'!K13/10</f>
        <v>212.5</v>
      </c>
      <c r="D6" s="459">
        <f>'LDPE-A2'!K42/10</f>
        <v>140</v>
      </c>
      <c r="E6" s="458">
        <v>110</v>
      </c>
      <c r="F6" s="458">
        <v>0</v>
      </c>
      <c r="G6" s="459">
        <f t="shared" si="0"/>
        <v>250</v>
      </c>
      <c r="H6" s="455">
        <f t="shared" si="1"/>
        <v>0.44</v>
      </c>
      <c r="I6" s="455" t="str">
        <f t="shared" si="2"/>
        <v xml:space="preserve">     0%</v>
      </c>
      <c r="J6" s="456">
        <f t="shared" si="3"/>
        <v>-110</v>
      </c>
      <c r="K6" s="455">
        <f t="shared" si="4"/>
        <v>0.65880000000000005</v>
      </c>
      <c r="L6" s="454" t="s">
        <v>427</v>
      </c>
      <c r="M6" s="453"/>
      <c r="N6" s="452" t="s">
        <v>78</v>
      </c>
      <c r="O6" s="451">
        <f t="shared" si="5"/>
        <v>140</v>
      </c>
      <c r="P6" s="450">
        <f>('LDPE-A2'!K71)/10</f>
        <v>250</v>
      </c>
      <c r="Q6" s="449">
        <f t="shared" ref="Q6:Q22" si="6">O6-P6</f>
        <v>-110</v>
      </c>
      <c r="R6" s="448"/>
    </row>
    <row r="7" spans="1:18">
      <c r="A7" s="453"/>
      <c r="B7" s="460" t="s">
        <v>76</v>
      </c>
      <c r="C7" s="459">
        <f>'HDPE-A3'!K13/10</f>
        <v>287.3</v>
      </c>
      <c r="D7" s="459">
        <f>'HDPE-A3'!K42/10</f>
        <v>175</v>
      </c>
      <c r="E7" s="458">
        <v>60</v>
      </c>
      <c r="F7" s="458">
        <v>15</v>
      </c>
      <c r="G7" s="459">
        <f t="shared" si="0"/>
        <v>220</v>
      </c>
      <c r="H7" s="455">
        <f t="shared" si="1"/>
        <v>0.2727</v>
      </c>
      <c r="I7" s="455">
        <f t="shared" si="2"/>
        <v>8.5699999999999998E-2</v>
      </c>
      <c r="J7" s="456">
        <f t="shared" si="3"/>
        <v>-45</v>
      </c>
      <c r="K7" s="455">
        <f t="shared" si="4"/>
        <v>0.60909999999999997</v>
      </c>
      <c r="L7" s="454" t="s">
        <v>427</v>
      </c>
      <c r="M7" s="453"/>
      <c r="N7" s="452" t="s">
        <v>76</v>
      </c>
      <c r="O7" s="451">
        <f t="shared" si="5"/>
        <v>175</v>
      </c>
      <c r="P7" s="450">
        <f>('HDPE-A3'!K71)/10</f>
        <v>220</v>
      </c>
      <c r="Q7" s="449">
        <f t="shared" si="6"/>
        <v>-45</v>
      </c>
      <c r="R7" s="448"/>
    </row>
    <row r="8" spans="1:18">
      <c r="A8" s="453"/>
      <c r="B8" s="460" t="s">
        <v>75</v>
      </c>
      <c r="C8" s="459">
        <f>'SM-A6'!K13/10</f>
        <v>0</v>
      </c>
      <c r="D8" s="459">
        <f>'SM-A6'!K42/10</f>
        <v>0</v>
      </c>
      <c r="E8" s="458">
        <v>800</v>
      </c>
      <c r="F8" s="458">
        <v>0</v>
      </c>
      <c r="G8" s="459">
        <f t="shared" si="0"/>
        <v>800</v>
      </c>
      <c r="H8" s="455">
        <f t="shared" si="1"/>
        <v>1</v>
      </c>
      <c r="I8" s="455" t="str">
        <f t="shared" si="2"/>
        <v xml:space="preserve">    -</v>
      </c>
      <c r="J8" s="482">
        <f t="shared" si="3"/>
        <v>-800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('SM-A6'!K71)/10</f>
        <v>80</v>
      </c>
      <c r="Q8" s="449">
        <f t="shared" si="6"/>
        <v>-80</v>
      </c>
      <c r="R8" s="448"/>
    </row>
    <row r="9" spans="1:18">
      <c r="A9" s="453"/>
      <c r="B9" s="460" t="s">
        <v>74</v>
      </c>
      <c r="C9" s="459">
        <f>'EG-A10'!K13/10</f>
        <v>252</v>
      </c>
      <c r="D9" s="459">
        <f>'EG-A10'!K42/10</f>
        <v>130</v>
      </c>
      <c r="E9" s="458">
        <v>100</v>
      </c>
      <c r="F9" s="458">
        <v>0</v>
      </c>
      <c r="G9" s="459">
        <f t="shared" si="0"/>
        <v>230</v>
      </c>
      <c r="H9" s="455">
        <f t="shared" si="1"/>
        <v>0.43480000000000002</v>
      </c>
      <c r="I9" s="455" t="str">
        <f t="shared" si="2"/>
        <v xml:space="preserve">     0%</v>
      </c>
      <c r="J9" s="482">
        <f t="shared" si="3"/>
        <v>-100</v>
      </c>
      <c r="K9" s="455">
        <f t="shared" si="4"/>
        <v>0.51590000000000003</v>
      </c>
      <c r="L9" s="454" t="s">
        <v>428</v>
      </c>
      <c r="M9" s="453"/>
      <c r="N9" s="452" t="s">
        <v>74</v>
      </c>
      <c r="O9" s="451">
        <f t="shared" si="5"/>
        <v>130</v>
      </c>
      <c r="P9" s="450">
        <f>('EG-A10'!K71)/10</f>
        <v>230</v>
      </c>
      <c r="Q9" s="449">
        <f t="shared" si="6"/>
        <v>-100</v>
      </c>
      <c r="R9" s="448"/>
    </row>
    <row r="10" spans="1:18">
      <c r="A10" s="453"/>
      <c r="B10" s="460" t="s">
        <v>72</v>
      </c>
      <c r="C10" s="459">
        <f>'PVC-A7'!K13/10</f>
        <v>146</v>
      </c>
      <c r="D10" s="459">
        <f>'PVC-A7'!K42/10</f>
        <v>140</v>
      </c>
      <c r="E10" s="458">
        <v>150</v>
      </c>
      <c r="F10" s="458">
        <v>0</v>
      </c>
      <c r="G10" s="459">
        <f t="shared" si="0"/>
        <v>290</v>
      </c>
      <c r="H10" s="455">
        <f t="shared" si="1"/>
        <v>0.51719999999999999</v>
      </c>
      <c r="I10" s="455" t="str">
        <f t="shared" si="2"/>
        <v xml:space="preserve">     0%</v>
      </c>
      <c r="J10" s="482">
        <f t="shared" si="3"/>
        <v>-150</v>
      </c>
      <c r="K10" s="455">
        <f t="shared" si="4"/>
        <v>0.95889999999999997</v>
      </c>
      <c r="L10" s="454" t="s">
        <v>429</v>
      </c>
      <c r="M10" s="453"/>
      <c r="N10" s="452" t="s">
        <v>72</v>
      </c>
      <c r="O10" s="451">
        <f t="shared" si="5"/>
        <v>140</v>
      </c>
      <c r="P10" s="450">
        <f>('PVC-A7'!K71)/10</f>
        <v>290</v>
      </c>
      <c r="Q10" s="449">
        <f t="shared" si="6"/>
        <v>-150</v>
      </c>
      <c r="R10" s="448"/>
    </row>
    <row r="11" spans="1:18">
      <c r="A11" s="453"/>
      <c r="B11" s="460" t="s">
        <v>371</v>
      </c>
      <c r="C11" s="459">
        <f>'OTHER(C2)-A11'!K13/10</f>
        <v>14</v>
      </c>
      <c r="D11" s="459">
        <f>'OTHER(C2)-A11'!K42/10</f>
        <v>14</v>
      </c>
      <c r="E11" s="458">
        <v>0</v>
      </c>
      <c r="F11" s="458">
        <v>0</v>
      </c>
      <c r="G11" s="459">
        <f t="shared" si="0"/>
        <v>14</v>
      </c>
      <c r="H11" s="455" t="str">
        <f t="shared" si="1"/>
        <v xml:space="preserve">     0%</v>
      </c>
      <c r="I11" s="455" t="str">
        <f t="shared" si="2"/>
        <v xml:space="preserve">     0%</v>
      </c>
      <c r="J11" s="482">
        <f t="shared" si="3"/>
        <v>0</v>
      </c>
      <c r="K11" s="455">
        <f t="shared" si="4"/>
        <v>1</v>
      </c>
      <c r="L11" s="454"/>
      <c r="M11" s="453"/>
      <c r="N11" s="460" t="s">
        <v>371</v>
      </c>
      <c r="O11" s="451">
        <f t="shared" si="5"/>
        <v>14</v>
      </c>
      <c r="P11" s="450">
        <f>('OTHER(C2)-A11'!K71)/10</f>
        <v>14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760.36200000000008</v>
      </c>
      <c r="D12" s="462">
        <f>D6*0.98+D7*1.04+D8*0.29+D9*0.66+D10*0.5+D11</f>
        <v>489</v>
      </c>
      <c r="E12" s="462">
        <f>E6*0.98+E7*1.04+E8*0.29+E9*0.66+E10*0.5</f>
        <v>543.19999999999993</v>
      </c>
      <c r="F12" s="462">
        <f>F6*0.98+F7*1.04+F8*0.29+F9*0.66+F10*0.5</f>
        <v>15.600000000000001</v>
      </c>
      <c r="G12" s="459">
        <f t="shared" si="0"/>
        <v>1016.5999999999998</v>
      </c>
      <c r="H12" s="455">
        <f t="shared" si="1"/>
        <v>0.5343</v>
      </c>
      <c r="I12" s="455">
        <f t="shared" si="2"/>
        <v>3.1899999999999998E-2</v>
      </c>
      <c r="J12" s="482">
        <f t="shared" si="3"/>
        <v>-527.5999999999998</v>
      </c>
      <c r="K12" s="455">
        <f t="shared" si="4"/>
        <v>0.6431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-318.79999999999995</v>
      </c>
      <c r="R12" s="448"/>
    </row>
    <row r="13" spans="1:18">
      <c r="A13" s="453"/>
      <c r="B13" s="460" t="s">
        <v>373</v>
      </c>
      <c r="C13" s="459">
        <f>'PROPYLENE-A12'!K13/10</f>
        <v>472.5</v>
      </c>
      <c r="D13" s="459">
        <f>'PROPYLENE-A12'!K42/10</f>
        <v>460</v>
      </c>
      <c r="E13" s="458">
        <v>1</v>
      </c>
      <c r="F13" s="458">
        <v>1</v>
      </c>
      <c r="G13" s="459">
        <f t="shared" si="0"/>
        <v>460</v>
      </c>
      <c r="H13" s="455">
        <f t="shared" si="1"/>
        <v>2.2000000000000001E-3</v>
      </c>
      <c r="I13" s="455">
        <f t="shared" si="2"/>
        <v>2.2000000000000001E-3</v>
      </c>
      <c r="J13" s="482">
        <f t="shared" si="3"/>
        <v>0</v>
      </c>
      <c r="K13" s="455">
        <f t="shared" si="4"/>
        <v>0.97350000000000003</v>
      </c>
      <c r="L13" s="454" t="s">
        <v>430</v>
      </c>
      <c r="M13" s="453"/>
      <c r="N13" s="460" t="s">
        <v>373</v>
      </c>
      <c r="O13" s="451">
        <f t="shared" si="5"/>
        <v>460</v>
      </c>
      <c r="P13" s="450">
        <f>('PROPYLENE-A12'!K71)/10</f>
        <v>460</v>
      </c>
      <c r="Q13" s="449">
        <f t="shared" si="6"/>
        <v>0</v>
      </c>
      <c r="R13" s="448"/>
    </row>
    <row r="14" spans="1:18">
      <c r="A14" s="453"/>
      <c r="B14" s="460" t="s">
        <v>69</v>
      </c>
      <c r="C14" s="459">
        <f>'PP-A13'!K13/10</f>
        <v>487</v>
      </c>
      <c r="D14" s="459">
        <f>'PP-A13'!K42/10</f>
        <v>440</v>
      </c>
      <c r="E14" s="458">
        <v>60</v>
      </c>
      <c r="F14" s="458">
        <v>70</v>
      </c>
      <c r="G14" s="459">
        <f t="shared" si="0"/>
        <v>430</v>
      </c>
      <c r="H14" s="455">
        <f t="shared" si="1"/>
        <v>0.13950000000000001</v>
      </c>
      <c r="I14" s="455">
        <f t="shared" si="2"/>
        <v>0.15909999999999999</v>
      </c>
      <c r="J14" s="482">
        <f t="shared" si="3"/>
        <v>10</v>
      </c>
      <c r="K14" s="455">
        <f t="shared" si="4"/>
        <v>0.90349999999999997</v>
      </c>
      <c r="L14" s="454" t="s">
        <v>430</v>
      </c>
      <c r="M14" s="453"/>
      <c r="N14" s="452" t="s">
        <v>69</v>
      </c>
      <c r="O14" s="451">
        <f t="shared" si="5"/>
        <v>440</v>
      </c>
      <c r="P14" s="450">
        <f>('PP-A13'!K71)/10</f>
        <v>430</v>
      </c>
      <c r="Q14" s="449">
        <f t="shared" si="6"/>
        <v>10</v>
      </c>
      <c r="R14" s="448"/>
    </row>
    <row r="15" spans="1:18">
      <c r="A15" s="453"/>
      <c r="B15" s="460" t="s">
        <v>67</v>
      </c>
      <c r="C15" s="459">
        <f>'AN-A14'!K13/10</f>
        <v>4</v>
      </c>
      <c r="D15" s="459">
        <f>'AN-A14'!K42/10</f>
        <v>3</v>
      </c>
      <c r="E15" s="458">
        <v>16</v>
      </c>
      <c r="F15" s="458">
        <v>0</v>
      </c>
      <c r="G15" s="459">
        <f t="shared" si="0"/>
        <v>19</v>
      </c>
      <c r="H15" s="455">
        <f t="shared" si="1"/>
        <v>0.84209999999999996</v>
      </c>
      <c r="I15" s="455" t="str">
        <f t="shared" si="2"/>
        <v xml:space="preserve">     0%</v>
      </c>
      <c r="J15" s="482">
        <f t="shared" si="3"/>
        <v>-16</v>
      </c>
      <c r="K15" s="455">
        <f t="shared" si="4"/>
        <v>0.75</v>
      </c>
      <c r="L15" s="454" t="s">
        <v>431</v>
      </c>
      <c r="M15" s="453"/>
      <c r="N15" s="452" t="s">
        <v>67</v>
      </c>
      <c r="O15" s="451">
        <f t="shared" si="5"/>
        <v>3</v>
      </c>
      <c r="P15" s="450">
        <f>('AN-A14'!K71)/10</f>
        <v>19</v>
      </c>
      <c r="Q15" s="449">
        <f t="shared" si="6"/>
        <v>-16</v>
      </c>
      <c r="R15" s="448"/>
    </row>
    <row r="16" spans="1:18">
      <c r="A16" s="453"/>
      <c r="B16" s="460" t="s">
        <v>371</v>
      </c>
      <c r="C16" s="459">
        <f>'OTHER(C3)-A15'!K13/10</f>
        <v>0</v>
      </c>
      <c r="D16" s="459">
        <f>'OTHER(C3)-A15'!K42/10</f>
        <v>0</v>
      </c>
      <c r="E16" s="458">
        <v>0</v>
      </c>
      <c r="F16" s="458">
        <v>0</v>
      </c>
      <c r="G16" s="459">
        <f t="shared" si="0"/>
        <v>0</v>
      </c>
      <c r="H16" s="455" t="str">
        <f t="shared" si="1"/>
        <v xml:space="preserve">    -</v>
      </c>
      <c r="I16" s="455" t="str">
        <f t="shared" si="2"/>
        <v xml:space="preserve">    -</v>
      </c>
      <c r="J16" s="482">
        <f t="shared" si="3"/>
        <v>0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('OTHER(C3)-A15'!K71)/10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505.97</v>
      </c>
      <c r="D17" s="459">
        <f>D14*1.03+D15*1.09+D16</f>
        <v>456.46999999999997</v>
      </c>
      <c r="E17" s="459">
        <f>E14*1.03+E15*1.09</f>
        <v>79.240000000000009</v>
      </c>
      <c r="F17" s="459">
        <f>F14*1.03+F15*1.09</f>
        <v>72.100000000000009</v>
      </c>
      <c r="G17" s="459">
        <f t="shared" si="0"/>
        <v>463.61</v>
      </c>
      <c r="H17" s="455">
        <f t="shared" si="1"/>
        <v>0.1709</v>
      </c>
      <c r="I17" s="455">
        <f t="shared" si="2"/>
        <v>0.158</v>
      </c>
      <c r="J17" s="456">
        <f t="shared" si="3"/>
        <v>-7.1400000000000432</v>
      </c>
      <c r="K17" s="455">
        <f t="shared" si="4"/>
        <v>0.9022</v>
      </c>
      <c r="L17" s="454"/>
      <c r="M17" s="453"/>
      <c r="N17" s="460" t="s">
        <v>374</v>
      </c>
      <c r="O17" s="451"/>
      <c r="P17" s="450"/>
      <c r="Q17" s="461">
        <f>Q14*1.03+Q15*1.09+Q16</f>
        <v>-7.1400000000000006</v>
      </c>
      <c r="R17" s="448"/>
    </row>
    <row r="18" spans="1:18">
      <c r="A18" s="453"/>
      <c r="B18" s="460" t="s">
        <v>375</v>
      </c>
      <c r="C18" s="459">
        <f>'BENZENE-A16'!K13/10</f>
        <v>221.3</v>
      </c>
      <c r="D18" s="459">
        <f>'BENZENE-A16'!K42/10</f>
        <v>140</v>
      </c>
      <c r="E18" s="458">
        <v>0</v>
      </c>
      <c r="F18" s="458">
        <v>0</v>
      </c>
      <c r="G18" s="459">
        <f t="shared" si="0"/>
        <v>140</v>
      </c>
      <c r="H18" s="455" t="str">
        <f t="shared" si="1"/>
        <v xml:space="preserve">     0%</v>
      </c>
      <c r="I18" s="455" t="str">
        <f t="shared" si="2"/>
        <v xml:space="preserve">     0%</v>
      </c>
      <c r="J18" s="456">
        <f t="shared" si="3"/>
        <v>0</v>
      </c>
      <c r="K18" s="455">
        <f t="shared" si="4"/>
        <v>0.63260000000000005</v>
      </c>
      <c r="L18" s="454"/>
      <c r="M18" s="453"/>
      <c r="N18" s="460" t="s">
        <v>375</v>
      </c>
      <c r="O18" s="451">
        <f t="shared" si="5"/>
        <v>140</v>
      </c>
      <c r="P18" s="450">
        <f>('BENZENE-A16'!K71)/10</f>
        <v>140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'TOLUENE-A17'!K13/10</f>
        <v>27</v>
      </c>
      <c r="D19" s="459">
        <f>'TOLUENE-A17'!K42/10</f>
        <v>14</v>
      </c>
      <c r="E19" s="458">
        <v>34</v>
      </c>
      <c r="F19" s="458">
        <v>0</v>
      </c>
      <c r="G19" s="459">
        <f t="shared" si="0"/>
        <v>48</v>
      </c>
      <c r="H19" s="455">
        <f t="shared" si="1"/>
        <v>0.70830000000000004</v>
      </c>
      <c r="I19" s="455" t="str">
        <f t="shared" si="2"/>
        <v xml:space="preserve">     0%</v>
      </c>
      <c r="J19" s="456">
        <f t="shared" si="3"/>
        <v>-34</v>
      </c>
      <c r="K19" s="455">
        <f t="shared" si="4"/>
        <v>0.51849999999999996</v>
      </c>
      <c r="L19" s="454"/>
      <c r="M19" s="453"/>
      <c r="N19" s="460" t="s">
        <v>376</v>
      </c>
      <c r="O19" s="451">
        <f t="shared" si="5"/>
        <v>14</v>
      </c>
      <c r="P19" s="450">
        <f>('TOLUENE-A17'!K71)/10</f>
        <v>48</v>
      </c>
      <c r="Q19" s="449">
        <f t="shared" si="6"/>
        <v>-34</v>
      </c>
      <c r="R19" s="448"/>
    </row>
    <row r="20" spans="1:18">
      <c r="A20" s="453"/>
      <c r="B20" s="460" t="s">
        <v>377</v>
      </c>
      <c r="C20" s="459">
        <f>'XYLENES-A18'!K13/10</f>
        <v>77</v>
      </c>
      <c r="D20" s="459">
        <f>'XYLENES-A18'!K42/10</f>
        <v>50</v>
      </c>
      <c r="E20" s="458">
        <v>2</v>
      </c>
      <c r="F20" s="458">
        <v>0</v>
      </c>
      <c r="G20" s="459">
        <f t="shared" si="0"/>
        <v>52</v>
      </c>
      <c r="H20" s="455">
        <f t="shared" si="1"/>
        <v>3.85E-2</v>
      </c>
      <c r="I20" s="455" t="str">
        <f t="shared" si="2"/>
        <v xml:space="preserve">     0%</v>
      </c>
      <c r="J20" s="456">
        <f t="shared" si="3"/>
        <v>-2</v>
      </c>
      <c r="K20" s="455">
        <f t="shared" si="4"/>
        <v>0.64939999999999998</v>
      </c>
      <c r="L20" s="454"/>
      <c r="M20" s="453"/>
      <c r="N20" s="460" t="s">
        <v>377</v>
      </c>
      <c r="O20" s="451">
        <f t="shared" si="5"/>
        <v>50</v>
      </c>
      <c r="P20" s="450">
        <f>('XYLENES-A18'!K71)/10</f>
        <v>52</v>
      </c>
      <c r="Q20" s="449">
        <f t="shared" si="6"/>
        <v>-2</v>
      </c>
      <c r="R20" s="448"/>
    </row>
    <row r="21" spans="1:18">
      <c r="A21" s="453"/>
      <c r="B21" s="460" t="s">
        <v>64</v>
      </c>
      <c r="C21" s="459">
        <f>'PX-A19'!K13/10</f>
        <v>366.5</v>
      </c>
      <c r="D21" s="459">
        <f>'PX-A19'!K42/10</f>
        <v>220</v>
      </c>
      <c r="E21" s="458">
        <v>150</v>
      </c>
      <c r="F21" s="458">
        <v>20</v>
      </c>
      <c r="G21" s="459">
        <f t="shared" si="0"/>
        <v>350</v>
      </c>
      <c r="H21" s="455">
        <f t="shared" si="1"/>
        <v>0.42859999999999998</v>
      </c>
      <c r="I21" s="455">
        <f t="shared" si="2"/>
        <v>9.0899999999999995E-2</v>
      </c>
      <c r="J21" s="456">
        <f t="shared" si="3"/>
        <v>-130</v>
      </c>
      <c r="K21" s="455">
        <f t="shared" si="4"/>
        <v>0.60029999999999994</v>
      </c>
      <c r="L21" s="454"/>
      <c r="M21" s="453"/>
      <c r="N21" s="452" t="s">
        <v>64</v>
      </c>
      <c r="O21" s="451">
        <f t="shared" si="5"/>
        <v>220</v>
      </c>
      <c r="P21" s="450">
        <f>('PX-A19'!K71)/10</f>
        <v>350</v>
      </c>
      <c r="Q21" s="449">
        <f t="shared" si="6"/>
        <v>-130</v>
      </c>
      <c r="R21" s="448"/>
    </row>
    <row r="22" spans="1:18">
      <c r="A22" s="453"/>
      <c r="B22" s="460" t="s">
        <v>62</v>
      </c>
      <c r="C22" s="459">
        <f>'PTA-A20'!K13/10</f>
        <v>616.79999999999995</v>
      </c>
      <c r="D22" s="459">
        <f>'PTA-A20'!K42/10</f>
        <v>440</v>
      </c>
      <c r="E22" s="458">
        <v>20</v>
      </c>
      <c r="F22" s="458">
        <v>40</v>
      </c>
      <c r="G22" s="459">
        <f t="shared" si="0"/>
        <v>420</v>
      </c>
      <c r="H22" s="455">
        <f t="shared" si="1"/>
        <v>4.7600000000000003E-2</v>
      </c>
      <c r="I22" s="455">
        <f t="shared" si="2"/>
        <v>9.0899999999999995E-2</v>
      </c>
      <c r="J22" s="456">
        <f t="shared" si="3"/>
        <v>20</v>
      </c>
      <c r="K22" s="455">
        <f t="shared" si="4"/>
        <v>0.71340000000000003</v>
      </c>
      <c r="L22" s="454"/>
      <c r="M22" s="453"/>
      <c r="N22" s="452" t="s">
        <v>62</v>
      </c>
      <c r="O22" s="451">
        <f t="shared" si="5"/>
        <v>440</v>
      </c>
      <c r="P22" s="450">
        <f>('PTA-A20'!K71)/10</f>
        <v>420</v>
      </c>
      <c r="Q22" s="449">
        <f t="shared" si="6"/>
        <v>20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390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8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'ETHYLENE-A1'!Q13/10</f>
        <v>835.5</v>
      </c>
      <c r="D5" s="459">
        <f>'ETHYLENE-A1'!Q42/10</f>
        <v>750</v>
      </c>
      <c r="E5" s="458">
        <v>20</v>
      </c>
      <c r="F5" s="458">
        <v>0</v>
      </c>
      <c r="G5" s="459">
        <f t="shared" ref="G5:G22" si="0">D5+E5-F5</f>
        <v>770</v>
      </c>
      <c r="H5" s="455">
        <f>IF(AND(E5=0,G5=0),"    -",IF(E5=0,"     0%",IF(G5=0,"     -",ROUND(E5/G5,4))))</f>
        <v>2.5999999999999999E-2</v>
      </c>
      <c r="I5" s="455" t="str">
        <f>IF(AND(D5=0,F5=0),"    -",IF(F5=0,"     0%",IF(D5=0,"     -",ROUND(F5/D5,4))))</f>
        <v xml:space="preserve">     0%</v>
      </c>
      <c r="J5" s="456">
        <f t="shared" ref="J5:J22" si="1">D5-G5</f>
        <v>-20</v>
      </c>
      <c r="K5" s="455">
        <f t="shared" ref="K5:K22" si="2">IF(AND(D5=0,C5=0),"    -",IF(C5=0,"     0%",IF(D5=0,"     -",ROUND(D5/C5,4))))</f>
        <v>0.89770000000000005</v>
      </c>
      <c r="L5" s="454" t="s">
        <v>432</v>
      </c>
      <c r="M5" s="453"/>
      <c r="N5" s="452" t="s">
        <v>79</v>
      </c>
      <c r="O5" s="451">
        <f t="shared" ref="O5:O22" si="3">D5</f>
        <v>750</v>
      </c>
      <c r="P5" s="450">
        <f>('ETHYLENE-A1'!Q71)/10</f>
        <v>770</v>
      </c>
      <c r="Q5" s="449">
        <f>O5-P5</f>
        <v>-20</v>
      </c>
      <c r="R5" s="448"/>
    </row>
    <row r="6" spans="1:18">
      <c r="A6" s="453"/>
      <c r="B6" s="460" t="s">
        <v>78</v>
      </c>
      <c r="C6" s="459">
        <f>'LDPE-A2'!Q13/10</f>
        <v>212.5</v>
      </c>
      <c r="D6" s="459">
        <f>'LDPE-A2'!Q42/10</f>
        <v>200</v>
      </c>
      <c r="E6" s="458">
        <v>70</v>
      </c>
      <c r="F6" s="458">
        <v>0</v>
      </c>
      <c r="G6" s="459">
        <f t="shared" si="0"/>
        <v>270</v>
      </c>
      <c r="H6" s="455">
        <f t="shared" ref="H6:H22" si="4">IF(AND(E6=0,G6=0),"    -",IF(E6=0,"     0%",IF(G6=0,"     -",ROUND(E6/G6,4))))</f>
        <v>0.25929999999999997</v>
      </c>
      <c r="I6" s="455" t="str">
        <f t="shared" ref="I6:I22" si="5">IF(AND(D6=0,F6=0),"    -",IF(F6=0,"     0%",IF(D6=0,"     -",ROUND(F6/D6,4))))</f>
        <v xml:space="preserve">     0%</v>
      </c>
      <c r="J6" s="456">
        <f t="shared" si="1"/>
        <v>-70</v>
      </c>
      <c r="K6" s="455">
        <f t="shared" si="2"/>
        <v>0.94120000000000004</v>
      </c>
      <c r="L6" s="454" t="s">
        <v>432</v>
      </c>
      <c r="M6" s="453"/>
      <c r="N6" s="452" t="s">
        <v>78</v>
      </c>
      <c r="O6" s="451">
        <f t="shared" si="3"/>
        <v>200</v>
      </c>
      <c r="P6" s="450">
        <f>('LDPE-A2'!Q71)/10</f>
        <v>270</v>
      </c>
      <c r="Q6" s="449">
        <f t="shared" ref="Q6:Q22" si="6">O6-P6</f>
        <v>-70</v>
      </c>
      <c r="R6" s="448"/>
    </row>
    <row r="7" spans="1:18">
      <c r="A7" s="453"/>
      <c r="B7" s="460" t="s">
        <v>76</v>
      </c>
      <c r="C7" s="459">
        <f>'HDPE-A3'!Q13/10</f>
        <v>287.3</v>
      </c>
      <c r="D7" s="459">
        <f>'HDPE-A3'!Q42/10</f>
        <v>240</v>
      </c>
      <c r="E7" s="458">
        <v>40</v>
      </c>
      <c r="F7" s="458">
        <v>10</v>
      </c>
      <c r="G7" s="459">
        <f t="shared" si="0"/>
        <v>270</v>
      </c>
      <c r="H7" s="455">
        <f t="shared" si="4"/>
        <v>0.14810000000000001</v>
      </c>
      <c r="I7" s="455">
        <f t="shared" si="5"/>
        <v>4.1700000000000001E-2</v>
      </c>
      <c r="J7" s="456">
        <f t="shared" si="1"/>
        <v>-30</v>
      </c>
      <c r="K7" s="455">
        <f t="shared" si="2"/>
        <v>0.83540000000000003</v>
      </c>
      <c r="L7" s="454"/>
      <c r="M7" s="453"/>
      <c r="N7" s="452" t="s">
        <v>76</v>
      </c>
      <c r="O7" s="451">
        <f t="shared" si="3"/>
        <v>240</v>
      </c>
      <c r="P7" s="450">
        <f>('HDPE-A3'!Q71)/10</f>
        <v>270</v>
      </c>
      <c r="Q7" s="449">
        <f t="shared" si="6"/>
        <v>-30</v>
      </c>
      <c r="R7" s="448"/>
    </row>
    <row r="8" spans="1:18">
      <c r="A8" s="453"/>
      <c r="B8" s="460" t="s">
        <v>75</v>
      </c>
      <c r="C8" s="459">
        <f>'SM-A6'!Q13/10</f>
        <v>0</v>
      </c>
      <c r="D8" s="459">
        <f>'SM-A6'!Q42/10</f>
        <v>0</v>
      </c>
      <c r="E8" s="458">
        <v>1000</v>
      </c>
      <c r="F8" s="458">
        <v>0</v>
      </c>
      <c r="G8" s="459">
        <f t="shared" si="0"/>
        <v>1000</v>
      </c>
      <c r="H8" s="455">
        <f t="shared" si="4"/>
        <v>1</v>
      </c>
      <c r="I8" s="455" t="str">
        <f t="shared" si="5"/>
        <v xml:space="preserve">    -</v>
      </c>
      <c r="J8" s="456">
        <f t="shared" si="1"/>
        <v>-1000</v>
      </c>
      <c r="K8" s="455" t="str">
        <f t="shared" si="2"/>
        <v xml:space="preserve">    -</v>
      </c>
      <c r="L8" s="454"/>
      <c r="M8" s="453"/>
      <c r="N8" s="452" t="s">
        <v>75</v>
      </c>
      <c r="O8" s="451">
        <f t="shared" si="3"/>
        <v>0</v>
      </c>
      <c r="P8" s="450">
        <f>('SM-A6'!Q71)/10</f>
        <v>100</v>
      </c>
      <c r="Q8" s="449">
        <f t="shared" si="6"/>
        <v>-100</v>
      </c>
      <c r="R8" s="448"/>
    </row>
    <row r="9" spans="1:18">
      <c r="A9" s="453"/>
      <c r="B9" s="460" t="s">
        <v>74</v>
      </c>
      <c r="C9" s="459">
        <f>'EG-A10'!Q13/10</f>
        <v>252</v>
      </c>
      <c r="D9" s="459">
        <f>'EG-A10'!Q42/10</f>
        <v>230</v>
      </c>
      <c r="E9" s="458">
        <v>100</v>
      </c>
      <c r="F9" s="458">
        <v>0</v>
      </c>
      <c r="G9" s="459">
        <f t="shared" si="0"/>
        <v>330</v>
      </c>
      <c r="H9" s="455">
        <f t="shared" si="4"/>
        <v>0.30299999999999999</v>
      </c>
      <c r="I9" s="455" t="str">
        <f t="shared" si="5"/>
        <v xml:space="preserve">     0%</v>
      </c>
      <c r="J9" s="456">
        <f t="shared" si="1"/>
        <v>-100</v>
      </c>
      <c r="K9" s="455">
        <f t="shared" si="2"/>
        <v>0.91269999999999996</v>
      </c>
      <c r="L9" s="454" t="s">
        <v>432</v>
      </c>
      <c r="M9" s="453"/>
      <c r="N9" s="452" t="s">
        <v>74</v>
      </c>
      <c r="O9" s="451">
        <f t="shared" si="3"/>
        <v>230</v>
      </c>
      <c r="P9" s="450">
        <f>('EG-A10'!Q71)/10</f>
        <v>330</v>
      </c>
      <c r="Q9" s="449">
        <f t="shared" si="6"/>
        <v>-100</v>
      </c>
      <c r="R9" s="448"/>
    </row>
    <row r="10" spans="1:18">
      <c r="A10" s="453"/>
      <c r="B10" s="460" t="s">
        <v>72</v>
      </c>
      <c r="C10" s="459">
        <f>'PVC-A7'!Q13/10</f>
        <v>146</v>
      </c>
      <c r="D10" s="459">
        <f>'PVC-A7'!Q42/10</f>
        <v>140</v>
      </c>
      <c r="E10" s="458">
        <v>240</v>
      </c>
      <c r="F10" s="458">
        <v>0</v>
      </c>
      <c r="G10" s="459">
        <f t="shared" si="0"/>
        <v>380</v>
      </c>
      <c r="H10" s="455">
        <f t="shared" si="4"/>
        <v>0.63160000000000005</v>
      </c>
      <c r="I10" s="455" t="str">
        <f t="shared" si="5"/>
        <v xml:space="preserve">     0%</v>
      </c>
      <c r="J10" s="456">
        <f t="shared" si="1"/>
        <v>-240</v>
      </c>
      <c r="K10" s="455">
        <f t="shared" si="2"/>
        <v>0.95889999999999997</v>
      </c>
      <c r="L10" s="454" t="s">
        <v>429</v>
      </c>
      <c r="M10" s="453"/>
      <c r="N10" s="452" t="s">
        <v>72</v>
      </c>
      <c r="O10" s="451">
        <f t="shared" si="3"/>
        <v>140</v>
      </c>
      <c r="P10" s="450">
        <f>('PVC-A7'!Q71)/10</f>
        <v>380</v>
      </c>
      <c r="Q10" s="449">
        <f t="shared" si="6"/>
        <v>-240</v>
      </c>
      <c r="R10" s="448"/>
    </row>
    <row r="11" spans="1:18">
      <c r="A11" s="453"/>
      <c r="B11" s="460" t="s">
        <v>371</v>
      </c>
      <c r="C11" s="459">
        <f>'OTHER(C2)-A11'!Q13/10</f>
        <v>14</v>
      </c>
      <c r="D11" s="459">
        <f>'OTHER(C2)-A11'!Q42/10</f>
        <v>14</v>
      </c>
      <c r="E11" s="458">
        <v>0</v>
      </c>
      <c r="F11" s="458">
        <v>0</v>
      </c>
      <c r="G11" s="459">
        <f t="shared" si="0"/>
        <v>14</v>
      </c>
      <c r="H11" s="455" t="str">
        <f t="shared" si="4"/>
        <v xml:space="preserve">     0%</v>
      </c>
      <c r="I11" s="455" t="str">
        <f t="shared" si="5"/>
        <v xml:space="preserve">     0%</v>
      </c>
      <c r="J11" s="456">
        <f t="shared" si="1"/>
        <v>0</v>
      </c>
      <c r="K11" s="455">
        <f t="shared" si="2"/>
        <v>1</v>
      </c>
      <c r="L11" s="454"/>
      <c r="M11" s="453"/>
      <c r="N11" s="460" t="s">
        <v>371</v>
      </c>
      <c r="O11" s="451">
        <f t="shared" si="3"/>
        <v>14</v>
      </c>
      <c r="P11" s="450">
        <f>('OTHER(C2)-A11'!Q71)/10</f>
        <v>14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760.36200000000008</v>
      </c>
      <c r="D12" s="462">
        <f>D6*0.98+D7*1.04+D8*0.29+D9*0.66+D10*0.5+D11</f>
        <v>681.40000000000009</v>
      </c>
      <c r="E12" s="462">
        <f>E6*0.98+E7*1.04+E8*0.29+E9*0.66+E10*0.5</f>
        <v>586.20000000000005</v>
      </c>
      <c r="F12" s="462">
        <f>F6*0.98+F7*1.04+F8*0.29+F9*0.66+F10*0.5</f>
        <v>10.4</v>
      </c>
      <c r="G12" s="459">
        <f t="shared" si="0"/>
        <v>1257.2</v>
      </c>
      <c r="H12" s="455">
        <f t="shared" si="4"/>
        <v>0.46629999999999999</v>
      </c>
      <c r="I12" s="455">
        <f t="shared" si="5"/>
        <v>1.5299999999999999E-2</v>
      </c>
      <c r="J12" s="456">
        <f t="shared" si="1"/>
        <v>-575.79999999999995</v>
      </c>
      <c r="K12" s="455">
        <f t="shared" si="2"/>
        <v>0.8962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-314.79999999999995</v>
      </c>
      <c r="R12" s="448"/>
    </row>
    <row r="13" spans="1:18">
      <c r="A13" s="453"/>
      <c r="B13" s="460" t="s">
        <v>373</v>
      </c>
      <c r="C13" s="459">
        <f>'PROPYLENE-A12'!Q13/10</f>
        <v>610.5</v>
      </c>
      <c r="D13" s="459">
        <f>'PROPYLENE-A12'!Q42/10</f>
        <v>600</v>
      </c>
      <c r="E13" s="458">
        <v>0</v>
      </c>
      <c r="F13" s="458">
        <v>20</v>
      </c>
      <c r="G13" s="459">
        <f t="shared" si="0"/>
        <v>580</v>
      </c>
      <c r="H13" s="455" t="str">
        <f t="shared" si="4"/>
        <v xml:space="preserve">     0%</v>
      </c>
      <c r="I13" s="455">
        <f t="shared" si="5"/>
        <v>3.3300000000000003E-2</v>
      </c>
      <c r="J13" s="456">
        <f t="shared" si="1"/>
        <v>20</v>
      </c>
      <c r="K13" s="455">
        <f t="shared" si="2"/>
        <v>0.98280000000000001</v>
      </c>
      <c r="L13" s="454" t="s">
        <v>430</v>
      </c>
      <c r="M13" s="453"/>
      <c r="N13" s="460" t="s">
        <v>373</v>
      </c>
      <c r="O13" s="451">
        <f t="shared" si="3"/>
        <v>600</v>
      </c>
      <c r="P13" s="450">
        <f>('PROPYLENE-A12'!Q71)/10</f>
        <v>580</v>
      </c>
      <c r="Q13" s="449">
        <f t="shared" si="6"/>
        <v>20</v>
      </c>
      <c r="R13" s="448"/>
    </row>
    <row r="14" spans="1:18">
      <c r="A14" s="453"/>
      <c r="B14" s="460" t="s">
        <v>69</v>
      </c>
      <c r="C14" s="459">
        <f>'PP-A13'!Q13/10</f>
        <v>580</v>
      </c>
      <c r="D14" s="459">
        <f>'PP-A13'!Q42/10</f>
        <v>580</v>
      </c>
      <c r="E14" s="458">
        <v>10</v>
      </c>
      <c r="F14" s="458">
        <v>70</v>
      </c>
      <c r="G14" s="459">
        <f t="shared" si="0"/>
        <v>520</v>
      </c>
      <c r="H14" s="455">
        <f t="shared" si="4"/>
        <v>1.9199999999999998E-2</v>
      </c>
      <c r="I14" s="455">
        <f t="shared" si="5"/>
        <v>0.1207</v>
      </c>
      <c r="J14" s="456">
        <f t="shared" si="1"/>
        <v>60</v>
      </c>
      <c r="K14" s="455">
        <f t="shared" si="2"/>
        <v>1</v>
      </c>
      <c r="L14" s="454" t="s">
        <v>430</v>
      </c>
      <c r="M14" s="453"/>
      <c r="N14" s="452" t="s">
        <v>69</v>
      </c>
      <c r="O14" s="451">
        <f t="shared" si="3"/>
        <v>580</v>
      </c>
      <c r="P14" s="450">
        <f>('PP-A13'!Q71)/10</f>
        <v>520</v>
      </c>
      <c r="Q14" s="449">
        <f t="shared" si="6"/>
        <v>60</v>
      </c>
      <c r="R14" s="448"/>
    </row>
    <row r="15" spans="1:18">
      <c r="A15" s="453"/>
      <c r="B15" s="460" t="s">
        <v>67</v>
      </c>
      <c r="C15" s="459">
        <f>'AN-A14'!Q13/10</f>
        <v>4</v>
      </c>
      <c r="D15" s="459">
        <f>'AN-A14'!Q42/10</f>
        <v>3.8</v>
      </c>
      <c r="E15" s="458">
        <v>16</v>
      </c>
      <c r="F15" s="458">
        <v>0</v>
      </c>
      <c r="G15" s="459">
        <f t="shared" si="0"/>
        <v>19.8</v>
      </c>
      <c r="H15" s="455">
        <f t="shared" si="4"/>
        <v>0.80810000000000004</v>
      </c>
      <c r="I15" s="455" t="str">
        <f t="shared" si="5"/>
        <v xml:space="preserve">     0%</v>
      </c>
      <c r="J15" s="456">
        <f t="shared" si="1"/>
        <v>-16</v>
      </c>
      <c r="K15" s="455">
        <f t="shared" si="2"/>
        <v>0.95</v>
      </c>
      <c r="L15" s="454" t="s">
        <v>431</v>
      </c>
      <c r="M15" s="453"/>
      <c r="N15" s="452" t="s">
        <v>67</v>
      </c>
      <c r="O15" s="451">
        <f t="shared" si="3"/>
        <v>3.8</v>
      </c>
      <c r="P15" s="450">
        <f>('AN-A14'!Q71)/10</f>
        <v>19.5</v>
      </c>
      <c r="Q15" s="449">
        <f t="shared" si="6"/>
        <v>-15.7</v>
      </c>
      <c r="R15" s="448"/>
    </row>
    <row r="16" spans="1:18">
      <c r="A16" s="453"/>
      <c r="B16" s="460" t="s">
        <v>371</v>
      </c>
      <c r="C16" s="459">
        <f>'OTHER(C3)-A15'!Q13/10</f>
        <v>0</v>
      </c>
      <c r="D16" s="459">
        <f>'OTHER(C3)-A15'!Q42/10</f>
        <v>0</v>
      </c>
      <c r="E16" s="458">
        <v>0</v>
      </c>
      <c r="F16" s="458">
        <v>0</v>
      </c>
      <c r="G16" s="459">
        <f t="shared" si="0"/>
        <v>0</v>
      </c>
      <c r="H16" s="455" t="str">
        <f t="shared" si="4"/>
        <v xml:space="preserve">    -</v>
      </c>
      <c r="I16" s="455" t="str">
        <f t="shared" si="5"/>
        <v xml:space="preserve">    -</v>
      </c>
      <c r="J16" s="482">
        <f t="shared" si="1"/>
        <v>0</v>
      </c>
      <c r="K16" s="455" t="str">
        <f t="shared" si="2"/>
        <v xml:space="preserve">    -</v>
      </c>
      <c r="L16" s="454"/>
      <c r="M16" s="453"/>
      <c r="N16" s="460" t="s">
        <v>371</v>
      </c>
      <c r="O16" s="451">
        <f t="shared" si="3"/>
        <v>0</v>
      </c>
      <c r="P16" s="450">
        <f>('OTHER(C3)-A15'!Q71)/10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601.76</v>
      </c>
      <c r="D17" s="459">
        <f>D14*1.03+D15*1.09+D16</f>
        <v>601.54200000000003</v>
      </c>
      <c r="E17" s="459">
        <f>E14*1.03+E15*1.09</f>
        <v>27.740000000000002</v>
      </c>
      <c r="F17" s="459">
        <f>F14*1.03+F15*1.09</f>
        <v>72.100000000000009</v>
      </c>
      <c r="G17" s="459">
        <f t="shared" si="0"/>
        <v>557.18200000000002</v>
      </c>
      <c r="H17" s="455">
        <f t="shared" si="4"/>
        <v>4.9799999999999997E-2</v>
      </c>
      <c r="I17" s="455">
        <f t="shared" si="5"/>
        <v>0.11990000000000001</v>
      </c>
      <c r="J17" s="456">
        <f t="shared" si="1"/>
        <v>44.360000000000014</v>
      </c>
      <c r="K17" s="455">
        <f t="shared" si="2"/>
        <v>0.99960000000000004</v>
      </c>
      <c r="L17" s="454"/>
      <c r="M17" s="453"/>
      <c r="N17" s="460" t="s">
        <v>374</v>
      </c>
      <c r="O17" s="451"/>
      <c r="P17" s="450"/>
      <c r="Q17" s="461">
        <f>Q14*1.03+Q15*1.09+Q16</f>
        <v>44.687000000000005</v>
      </c>
      <c r="R17" s="448"/>
    </row>
    <row r="18" spans="1:18">
      <c r="A18" s="453"/>
      <c r="B18" s="460" t="s">
        <v>375</v>
      </c>
      <c r="C18" s="459">
        <f>'BENZENE-A16'!Q13/10</f>
        <v>309.3</v>
      </c>
      <c r="D18" s="459">
        <f>'BENZENE-A16'!Q42/10</f>
        <v>280</v>
      </c>
      <c r="E18" s="458">
        <v>0</v>
      </c>
      <c r="F18" s="458">
        <v>30</v>
      </c>
      <c r="G18" s="459">
        <f t="shared" si="0"/>
        <v>250</v>
      </c>
      <c r="H18" s="455" t="str">
        <f t="shared" si="4"/>
        <v xml:space="preserve">     0%</v>
      </c>
      <c r="I18" s="455">
        <f t="shared" si="5"/>
        <v>0.1071</v>
      </c>
      <c r="J18" s="456">
        <f t="shared" si="1"/>
        <v>30</v>
      </c>
      <c r="K18" s="455">
        <f t="shared" si="2"/>
        <v>0.90529999999999999</v>
      </c>
      <c r="L18" s="454"/>
      <c r="M18" s="453"/>
      <c r="N18" s="460" t="s">
        <v>375</v>
      </c>
      <c r="O18" s="451">
        <f t="shared" si="3"/>
        <v>280</v>
      </c>
      <c r="P18" s="450">
        <f>('BENZENE-A16'!Q71)/10</f>
        <v>250</v>
      </c>
      <c r="Q18" s="449">
        <f t="shared" si="6"/>
        <v>30</v>
      </c>
      <c r="R18" s="448"/>
    </row>
    <row r="19" spans="1:18">
      <c r="A19" s="453"/>
      <c r="B19" s="460" t="s">
        <v>376</v>
      </c>
      <c r="C19" s="459">
        <f>'TOLUENE-A17'!Q13/10</f>
        <v>27</v>
      </c>
      <c r="D19" s="459">
        <f>'TOLUENE-A17'!Q42/10</f>
        <v>14</v>
      </c>
      <c r="E19" s="458">
        <v>41</v>
      </c>
      <c r="F19" s="458">
        <v>0</v>
      </c>
      <c r="G19" s="459">
        <f t="shared" si="0"/>
        <v>55</v>
      </c>
      <c r="H19" s="455">
        <f t="shared" si="4"/>
        <v>0.74550000000000005</v>
      </c>
      <c r="I19" s="455" t="str">
        <f t="shared" si="5"/>
        <v xml:space="preserve">     0%</v>
      </c>
      <c r="J19" s="456">
        <f t="shared" si="1"/>
        <v>-41</v>
      </c>
      <c r="K19" s="455">
        <f t="shared" si="2"/>
        <v>0.51849999999999996</v>
      </c>
      <c r="L19" s="454"/>
      <c r="M19" s="453"/>
      <c r="N19" s="460" t="s">
        <v>376</v>
      </c>
      <c r="O19" s="451">
        <f t="shared" si="3"/>
        <v>14</v>
      </c>
      <c r="P19" s="450">
        <f>('TOLUENE-A17'!Q71)/10</f>
        <v>55</v>
      </c>
      <c r="Q19" s="449">
        <f t="shared" si="6"/>
        <v>-41</v>
      </c>
      <c r="R19" s="448"/>
    </row>
    <row r="20" spans="1:18">
      <c r="A20" s="453"/>
      <c r="B20" s="460" t="s">
        <v>377</v>
      </c>
      <c r="C20" s="459">
        <f>'XYLENES-A18'!Q13/10</f>
        <v>77</v>
      </c>
      <c r="D20" s="459">
        <f>'XYLENES-A18'!Q42/10</f>
        <v>50</v>
      </c>
      <c r="E20" s="458">
        <v>5</v>
      </c>
      <c r="F20" s="458">
        <v>0</v>
      </c>
      <c r="G20" s="459">
        <f t="shared" si="0"/>
        <v>55</v>
      </c>
      <c r="H20" s="455">
        <f t="shared" si="4"/>
        <v>9.0899999999999995E-2</v>
      </c>
      <c r="I20" s="455" t="str">
        <f t="shared" si="5"/>
        <v xml:space="preserve">     0%</v>
      </c>
      <c r="J20" s="456">
        <f t="shared" si="1"/>
        <v>-5</v>
      </c>
      <c r="K20" s="455">
        <f t="shared" si="2"/>
        <v>0.64939999999999998</v>
      </c>
      <c r="L20" s="454"/>
      <c r="M20" s="453"/>
      <c r="N20" s="460" t="s">
        <v>377</v>
      </c>
      <c r="O20" s="451">
        <f t="shared" si="3"/>
        <v>50</v>
      </c>
      <c r="P20" s="450">
        <f>('XYLENES-A18'!Q71)/10</f>
        <v>55</v>
      </c>
      <c r="Q20" s="449">
        <f t="shared" si="6"/>
        <v>-5</v>
      </c>
      <c r="R20" s="448"/>
    </row>
    <row r="21" spans="1:18">
      <c r="A21" s="453"/>
      <c r="B21" s="460" t="s">
        <v>64</v>
      </c>
      <c r="C21" s="459">
        <f>'PX-A19'!Q13/10</f>
        <v>400.5</v>
      </c>
      <c r="D21" s="459">
        <f>'PX-A19'!Q42/10</f>
        <v>360</v>
      </c>
      <c r="E21" s="458">
        <v>170</v>
      </c>
      <c r="F21" s="458">
        <v>10</v>
      </c>
      <c r="G21" s="459">
        <f t="shared" si="0"/>
        <v>520</v>
      </c>
      <c r="H21" s="455">
        <f t="shared" si="4"/>
        <v>0.32690000000000002</v>
      </c>
      <c r="I21" s="455">
        <f t="shared" si="5"/>
        <v>2.7799999999999998E-2</v>
      </c>
      <c r="J21" s="456">
        <f t="shared" si="1"/>
        <v>-160</v>
      </c>
      <c r="K21" s="455">
        <f t="shared" si="2"/>
        <v>0.89890000000000003</v>
      </c>
      <c r="L21" s="454"/>
      <c r="M21" s="453"/>
      <c r="N21" s="452" t="s">
        <v>64</v>
      </c>
      <c r="O21" s="451">
        <f t="shared" si="3"/>
        <v>360</v>
      </c>
      <c r="P21" s="450">
        <f>('PX-A19'!Q71)/10</f>
        <v>520</v>
      </c>
      <c r="Q21" s="449">
        <f t="shared" si="6"/>
        <v>-160</v>
      </c>
      <c r="R21" s="448"/>
    </row>
    <row r="22" spans="1:18">
      <c r="A22" s="453"/>
      <c r="B22" s="460" t="s">
        <v>62</v>
      </c>
      <c r="C22" s="459">
        <f>'PTA-A20'!Q13/10</f>
        <v>841.8</v>
      </c>
      <c r="D22" s="459">
        <f>'PTA-A20'!Q42/10</f>
        <v>700</v>
      </c>
      <c r="E22" s="458">
        <v>10</v>
      </c>
      <c r="F22" s="458">
        <v>160</v>
      </c>
      <c r="G22" s="459">
        <f t="shared" si="0"/>
        <v>550</v>
      </c>
      <c r="H22" s="455">
        <f t="shared" si="4"/>
        <v>1.8200000000000001E-2</v>
      </c>
      <c r="I22" s="455">
        <f t="shared" si="5"/>
        <v>0.2286</v>
      </c>
      <c r="J22" s="456">
        <f t="shared" si="1"/>
        <v>150</v>
      </c>
      <c r="K22" s="455">
        <f t="shared" si="2"/>
        <v>0.83160000000000001</v>
      </c>
      <c r="L22" s="454"/>
      <c r="M22" s="453"/>
      <c r="N22" s="452" t="s">
        <v>62</v>
      </c>
      <c r="O22" s="451">
        <f t="shared" si="3"/>
        <v>700</v>
      </c>
      <c r="P22" s="450">
        <f>('PTA-A20'!Q71)/10</f>
        <v>550</v>
      </c>
      <c r="Q22" s="449">
        <f t="shared" si="6"/>
        <v>150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36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391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'ETHYLENE-A1'!K15/10</f>
        <v>32</v>
      </c>
      <c r="D5" s="459">
        <f>'ETHYLENE-A1'!K44/10</f>
        <v>32</v>
      </c>
      <c r="E5" s="458"/>
      <c r="F5" s="458"/>
      <c r="G5" s="459">
        <f t="shared" ref="G5:G22" si="0">D5+E5-F5</f>
        <v>32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82">
        <f t="shared" ref="J5:J22" si="3">D5-G5</f>
        <v>0</v>
      </c>
      <c r="K5" s="455">
        <f t="shared" ref="K5:K22" si="4">IF(AND(D5=0,C5=0),"    -",IF(C5=0,"     0%",IF(D5=0,"     -",ROUND(D5/C5,4))))</f>
        <v>1</v>
      </c>
      <c r="L5" s="454"/>
      <c r="M5" s="453"/>
      <c r="N5" s="452" t="s">
        <v>79</v>
      </c>
      <c r="O5" s="451">
        <f t="shared" ref="O5:O22" si="5">D5</f>
        <v>32</v>
      </c>
      <c r="P5" s="450">
        <f>('ETHYLENE-A1'!K73)/10</f>
        <v>32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'LDPE-A2'!K15/10</f>
        <v>29</v>
      </c>
      <c r="D6" s="459">
        <f>'LDPE-A2'!K44/10</f>
        <v>14</v>
      </c>
      <c r="E6" s="458">
        <v>15</v>
      </c>
      <c r="F6" s="458"/>
      <c r="G6" s="459">
        <f t="shared" si="0"/>
        <v>29</v>
      </c>
      <c r="H6" s="455">
        <f t="shared" si="1"/>
        <v>0.51719999999999999</v>
      </c>
      <c r="I6" s="455" t="str">
        <f t="shared" si="2"/>
        <v xml:space="preserve">     0%</v>
      </c>
      <c r="J6" s="482">
        <f t="shared" si="3"/>
        <v>-15</v>
      </c>
      <c r="K6" s="455">
        <f t="shared" si="4"/>
        <v>0.48280000000000001</v>
      </c>
      <c r="L6" s="454" t="s">
        <v>421</v>
      </c>
      <c r="M6" s="453"/>
      <c r="N6" s="452" t="s">
        <v>78</v>
      </c>
      <c r="O6" s="451">
        <f t="shared" si="5"/>
        <v>14</v>
      </c>
      <c r="P6" s="450">
        <f>('LDPE-A2'!K73)/10</f>
        <v>29</v>
      </c>
      <c r="Q6" s="449">
        <f t="shared" ref="Q6:Q22" si="6">O6-P6</f>
        <v>-15</v>
      </c>
      <c r="R6" s="448"/>
    </row>
    <row r="7" spans="1:18">
      <c r="A7" s="453"/>
      <c r="B7" s="460" t="s">
        <v>76</v>
      </c>
      <c r="C7" s="459">
        <f>'HDPE-A3'!K15/10</f>
        <v>29</v>
      </c>
      <c r="D7" s="459">
        <f>'HDPE-A3'!K44/10</f>
        <v>12</v>
      </c>
      <c r="E7" s="458">
        <v>2</v>
      </c>
      <c r="F7" s="458"/>
      <c r="G7" s="459">
        <f t="shared" si="0"/>
        <v>14</v>
      </c>
      <c r="H7" s="455">
        <f t="shared" si="1"/>
        <v>0.1429</v>
      </c>
      <c r="I7" s="455" t="str">
        <f t="shared" si="2"/>
        <v xml:space="preserve">     0%</v>
      </c>
      <c r="J7" s="482">
        <f t="shared" si="3"/>
        <v>-2</v>
      </c>
      <c r="K7" s="455">
        <f t="shared" si="4"/>
        <v>0.4138</v>
      </c>
      <c r="L7" s="454" t="s">
        <v>421</v>
      </c>
      <c r="M7" s="453"/>
      <c r="N7" s="452" t="s">
        <v>76</v>
      </c>
      <c r="O7" s="451">
        <f t="shared" si="5"/>
        <v>12</v>
      </c>
      <c r="P7" s="450">
        <f>('HDPE-A3'!K73)/10</f>
        <v>14.1</v>
      </c>
      <c r="Q7" s="449">
        <f t="shared" si="6"/>
        <v>-2.0999999999999996</v>
      </c>
      <c r="R7" s="448"/>
    </row>
    <row r="8" spans="1:18">
      <c r="A8" s="453"/>
      <c r="B8" s="460" t="s">
        <v>75</v>
      </c>
      <c r="C8" s="459">
        <f>'SM-A6'!K15/10</f>
        <v>0</v>
      </c>
      <c r="D8" s="459">
        <f>'SM-A6'!K44/10</f>
        <v>0</v>
      </c>
      <c r="E8" s="458">
        <v>1.6</v>
      </c>
      <c r="F8" s="458"/>
      <c r="G8" s="459">
        <f t="shared" si="0"/>
        <v>1.6</v>
      </c>
      <c r="H8" s="455">
        <f t="shared" si="1"/>
        <v>1</v>
      </c>
      <c r="I8" s="455" t="str">
        <f t="shared" si="2"/>
        <v xml:space="preserve">    -</v>
      </c>
      <c r="J8" s="482">
        <f t="shared" si="3"/>
        <v>-1.6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('SM-A6'!K73)/10</f>
        <v>1.6</v>
      </c>
      <c r="Q8" s="449">
        <f t="shared" si="6"/>
        <v>-1.6</v>
      </c>
      <c r="R8" s="448"/>
    </row>
    <row r="9" spans="1:18">
      <c r="A9" s="453"/>
      <c r="B9" s="460" t="s">
        <v>74</v>
      </c>
      <c r="C9" s="459">
        <f>'EG-A10'!K44/10</f>
        <v>0</v>
      </c>
      <c r="D9" s="459">
        <f>'EG-A10'!K44/10</f>
        <v>0</v>
      </c>
      <c r="E9" s="458">
        <v>0.2</v>
      </c>
      <c r="F9" s="458"/>
      <c r="G9" s="459">
        <f t="shared" si="0"/>
        <v>0.2</v>
      </c>
      <c r="H9" s="455">
        <f t="shared" si="1"/>
        <v>1</v>
      </c>
      <c r="I9" s="455" t="str">
        <f t="shared" si="2"/>
        <v xml:space="preserve">    -</v>
      </c>
      <c r="J9" s="482">
        <f t="shared" si="3"/>
        <v>-0.2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('EG-A10'!K73)/10</f>
        <v>0.2</v>
      </c>
      <c r="Q9" s="449">
        <f t="shared" si="6"/>
        <v>-0.2</v>
      </c>
      <c r="R9" s="448"/>
    </row>
    <row r="10" spans="1:18">
      <c r="A10" s="453"/>
      <c r="B10" s="460" t="s">
        <v>72</v>
      </c>
      <c r="C10" s="459">
        <f>'PVC-A7'!K15/10</f>
        <v>12</v>
      </c>
      <c r="D10" s="459">
        <f>'PVC-A7'!K44/10</f>
        <v>10</v>
      </c>
      <c r="E10" s="458">
        <v>3.7</v>
      </c>
      <c r="F10" s="458"/>
      <c r="G10" s="459">
        <f t="shared" si="0"/>
        <v>13.7</v>
      </c>
      <c r="H10" s="455">
        <f t="shared" si="1"/>
        <v>0.27010000000000001</v>
      </c>
      <c r="I10" s="455" t="str">
        <f t="shared" si="2"/>
        <v xml:space="preserve">     0%</v>
      </c>
      <c r="J10" s="482">
        <f t="shared" si="3"/>
        <v>-3.6999999999999993</v>
      </c>
      <c r="K10" s="455">
        <f t="shared" si="4"/>
        <v>0.83330000000000004</v>
      </c>
      <c r="L10" s="454" t="s">
        <v>422</v>
      </c>
      <c r="M10" s="453"/>
      <c r="N10" s="452" t="s">
        <v>72</v>
      </c>
      <c r="O10" s="451">
        <f t="shared" si="5"/>
        <v>10</v>
      </c>
      <c r="P10" s="450">
        <f>('PVC-A7'!K73)/10</f>
        <v>13.7</v>
      </c>
      <c r="Q10" s="449">
        <f t="shared" si="6"/>
        <v>-3.6999999999999993</v>
      </c>
      <c r="R10" s="448"/>
    </row>
    <row r="11" spans="1:18">
      <c r="A11" s="453"/>
      <c r="B11" s="460" t="s">
        <v>371</v>
      </c>
      <c r="C11" s="459">
        <f>'OTHER(C2)-A11'!K15/10</f>
        <v>0</v>
      </c>
      <c r="D11" s="459">
        <f>'OTHER(C2)-A11'!K44/10</f>
        <v>0</v>
      </c>
      <c r="E11" s="458"/>
      <c r="F11" s="458"/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('OTHER(C2)-A11'!K73)/10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64.58</v>
      </c>
      <c r="D12" s="462">
        <f>D6*0.98+D7*1.04+D8*0.29+D9*0.66+D10*0.5+D11</f>
        <v>31.2</v>
      </c>
      <c r="E12" s="462">
        <f>E6*0.98+E7*1.04+E8*0.29+E9*0.66+E10*0.5</f>
        <v>19.226000000000003</v>
      </c>
      <c r="F12" s="462">
        <f>F6*0.98+F7*1.04+F8*0.29+F9*0.66+F10*0.5</f>
        <v>0</v>
      </c>
      <c r="G12" s="459">
        <f t="shared" si="0"/>
        <v>50.426000000000002</v>
      </c>
      <c r="H12" s="455">
        <f t="shared" si="1"/>
        <v>0.38129999999999997</v>
      </c>
      <c r="I12" s="455" t="str">
        <f t="shared" si="2"/>
        <v xml:space="preserve">     0%</v>
      </c>
      <c r="J12" s="482">
        <f t="shared" si="3"/>
        <v>-19.226000000000003</v>
      </c>
      <c r="K12" s="455">
        <f t="shared" si="4"/>
        <v>0.48309999999999997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-19.329999999999998</v>
      </c>
      <c r="R12" s="448"/>
    </row>
    <row r="13" spans="1:18">
      <c r="A13" s="453"/>
      <c r="B13" s="460" t="s">
        <v>373</v>
      </c>
      <c r="C13" s="459">
        <f>'PROPYLENE-A12'!K15/10</f>
        <v>33</v>
      </c>
      <c r="D13" s="459">
        <f>'PROPYLENE-A12'!K44/10</f>
        <v>18.763999999999999</v>
      </c>
      <c r="E13" s="458">
        <v>3.3</v>
      </c>
      <c r="F13" s="458"/>
      <c r="G13" s="459">
        <f t="shared" si="0"/>
        <v>22.064</v>
      </c>
      <c r="H13" s="455">
        <f t="shared" si="1"/>
        <v>0.14960000000000001</v>
      </c>
      <c r="I13" s="455" t="str">
        <f t="shared" si="2"/>
        <v xml:space="preserve">     0%</v>
      </c>
      <c r="J13" s="482">
        <f t="shared" si="3"/>
        <v>-3.3000000000000007</v>
      </c>
      <c r="K13" s="455">
        <f t="shared" si="4"/>
        <v>0.56859999999999999</v>
      </c>
      <c r="L13" s="454"/>
      <c r="M13" s="453"/>
      <c r="N13" s="460" t="s">
        <v>373</v>
      </c>
      <c r="O13" s="451">
        <f t="shared" si="5"/>
        <v>18.763999999999999</v>
      </c>
      <c r="P13" s="450">
        <f>('PROPYLENE-A12'!K73)/10</f>
        <v>22.134</v>
      </c>
      <c r="Q13" s="449">
        <f t="shared" si="6"/>
        <v>-3.370000000000001</v>
      </c>
      <c r="R13" s="448"/>
    </row>
    <row r="14" spans="1:18">
      <c r="A14" s="453"/>
      <c r="B14" s="460" t="s">
        <v>69</v>
      </c>
      <c r="C14" s="459">
        <f>'PP-A13'!K15/10</f>
        <v>52.5</v>
      </c>
      <c r="D14" s="459">
        <f>'PP-A13'!K44/10</f>
        <v>12</v>
      </c>
      <c r="E14" s="458">
        <v>12</v>
      </c>
      <c r="F14" s="458"/>
      <c r="G14" s="459">
        <f t="shared" si="0"/>
        <v>24</v>
      </c>
      <c r="H14" s="455">
        <f t="shared" si="1"/>
        <v>0.5</v>
      </c>
      <c r="I14" s="455" t="str">
        <f t="shared" si="2"/>
        <v xml:space="preserve">     0%</v>
      </c>
      <c r="J14" s="482">
        <f t="shared" si="3"/>
        <v>-12</v>
      </c>
      <c r="K14" s="455">
        <f t="shared" si="4"/>
        <v>0.2286</v>
      </c>
      <c r="L14" s="454" t="s">
        <v>423</v>
      </c>
      <c r="M14" s="453"/>
      <c r="N14" s="452" t="s">
        <v>69</v>
      </c>
      <c r="O14" s="451">
        <f t="shared" si="5"/>
        <v>12</v>
      </c>
      <c r="P14" s="450">
        <f>('PP-A13'!K73)/10</f>
        <v>23.701000000000001</v>
      </c>
      <c r="Q14" s="449">
        <f t="shared" si="6"/>
        <v>-11.701000000000001</v>
      </c>
      <c r="R14" s="448"/>
    </row>
    <row r="15" spans="1:18">
      <c r="A15" s="453"/>
      <c r="B15" s="460" t="s">
        <v>67</v>
      </c>
      <c r="C15" s="459">
        <f>'AN-A14'!K15/10</f>
        <v>0</v>
      </c>
      <c r="D15" s="459">
        <f>'AN-A14'!K44/10</f>
        <v>0</v>
      </c>
      <c r="E15" s="458"/>
      <c r="F15" s="458"/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82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('AN-A14'!K73)/10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'OTHER(C3)-A15'!K15/10</f>
        <v>0</v>
      </c>
      <c r="D16" s="459">
        <f>'OTHER(C3)-A15'!K44/10</f>
        <v>0</v>
      </c>
      <c r="E16" s="458"/>
      <c r="F16" s="458"/>
      <c r="G16" s="459">
        <f t="shared" si="0"/>
        <v>0</v>
      </c>
      <c r="H16" s="455" t="str">
        <f t="shared" si="1"/>
        <v xml:space="preserve">    -</v>
      </c>
      <c r="I16" s="455" t="str">
        <f t="shared" si="2"/>
        <v xml:space="preserve">    -</v>
      </c>
      <c r="J16" s="482">
        <f t="shared" si="3"/>
        <v>0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('OTHER(C3)-A15'!K73)/10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54.075000000000003</v>
      </c>
      <c r="D17" s="459">
        <f>D14*1.03+D15*1.09+D16</f>
        <v>12.36</v>
      </c>
      <c r="E17" s="459">
        <f>E14*1.03+E15*1.09</f>
        <v>12.36</v>
      </c>
      <c r="F17" s="459">
        <f>F14*1.03+F15*1.09</f>
        <v>0</v>
      </c>
      <c r="G17" s="459">
        <f t="shared" si="0"/>
        <v>24.72</v>
      </c>
      <c r="H17" s="455">
        <f t="shared" si="1"/>
        <v>0.5</v>
      </c>
      <c r="I17" s="455" t="str">
        <f t="shared" si="2"/>
        <v xml:space="preserve">     0%</v>
      </c>
      <c r="J17" s="482">
        <f t="shared" si="3"/>
        <v>-12.36</v>
      </c>
      <c r="K17" s="455">
        <f t="shared" si="4"/>
        <v>0.2286</v>
      </c>
      <c r="L17" s="454"/>
      <c r="M17" s="453"/>
      <c r="N17" s="460" t="s">
        <v>374</v>
      </c>
      <c r="O17" s="451"/>
      <c r="P17" s="450"/>
      <c r="Q17" s="461">
        <f>Q14*1.03+Q15*1.09+Q16</f>
        <v>-12.05203</v>
      </c>
      <c r="R17" s="448"/>
    </row>
    <row r="18" spans="1:18">
      <c r="A18" s="453"/>
      <c r="B18" s="460" t="s">
        <v>375</v>
      </c>
      <c r="C18" s="459">
        <f>'BENZENE-A16'!K15/10</f>
        <v>2.2999999999999998</v>
      </c>
      <c r="D18" s="459">
        <f>'BENZENE-A16'!K44/10</f>
        <v>2.2999999999999998</v>
      </c>
      <c r="E18" s="458"/>
      <c r="F18" s="458"/>
      <c r="G18" s="459">
        <f t="shared" si="0"/>
        <v>2.2999999999999998</v>
      </c>
      <c r="H18" s="455" t="str">
        <f t="shared" si="1"/>
        <v xml:space="preserve">     0%</v>
      </c>
      <c r="I18" s="455" t="str">
        <f t="shared" si="2"/>
        <v xml:space="preserve">     0%</v>
      </c>
      <c r="J18" s="482">
        <f t="shared" si="3"/>
        <v>0</v>
      </c>
      <c r="K18" s="455">
        <f t="shared" si="4"/>
        <v>1</v>
      </c>
      <c r="L18" s="454"/>
      <c r="M18" s="453"/>
      <c r="N18" s="460" t="s">
        <v>375</v>
      </c>
      <c r="O18" s="451">
        <f t="shared" si="5"/>
        <v>2.2999999999999998</v>
      </c>
      <c r="P18" s="450">
        <f>('BENZENE-A16'!K73)/10</f>
        <v>2.2999999999999998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'TOLUENE-A17'!K15/10</f>
        <v>15</v>
      </c>
      <c r="D19" s="459">
        <f>'TOLUENE-A17'!K44/10</f>
        <v>15</v>
      </c>
      <c r="E19" s="458">
        <v>3</v>
      </c>
      <c r="F19" s="458"/>
      <c r="G19" s="459">
        <f t="shared" si="0"/>
        <v>18</v>
      </c>
      <c r="H19" s="455">
        <f t="shared" si="1"/>
        <v>0.16669999999999999</v>
      </c>
      <c r="I19" s="455" t="str">
        <f t="shared" si="2"/>
        <v xml:space="preserve">     0%</v>
      </c>
      <c r="J19" s="482">
        <f t="shared" si="3"/>
        <v>-3</v>
      </c>
      <c r="K19" s="455">
        <f t="shared" si="4"/>
        <v>1</v>
      </c>
      <c r="L19" s="454"/>
      <c r="M19" s="453"/>
      <c r="N19" s="460" t="s">
        <v>376</v>
      </c>
      <c r="O19" s="451">
        <f t="shared" si="5"/>
        <v>15</v>
      </c>
      <c r="P19" s="450">
        <f>('TOLUENE-A17'!K73)/10</f>
        <v>18.341999999999999</v>
      </c>
      <c r="Q19" s="449">
        <f t="shared" si="6"/>
        <v>-3.3419999999999987</v>
      </c>
      <c r="R19" s="448"/>
    </row>
    <row r="20" spans="1:18">
      <c r="A20" s="453"/>
      <c r="B20" s="460" t="s">
        <v>377</v>
      </c>
      <c r="C20" s="459">
        <f>'XYLENES-A18'!K15/10</f>
        <v>22</v>
      </c>
      <c r="D20" s="459">
        <f>'XYLENES-A18'!K44/10</f>
        <v>22</v>
      </c>
      <c r="E20" s="458">
        <v>4.4000000000000004</v>
      </c>
      <c r="F20" s="458"/>
      <c r="G20" s="459">
        <f t="shared" si="0"/>
        <v>26.4</v>
      </c>
      <c r="H20" s="455">
        <f t="shared" si="1"/>
        <v>0.16669999999999999</v>
      </c>
      <c r="I20" s="455" t="str">
        <f t="shared" si="2"/>
        <v xml:space="preserve">     0%</v>
      </c>
      <c r="J20" s="482">
        <f t="shared" si="3"/>
        <v>-4.3999999999999986</v>
      </c>
      <c r="K20" s="455">
        <f t="shared" si="4"/>
        <v>1</v>
      </c>
      <c r="L20" s="454"/>
      <c r="M20" s="453"/>
      <c r="N20" s="460" t="s">
        <v>377</v>
      </c>
      <c r="O20" s="451">
        <f t="shared" si="5"/>
        <v>22</v>
      </c>
      <c r="P20" s="450">
        <f>('XYLENES-A18'!K73)/10</f>
        <v>26.391000000000002</v>
      </c>
      <c r="Q20" s="449">
        <f t="shared" si="6"/>
        <v>-4.3910000000000018</v>
      </c>
      <c r="R20" s="448"/>
    </row>
    <row r="21" spans="1:18">
      <c r="A21" s="453"/>
      <c r="B21" s="460" t="s">
        <v>64</v>
      </c>
      <c r="C21" s="459">
        <f>'PX-A19'!K15/10</f>
        <v>0</v>
      </c>
      <c r="D21" s="459">
        <f>'PX-A19'!K44/10</f>
        <v>0</v>
      </c>
      <c r="E21" s="458"/>
      <c r="F21" s="458"/>
      <c r="G21" s="459">
        <f t="shared" si="0"/>
        <v>0</v>
      </c>
      <c r="H21" s="455" t="str">
        <f t="shared" si="1"/>
        <v xml:space="preserve">    -</v>
      </c>
      <c r="I21" s="455" t="str">
        <f t="shared" si="2"/>
        <v xml:space="preserve">    -</v>
      </c>
      <c r="J21" s="482">
        <f t="shared" si="3"/>
        <v>0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('PX-A19'!K73)/10</f>
        <v>0</v>
      </c>
      <c r="Q21" s="449">
        <f t="shared" si="6"/>
        <v>0</v>
      </c>
      <c r="R21" s="448"/>
    </row>
    <row r="22" spans="1:18">
      <c r="A22" s="453"/>
      <c r="B22" s="460" t="s">
        <v>62</v>
      </c>
      <c r="C22" s="459">
        <f>'PTA-A20'!K15/10</f>
        <v>0</v>
      </c>
      <c r="D22" s="459">
        <f>'PTA-A20'!K44/10</f>
        <v>0</v>
      </c>
      <c r="E22" s="458"/>
      <c r="F22" s="458"/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82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('PTA-A20'!K73)/10</f>
        <v>0</v>
      </c>
      <c r="Q22" s="449">
        <f t="shared" si="6"/>
        <v>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1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35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392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'ETHYLENE-A1'!Q15/10</f>
        <v>48</v>
      </c>
      <c r="D5" s="459">
        <f>'ETHYLENE-A1'!Q44/10</f>
        <v>48</v>
      </c>
      <c r="E5" s="458"/>
      <c r="F5" s="458"/>
      <c r="G5" s="459">
        <f t="shared" ref="G5:G22" si="0">D5+E5-F5</f>
        <v>48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1</v>
      </c>
      <c r="L5" s="454"/>
      <c r="M5" s="453"/>
      <c r="N5" s="452" t="s">
        <v>79</v>
      </c>
      <c r="O5" s="451">
        <f t="shared" ref="O5:O22" si="5">D5</f>
        <v>48</v>
      </c>
      <c r="P5" s="450">
        <f>('ETHYLENE-A1'!Q73)/10</f>
        <v>48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'LDPE-A2'!Q15/10</f>
        <v>37</v>
      </c>
      <c r="D6" s="459">
        <f>'LDPE-A2'!Q44/10</f>
        <v>26</v>
      </c>
      <c r="E6" s="458">
        <v>15</v>
      </c>
      <c r="F6" s="458"/>
      <c r="G6" s="459">
        <f t="shared" si="0"/>
        <v>41</v>
      </c>
      <c r="H6" s="455">
        <f t="shared" si="1"/>
        <v>0.3659</v>
      </c>
      <c r="I6" s="455" t="str">
        <f t="shared" si="2"/>
        <v xml:space="preserve">     0%</v>
      </c>
      <c r="J6" s="456">
        <f t="shared" si="3"/>
        <v>-15</v>
      </c>
      <c r="K6" s="455">
        <f t="shared" si="4"/>
        <v>0.70269999999999999</v>
      </c>
      <c r="L6" s="454" t="s">
        <v>421</v>
      </c>
      <c r="M6" s="453"/>
      <c r="N6" s="452" t="s">
        <v>78</v>
      </c>
      <c r="O6" s="451">
        <f t="shared" si="5"/>
        <v>26</v>
      </c>
      <c r="P6" s="450">
        <f>('LDPE-A2'!Q73)/10</f>
        <v>41</v>
      </c>
      <c r="Q6" s="449">
        <f t="shared" ref="Q6:Q22" si="6">O6-P6</f>
        <v>-15</v>
      </c>
      <c r="R6" s="448"/>
    </row>
    <row r="7" spans="1:18">
      <c r="A7" s="453"/>
      <c r="B7" s="460" t="s">
        <v>76</v>
      </c>
      <c r="C7" s="459">
        <f>'HDPE-A3'!Q15/10</f>
        <v>37</v>
      </c>
      <c r="D7" s="459">
        <f>'HDPE-A3'!Q44/10</f>
        <v>24</v>
      </c>
      <c r="E7" s="458"/>
      <c r="F7" s="458">
        <v>4</v>
      </c>
      <c r="G7" s="459">
        <f t="shared" si="0"/>
        <v>20</v>
      </c>
      <c r="H7" s="455" t="str">
        <f t="shared" si="1"/>
        <v xml:space="preserve">     0%</v>
      </c>
      <c r="I7" s="455">
        <f t="shared" si="2"/>
        <v>0.16669999999999999</v>
      </c>
      <c r="J7" s="456">
        <f t="shared" si="3"/>
        <v>4</v>
      </c>
      <c r="K7" s="455">
        <f t="shared" si="4"/>
        <v>0.64859999999999995</v>
      </c>
      <c r="L7" s="454" t="s">
        <v>421</v>
      </c>
      <c r="M7" s="453"/>
      <c r="N7" s="452" t="s">
        <v>76</v>
      </c>
      <c r="O7" s="451">
        <f t="shared" si="5"/>
        <v>24</v>
      </c>
      <c r="P7" s="450">
        <f>('HDPE-A3'!Q73)/10</f>
        <v>20</v>
      </c>
      <c r="Q7" s="449">
        <f t="shared" si="6"/>
        <v>4</v>
      </c>
      <c r="R7" s="448"/>
    </row>
    <row r="8" spans="1:18">
      <c r="A8" s="453"/>
      <c r="B8" s="460" t="s">
        <v>75</v>
      </c>
      <c r="C8" s="459">
        <f>'SM-A6'!Q15/10</f>
        <v>0</v>
      </c>
      <c r="D8" s="459">
        <f>'SM-A6'!Q44/10</f>
        <v>0</v>
      </c>
      <c r="E8" s="458">
        <v>2.2000000000000002</v>
      </c>
      <c r="F8" s="458"/>
      <c r="G8" s="459">
        <f t="shared" si="0"/>
        <v>2.2000000000000002</v>
      </c>
      <c r="H8" s="455">
        <f t="shared" si="1"/>
        <v>1</v>
      </c>
      <c r="I8" s="455" t="str">
        <f t="shared" si="2"/>
        <v xml:space="preserve">    -</v>
      </c>
      <c r="J8" s="482">
        <f t="shared" si="3"/>
        <v>-2.2000000000000002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('SM-A6'!Q73)/10</f>
        <v>2.2000000000000002</v>
      </c>
      <c r="Q8" s="449">
        <f t="shared" si="6"/>
        <v>-2.2000000000000002</v>
      </c>
      <c r="R8" s="448"/>
    </row>
    <row r="9" spans="1:18">
      <c r="A9" s="453"/>
      <c r="B9" s="460" t="s">
        <v>74</v>
      </c>
      <c r="C9" s="459">
        <f>'EG-A10'!Q15/10</f>
        <v>0</v>
      </c>
      <c r="D9" s="459">
        <f>'EG-A10'!Q44/10</f>
        <v>0</v>
      </c>
      <c r="E9" s="458">
        <v>0.2</v>
      </c>
      <c r="F9" s="458"/>
      <c r="G9" s="459">
        <f t="shared" si="0"/>
        <v>0.2</v>
      </c>
      <c r="H9" s="455">
        <f t="shared" si="1"/>
        <v>1</v>
      </c>
      <c r="I9" s="455" t="str">
        <f t="shared" si="2"/>
        <v xml:space="preserve">    -</v>
      </c>
      <c r="J9" s="482">
        <f t="shared" si="3"/>
        <v>-0.2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('EG-A10'!Q73)/10</f>
        <v>0.2</v>
      </c>
      <c r="Q9" s="449">
        <f t="shared" si="6"/>
        <v>-0.2</v>
      </c>
      <c r="R9" s="448"/>
    </row>
    <row r="10" spans="1:18">
      <c r="A10" s="453"/>
      <c r="B10" s="460" t="s">
        <v>72</v>
      </c>
      <c r="C10" s="459">
        <f>'PVC-A7'!Q15/10</f>
        <v>23</v>
      </c>
      <c r="D10" s="459">
        <f>'PVC-A7'!Q44/10</f>
        <v>20</v>
      </c>
      <c r="E10" s="458">
        <v>4.2</v>
      </c>
      <c r="F10" s="458"/>
      <c r="G10" s="459">
        <f t="shared" si="0"/>
        <v>24.2</v>
      </c>
      <c r="H10" s="455">
        <f t="shared" si="1"/>
        <v>0.1736</v>
      </c>
      <c r="I10" s="455" t="str">
        <f t="shared" si="2"/>
        <v xml:space="preserve">     0%</v>
      </c>
      <c r="J10" s="482">
        <f t="shared" si="3"/>
        <v>-4.1999999999999993</v>
      </c>
      <c r="K10" s="455">
        <f t="shared" si="4"/>
        <v>0.86960000000000004</v>
      </c>
      <c r="L10" s="454" t="s">
        <v>422</v>
      </c>
      <c r="M10" s="453"/>
      <c r="N10" s="452" t="s">
        <v>72</v>
      </c>
      <c r="O10" s="451">
        <f t="shared" si="5"/>
        <v>20</v>
      </c>
      <c r="P10" s="450">
        <f>('PVC-A7'!Q73)/10</f>
        <v>24.2</v>
      </c>
      <c r="Q10" s="449">
        <f t="shared" si="6"/>
        <v>-4.1999999999999993</v>
      </c>
      <c r="R10" s="448"/>
    </row>
    <row r="11" spans="1:18">
      <c r="A11" s="453"/>
      <c r="B11" s="460" t="s">
        <v>371</v>
      </c>
      <c r="C11" s="459">
        <f>'OTHER(C2)-A11'!Q15/10</f>
        <v>0</v>
      </c>
      <c r="D11" s="459">
        <f>'OTHER(C2)-A11'!Q44/10</f>
        <v>0</v>
      </c>
      <c r="E11" s="458"/>
      <c r="F11" s="458"/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('OTHER(C2)-A11'!Q73)/10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86.240000000000009</v>
      </c>
      <c r="D12" s="462">
        <f>D6*0.98+D7*1.04+D8*0.29+D9*0.66+D10*0.5+D11</f>
        <v>60.44</v>
      </c>
      <c r="E12" s="462">
        <f>E6*0.98+E7*1.04+E8*0.29+E9*0.66+E10*0.5</f>
        <v>17.57</v>
      </c>
      <c r="F12" s="462">
        <f>F6*0.98+F7*1.04+F8*0.29+F9*0.66+F10*0.5</f>
        <v>4.16</v>
      </c>
      <c r="G12" s="459">
        <f t="shared" si="0"/>
        <v>73.849999999999994</v>
      </c>
      <c r="H12" s="455">
        <f t="shared" si="1"/>
        <v>0.2379</v>
      </c>
      <c r="I12" s="455">
        <f t="shared" si="2"/>
        <v>6.88E-2</v>
      </c>
      <c r="J12" s="482">
        <f t="shared" si="3"/>
        <v>-13.409999999999997</v>
      </c>
      <c r="K12" s="455">
        <f t="shared" si="4"/>
        <v>0.70079999999999998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-13.409999999999998</v>
      </c>
      <c r="R12" s="448"/>
    </row>
    <row r="13" spans="1:18">
      <c r="A13" s="453"/>
      <c r="B13" s="460" t="s">
        <v>373</v>
      </c>
      <c r="C13" s="459">
        <f>'PROPYLENE-A12'!Q15/10</f>
        <v>38</v>
      </c>
      <c r="D13" s="459">
        <f>'PROPYLENE-A12'!Q44/10</f>
        <v>26.6</v>
      </c>
      <c r="E13" s="458">
        <v>4.9000000000000004</v>
      </c>
      <c r="F13" s="458"/>
      <c r="G13" s="459">
        <f t="shared" si="0"/>
        <v>31.5</v>
      </c>
      <c r="H13" s="455">
        <f t="shared" si="1"/>
        <v>0.15559999999999999</v>
      </c>
      <c r="I13" s="455" t="str">
        <f t="shared" si="2"/>
        <v xml:space="preserve">     0%</v>
      </c>
      <c r="J13" s="482">
        <f t="shared" si="3"/>
        <v>-4.8999999999999986</v>
      </c>
      <c r="K13" s="455">
        <f t="shared" si="4"/>
        <v>0.7</v>
      </c>
      <c r="L13" s="454"/>
      <c r="M13" s="453"/>
      <c r="N13" s="460" t="s">
        <v>373</v>
      </c>
      <c r="O13" s="451">
        <f t="shared" si="5"/>
        <v>26.6</v>
      </c>
      <c r="P13" s="450">
        <f>('PROPYLENE-A12'!Q73)/10</f>
        <v>31.5</v>
      </c>
      <c r="Q13" s="449">
        <f t="shared" si="6"/>
        <v>-4.8999999999999986</v>
      </c>
      <c r="R13" s="448"/>
    </row>
    <row r="14" spans="1:18">
      <c r="A14" s="453"/>
      <c r="B14" s="460" t="s">
        <v>69</v>
      </c>
      <c r="C14" s="459">
        <f>'PP-A13'!Q15/10</f>
        <v>57.5</v>
      </c>
      <c r="D14" s="459">
        <f>'PP-A13'!Q44/10</f>
        <v>29</v>
      </c>
      <c r="E14" s="458">
        <v>4.5999999999999996</v>
      </c>
      <c r="F14" s="458"/>
      <c r="G14" s="459">
        <f t="shared" si="0"/>
        <v>33.6</v>
      </c>
      <c r="H14" s="455">
        <f t="shared" si="1"/>
        <v>0.13689999999999999</v>
      </c>
      <c r="I14" s="455" t="str">
        <f t="shared" si="2"/>
        <v xml:space="preserve">     0%</v>
      </c>
      <c r="J14" s="482">
        <f t="shared" si="3"/>
        <v>-4.6000000000000014</v>
      </c>
      <c r="K14" s="455">
        <f t="shared" si="4"/>
        <v>0.50429999999999997</v>
      </c>
      <c r="L14" s="454" t="s">
        <v>423</v>
      </c>
      <c r="M14" s="453"/>
      <c r="N14" s="452" t="s">
        <v>69</v>
      </c>
      <c r="O14" s="451">
        <f t="shared" si="5"/>
        <v>29</v>
      </c>
      <c r="P14" s="450">
        <f>('PP-A13'!Q73)/10</f>
        <v>33.6</v>
      </c>
      <c r="Q14" s="449">
        <f t="shared" si="6"/>
        <v>-4.6000000000000014</v>
      </c>
      <c r="R14" s="448"/>
    </row>
    <row r="15" spans="1:18">
      <c r="A15" s="453"/>
      <c r="B15" s="460" t="s">
        <v>67</v>
      </c>
      <c r="C15" s="459">
        <f>'AN-A14'!Q15/10</f>
        <v>0</v>
      </c>
      <c r="D15" s="459">
        <f>'AN-A14'!Q44/10</f>
        <v>0</v>
      </c>
      <c r="E15" s="458"/>
      <c r="F15" s="458"/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82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('AN-A14'!Q73)/10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'OTHER(C3)-A15'!Q15/10</f>
        <v>0</v>
      </c>
      <c r="D16" s="459">
        <f>'OTHER(C3)-A15'!Q44/10</f>
        <v>0</v>
      </c>
      <c r="E16" s="458"/>
      <c r="F16" s="458"/>
      <c r="G16" s="459">
        <f t="shared" si="0"/>
        <v>0</v>
      </c>
      <c r="H16" s="455" t="str">
        <f t="shared" si="1"/>
        <v xml:space="preserve">    -</v>
      </c>
      <c r="I16" s="455" t="str">
        <f t="shared" si="2"/>
        <v xml:space="preserve">    -</v>
      </c>
      <c r="J16" s="482">
        <f t="shared" si="3"/>
        <v>0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('OTHER(C3)-A15'!Q73)/10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59.225000000000001</v>
      </c>
      <c r="D17" s="459">
        <f>D14*1.03+D15*1.09+D16</f>
        <v>29.87</v>
      </c>
      <c r="E17" s="459">
        <f>E14*1.03+E15*1.09</f>
        <v>4.7379999999999995</v>
      </c>
      <c r="F17" s="459">
        <f>F14*1.03+F15*1.09</f>
        <v>0</v>
      </c>
      <c r="G17" s="459">
        <f t="shared" si="0"/>
        <v>34.608000000000004</v>
      </c>
      <c r="H17" s="455">
        <f t="shared" si="1"/>
        <v>0.13689999999999999</v>
      </c>
      <c r="I17" s="455" t="str">
        <f t="shared" si="2"/>
        <v xml:space="preserve">     0%</v>
      </c>
      <c r="J17" s="482">
        <f t="shared" si="3"/>
        <v>-4.7380000000000031</v>
      </c>
      <c r="K17" s="455">
        <f t="shared" si="4"/>
        <v>0.50429999999999997</v>
      </c>
      <c r="L17" s="454"/>
      <c r="M17" s="453"/>
      <c r="N17" s="460" t="s">
        <v>374</v>
      </c>
      <c r="O17" s="451"/>
      <c r="P17" s="450"/>
      <c r="Q17" s="461">
        <f>Q14*1.03+Q15*1.09+Q16</f>
        <v>-4.7380000000000013</v>
      </c>
      <c r="R17" s="448"/>
    </row>
    <row r="18" spans="1:18">
      <c r="A18" s="453"/>
      <c r="B18" s="460" t="s">
        <v>375</v>
      </c>
      <c r="C18" s="459">
        <f>'BENZENE-A16'!Q15/10</f>
        <v>14.9</v>
      </c>
      <c r="D18" s="459">
        <f>'BENZENE-A16'!Q44/10</f>
        <v>12.4</v>
      </c>
      <c r="E18" s="458"/>
      <c r="F18" s="458"/>
      <c r="G18" s="459">
        <f t="shared" si="0"/>
        <v>12.4</v>
      </c>
      <c r="H18" s="455" t="str">
        <f t="shared" si="1"/>
        <v xml:space="preserve">     0%</v>
      </c>
      <c r="I18" s="455" t="str">
        <f t="shared" si="2"/>
        <v xml:space="preserve">     0%</v>
      </c>
      <c r="J18" s="482">
        <f t="shared" si="3"/>
        <v>0</v>
      </c>
      <c r="K18" s="455">
        <f t="shared" si="4"/>
        <v>0.83220000000000005</v>
      </c>
      <c r="L18" s="454"/>
      <c r="M18" s="453"/>
      <c r="N18" s="460" t="s">
        <v>375</v>
      </c>
      <c r="O18" s="451">
        <f t="shared" si="5"/>
        <v>12.4</v>
      </c>
      <c r="P18" s="450">
        <f>('BENZENE-A16'!Q73)/10</f>
        <v>2.2999999999999998</v>
      </c>
      <c r="Q18" s="449">
        <f t="shared" si="6"/>
        <v>10.100000000000001</v>
      </c>
      <c r="R18" s="448"/>
    </row>
    <row r="19" spans="1:18">
      <c r="A19" s="453"/>
      <c r="B19" s="460" t="s">
        <v>376</v>
      </c>
      <c r="C19" s="459">
        <f>'TOLUENE-A17'!Q15/10</f>
        <v>22.6</v>
      </c>
      <c r="D19" s="459">
        <f>'TOLUENE-A17'!Q44/10</f>
        <v>21</v>
      </c>
      <c r="E19" s="458"/>
      <c r="F19" s="458"/>
      <c r="G19" s="459">
        <f t="shared" si="0"/>
        <v>21</v>
      </c>
      <c r="H19" s="455" t="str">
        <f t="shared" si="1"/>
        <v xml:space="preserve">     0%</v>
      </c>
      <c r="I19" s="455" t="str">
        <f t="shared" si="2"/>
        <v xml:space="preserve">     0%</v>
      </c>
      <c r="J19" s="482">
        <f t="shared" si="3"/>
        <v>0</v>
      </c>
      <c r="K19" s="455">
        <f t="shared" si="4"/>
        <v>0.92920000000000003</v>
      </c>
      <c r="L19" s="454"/>
      <c r="M19" s="453"/>
      <c r="N19" s="460" t="s">
        <v>376</v>
      </c>
      <c r="O19" s="451">
        <f t="shared" si="5"/>
        <v>21</v>
      </c>
      <c r="P19" s="450">
        <f>('TOLUENE-A17'!Q73)/10</f>
        <v>26</v>
      </c>
      <c r="Q19" s="449">
        <f t="shared" si="6"/>
        <v>-5</v>
      </c>
      <c r="R19" s="448"/>
    </row>
    <row r="20" spans="1:18">
      <c r="A20" s="453"/>
      <c r="B20" s="460" t="s">
        <v>377</v>
      </c>
      <c r="C20" s="459">
        <f>'XYLENES-A18'!Q15/10</f>
        <v>23.8</v>
      </c>
      <c r="D20" s="459">
        <f>'XYLENES-A18'!Q44/10</f>
        <v>23.8</v>
      </c>
      <c r="E20" s="458"/>
      <c r="F20" s="458"/>
      <c r="G20" s="459">
        <f t="shared" si="0"/>
        <v>23.8</v>
      </c>
      <c r="H20" s="455" t="str">
        <f t="shared" si="1"/>
        <v xml:space="preserve">     0%</v>
      </c>
      <c r="I20" s="455" t="str">
        <f t="shared" si="2"/>
        <v xml:space="preserve">     0%</v>
      </c>
      <c r="J20" s="482">
        <f t="shared" si="3"/>
        <v>0</v>
      </c>
      <c r="K20" s="455">
        <f t="shared" si="4"/>
        <v>1</v>
      </c>
      <c r="L20" s="454"/>
      <c r="M20" s="453"/>
      <c r="N20" s="460" t="s">
        <v>377</v>
      </c>
      <c r="O20" s="451">
        <f t="shared" si="5"/>
        <v>23.8</v>
      </c>
      <c r="P20" s="450">
        <f>('XYLENES-A18'!Q73)/10</f>
        <v>37.4</v>
      </c>
      <c r="Q20" s="449">
        <f t="shared" si="6"/>
        <v>-13.599999999999998</v>
      </c>
      <c r="R20" s="448"/>
    </row>
    <row r="21" spans="1:18">
      <c r="A21" s="453"/>
      <c r="B21" s="460" t="s">
        <v>64</v>
      </c>
      <c r="C21" s="459">
        <f>'PX-A19'!Q15/10</f>
        <v>0</v>
      </c>
      <c r="D21" s="459">
        <f>'PX-A19'!Q44/10</f>
        <v>0</v>
      </c>
      <c r="E21" s="458"/>
      <c r="F21" s="458"/>
      <c r="G21" s="459">
        <f t="shared" si="0"/>
        <v>0</v>
      </c>
      <c r="H21" s="455" t="str">
        <f t="shared" si="1"/>
        <v xml:space="preserve">    -</v>
      </c>
      <c r="I21" s="455" t="str">
        <f t="shared" si="2"/>
        <v xml:space="preserve">    -</v>
      </c>
      <c r="J21" s="482">
        <f t="shared" si="3"/>
        <v>0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('PX-A19'!Q73)/10</f>
        <v>0</v>
      </c>
      <c r="Q21" s="449">
        <f t="shared" si="6"/>
        <v>0</v>
      </c>
      <c r="R21" s="448"/>
    </row>
    <row r="22" spans="1:18">
      <c r="A22" s="453"/>
      <c r="B22" s="460" t="s">
        <v>62</v>
      </c>
      <c r="C22" s="459">
        <f>'PTA-A20'!Q15/10</f>
        <v>0</v>
      </c>
      <c r="D22" s="459">
        <f>'PTA-A20'!Q44/10</f>
        <v>0</v>
      </c>
      <c r="E22" s="458"/>
      <c r="F22" s="458"/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82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('PTA-A20'!Q73)/10</f>
        <v>0</v>
      </c>
      <c r="Q22" s="449">
        <f t="shared" si="6"/>
        <v>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1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5.625" customWidth="1"/>
    <col min="2" max="2" width="21.125" customWidth="1"/>
    <col min="3" max="11" width="12.875" customWidth="1"/>
    <col min="12" max="12" width="40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393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'ETHYLENE-A1'!K17/10</f>
        <v>0</v>
      </c>
      <c r="D5" s="459">
        <f>'ETHYLENE-A1'!K46/10</f>
        <v>0</v>
      </c>
      <c r="E5" s="458">
        <v>0</v>
      </c>
      <c r="F5" s="458">
        <v>0</v>
      </c>
      <c r="G5" s="459">
        <f t="shared" ref="G5:G22" si="0">D5+E5-F5</f>
        <v>0</v>
      </c>
      <c r="H5" s="455" t="str">
        <f t="shared" ref="H5:H22" si="1">IF(AND(E5=0,G5=0),"    -",IF(E5=0,"     0%",IF(G5=0,"     -",ROUND(E5/G5,4))))</f>
        <v xml:space="preserve">    -</v>
      </c>
      <c r="I5" s="455" t="str">
        <f t="shared" ref="I5:I22" si="2">IF(AND(D5=0,F5=0),"    -",IF(F5=0,"     0%",IF(D5=0,"     -",ROUND(F5/D5,4))))</f>
        <v xml:space="preserve">    -</v>
      </c>
      <c r="J5" s="482">
        <f t="shared" ref="J5:J22" si="3">D5-G5</f>
        <v>0</v>
      </c>
      <c r="K5" s="455" t="str">
        <f t="shared" ref="K5:K22" si="4">IF(AND(D5=0,C5=0),"    -",IF(C5=0,"     0%",IF(D5=0,"     -",ROUND(D5/C5,4))))</f>
        <v xml:space="preserve">    -</v>
      </c>
      <c r="L5" s="454"/>
      <c r="M5" s="453"/>
      <c r="N5" s="452" t="s">
        <v>79</v>
      </c>
      <c r="O5" s="451">
        <f t="shared" ref="O5:O22" si="5">D5</f>
        <v>0</v>
      </c>
      <c r="P5" s="450">
        <f>('ETHYLENE-A1'!K75)/10</f>
        <v>0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'LDPE-A2'!K17/10</f>
        <v>0</v>
      </c>
      <c r="D6" s="459">
        <f>'LDPE-A2'!K46/10</f>
        <v>0</v>
      </c>
      <c r="E6" s="458">
        <v>59.1</v>
      </c>
      <c r="F6" s="458">
        <v>0</v>
      </c>
      <c r="G6" s="459">
        <f t="shared" si="0"/>
        <v>59.1</v>
      </c>
      <c r="H6" s="455">
        <f t="shared" si="1"/>
        <v>1</v>
      </c>
      <c r="I6" s="455" t="str">
        <f t="shared" si="2"/>
        <v xml:space="preserve">    -</v>
      </c>
      <c r="J6" s="482">
        <f t="shared" si="3"/>
        <v>-59.1</v>
      </c>
      <c r="K6" s="455" t="str">
        <f t="shared" si="4"/>
        <v xml:space="preserve">    -</v>
      </c>
      <c r="L6" s="454"/>
      <c r="M6" s="453"/>
      <c r="N6" s="452" t="s">
        <v>78</v>
      </c>
      <c r="O6" s="451">
        <f t="shared" si="5"/>
        <v>0</v>
      </c>
      <c r="P6" s="450">
        <f>('LDPE-A2'!K75)/10</f>
        <v>59.05</v>
      </c>
      <c r="Q6" s="449">
        <f t="shared" ref="Q6:Q22" si="6">O6-P6</f>
        <v>-59.05</v>
      </c>
      <c r="R6" s="448"/>
    </row>
    <row r="7" spans="1:18">
      <c r="A7" s="453"/>
      <c r="B7" s="460" t="s">
        <v>76</v>
      </c>
      <c r="C7" s="459">
        <f>'HDPE-A3'!K17/10</f>
        <v>0</v>
      </c>
      <c r="D7" s="459">
        <f>'HDPE-A3'!K46/10</f>
        <v>0</v>
      </c>
      <c r="E7" s="458">
        <v>109.6</v>
      </c>
      <c r="F7" s="458">
        <v>0</v>
      </c>
      <c r="G7" s="459">
        <f t="shared" si="0"/>
        <v>109.6</v>
      </c>
      <c r="H7" s="455">
        <f t="shared" si="1"/>
        <v>1</v>
      </c>
      <c r="I7" s="455" t="str">
        <f t="shared" si="2"/>
        <v xml:space="preserve">    -</v>
      </c>
      <c r="J7" s="482">
        <f t="shared" si="3"/>
        <v>-109.6</v>
      </c>
      <c r="K7" s="455" t="str">
        <f t="shared" si="4"/>
        <v xml:space="preserve">    -</v>
      </c>
      <c r="L7" s="454"/>
      <c r="M7" s="453"/>
      <c r="N7" s="452" t="s">
        <v>76</v>
      </c>
      <c r="O7" s="451">
        <f t="shared" si="5"/>
        <v>0</v>
      </c>
      <c r="P7" s="450">
        <f>('HDPE-A3'!K75)/10</f>
        <v>109.7</v>
      </c>
      <c r="Q7" s="449">
        <f t="shared" si="6"/>
        <v>-109.7</v>
      </c>
      <c r="R7" s="448"/>
    </row>
    <row r="8" spans="1:18">
      <c r="A8" s="453"/>
      <c r="B8" s="460" t="s">
        <v>75</v>
      </c>
      <c r="C8" s="459">
        <f>'SM-A6'!K17/10</f>
        <v>0</v>
      </c>
      <c r="D8" s="459">
        <f>'SM-A6'!K46/10</f>
        <v>0</v>
      </c>
      <c r="E8" s="458">
        <v>14.7</v>
      </c>
      <c r="F8" s="458">
        <v>0</v>
      </c>
      <c r="G8" s="459">
        <f t="shared" si="0"/>
        <v>14.7</v>
      </c>
      <c r="H8" s="455">
        <f t="shared" si="1"/>
        <v>1</v>
      </c>
      <c r="I8" s="455" t="str">
        <f t="shared" si="2"/>
        <v xml:space="preserve">    -</v>
      </c>
      <c r="J8" s="482">
        <f t="shared" si="3"/>
        <v>-14.7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('SM-A6'!K75)/10</f>
        <v>14.7</v>
      </c>
      <c r="Q8" s="449">
        <f t="shared" si="6"/>
        <v>-14.7</v>
      </c>
      <c r="R8" s="448"/>
    </row>
    <row r="9" spans="1:18">
      <c r="A9" s="453"/>
      <c r="B9" s="460" t="s">
        <v>74</v>
      </c>
      <c r="C9" s="459">
        <f>'EG-A10'!K17/10</f>
        <v>0</v>
      </c>
      <c r="D9" s="459">
        <f>'EG-A10'!K46/10</f>
        <v>0</v>
      </c>
      <c r="E9" s="458">
        <v>18.7</v>
      </c>
      <c r="F9" s="458">
        <v>0</v>
      </c>
      <c r="G9" s="459">
        <f t="shared" si="0"/>
        <v>18.7</v>
      </c>
      <c r="H9" s="455">
        <f t="shared" si="1"/>
        <v>1</v>
      </c>
      <c r="I9" s="455" t="str">
        <f t="shared" si="2"/>
        <v xml:space="preserve">    -</v>
      </c>
      <c r="J9" s="482">
        <f t="shared" si="3"/>
        <v>-18.7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('EG-A10'!K75)/10</f>
        <v>18.7</v>
      </c>
      <c r="Q9" s="449">
        <f t="shared" si="6"/>
        <v>-18.7</v>
      </c>
      <c r="R9" s="448"/>
    </row>
    <row r="10" spans="1:18">
      <c r="A10" s="453"/>
      <c r="B10" s="460" t="s">
        <v>72</v>
      </c>
      <c r="C10" s="459">
        <f>'PVC-A7'!K17/10</f>
        <v>35</v>
      </c>
      <c r="D10" s="459">
        <f>'PVC-A7'!K46/10</f>
        <v>34</v>
      </c>
      <c r="E10" s="458">
        <v>28</v>
      </c>
      <c r="F10" s="458">
        <v>0</v>
      </c>
      <c r="G10" s="459">
        <f t="shared" si="0"/>
        <v>62</v>
      </c>
      <c r="H10" s="455">
        <f t="shared" si="1"/>
        <v>0.4516</v>
      </c>
      <c r="I10" s="455" t="str">
        <f t="shared" si="2"/>
        <v xml:space="preserve">     0%</v>
      </c>
      <c r="J10" s="482">
        <f t="shared" si="3"/>
        <v>-28</v>
      </c>
      <c r="K10" s="455">
        <f t="shared" si="4"/>
        <v>0.97140000000000004</v>
      </c>
      <c r="L10" s="454" t="s">
        <v>418</v>
      </c>
      <c r="M10" s="453"/>
      <c r="N10" s="452" t="s">
        <v>72</v>
      </c>
      <c r="O10" s="451">
        <f t="shared" si="5"/>
        <v>34</v>
      </c>
      <c r="P10" s="450">
        <f>('PVC-A7'!K75)/10</f>
        <v>53.8</v>
      </c>
      <c r="Q10" s="449">
        <f t="shared" si="6"/>
        <v>-19.799999999999997</v>
      </c>
      <c r="R10" s="448"/>
    </row>
    <row r="11" spans="1:18">
      <c r="A11" s="453"/>
      <c r="B11" s="460" t="s">
        <v>371</v>
      </c>
      <c r="C11" s="459">
        <f>'OTHER(C2)-A11'!K17/10</f>
        <v>0</v>
      </c>
      <c r="D11" s="459">
        <f>'OTHER(C2)-A11'!K46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('OTHER(C2)-A11'!K75)/10</f>
        <v>20.8</v>
      </c>
      <c r="Q11" s="449">
        <f t="shared" si="6"/>
        <v>-20.8</v>
      </c>
      <c r="R11" s="448"/>
    </row>
    <row r="12" spans="1:18">
      <c r="A12" s="453"/>
      <c r="B12" s="460" t="s">
        <v>372</v>
      </c>
      <c r="C12" s="462">
        <f>C6*0.98+C7*1.04+C8*0.29+C9*0.66+C10*0.5+C11</f>
        <v>17.5</v>
      </c>
      <c r="D12" s="462">
        <f>D6*0.98+D7*1.04+D8*0.29+D9*0.66+D10*0.5+D11</f>
        <v>17</v>
      </c>
      <c r="E12" s="462">
        <f>E6*0.98+E7*1.04+E8*0.29+E9*0.66+E10*0.5</f>
        <v>202.50700000000001</v>
      </c>
      <c r="F12" s="462">
        <f>F6*0.98+F7*1.04+F8*0.29+F9*0.66+F10*0.5</f>
        <v>0</v>
      </c>
      <c r="G12" s="459">
        <f t="shared" si="0"/>
        <v>219.50700000000001</v>
      </c>
      <c r="H12" s="455">
        <f t="shared" si="1"/>
        <v>0.92259999999999998</v>
      </c>
      <c r="I12" s="455" t="str">
        <f t="shared" si="2"/>
        <v xml:space="preserve">     0%</v>
      </c>
      <c r="J12" s="482">
        <f t="shared" si="3"/>
        <v>-202.50700000000001</v>
      </c>
      <c r="K12" s="455">
        <f t="shared" si="4"/>
        <v>0.97140000000000004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-219.26200000000003</v>
      </c>
      <c r="R12" s="448"/>
    </row>
    <row r="13" spans="1:18">
      <c r="A13" s="453"/>
      <c r="B13" s="460" t="s">
        <v>373</v>
      </c>
      <c r="C13" s="459">
        <f>'PROPYLENE-A12'!K17/10</f>
        <v>52</v>
      </c>
      <c r="D13" s="459">
        <f>'PROPYLENE-A12'!K46/10</f>
        <v>15</v>
      </c>
      <c r="E13" s="458">
        <v>0</v>
      </c>
      <c r="F13" s="458">
        <v>0</v>
      </c>
      <c r="G13" s="459">
        <f t="shared" si="0"/>
        <v>15</v>
      </c>
      <c r="H13" s="455" t="str">
        <f t="shared" si="1"/>
        <v xml:space="preserve">     0%</v>
      </c>
      <c r="I13" s="455" t="str">
        <f t="shared" si="2"/>
        <v xml:space="preserve">     0%</v>
      </c>
      <c r="J13" s="482">
        <f t="shared" si="3"/>
        <v>0</v>
      </c>
      <c r="K13" s="455">
        <f t="shared" si="4"/>
        <v>0.28849999999999998</v>
      </c>
      <c r="L13" s="454" t="s">
        <v>424</v>
      </c>
      <c r="M13" s="453"/>
      <c r="N13" s="460" t="s">
        <v>373</v>
      </c>
      <c r="O13" s="451">
        <f t="shared" si="5"/>
        <v>15</v>
      </c>
      <c r="P13" s="450">
        <f>('PROPYLENE-A12'!K75)/10</f>
        <v>15</v>
      </c>
      <c r="Q13" s="449">
        <f t="shared" si="6"/>
        <v>0</v>
      </c>
      <c r="R13" s="448"/>
    </row>
    <row r="14" spans="1:18">
      <c r="A14" s="453"/>
      <c r="B14" s="460" t="s">
        <v>69</v>
      </c>
      <c r="C14" s="459">
        <f>'PP-A13'!K17/10</f>
        <v>15</v>
      </c>
      <c r="D14" s="459">
        <f>'PP-A13'!K46/10</f>
        <v>15</v>
      </c>
      <c r="E14" s="458">
        <v>38.700000000000003</v>
      </c>
      <c r="F14" s="458">
        <v>0</v>
      </c>
      <c r="G14" s="459">
        <f t="shared" si="0"/>
        <v>53.7</v>
      </c>
      <c r="H14" s="455">
        <f t="shared" si="1"/>
        <v>0.72070000000000001</v>
      </c>
      <c r="I14" s="455" t="str">
        <f t="shared" si="2"/>
        <v xml:space="preserve">     0%</v>
      </c>
      <c r="J14" s="482">
        <f t="shared" si="3"/>
        <v>-38.700000000000003</v>
      </c>
      <c r="K14" s="455">
        <f t="shared" si="4"/>
        <v>1</v>
      </c>
      <c r="L14" s="454" t="s">
        <v>425</v>
      </c>
      <c r="M14" s="453"/>
      <c r="N14" s="452" t="s">
        <v>69</v>
      </c>
      <c r="O14" s="451">
        <f t="shared" si="5"/>
        <v>15</v>
      </c>
      <c r="P14" s="450">
        <f>('PP-A13'!K75)/10</f>
        <v>129.69999999999999</v>
      </c>
      <c r="Q14" s="449">
        <f t="shared" si="6"/>
        <v>-114.69999999999999</v>
      </c>
      <c r="R14" s="448"/>
    </row>
    <row r="15" spans="1:18">
      <c r="A15" s="453"/>
      <c r="B15" s="460" t="s">
        <v>67</v>
      </c>
      <c r="C15" s="459">
        <f>'AN-A14'!K17/10</f>
        <v>0</v>
      </c>
      <c r="D15" s="459">
        <f>'AN-A14'!K46/10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82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('AN-A14'!K75)/10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'OTHER(C3)-A15'!K17/10</f>
        <v>0</v>
      </c>
      <c r="D16" s="459">
        <f>'OTHER(C3)-A15'!K46/10</f>
        <v>0</v>
      </c>
      <c r="E16" s="458">
        <v>0</v>
      </c>
      <c r="F16" s="458">
        <v>0</v>
      </c>
      <c r="G16" s="459">
        <f t="shared" si="0"/>
        <v>0</v>
      </c>
      <c r="H16" s="455" t="str">
        <f t="shared" si="1"/>
        <v xml:space="preserve">    -</v>
      </c>
      <c r="I16" s="455" t="str">
        <f t="shared" si="2"/>
        <v xml:space="preserve">    -</v>
      </c>
      <c r="J16" s="482">
        <f t="shared" si="3"/>
        <v>0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('OTHER(C3)-A15'!K75)/10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15.450000000000001</v>
      </c>
      <c r="D17" s="459">
        <f>D14*1.03+D15*1.09+D16</f>
        <v>15.450000000000001</v>
      </c>
      <c r="E17" s="459">
        <f>E14*1.03+E15*1.09</f>
        <v>39.861000000000004</v>
      </c>
      <c r="F17" s="459">
        <f>F14*1.03+F15*1.09</f>
        <v>0</v>
      </c>
      <c r="G17" s="459">
        <f t="shared" si="0"/>
        <v>55.311000000000007</v>
      </c>
      <c r="H17" s="455">
        <f t="shared" si="1"/>
        <v>0.72070000000000001</v>
      </c>
      <c r="I17" s="455" t="str">
        <f t="shared" si="2"/>
        <v xml:space="preserve">     0%</v>
      </c>
      <c r="J17" s="482">
        <f t="shared" si="3"/>
        <v>-39.861000000000004</v>
      </c>
      <c r="K17" s="455">
        <f t="shared" si="4"/>
        <v>1</v>
      </c>
      <c r="L17" s="454"/>
      <c r="M17" s="453"/>
      <c r="N17" s="460" t="s">
        <v>374</v>
      </c>
      <c r="O17" s="451"/>
      <c r="P17" s="450"/>
      <c r="Q17" s="461">
        <f>Q14*1.03+Q15*1.09+Q16</f>
        <v>-118.14099999999999</v>
      </c>
      <c r="R17" s="448"/>
    </row>
    <row r="18" spans="1:18">
      <c r="A18" s="453"/>
      <c r="B18" s="460" t="s">
        <v>375</v>
      </c>
      <c r="C18" s="459">
        <f>'BENZENE-A16'!K17/10</f>
        <v>0</v>
      </c>
      <c r="D18" s="459">
        <f>'BENZENE-A16'!K46/10</f>
        <v>0</v>
      </c>
      <c r="E18" s="458">
        <v>0</v>
      </c>
      <c r="F18" s="458">
        <v>0</v>
      </c>
      <c r="G18" s="459">
        <f t="shared" si="0"/>
        <v>0</v>
      </c>
      <c r="H18" s="455" t="str">
        <f t="shared" si="1"/>
        <v xml:space="preserve">    -</v>
      </c>
      <c r="I18" s="455" t="str">
        <f t="shared" si="2"/>
        <v xml:space="preserve">    -</v>
      </c>
      <c r="J18" s="482">
        <f t="shared" si="3"/>
        <v>0</v>
      </c>
      <c r="K18" s="455" t="str">
        <f t="shared" si="4"/>
        <v xml:space="preserve">    -</v>
      </c>
      <c r="L18" s="454"/>
      <c r="M18" s="453"/>
      <c r="N18" s="460" t="s">
        <v>375</v>
      </c>
      <c r="O18" s="451">
        <f t="shared" si="5"/>
        <v>0</v>
      </c>
      <c r="P18" s="450">
        <f>('BENZENE-A16'!K75)/10</f>
        <v>0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'TOLUENE-A17'!K17/10</f>
        <v>0</v>
      </c>
      <c r="D19" s="459">
        <f>'TOLUENE-A17'!K46/10</f>
        <v>0</v>
      </c>
      <c r="E19" s="458">
        <v>21</v>
      </c>
      <c r="F19" s="458">
        <v>0</v>
      </c>
      <c r="G19" s="459">
        <f t="shared" si="0"/>
        <v>21</v>
      </c>
      <c r="H19" s="455">
        <f t="shared" si="1"/>
        <v>1</v>
      </c>
      <c r="I19" s="455" t="str">
        <f t="shared" si="2"/>
        <v xml:space="preserve">    -</v>
      </c>
      <c r="J19" s="482">
        <f t="shared" si="3"/>
        <v>-21</v>
      </c>
      <c r="K19" s="455" t="str">
        <f t="shared" si="4"/>
        <v xml:space="preserve">    -</v>
      </c>
      <c r="L19" s="454"/>
      <c r="M19" s="453"/>
      <c r="N19" s="460" t="s">
        <v>376</v>
      </c>
      <c r="O19" s="451">
        <f t="shared" si="5"/>
        <v>0</v>
      </c>
      <c r="P19" s="450">
        <f>('TOLUENE-A17'!K75)/10</f>
        <v>21</v>
      </c>
      <c r="Q19" s="449">
        <f t="shared" si="6"/>
        <v>-21</v>
      </c>
      <c r="R19" s="448"/>
    </row>
    <row r="20" spans="1:18">
      <c r="A20" s="453"/>
      <c r="B20" s="460" t="s">
        <v>377</v>
      </c>
      <c r="C20" s="459">
        <f>'XYLENES-A18'!K17/10</f>
        <v>0</v>
      </c>
      <c r="D20" s="459">
        <f>'XYLENES-A18'!K46/10</f>
        <v>0</v>
      </c>
      <c r="E20" s="458">
        <v>0</v>
      </c>
      <c r="F20" s="458">
        <v>0</v>
      </c>
      <c r="G20" s="459">
        <f t="shared" si="0"/>
        <v>0</v>
      </c>
      <c r="H20" s="455" t="str">
        <f t="shared" si="1"/>
        <v xml:space="preserve">    -</v>
      </c>
      <c r="I20" s="455" t="str">
        <f t="shared" si="2"/>
        <v xml:space="preserve">    -</v>
      </c>
      <c r="J20" s="482">
        <f t="shared" si="3"/>
        <v>0</v>
      </c>
      <c r="K20" s="455" t="str">
        <f t="shared" si="4"/>
        <v xml:space="preserve">    -</v>
      </c>
      <c r="L20" s="454"/>
      <c r="M20" s="453"/>
      <c r="N20" s="460" t="s">
        <v>377</v>
      </c>
      <c r="O20" s="451">
        <f t="shared" si="5"/>
        <v>0</v>
      </c>
      <c r="P20" s="450">
        <f>('XYLENES-A18'!K75)/10</f>
        <v>7.5</v>
      </c>
      <c r="Q20" s="449">
        <f t="shared" si="6"/>
        <v>-7.5</v>
      </c>
      <c r="R20" s="448"/>
    </row>
    <row r="21" spans="1:18">
      <c r="A21" s="453"/>
      <c r="B21" s="460" t="s">
        <v>64</v>
      </c>
      <c r="C21" s="459">
        <f>'PX-A19'!K17/10</f>
        <v>0</v>
      </c>
      <c r="D21" s="459">
        <f>'PX-A19'!K46/10</f>
        <v>0</v>
      </c>
      <c r="E21" s="458">
        <v>0</v>
      </c>
      <c r="F21" s="458">
        <v>0</v>
      </c>
      <c r="G21" s="459">
        <f t="shared" si="0"/>
        <v>0</v>
      </c>
      <c r="H21" s="455" t="str">
        <f t="shared" si="1"/>
        <v xml:space="preserve">    -</v>
      </c>
      <c r="I21" s="455" t="str">
        <f t="shared" si="2"/>
        <v xml:space="preserve">    -</v>
      </c>
      <c r="J21" s="482">
        <f t="shared" si="3"/>
        <v>0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('PX-A19'!K75)/10</f>
        <v>0</v>
      </c>
      <c r="Q21" s="449">
        <f t="shared" si="6"/>
        <v>0</v>
      </c>
      <c r="R21" s="448"/>
    </row>
    <row r="22" spans="1:18">
      <c r="A22" s="453"/>
      <c r="B22" s="460" t="s">
        <v>62</v>
      </c>
      <c r="C22" s="459">
        <f>'PTA-A20'!K17/10</f>
        <v>0</v>
      </c>
      <c r="D22" s="459">
        <f>'PTA-A20'!K46/10</f>
        <v>0</v>
      </c>
      <c r="E22" s="458">
        <v>33.9</v>
      </c>
      <c r="F22" s="458">
        <v>0</v>
      </c>
      <c r="G22" s="459">
        <f t="shared" si="0"/>
        <v>33.9</v>
      </c>
      <c r="H22" s="455">
        <f t="shared" si="1"/>
        <v>1</v>
      </c>
      <c r="I22" s="455" t="str">
        <f t="shared" si="2"/>
        <v xml:space="preserve">    -</v>
      </c>
      <c r="J22" s="482">
        <f t="shared" si="3"/>
        <v>-33.9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('PTA-A20'!K75)/10</f>
        <v>33.9</v>
      </c>
      <c r="Q22" s="449">
        <f t="shared" si="6"/>
        <v>-33.9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0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R23"/>
  <sheetViews>
    <sheetView showGridLines="0" view="pageBreakPreview" zoomScale="60" zoomScaleNormal="70" workbookViewId="0">
      <selection activeCell="L5" sqref="L5:L22"/>
    </sheetView>
  </sheetViews>
  <sheetFormatPr defaultRowHeight="13.5"/>
  <cols>
    <col min="1" max="1" width="15.625" customWidth="1"/>
    <col min="2" max="2" width="21.125" customWidth="1"/>
    <col min="3" max="11" width="12.875" customWidth="1"/>
    <col min="12" max="12" width="3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394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'ETHYLENE-A1'!Q17/10</f>
        <v>120</v>
      </c>
      <c r="D5" s="459">
        <f>'ETHYLENE-A1'!Q46/10</f>
        <v>120</v>
      </c>
      <c r="E5" s="458">
        <v>0</v>
      </c>
      <c r="F5" s="458">
        <v>0</v>
      </c>
      <c r="G5" s="459">
        <f t="shared" ref="G5:G22" si="0">D5+E5-F5</f>
        <v>120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82">
        <f t="shared" ref="J5:J22" si="3">D5-G5</f>
        <v>0</v>
      </c>
      <c r="K5" s="455">
        <f t="shared" ref="K5:K22" si="4">IF(AND(D5=0,C5=0),"    -",IF(C5=0,"     0%",IF(D5=0,"     -",ROUND(D5/C5,4))))</f>
        <v>1</v>
      </c>
      <c r="L5" s="454" t="s">
        <v>417</v>
      </c>
      <c r="M5" s="453"/>
      <c r="N5" s="452" t="s">
        <v>79</v>
      </c>
      <c r="O5" s="451">
        <f t="shared" ref="O5:O22" si="5">D5</f>
        <v>120</v>
      </c>
      <c r="P5" s="450">
        <f>('ETHYLENE-A1'!Q75)/10</f>
        <v>0</v>
      </c>
      <c r="Q5" s="449">
        <f>O5-P5</f>
        <v>120</v>
      </c>
      <c r="R5" s="448"/>
    </row>
    <row r="6" spans="1:18">
      <c r="A6" s="453"/>
      <c r="B6" s="460" t="s">
        <v>78</v>
      </c>
      <c r="C6" s="459">
        <f>'LDPE-A2'!Q17/10</f>
        <v>50</v>
      </c>
      <c r="D6" s="459">
        <f>'LDPE-A2'!Q46/10</f>
        <v>50</v>
      </c>
      <c r="E6" s="458">
        <v>126</v>
      </c>
      <c r="F6" s="458">
        <v>0</v>
      </c>
      <c r="G6" s="459">
        <f t="shared" si="0"/>
        <v>176</v>
      </c>
      <c r="H6" s="455">
        <f t="shared" si="1"/>
        <v>0.71589999999999998</v>
      </c>
      <c r="I6" s="455" t="str">
        <f t="shared" si="2"/>
        <v xml:space="preserve">     0%</v>
      </c>
      <c r="J6" s="482">
        <f t="shared" si="3"/>
        <v>-126</v>
      </c>
      <c r="K6" s="455">
        <f t="shared" si="4"/>
        <v>1</v>
      </c>
      <c r="L6" s="454" t="s">
        <v>417</v>
      </c>
      <c r="M6" s="453"/>
      <c r="N6" s="452" t="s">
        <v>78</v>
      </c>
      <c r="O6" s="451">
        <f t="shared" si="5"/>
        <v>50</v>
      </c>
      <c r="P6" s="450">
        <f>('LDPE-A2'!Q75)/10</f>
        <v>92.1</v>
      </c>
      <c r="Q6" s="449">
        <f t="shared" ref="Q6:Q22" si="6">O6-P6</f>
        <v>-42.099999999999994</v>
      </c>
      <c r="R6" s="448"/>
    </row>
    <row r="7" spans="1:18">
      <c r="A7" s="453"/>
      <c r="B7" s="460" t="s">
        <v>76</v>
      </c>
      <c r="C7" s="459">
        <f>'HDPE-A3'!Q17/10</f>
        <v>45</v>
      </c>
      <c r="D7" s="459">
        <f>'HDPE-A3'!Q46/10</f>
        <v>45</v>
      </c>
      <c r="E7" s="458">
        <v>47</v>
      </c>
      <c r="F7" s="458">
        <v>0</v>
      </c>
      <c r="G7" s="459">
        <f t="shared" si="0"/>
        <v>92</v>
      </c>
      <c r="H7" s="455">
        <f t="shared" si="1"/>
        <v>0.51090000000000002</v>
      </c>
      <c r="I7" s="455" t="str">
        <f t="shared" si="2"/>
        <v xml:space="preserve">     0%</v>
      </c>
      <c r="J7" s="482">
        <f t="shared" si="3"/>
        <v>-47</v>
      </c>
      <c r="K7" s="455">
        <f t="shared" si="4"/>
        <v>1</v>
      </c>
      <c r="L7" s="454" t="s">
        <v>417</v>
      </c>
      <c r="M7" s="453"/>
      <c r="N7" s="452" t="s">
        <v>76</v>
      </c>
      <c r="O7" s="451">
        <f t="shared" si="5"/>
        <v>45</v>
      </c>
      <c r="P7" s="450">
        <f>('HDPE-A3'!Q75)/10</f>
        <v>171</v>
      </c>
      <c r="Q7" s="449">
        <f t="shared" si="6"/>
        <v>-126</v>
      </c>
      <c r="R7" s="448"/>
    </row>
    <row r="8" spans="1:18">
      <c r="A8" s="453"/>
      <c r="B8" s="460" t="s">
        <v>75</v>
      </c>
      <c r="C8" s="459">
        <f>'SM-A6'!Q17/10</f>
        <v>0</v>
      </c>
      <c r="D8" s="459">
        <f>'SM-A6'!Q46/10</f>
        <v>0</v>
      </c>
      <c r="E8" s="458">
        <v>20.6</v>
      </c>
      <c r="F8" s="458">
        <v>0</v>
      </c>
      <c r="G8" s="459">
        <f t="shared" si="0"/>
        <v>20.6</v>
      </c>
      <c r="H8" s="455">
        <f t="shared" si="1"/>
        <v>1</v>
      </c>
      <c r="I8" s="455" t="str">
        <f t="shared" si="2"/>
        <v xml:space="preserve">    -</v>
      </c>
      <c r="J8" s="482">
        <f t="shared" si="3"/>
        <v>-20.6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('SM-A6'!Q75)/10</f>
        <v>20.6</v>
      </c>
      <c r="Q8" s="449">
        <f t="shared" si="6"/>
        <v>-20.6</v>
      </c>
      <c r="R8" s="448"/>
    </row>
    <row r="9" spans="1:18">
      <c r="A9" s="453"/>
      <c r="B9" s="460" t="s">
        <v>74</v>
      </c>
      <c r="C9" s="459">
        <f>'EG-A10'!Q17/10</f>
        <v>0</v>
      </c>
      <c r="D9" s="459">
        <f>'EG-A10'!Q46/10</f>
        <v>0</v>
      </c>
      <c r="E9" s="458">
        <v>26.5</v>
      </c>
      <c r="F9" s="458">
        <v>0</v>
      </c>
      <c r="G9" s="459">
        <f t="shared" si="0"/>
        <v>26.5</v>
      </c>
      <c r="H9" s="455">
        <f t="shared" si="1"/>
        <v>1</v>
      </c>
      <c r="I9" s="455" t="str">
        <f t="shared" si="2"/>
        <v xml:space="preserve">    -</v>
      </c>
      <c r="J9" s="482">
        <f t="shared" si="3"/>
        <v>-26.5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('EG-A10'!Q75)/10</f>
        <v>26.5</v>
      </c>
      <c r="Q9" s="449">
        <f t="shared" si="6"/>
        <v>-26.5</v>
      </c>
      <c r="R9" s="448"/>
    </row>
    <row r="10" spans="1:18">
      <c r="A10" s="453"/>
      <c r="B10" s="460" t="s">
        <v>72</v>
      </c>
      <c r="C10" s="459">
        <f>'PVC-A7'!Q17/10</f>
        <v>35</v>
      </c>
      <c r="D10" s="459">
        <f>'PVC-A7'!Q46/10</f>
        <v>35</v>
      </c>
      <c r="E10" s="458">
        <v>20.6</v>
      </c>
      <c r="F10" s="458">
        <v>0</v>
      </c>
      <c r="G10" s="459">
        <f t="shared" si="0"/>
        <v>55.6</v>
      </c>
      <c r="H10" s="455">
        <f t="shared" si="1"/>
        <v>0.3705</v>
      </c>
      <c r="I10" s="455" t="str">
        <f t="shared" si="2"/>
        <v xml:space="preserve">     0%</v>
      </c>
      <c r="J10" s="482">
        <f t="shared" si="3"/>
        <v>-20.6</v>
      </c>
      <c r="K10" s="455">
        <f t="shared" si="4"/>
        <v>1</v>
      </c>
      <c r="L10" s="454" t="s">
        <v>418</v>
      </c>
      <c r="M10" s="453"/>
      <c r="N10" s="452" t="s">
        <v>72</v>
      </c>
      <c r="O10" s="451">
        <f t="shared" si="5"/>
        <v>35</v>
      </c>
      <c r="P10" s="450">
        <f>('PVC-A7'!Q75)/10</f>
        <v>77.099999999999994</v>
      </c>
      <c r="Q10" s="449">
        <f t="shared" si="6"/>
        <v>-42.099999999999994</v>
      </c>
      <c r="R10" s="448"/>
    </row>
    <row r="11" spans="1:18">
      <c r="A11" s="453"/>
      <c r="B11" s="460" t="s">
        <v>371</v>
      </c>
      <c r="C11" s="459">
        <f>'OTHER(C2)-A11'!Q17/10</f>
        <v>0</v>
      </c>
      <c r="D11" s="459">
        <f>'OTHER(C2)-A11'!Q46/10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('OTHER(C2)-A11'!Q75)/10</f>
        <v>29.6</v>
      </c>
      <c r="Q11" s="449">
        <f t="shared" si="6"/>
        <v>-29.6</v>
      </c>
      <c r="R11" s="448"/>
    </row>
    <row r="12" spans="1:18">
      <c r="A12" s="453"/>
      <c r="B12" s="460" t="s">
        <v>372</v>
      </c>
      <c r="C12" s="462">
        <f>C6*0.98+C7*1.04+C8*0.29+C9*0.66+C10*0.5+C11</f>
        <v>113.30000000000001</v>
      </c>
      <c r="D12" s="462">
        <f>D6*0.98+D7*1.04+D8*0.29+D9*0.66+D10*0.5+D11</f>
        <v>113.30000000000001</v>
      </c>
      <c r="E12" s="462">
        <f>E6*0.98+E7*1.04+E8*0.29+E9*0.66+E10*0.5</f>
        <v>206.12400000000002</v>
      </c>
      <c r="F12" s="462">
        <f>F6*0.98+F7*1.04+F8*0.29+F9*0.66+F10*0.5</f>
        <v>0</v>
      </c>
      <c r="G12" s="459">
        <f t="shared" si="0"/>
        <v>319.42400000000004</v>
      </c>
      <c r="H12" s="455">
        <f t="shared" si="1"/>
        <v>0.64529999999999998</v>
      </c>
      <c r="I12" s="455" t="str">
        <f t="shared" si="2"/>
        <v xml:space="preserve">     0%</v>
      </c>
      <c r="J12" s="482">
        <f t="shared" si="3"/>
        <v>-206.12400000000002</v>
      </c>
      <c r="K12" s="455">
        <f t="shared" si="4"/>
        <v>1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-246.41200000000001</v>
      </c>
      <c r="R12" s="448"/>
    </row>
    <row r="13" spans="1:18">
      <c r="A13" s="453"/>
      <c r="B13" s="460" t="s">
        <v>373</v>
      </c>
      <c r="C13" s="459">
        <f>'PROPYLENE-A12'!Q17/10</f>
        <v>97</v>
      </c>
      <c r="D13" s="459">
        <f>'PROPYLENE-A12'!Q46/10</f>
        <v>97</v>
      </c>
      <c r="E13" s="458">
        <v>0</v>
      </c>
      <c r="F13" s="458">
        <v>0</v>
      </c>
      <c r="G13" s="459">
        <f t="shared" si="0"/>
        <v>97</v>
      </c>
      <c r="H13" s="455" t="str">
        <f t="shared" si="1"/>
        <v xml:space="preserve">     0%</v>
      </c>
      <c r="I13" s="455" t="str">
        <f t="shared" si="2"/>
        <v xml:space="preserve">     0%</v>
      </c>
      <c r="J13" s="482">
        <f t="shared" si="3"/>
        <v>0</v>
      </c>
      <c r="K13" s="455">
        <f t="shared" si="4"/>
        <v>1</v>
      </c>
      <c r="L13" s="454" t="s">
        <v>419</v>
      </c>
      <c r="M13" s="453"/>
      <c r="N13" s="460" t="s">
        <v>373</v>
      </c>
      <c r="O13" s="451">
        <f t="shared" si="5"/>
        <v>97</v>
      </c>
      <c r="P13" s="450">
        <f>('PROPYLENE-A12'!Q75)/10</f>
        <v>97</v>
      </c>
      <c r="Q13" s="449">
        <f t="shared" si="6"/>
        <v>0</v>
      </c>
      <c r="R13" s="448"/>
    </row>
    <row r="14" spans="1:18">
      <c r="A14" s="453"/>
      <c r="B14" s="460" t="s">
        <v>69</v>
      </c>
      <c r="C14" s="459">
        <f>'PP-A13'!Q17/10</f>
        <v>127</v>
      </c>
      <c r="D14" s="459">
        <f>'PP-A13'!Q46/10</f>
        <v>127</v>
      </c>
      <c r="E14" s="458">
        <v>79.5</v>
      </c>
      <c r="F14" s="458">
        <v>0</v>
      </c>
      <c r="G14" s="459">
        <f t="shared" si="0"/>
        <v>206.5</v>
      </c>
      <c r="H14" s="455">
        <f t="shared" si="1"/>
        <v>0.38500000000000001</v>
      </c>
      <c r="I14" s="455" t="str">
        <f t="shared" si="2"/>
        <v xml:space="preserve">     0%</v>
      </c>
      <c r="J14" s="482">
        <f t="shared" si="3"/>
        <v>-79.5</v>
      </c>
      <c r="K14" s="455">
        <f t="shared" si="4"/>
        <v>1</v>
      </c>
      <c r="L14" s="454" t="s">
        <v>420</v>
      </c>
      <c r="M14" s="453"/>
      <c r="N14" s="452" t="s">
        <v>69</v>
      </c>
      <c r="O14" s="451">
        <f t="shared" si="5"/>
        <v>127</v>
      </c>
      <c r="P14" s="450">
        <f>('PP-A13'!Q75)/10</f>
        <v>206.7</v>
      </c>
      <c r="Q14" s="449">
        <f t="shared" si="6"/>
        <v>-79.699999999999989</v>
      </c>
      <c r="R14" s="448"/>
    </row>
    <row r="15" spans="1:18">
      <c r="A15" s="453"/>
      <c r="B15" s="460" t="s">
        <v>67</v>
      </c>
      <c r="C15" s="459">
        <f>'AN-A14'!Q17/10</f>
        <v>0</v>
      </c>
      <c r="D15" s="459">
        <f>'AN-A14'!Q46/10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82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('AN-A14'!Q75)/10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'OTHER(C3)-A15'!Q17/10</f>
        <v>0</v>
      </c>
      <c r="D16" s="459">
        <f>'OTHER(C3)-A15'!Q46/10</f>
        <v>0</v>
      </c>
      <c r="E16" s="458">
        <v>0</v>
      </c>
      <c r="F16" s="458">
        <v>0</v>
      </c>
      <c r="G16" s="459">
        <f t="shared" si="0"/>
        <v>0</v>
      </c>
      <c r="H16" s="455" t="str">
        <f t="shared" si="1"/>
        <v xml:space="preserve">    -</v>
      </c>
      <c r="I16" s="455" t="str">
        <f t="shared" si="2"/>
        <v xml:space="preserve">    -</v>
      </c>
      <c r="J16" s="482">
        <f t="shared" si="3"/>
        <v>0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('OTHER(C3)-A15'!Q75)/10</f>
        <v>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130.81</v>
      </c>
      <c r="D17" s="459">
        <f>D14*1.03+D15*1.09+D16</f>
        <v>130.81</v>
      </c>
      <c r="E17" s="459">
        <f>E14*1.03+E15*1.09</f>
        <v>81.885000000000005</v>
      </c>
      <c r="F17" s="459">
        <f>F14*1.03+F15*1.09</f>
        <v>0</v>
      </c>
      <c r="G17" s="459">
        <f t="shared" si="0"/>
        <v>212.69499999999999</v>
      </c>
      <c r="H17" s="455">
        <f t="shared" si="1"/>
        <v>0.38500000000000001</v>
      </c>
      <c r="I17" s="455" t="str">
        <f t="shared" si="2"/>
        <v xml:space="preserve">     0%</v>
      </c>
      <c r="J17" s="482">
        <f t="shared" si="3"/>
        <v>-81.884999999999991</v>
      </c>
      <c r="K17" s="455">
        <f t="shared" si="4"/>
        <v>1</v>
      </c>
      <c r="L17" s="454"/>
      <c r="M17" s="453"/>
      <c r="N17" s="460" t="s">
        <v>374</v>
      </c>
      <c r="O17" s="451"/>
      <c r="P17" s="450"/>
      <c r="Q17" s="461">
        <f>Q14*1.03+Q15*1.09+Q16</f>
        <v>-82.090999999999994</v>
      </c>
      <c r="R17" s="448"/>
    </row>
    <row r="18" spans="1:18">
      <c r="A18" s="453"/>
      <c r="B18" s="460" t="s">
        <v>375</v>
      </c>
      <c r="C18" s="459">
        <f>'BENZENE-A16'!Q17/10</f>
        <v>0</v>
      </c>
      <c r="D18" s="459">
        <f>'BENZENE-A16'!Q46/10</f>
        <v>0</v>
      </c>
      <c r="E18" s="458">
        <v>0</v>
      </c>
      <c r="F18" s="458">
        <v>0</v>
      </c>
      <c r="G18" s="459">
        <f t="shared" si="0"/>
        <v>0</v>
      </c>
      <c r="H18" s="455" t="str">
        <f t="shared" si="1"/>
        <v xml:space="preserve">    -</v>
      </c>
      <c r="I18" s="455" t="str">
        <f t="shared" si="2"/>
        <v xml:space="preserve">    -</v>
      </c>
      <c r="J18" s="482">
        <f t="shared" si="3"/>
        <v>0</v>
      </c>
      <c r="K18" s="455" t="str">
        <f t="shared" si="4"/>
        <v xml:space="preserve">    -</v>
      </c>
      <c r="L18" s="454"/>
      <c r="M18" s="453"/>
      <c r="N18" s="460" t="s">
        <v>375</v>
      </c>
      <c r="O18" s="451">
        <f t="shared" si="5"/>
        <v>0</v>
      </c>
      <c r="P18" s="450">
        <f>('BENZENE-A16'!Q75)/10</f>
        <v>0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'TOLUENE-A17'!Q17/10</f>
        <v>0</v>
      </c>
      <c r="D19" s="459">
        <f>'TOLUENE-A17'!Q46/10</f>
        <v>0</v>
      </c>
      <c r="E19" s="458">
        <v>29.5</v>
      </c>
      <c r="F19" s="458">
        <v>0</v>
      </c>
      <c r="G19" s="459">
        <f t="shared" si="0"/>
        <v>29.5</v>
      </c>
      <c r="H19" s="455">
        <f t="shared" si="1"/>
        <v>1</v>
      </c>
      <c r="I19" s="455" t="str">
        <f t="shared" si="2"/>
        <v xml:space="preserve">    -</v>
      </c>
      <c r="J19" s="482">
        <f t="shared" si="3"/>
        <v>-29.5</v>
      </c>
      <c r="K19" s="455" t="str">
        <f t="shared" si="4"/>
        <v xml:space="preserve">    -</v>
      </c>
      <c r="L19" s="454"/>
      <c r="M19" s="453"/>
      <c r="N19" s="460" t="s">
        <v>376</v>
      </c>
      <c r="O19" s="451">
        <f t="shared" si="5"/>
        <v>0</v>
      </c>
      <c r="P19" s="450">
        <f>('TOLUENE-A17'!Q75)/10</f>
        <v>29.5</v>
      </c>
      <c r="Q19" s="449">
        <f t="shared" si="6"/>
        <v>-29.5</v>
      </c>
      <c r="R19" s="448"/>
    </row>
    <row r="20" spans="1:18">
      <c r="A20" s="453"/>
      <c r="B20" s="460" t="s">
        <v>377</v>
      </c>
      <c r="C20" s="459">
        <f>'XYLENES-A18'!Q17/10</f>
        <v>0</v>
      </c>
      <c r="D20" s="459">
        <f>'XYLENES-A18'!Q46/10</f>
        <v>0</v>
      </c>
      <c r="E20" s="458">
        <v>0</v>
      </c>
      <c r="F20" s="458">
        <v>0</v>
      </c>
      <c r="G20" s="459">
        <f t="shared" si="0"/>
        <v>0</v>
      </c>
      <c r="H20" s="455" t="str">
        <f t="shared" si="1"/>
        <v xml:space="preserve">    -</v>
      </c>
      <c r="I20" s="455" t="str">
        <f t="shared" si="2"/>
        <v xml:space="preserve">    -</v>
      </c>
      <c r="J20" s="482">
        <f t="shared" si="3"/>
        <v>0</v>
      </c>
      <c r="K20" s="455" t="str">
        <f t="shared" si="4"/>
        <v xml:space="preserve">    -</v>
      </c>
      <c r="L20" s="454"/>
      <c r="M20" s="453"/>
      <c r="N20" s="460" t="s">
        <v>377</v>
      </c>
      <c r="O20" s="451">
        <f t="shared" si="5"/>
        <v>0</v>
      </c>
      <c r="P20" s="450">
        <f>('XYLENES-A18'!Q75)/10</f>
        <v>10.7</v>
      </c>
      <c r="Q20" s="449">
        <f t="shared" si="6"/>
        <v>-10.7</v>
      </c>
      <c r="R20" s="448"/>
    </row>
    <row r="21" spans="1:18">
      <c r="A21" s="453"/>
      <c r="B21" s="460" t="s">
        <v>64</v>
      </c>
      <c r="C21" s="459">
        <f>'PX-A19'!Q17/10</f>
        <v>70</v>
      </c>
      <c r="D21" s="459">
        <f>'PX-A19'!Q46/10</f>
        <v>70</v>
      </c>
      <c r="E21" s="458">
        <v>0</v>
      </c>
      <c r="F21" s="458">
        <v>0</v>
      </c>
      <c r="G21" s="459">
        <f t="shared" si="0"/>
        <v>70</v>
      </c>
      <c r="H21" s="455" t="str">
        <f t="shared" si="1"/>
        <v xml:space="preserve">     0%</v>
      </c>
      <c r="I21" s="455" t="str">
        <f t="shared" si="2"/>
        <v xml:space="preserve">     0%</v>
      </c>
      <c r="J21" s="482">
        <f t="shared" si="3"/>
        <v>0</v>
      </c>
      <c r="K21" s="455">
        <f t="shared" si="4"/>
        <v>1</v>
      </c>
      <c r="L21" s="454"/>
      <c r="M21" s="453"/>
      <c r="N21" s="452" t="s">
        <v>64</v>
      </c>
      <c r="O21" s="451">
        <f t="shared" si="5"/>
        <v>70</v>
      </c>
      <c r="P21" s="450">
        <f>('PX-A19'!Q75)/10</f>
        <v>0</v>
      </c>
      <c r="Q21" s="449">
        <f t="shared" si="6"/>
        <v>70</v>
      </c>
      <c r="R21" s="448"/>
    </row>
    <row r="22" spans="1:18">
      <c r="A22" s="453"/>
      <c r="B22" s="460" t="s">
        <v>62</v>
      </c>
      <c r="C22" s="459">
        <f>'PTA-A20'!Q17/10</f>
        <v>0</v>
      </c>
      <c r="D22" s="459">
        <f>'PTA-A20'!Q46/10</f>
        <v>0</v>
      </c>
      <c r="E22" s="458">
        <v>48.1</v>
      </c>
      <c r="F22" s="458">
        <v>0</v>
      </c>
      <c r="G22" s="459">
        <f t="shared" si="0"/>
        <v>48.1</v>
      </c>
      <c r="H22" s="455">
        <f t="shared" si="1"/>
        <v>1</v>
      </c>
      <c r="I22" s="455" t="str">
        <f t="shared" si="2"/>
        <v xml:space="preserve">    -</v>
      </c>
      <c r="J22" s="482">
        <f t="shared" si="3"/>
        <v>-48.1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('PTA-A20'!Q75)/10</f>
        <v>48.1</v>
      </c>
      <c r="Q22" s="449">
        <f t="shared" si="6"/>
        <v>-48.1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1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395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'ETHYLENE-A1'!K21/10</f>
        <v>50</v>
      </c>
      <c r="D5" s="459">
        <f>'ETHYLENE-A1'!K50/10</f>
        <v>38</v>
      </c>
      <c r="E5" s="458">
        <v>0</v>
      </c>
      <c r="F5" s="458">
        <v>0</v>
      </c>
      <c r="G5" s="459">
        <f t="shared" ref="G5:G22" si="0">D5+E5-F5</f>
        <v>38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0.76</v>
      </c>
      <c r="L5" s="454" t="s">
        <v>141</v>
      </c>
      <c r="M5" s="453"/>
      <c r="N5" s="452" t="s">
        <v>79</v>
      </c>
      <c r="O5" s="451">
        <f t="shared" ref="O5:O22" si="5">D5</f>
        <v>38</v>
      </c>
      <c r="P5" s="450">
        <f>('ETHYLENE-A1'!K79)/10</f>
        <v>38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'LDPE-A2'!K21/10</f>
        <v>20</v>
      </c>
      <c r="D6" s="459">
        <f>'LDPE-A2'!K50/10</f>
        <v>17</v>
      </c>
      <c r="E6" s="458">
        <v>5.5</v>
      </c>
      <c r="F6" s="458">
        <v>0</v>
      </c>
      <c r="G6" s="459">
        <f t="shared" si="0"/>
        <v>22.5</v>
      </c>
      <c r="H6" s="455">
        <f t="shared" si="1"/>
        <v>0.24440000000000001</v>
      </c>
      <c r="I6" s="455" t="str">
        <f t="shared" si="2"/>
        <v xml:space="preserve">     0%</v>
      </c>
      <c r="J6" s="456">
        <f t="shared" si="3"/>
        <v>-5.5</v>
      </c>
      <c r="K6" s="455">
        <f t="shared" si="4"/>
        <v>0.85</v>
      </c>
      <c r="L6" s="454" t="s">
        <v>141</v>
      </c>
      <c r="M6" s="453"/>
      <c r="N6" s="452" t="s">
        <v>78</v>
      </c>
      <c r="O6" s="451">
        <f t="shared" si="5"/>
        <v>17</v>
      </c>
      <c r="P6" s="450">
        <f>('LDPE-A2'!K79)/10</f>
        <v>22.6</v>
      </c>
      <c r="Q6" s="449">
        <f t="shared" ref="Q6:Q22" si="6">O6-P6</f>
        <v>-5.6000000000000014</v>
      </c>
      <c r="R6" s="448"/>
    </row>
    <row r="7" spans="1:18">
      <c r="A7" s="453"/>
      <c r="B7" s="460" t="s">
        <v>76</v>
      </c>
      <c r="C7" s="459">
        <f>'HDPE-A3'!K21/10</f>
        <v>20.5</v>
      </c>
      <c r="D7" s="459">
        <f>'HDPE-A3'!K50/10</f>
        <v>18.5</v>
      </c>
      <c r="E7" s="458">
        <v>18.100000000000001</v>
      </c>
      <c r="F7" s="458">
        <v>0</v>
      </c>
      <c r="G7" s="459">
        <f t="shared" si="0"/>
        <v>36.6</v>
      </c>
      <c r="H7" s="455">
        <f t="shared" si="1"/>
        <v>0.4945</v>
      </c>
      <c r="I7" s="455" t="str">
        <f t="shared" si="2"/>
        <v xml:space="preserve">     0%</v>
      </c>
      <c r="J7" s="456">
        <f t="shared" si="3"/>
        <v>-18.100000000000001</v>
      </c>
      <c r="K7" s="455">
        <f t="shared" si="4"/>
        <v>0.90239999999999998</v>
      </c>
      <c r="L7" s="454" t="s">
        <v>141</v>
      </c>
      <c r="M7" s="453"/>
      <c r="N7" s="452" t="s">
        <v>76</v>
      </c>
      <c r="O7" s="451">
        <f t="shared" si="5"/>
        <v>18.5</v>
      </c>
      <c r="P7" s="450">
        <f>('HDPE-A3'!K79)/10</f>
        <v>36.5</v>
      </c>
      <c r="Q7" s="449">
        <f t="shared" si="6"/>
        <v>-18</v>
      </c>
      <c r="R7" s="448"/>
    </row>
    <row r="8" spans="1:18">
      <c r="A8" s="453"/>
      <c r="B8" s="460" t="s">
        <v>75</v>
      </c>
      <c r="C8" s="459">
        <f>'SM-A6'!K21/10</f>
        <v>0</v>
      </c>
      <c r="D8" s="459">
        <f>'SM-A6'!K50/10</f>
        <v>0</v>
      </c>
      <c r="E8" s="458">
        <v>1.6</v>
      </c>
      <c r="F8" s="458">
        <v>0</v>
      </c>
      <c r="G8" s="459">
        <f t="shared" si="0"/>
        <v>1.6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-1.6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('SM-A6'!K79)/10</f>
        <v>2</v>
      </c>
      <c r="Q8" s="449">
        <f t="shared" si="6"/>
        <v>-2</v>
      </c>
      <c r="R8" s="448"/>
    </row>
    <row r="9" spans="1:18">
      <c r="A9" s="453"/>
      <c r="B9" s="460" t="s">
        <v>74</v>
      </c>
      <c r="C9" s="459">
        <f>'EG-A10'!K21/10</f>
        <v>0.6</v>
      </c>
      <c r="D9" s="459">
        <f>'EG-A10'!K50/10</f>
        <v>0.6</v>
      </c>
      <c r="E9" s="458">
        <v>0.9</v>
      </c>
      <c r="F9" s="458">
        <v>0</v>
      </c>
      <c r="G9" s="459">
        <f t="shared" si="0"/>
        <v>1.5</v>
      </c>
      <c r="H9" s="455">
        <f t="shared" si="1"/>
        <v>0.6</v>
      </c>
      <c r="I9" s="455" t="str">
        <f t="shared" si="2"/>
        <v xml:space="preserve">     0%</v>
      </c>
      <c r="J9" s="456">
        <f t="shared" si="3"/>
        <v>-0.9</v>
      </c>
      <c r="K9" s="455">
        <f t="shared" si="4"/>
        <v>1</v>
      </c>
      <c r="L9" s="454" t="s">
        <v>140</v>
      </c>
      <c r="M9" s="453"/>
      <c r="N9" s="452" t="s">
        <v>74</v>
      </c>
      <c r="O9" s="451">
        <f t="shared" si="5"/>
        <v>0.6</v>
      </c>
      <c r="P9" s="450">
        <f>('EG-A10'!$K$78)/10</f>
        <v>2</v>
      </c>
      <c r="Q9" s="449">
        <f t="shared" si="6"/>
        <v>-1.4</v>
      </c>
      <c r="R9" s="448"/>
    </row>
    <row r="10" spans="1:18">
      <c r="A10" s="453"/>
      <c r="B10" s="460" t="s">
        <v>72</v>
      </c>
      <c r="C10" s="459">
        <f>'PVC-A7'!K21/10</f>
        <v>0</v>
      </c>
      <c r="D10" s="459">
        <f>'PVC-A7'!K50/10</f>
        <v>0</v>
      </c>
      <c r="E10" s="458">
        <v>21.9</v>
      </c>
      <c r="F10" s="458">
        <v>0</v>
      </c>
      <c r="G10" s="459">
        <f t="shared" si="0"/>
        <v>21.9</v>
      </c>
      <c r="H10" s="455">
        <f t="shared" si="1"/>
        <v>1</v>
      </c>
      <c r="I10" s="455" t="str">
        <f t="shared" si="2"/>
        <v xml:space="preserve">    -</v>
      </c>
      <c r="J10" s="456">
        <f t="shared" si="3"/>
        <v>-21.9</v>
      </c>
      <c r="K10" s="455" t="str">
        <f t="shared" si="4"/>
        <v xml:space="preserve">    -</v>
      </c>
      <c r="L10" s="454"/>
      <c r="M10" s="453"/>
      <c r="N10" s="452" t="s">
        <v>72</v>
      </c>
      <c r="O10" s="451">
        <f t="shared" si="5"/>
        <v>0</v>
      </c>
      <c r="P10" s="450">
        <f>('PVC-A7'!K79)/10</f>
        <v>21.8</v>
      </c>
      <c r="Q10" s="449">
        <f t="shared" si="6"/>
        <v>-21.8</v>
      </c>
      <c r="R10" s="448"/>
    </row>
    <row r="11" spans="1:18">
      <c r="A11" s="453"/>
      <c r="B11" s="460" t="s">
        <v>371</v>
      </c>
      <c r="C11" s="459">
        <f>'OTHER(C2)-A11'!K21/10</f>
        <v>0</v>
      </c>
      <c r="D11" s="459">
        <f>'OTHER(C2)-A11'!K50/10</f>
        <v>0</v>
      </c>
      <c r="E11" s="458">
        <v>4</v>
      </c>
      <c r="F11" s="458">
        <v>0</v>
      </c>
      <c r="G11" s="459">
        <f t="shared" si="0"/>
        <v>4</v>
      </c>
      <c r="H11" s="455">
        <f t="shared" si="1"/>
        <v>1</v>
      </c>
      <c r="I11" s="455" t="str">
        <f t="shared" si="2"/>
        <v xml:space="preserve">    -</v>
      </c>
      <c r="J11" s="456">
        <f t="shared" si="3"/>
        <v>-4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('OTHER(C2)-A11'!K79)/10</f>
        <v>3.5</v>
      </c>
      <c r="Q11" s="449">
        <f t="shared" si="6"/>
        <v>-3.5</v>
      </c>
      <c r="R11" s="448"/>
    </row>
    <row r="12" spans="1:18">
      <c r="A12" s="453"/>
      <c r="B12" s="460" t="s">
        <v>372</v>
      </c>
      <c r="C12" s="462">
        <f>C6*0.98+C7*1.04+C8*0.29+C9*0.66+C10*0.5+C11</f>
        <v>41.316000000000003</v>
      </c>
      <c r="D12" s="462">
        <f>D6*0.98+D7*1.04+D8*0.29+D9*0.66+D10*0.5+D11</f>
        <v>36.296000000000006</v>
      </c>
      <c r="E12" s="462">
        <f>E6*0.98+E7*1.04+E8*0.29+E9*0.66+E10*0.5</f>
        <v>36.222000000000001</v>
      </c>
      <c r="F12" s="462">
        <f>F6*0.98+F7*1.04+F8*0.29+F9*0.66+F10*0.5</f>
        <v>0</v>
      </c>
      <c r="G12" s="459">
        <f t="shared" si="0"/>
        <v>72.518000000000001</v>
      </c>
      <c r="H12" s="455">
        <f t="shared" si="1"/>
        <v>0.4995</v>
      </c>
      <c r="I12" s="455" t="str">
        <f t="shared" si="2"/>
        <v xml:space="preserve">     0%</v>
      </c>
      <c r="J12" s="456">
        <f t="shared" si="3"/>
        <v>-36.221999999999994</v>
      </c>
      <c r="K12" s="455">
        <f t="shared" si="4"/>
        <v>0.87849999999999995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-40.111999999999995</v>
      </c>
      <c r="R12" s="448"/>
    </row>
    <row r="13" spans="1:18">
      <c r="A13" s="453"/>
      <c r="B13" s="460" t="s">
        <v>373</v>
      </c>
      <c r="C13" s="459">
        <f>'PROPYLENE-A12'!K21/10</f>
        <v>18</v>
      </c>
      <c r="D13" s="459">
        <f>'PROPYLENE-A12'!K50/10</f>
        <v>12.5</v>
      </c>
      <c r="E13" s="458">
        <v>0</v>
      </c>
      <c r="F13" s="458">
        <v>0</v>
      </c>
      <c r="G13" s="459">
        <f t="shared" si="0"/>
        <v>12.5</v>
      </c>
      <c r="H13" s="455" t="str">
        <f t="shared" si="1"/>
        <v xml:space="preserve">     0%</v>
      </c>
      <c r="I13" s="455" t="str">
        <f t="shared" si="2"/>
        <v xml:space="preserve">     0%</v>
      </c>
      <c r="J13" s="456">
        <f t="shared" si="3"/>
        <v>0</v>
      </c>
      <c r="K13" s="455">
        <f t="shared" si="4"/>
        <v>0.69440000000000002</v>
      </c>
      <c r="L13" s="454" t="s">
        <v>139</v>
      </c>
      <c r="M13" s="453"/>
      <c r="N13" s="460" t="s">
        <v>373</v>
      </c>
      <c r="O13" s="451">
        <f t="shared" si="5"/>
        <v>12.5</v>
      </c>
      <c r="P13" s="450">
        <f>('PROPYLENE-A12'!K79)/10</f>
        <v>12.5</v>
      </c>
      <c r="Q13" s="449">
        <f t="shared" si="6"/>
        <v>0</v>
      </c>
      <c r="R13" s="448"/>
    </row>
    <row r="14" spans="1:18">
      <c r="A14" s="453"/>
      <c r="B14" s="460" t="s">
        <v>69</v>
      </c>
      <c r="C14" s="459">
        <f>'PP-A13'!K21/10</f>
        <v>13</v>
      </c>
      <c r="D14" s="459">
        <f>'PP-A13'!K50/10</f>
        <v>11.5</v>
      </c>
      <c r="E14" s="458">
        <v>2.1</v>
      </c>
      <c r="F14" s="458">
        <v>6.5</v>
      </c>
      <c r="G14" s="459">
        <f t="shared" si="0"/>
        <v>7.1</v>
      </c>
      <c r="H14" s="455">
        <f t="shared" si="1"/>
        <v>0.29580000000000001</v>
      </c>
      <c r="I14" s="455">
        <f t="shared" si="2"/>
        <v>0.56520000000000004</v>
      </c>
      <c r="J14" s="456">
        <f t="shared" si="3"/>
        <v>4.4000000000000004</v>
      </c>
      <c r="K14" s="455">
        <f t="shared" si="4"/>
        <v>0.88460000000000005</v>
      </c>
      <c r="L14" s="454" t="s">
        <v>293</v>
      </c>
      <c r="M14" s="453"/>
      <c r="N14" s="452" t="s">
        <v>69</v>
      </c>
      <c r="O14" s="451">
        <f t="shared" si="5"/>
        <v>11.5</v>
      </c>
      <c r="P14" s="450">
        <f>('PP-A13'!K79)/10</f>
        <v>8</v>
      </c>
      <c r="Q14" s="449">
        <f t="shared" si="6"/>
        <v>3.5</v>
      </c>
      <c r="R14" s="448"/>
    </row>
    <row r="15" spans="1:18">
      <c r="A15" s="453"/>
      <c r="B15" s="460" t="s">
        <v>67</v>
      </c>
      <c r="C15" s="459">
        <f>'AN-A14'!K21/10</f>
        <v>0</v>
      </c>
      <c r="D15" s="459">
        <f>'AN-A14'!K50/10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56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('AN-A14'!K79)/10</f>
        <v>0.04</v>
      </c>
      <c r="Q15" s="449">
        <f t="shared" si="6"/>
        <v>-0.04</v>
      </c>
      <c r="R15" s="448"/>
    </row>
    <row r="16" spans="1:18">
      <c r="A16" s="453"/>
      <c r="B16" s="460" t="s">
        <v>371</v>
      </c>
      <c r="C16" s="459">
        <f>'OTHER(C2)-A11'!K21/10</f>
        <v>0</v>
      </c>
      <c r="D16" s="459">
        <f>'OTHER(C3)-A15'!K50/10</f>
        <v>0</v>
      </c>
      <c r="E16" s="458">
        <v>2</v>
      </c>
      <c r="F16" s="458">
        <v>0</v>
      </c>
      <c r="G16" s="459">
        <f t="shared" si="0"/>
        <v>2</v>
      </c>
      <c r="H16" s="455">
        <f t="shared" si="1"/>
        <v>1</v>
      </c>
      <c r="I16" s="455" t="str">
        <f t="shared" si="2"/>
        <v xml:space="preserve">    -</v>
      </c>
      <c r="J16" s="456">
        <f t="shared" si="3"/>
        <v>-2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('OTHER(C3)-A15'!K79)/10</f>
        <v>1.8</v>
      </c>
      <c r="Q16" s="449">
        <f t="shared" si="6"/>
        <v>-1.8</v>
      </c>
      <c r="R16" s="448"/>
    </row>
    <row r="17" spans="1:18">
      <c r="A17" s="453"/>
      <c r="B17" s="460" t="s">
        <v>374</v>
      </c>
      <c r="C17" s="459">
        <f>C14*1.03+C15*1.09+C16</f>
        <v>13.39</v>
      </c>
      <c r="D17" s="459">
        <f>D14*1.03+D15*1.09+D16</f>
        <v>11.845000000000001</v>
      </c>
      <c r="E17" s="459">
        <f>E14*1.03+E15*1.09</f>
        <v>2.1630000000000003</v>
      </c>
      <c r="F17" s="459">
        <f>F14*1.03+F15*1.09</f>
        <v>6.6950000000000003</v>
      </c>
      <c r="G17" s="459">
        <f t="shared" si="0"/>
        <v>7.3130000000000006</v>
      </c>
      <c r="H17" s="455">
        <f t="shared" si="1"/>
        <v>0.29580000000000001</v>
      </c>
      <c r="I17" s="455">
        <f t="shared" si="2"/>
        <v>0.56520000000000004</v>
      </c>
      <c r="J17" s="456">
        <f t="shared" si="3"/>
        <v>4.532</v>
      </c>
      <c r="K17" s="455">
        <f t="shared" si="4"/>
        <v>0.88460000000000005</v>
      </c>
      <c r="L17" s="454"/>
      <c r="M17" s="453"/>
      <c r="N17" s="460" t="s">
        <v>374</v>
      </c>
      <c r="O17" s="451"/>
      <c r="P17" s="450"/>
      <c r="Q17" s="461">
        <f>Q14*1.03+Q15*1.09+Q16</f>
        <v>1.7613999999999999</v>
      </c>
      <c r="R17" s="448"/>
    </row>
    <row r="18" spans="1:18">
      <c r="A18" s="453"/>
      <c r="B18" s="460" t="s">
        <v>375</v>
      </c>
      <c r="C18" s="459">
        <f>'BENZENE-A16'!K21/10</f>
        <v>3</v>
      </c>
      <c r="D18" s="459">
        <f>'BENZENE-A16'!K50/10</f>
        <v>0</v>
      </c>
      <c r="E18" s="458">
        <v>0</v>
      </c>
      <c r="F18" s="458">
        <v>0</v>
      </c>
      <c r="G18" s="459">
        <f t="shared" si="0"/>
        <v>0</v>
      </c>
      <c r="H18" s="455" t="str">
        <f t="shared" si="1"/>
        <v xml:space="preserve">    -</v>
      </c>
      <c r="I18" s="455" t="str">
        <f t="shared" si="2"/>
        <v xml:space="preserve">    -</v>
      </c>
      <c r="J18" s="456">
        <f t="shared" si="3"/>
        <v>0</v>
      </c>
      <c r="K18" s="455" t="str">
        <f t="shared" si="4"/>
        <v xml:space="preserve">     -</v>
      </c>
      <c r="L18" s="454" t="s">
        <v>138</v>
      </c>
      <c r="M18" s="453"/>
      <c r="N18" s="460" t="s">
        <v>375</v>
      </c>
      <c r="O18" s="451">
        <f t="shared" si="5"/>
        <v>0</v>
      </c>
      <c r="P18" s="450">
        <f>('BENZENE-A16'!K79)/10</f>
        <v>0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'TOLUENE-A17'!K21/10</f>
        <v>1</v>
      </c>
      <c r="D19" s="459">
        <f>'TOLUENE-A17'!K50/10</f>
        <v>1</v>
      </c>
      <c r="E19" s="458">
        <v>1</v>
      </c>
      <c r="F19" s="458">
        <v>0</v>
      </c>
      <c r="G19" s="459">
        <f t="shared" si="0"/>
        <v>2</v>
      </c>
      <c r="H19" s="455">
        <f t="shared" si="1"/>
        <v>0.5</v>
      </c>
      <c r="I19" s="455" t="str">
        <f t="shared" si="2"/>
        <v xml:space="preserve">     0%</v>
      </c>
      <c r="J19" s="456">
        <f t="shared" si="3"/>
        <v>-1</v>
      </c>
      <c r="K19" s="455">
        <f t="shared" si="4"/>
        <v>1</v>
      </c>
      <c r="L19" s="454"/>
      <c r="M19" s="453"/>
      <c r="N19" s="460" t="s">
        <v>376</v>
      </c>
      <c r="O19" s="451">
        <f t="shared" si="5"/>
        <v>1</v>
      </c>
      <c r="P19" s="450">
        <f>('TOLUENE-A17'!K79)/10</f>
        <v>2.2000000000000002</v>
      </c>
      <c r="Q19" s="449">
        <f t="shared" si="6"/>
        <v>-1.2000000000000002</v>
      </c>
      <c r="R19" s="448"/>
    </row>
    <row r="20" spans="1:18">
      <c r="A20" s="453"/>
      <c r="B20" s="460" t="s">
        <v>377</v>
      </c>
      <c r="C20" s="459">
        <f>'XYLENES-A18'!K21/10</f>
        <v>0</v>
      </c>
      <c r="D20" s="459">
        <f>'XYLENES-A18'!K50/10</f>
        <v>0</v>
      </c>
      <c r="E20" s="458">
        <v>0</v>
      </c>
      <c r="F20" s="458">
        <v>0</v>
      </c>
      <c r="G20" s="459">
        <f t="shared" si="0"/>
        <v>0</v>
      </c>
      <c r="H20" s="455" t="str">
        <f t="shared" si="1"/>
        <v xml:space="preserve">    -</v>
      </c>
      <c r="I20" s="455" t="str">
        <f t="shared" si="2"/>
        <v xml:space="preserve">    -</v>
      </c>
      <c r="J20" s="456">
        <f t="shared" si="3"/>
        <v>0</v>
      </c>
      <c r="K20" s="455" t="str">
        <f t="shared" si="4"/>
        <v xml:space="preserve">    -</v>
      </c>
      <c r="L20" s="454"/>
      <c r="M20" s="453"/>
      <c r="N20" s="460" t="s">
        <v>377</v>
      </c>
      <c r="O20" s="451">
        <f t="shared" si="5"/>
        <v>0</v>
      </c>
      <c r="P20" s="450">
        <f>('XYLENES-A18'!K79)/10</f>
        <v>0.01</v>
      </c>
      <c r="Q20" s="449">
        <f t="shared" si="6"/>
        <v>-0.01</v>
      </c>
      <c r="R20" s="448"/>
    </row>
    <row r="21" spans="1:18">
      <c r="A21" s="453"/>
      <c r="B21" s="460" t="s">
        <v>64</v>
      </c>
      <c r="C21" s="459">
        <f>'PX-A19'!K21/10</f>
        <v>0</v>
      </c>
      <c r="D21" s="459">
        <f>'PX-A19'!K50/10</f>
        <v>0</v>
      </c>
      <c r="E21" s="458">
        <v>0</v>
      </c>
      <c r="F21" s="458">
        <v>0</v>
      </c>
      <c r="G21" s="459">
        <f t="shared" si="0"/>
        <v>0</v>
      </c>
      <c r="H21" s="455" t="str">
        <f t="shared" si="1"/>
        <v xml:space="preserve">    -</v>
      </c>
      <c r="I21" s="455" t="str">
        <f t="shared" si="2"/>
        <v xml:space="preserve">    -</v>
      </c>
      <c r="J21" s="456">
        <f t="shared" si="3"/>
        <v>0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('PX-A19'!K79)/10</f>
        <v>0</v>
      </c>
      <c r="Q21" s="449">
        <f t="shared" si="6"/>
        <v>0</v>
      </c>
      <c r="R21" s="448"/>
    </row>
    <row r="22" spans="1:18">
      <c r="A22" s="453"/>
      <c r="B22" s="460" t="s">
        <v>62</v>
      </c>
      <c r="C22" s="459">
        <f>'PTA-A20'!K21/10</f>
        <v>0</v>
      </c>
      <c r="D22" s="459">
        <f>'PTA-A20'!K50/10</f>
        <v>0</v>
      </c>
      <c r="E22" s="458">
        <v>0</v>
      </c>
      <c r="F22" s="458">
        <v>0</v>
      </c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56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('PTA-A20'!K79)/10</f>
        <v>0.2</v>
      </c>
      <c r="Q22" s="449">
        <f t="shared" si="6"/>
        <v>-0.2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396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'ETHYLENE-A1'!Q21/10</f>
        <v>50</v>
      </c>
      <c r="D5" s="459">
        <f>'ETHYLENE-A1'!Q50/10</f>
        <v>38</v>
      </c>
      <c r="E5" s="458">
        <v>0</v>
      </c>
      <c r="F5" s="458">
        <v>0</v>
      </c>
      <c r="G5" s="459">
        <f t="shared" ref="G5:G22" si="0">D5+E5-F5</f>
        <v>38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0.76</v>
      </c>
      <c r="L5" s="454" t="s">
        <v>141</v>
      </c>
      <c r="M5" s="453"/>
      <c r="N5" s="452" t="s">
        <v>79</v>
      </c>
      <c r="O5" s="451">
        <f t="shared" ref="O5:O22" si="5">D5</f>
        <v>38</v>
      </c>
      <c r="P5" s="450">
        <f>('ETHYLENE-A1'!Q79)/10</f>
        <v>38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'LDPE-A2'!Q21/10</f>
        <v>20</v>
      </c>
      <c r="D6" s="459">
        <f>'LDPE-A2'!Q50/10</f>
        <v>17</v>
      </c>
      <c r="E6" s="458">
        <v>8</v>
      </c>
      <c r="F6" s="458">
        <v>0</v>
      </c>
      <c r="G6" s="459">
        <f t="shared" si="0"/>
        <v>25</v>
      </c>
      <c r="H6" s="455">
        <f t="shared" si="1"/>
        <v>0.32</v>
      </c>
      <c r="I6" s="455" t="str">
        <f t="shared" si="2"/>
        <v xml:space="preserve">     0%</v>
      </c>
      <c r="J6" s="456">
        <f t="shared" si="3"/>
        <v>-8</v>
      </c>
      <c r="K6" s="455">
        <f t="shared" si="4"/>
        <v>0.85</v>
      </c>
      <c r="L6" s="454" t="s">
        <v>141</v>
      </c>
      <c r="M6" s="453"/>
      <c r="N6" s="452" t="s">
        <v>78</v>
      </c>
      <c r="O6" s="451">
        <f t="shared" si="5"/>
        <v>17</v>
      </c>
      <c r="P6" s="450">
        <f>('LDPE-A2'!Q79)/10</f>
        <v>25</v>
      </c>
      <c r="Q6" s="449">
        <f t="shared" ref="Q6:Q22" si="6">O6-P6</f>
        <v>-8</v>
      </c>
      <c r="R6" s="448"/>
    </row>
    <row r="7" spans="1:18">
      <c r="A7" s="453"/>
      <c r="B7" s="460" t="s">
        <v>76</v>
      </c>
      <c r="C7" s="459">
        <f>'HDPE-A3'!Q21/10</f>
        <v>20.5</v>
      </c>
      <c r="D7" s="459">
        <f>'HDPE-A3'!Q50/10</f>
        <v>19.5</v>
      </c>
      <c r="E7" s="458">
        <v>18</v>
      </c>
      <c r="F7" s="458">
        <v>0</v>
      </c>
      <c r="G7" s="459">
        <f t="shared" si="0"/>
        <v>37.5</v>
      </c>
      <c r="H7" s="455">
        <f t="shared" si="1"/>
        <v>0.48</v>
      </c>
      <c r="I7" s="455" t="str">
        <f t="shared" si="2"/>
        <v xml:space="preserve">     0%</v>
      </c>
      <c r="J7" s="456">
        <f t="shared" si="3"/>
        <v>-18</v>
      </c>
      <c r="K7" s="455">
        <f t="shared" si="4"/>
        <v>0.95120000000000005</v>
      </c>
      <c r="L7" s="454" t="s">
        <v>141</v>
      </c>
      <c r="M7" s="453"/>
      <c r="N7" s="452" t="s">
        <v>76</v>
      </c>
      <c r="O7" s="451">
        <f t="shared" si="5"/>
        <v>19.5</v>
      </c>
      <c r="P7" s="450">
        <f>('HDPE-A3'!Q79)/10</f>
        <v>37.4</v>
      </c>
      <c r="Q7" s="449">
        <f t="shared" si="6"/>
        <v>-17.899999999999999</v>
      </c>
      <c r="R7" s="448"/>
    </row>
    <row r="8" spans="1:18">
      <c r="A8" s="453"/>
      <c r="B8" s="460" t="s">
        <v>75</v>
      </c>
      <c r="C8" s="459">
        <f>'SM-A6'!Q21/10</f>
        <v>0</v>
      </c>
      <c r="D8" s="459">
        <f>'SM-A6'!Q50/10</f>
        <v>0</v>
      </c>
      <c r="E8" s="458">
        <v>2</v>
      </c>
      <c r="F8" s="458">
        <v>0</v>
      </c>
      <c r="G8" s="459">
        <f t="shared" si="0"/>
        <v>2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-2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('SM-A6'!Q79)/10</f>
        <v>2</v>
      </c>
      <c r="Q8" s="449">
        <f t="shared" si="6"/>
        <v>-2</v>
      </c>
      <c r="R8" s="448"/>
    </row>
    <row r="9" spans="1:18">
      <c r="A9" s="453"/>
      <c r="B9" s="460" t="s">
        <v>74</v>
      </c>
      <c r="C9" s="459">
        <f>'EG-A10'!Q21/10</f>
        <v>0.6</v>
      </c>
      <c r="D9" s="459">
        <f>'EG-A10'!Q50/10</f>
        <v>0.6</v>
      </c>
      <c r="E9" s="458">
        <v>1.5</v>
      </c>
      <c r="F9" s="458">
        <v>0</v>
      </c>
      <c r="G9" s="459">
        <f t="shared" si="0"/>
        <v>2.1</v>
      </c>
      <c r="H9" s="455">
        <f t="shared" si="1"/>
        <v>0.71430000000000005</v>
      </c>
      <c r="I9" s="455" t="str">
        <f t="shared" si="2"/>
        <v xml:space="preserve">     0%</v>
      </c>
      <c r="J9" s="456">
        <f t="shared" si="3"/>
        <v>-1.5</v>
      </c>
      <c r="K9" s="455">
        <f t="shared" si="4"/>
        <v>1</v>
      </c>
      <c r="L9" s="454" t="s">
        <v>140</v>
      </c>
      <c r="M9" s="453"/>
      <c r="N9" s="452" t="s">
        <v>74</v>
      </c>
      <c r="O9" s="451">
        <f t="shared" si="5"/>
        <v>0.6</v>
      </c>
      <c r="P9" s="450">
        <f>('EG-A10'!Q79)/10</f>
        <v>2.1</v>
      </c>
      <c r="Q9" s="449">
        <f t="shared" si="6"/>
        <v>-1.5</v>
      </c>
      <c r="R9" s="448"/>
    </row>
    <row r="10" spans="1:18">
      <c r="A10" s="453"/>
      <c r="B10" s="460" t="s">
        <v>72</v>
      </c>
      <c r="C10" s="459">
        <f>'PVC-A7'!Q21/10</f>
        <v>0</v>
      </c>
      <c r="D10" s="459">
        <f>'PVC-A7'!Q50/10</f>
        <v>0</v>
      </c>
      <c r="E10" s="458">
        <v>24</v>
      </c>
      <c r="F10" s="458">
        <v>0</v>
      </c>
      <c r="G10" s="459">
        <f t="shared" si="0"/>
        <v>24</v>
      </c>
      <c r="H10" s="455">
        <f t="shared" si="1"/>
        <v>1</v>
      </c>
      <c r="I10" s="455" t="str">
        <f t="shared" si="2"/>
        <v xml:space="preserve">    -</v>
      </c>
      <c r="J10" s="456">
        <f t="shared" si="3"/>
        <v>-24</v>
      </c>
      <c r="K10" s="455" t="str">
        <f t="shared" si="4"/>
        <v xml:space="preserve">    -</v>
      </c>
      <c r="L10" s="454"/>
      <c r="M10" s="453"/>
      <c r="N10" s="452" t="s">
        <v>72</v>
      </c>
      <c r="O10" s="451">
        <f t="shared" si="5"/>
        <v>0</v>
      </c>
      <c r="P10" s="450">
        <f>('PVC-A7'!Q79)/10</f>
        <v>23.8</v>
      </c>
      <c r="Q10" s="449">
        <f t="shared" si="6"/>
        <v>-23.8</v>
      </c>
      <c r="R10" s="448"/>
    </row>
    <row r="11" spans="1:18">
      <c r="A11" s="453"/>
      <c r="B11" s="460" t="s">
        <v>371</v>
      </c>
      <c r="C11" s="459">
        <f>'OTHER(C2)-A11'!Q21/10</f>
        <v>0</v>
      </c>
      <c r="D11" s="459">
        <f>'OTHER(C2)-A11'!Q50/10</f>
        <v>0</v>
      </c>
      <c r="E11" s="458">
        <v>4</v>
      </c>
      <c r="F11" s="458">
        <v>0</v>
      </c>
      <c r="G11" s="459">
        <f t="shared" si="0"/>
        <v>4</v>
      </c>
      <c r="H11" s="455">
        <f t="shared" si="1"/>
        <v>1</v>
      </c>
      <c r="I11" s="455" t="str">
        <f t="shared" si="2"/>
        <v xml:space="preserve">    -</v>
      </c>
      <c r="J11" s="456">
        <f t="shared" si="3"/>
        <v>-4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('OTHER(C2)-A11'!Q79)/10</f>
        <v>4.0999999999999996</v>
      </c>
      <c r="Q11" s="449">
        <f t="shared" si="6"/>
        <v>-4.0999999999999996</v>
      </c>
      <c r="R11" s="448"/>
    </row>
    <row r="12" spans="1:18">
      <c r="A12" s="453"/>
      <c r="B12" s="460" t="s">
        <v>372</v>
      </c>
      <c r="C12" s="462">
        <f>C6*0.98+C7*1.04+C8*0.29+C9*0.66+C10*0.5+C11</f>
        <v>41.316000000000003</v>
      </c>
      <c r="D12" s="462">
        <f>D6*0.98+D7*1.04+D8*0.29+D9*0.66+D10*0.5+D11</f>
        <v>37.335999999999999</v>
      </c>
      <c r="E12" s="462">
        <f>E6*0.98+E7*1.04+E8*0.29+E9*0.66+E10*0.5</f>
        <v>40.129999999999995</v>
      </c>
      <c r="F12" s="462">
        <f>F6*0.98+F7*1.04+F8*0.29+F9*0.66+F10*0.5</f>
        <v>0</v>
      </c>
      <c r="G12" s="459">
        <f t="shared" si="0"/>
        <v>77.465999999999994</v>
      </c>
      <c r="H12" s="455">
        <f t="shared" si="1"/>
        <v>0.51800000000000002</v>
      </c>
      <c r="I12" s="455" t="str">
        <f t="shared" si="2"/>
        <v xml:space="preserve">     0%</v>
      </c>
      <c r="J12" s="456">
        <f t="shared" si="3"/>
        <v>-40.129999999999995</v>
      </c>
      <c r="K12" s="455">
        <f t="shared" si="4"/>
        <v>0.90369999999999995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-44.025999999999996</v>
      </c>
      <c r="R12" s="448"/>
    </row>
    <row r="13" spans="1:18">
      <c r="A13" s="453"/>
      <c r="B13" s="460" t="s">
        <v>373</v>
      </c>
      <c r="C13" s="459">
        <f>'PROPYLENE-A12'!Q21/10</f>
        <v>18</v>
      </c>
      <c r="D13" s="459">
        <f>'PROPYLENE-A12'!Q50/10</f>
        <v>12.5</v>
      </c>
      <c r="E13" s="458">
        <v>0</v>
      </c>
      <c r="F13" s="458">
        <v>0</v>
      </c>
      <c r="G13" s="459">
        <f t="shared" si="0"/>
        <v>12.5</v>
      </c>
      <c r="H13" s="455" t="str">
        <f t="shared" si="1"/>
        <v xml:space="preserve">     0%</v>
      </c>
      <c r="I13" s="455" t="str">
        <f t="shared" si="2"/>
        <v xml:space="preserve">     0%</v>
      </c>
      <c r="J13" s="456">
        <f t="shared" si="3"/>
        <v>0</v>
      </c>
      <c r="K13" s="455">
        <f t="shared" si="4"/>
        <v>0.69440000000000002</v>
      </c>
      <c r="L13" s="454" t="s">
        <v>139</v>
      </c>
      <c r="M13" s="453"/>
      <c r="N13" s="460" t="s">
        <v>373</v>
      </c>
      <c r="O13" s="451">
        <f t="shared" si="5"/>
        <v>12.5</v>
      </c>
      <c r="P13" s="450">
        <f>('PROPYLENE-A12'!Q79)/10</f>
        <v>12.5</v>
      </c>
      <c r="Q13" s="449">
        <f t="shared" si="6"/>
        <v>0</v>
      </c>
      <c r="R13" s="448"/>
    </row>
    <row r="14" spans="1:18">
      <c r="A14" s="453"/>
      <c r="B14" s="460" t="s">
        <v>69</v>
      </c>
      <c r="C14" s="459">
        <f>'PP-A13'!Q21/10</f>
        <v>13</v>
      </c>
      <c r="D14" s="459">
        <f>'PP-A13'!Q50/10</f>
        <v>11.5</v>
      </c>
      <c r="E14" s="458">
        <v>1</v>
      </c>
      <c r="F14" s="458">
        <v>4</v>
      </c>
      <c r="G14" s="459">
        <f t="shared" si="0"/>
        <v>8.5</v>
      </c>
      <c r="H14" s="455">
        <f t="shared" si="1"/>
        <v>0.1176</v>
      </c>
      <c r="I14" s="455">
        <f t="shared" si="2"/>
        <v>0.3478</v>
      </c>
      <c r="J14" s="456">
        <f t="shared" si="3"/>
        <v>3</v>
      </c>
      <c r="K14" s="455">
        <f t="shared" si="4"/>
        <v>0.88460000000000005</v>
      </c>
      <c r="L14" s="454" t="s">
        <v>293</v>
      </c>
      <c r="M14" s="453"/>
      <c r="N14" s="452" t="s">
        <v>69</v>
      </c>
      <c r="O14" s="451">
        <f t="shared" si="5"/>
        <v>11.5</v>
      </c>
      <c r="P14" s="450">
        <f>('PP-A13'!Q79)/10</f>
        <v>8.4</v>
      </c>
      <c r="Q14" s="449">
        <f t="shared" si="6"/>
        <v>3.0999999999999996</v>
      </c>
      <c r="R14" s="448"/>
    </row>
    <row r="15" spans="1:18">
      <c r="A15" s="453"/>
      <c r="B15" s="460" t="s">
        <v>67</v>
      </c>
      <c r="C15" s="459">
        <f>'AN-A14'!Q21/10</f>
        <v>0</v>
      </c>
      <c r="D15" s="459">
        <f>'AN-A14'!Q50/10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56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('AN-A14'!Q79)/10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'OTHER(C3)-A15'!Q21/10</f>
        <v>0</v>
      </c>
      <c r="D16" s="459">
        <f>'OTHER(C3)-A15'!Q50/10</f>
        <v>0</v>
      </c>
      <c r="E16" s="458">
        <v>2</v>
      </c>
      <c r="F16" s="458">
        <v>0</v>
      </c>
      <c r="G16" s="459">
        <f t="shared" si="0"/>
        <v>2</v>
      </c>
      <c r="H16" s="455">
        <f t="shared" si="1"/>
        <v>1</v>
      </c>
      <c r="I16" s="455" t="str">
        <f t="shared" si="2"/>
        <v xml:space="preserve">    -</v>
      </c>
      <c r="J16" s="456">
        <f t="shared" si="3"/>
        <v>-2</v>
      </c>
      <c r="K16" s="455" t="str">
        <f t="shared" si="4"/>
        <v xml:space="preserve">    -</v>
      </c>
      <c r="L16" s="454"/>
      <c r="M16" s="453"/>
      <c r="N16" s="460" t="s">
        <v>371</v>
      </c>
      <c r="O16" s="451">
        <f t="shared" si="5"/>
        <v>0</v>
      </c>
      <c r="P16" s="450">
        <f>('OTHER(C3)-A15'!Q79)/10</f>
        <v>1.8</v>
      </c>
      <c r="Q16" s="449">
        <f t="shared" si="6"/>
        <v>-1.8</v>
      </c>
      <c r="R16" s="448"/>
    </row>
    <row r="17" spans="1:18">
      <c r="A17" s="453"/>
      <c r="B17" s="460" t="s">
        <v>374</v>
      </c>
      <c r="C17" s="459">
        <f>C14*1.03+C15*1.09+C16</f>
        <v>13.39</v>
      </c>
      <c r="D17" s="459">
        <f>D14*1.03+D15*1.09+D16</f>
        <v>11.845000000000001</v>
      </c>
      <c r="E17" s="459">
        <f>E14*1.03+E15*1.09</f>
        <v>1.03</v>
      </c>
      <c r="F17" s="459">
        <f>F14*1.03+F15*1.09</f>
        <v>4.12</v>
      </c>
      <c r="G17" s="459">
        <f t="shared" si="0"/>
        <v>8.754999999999999</v>
      </c>
      <c r="H17" s="455">
        <f t="shared" si="1"/>
        <v>0.1176</v>
      </c>
      <c r="I17" s="455">
        <f t="shared" si="2"/>
        <v>0.3478</v>
      </c>
      <c r="J17" s="456">
        <f t="shared" si="3"/>
        <v>3.0900000000000016</v>
      </c>
      <c r="K17" s="455">
        <f t="shared" si="4"/>
        <v>0.88460000000000005</v>
      </c>
      <c r="L17" s="454"/>
      <c r="M17" s="453"/>
      <c r="N17" s="460" t="s">
        <v>374</v>
      </c>
      <c r="O17" s="451"/>
      <c r="P17" s="450"/>
      <c r="Q17" s="461">
        <f>Q14*1.03+Q15*1.09+Q16</f>
        <v>1.3929999999999996</v>
      </c>
      <c r="R17" s="448"/>
    </row>
    <row r="18" spans="1:18">
      <c r="A18" s="453"/>
      <c r="B18" s="460" t="s">
        <v>375</v>
      </c>
      <c r="C18" s="459">
        <f>'BENZENE-A16'!Q21/10</f>
        <v>3</v>
      </c>
      <c r="D18" s="459">
        <f>'BENZENE-A16'!Q50/10</f>
        <v>0</v>
      </c>
      <c r="E18" s="458">
        <v>0</v>
      </c>
      <c r="F18" s="458">
        <v>0</v>
      </c>
      <c r="G18" s="459">
        <f t="shared" si="0"/>
        <v>0</v>
      </c>
      <c r="H18" s="455" t="str">
        <f t="shared" si="1"/>
        <v xml:space="preserve">    -</v>
      </c>
      <c r="I18" s="455" t="str">
        <f t="shared" si="2"/>
        <v xml:space="preserve">    -</v>
      </c>
      <c r="J18" s="456">
        <f t="shared" si="3"/>
        <v>0</v>
      </c>
      <c r="K18" s="455" t="str">
        <f t="shared" si="4"/>
        <v xml:space="preserve">     -</v>
      </c>
      <c r="L18" s="454" t="s">
        <v>138</v>
      </c>
      <c r="M18" s="453"/>
      <c r="N18" s="460" t="s">
        <v>375</v>
      </c>
      <c r="O18" s="451">
        <f t="shared" si="5"/>
        <v>0</v>
      </c>
      <c r="P18" s="450">
        <f>('BENZENE-A16'!Q79)/10</f>
        <v>0</v>
      </c>
      <c r="Q18" s="449">
        <f t="shared" si="6"/>
        <v>0</v>
      </c>
      <c r="R18" s="448"/>
    </row>
    <row r="19" spans="1:18">
      <c r="A19" s="453"/>
      <c r="B19" s="460" t="s">
        <v>376</v>
      </c>
      <c r="C19" s="459">
        <f>'TOLUENE-A17'!Q21/10</f>
        <v>1</v>
      </c>
      <c r="D19" s="459">
        <f>'TOLUENE-A17'!Q50/10</f>
        <v>1</v>
      </c>
      <c r="E19" s="458">
        <v>1</v>
      </c>
      <c r="F19" s="458">
        <v>0</v>
      </c>
      <c r="G19" s="459">
        <f t="shared" si="0"/>
        <v>2</v>
      </c>
      <c r="H19" s="455">
        <f t="shared" si="1"/>
        <v>0.5</v>
      </c>
      <c r="I19" s="455" t="str">
        <f t="shared" si="2"/>
        <v xml:space="preserve">     0%</v>
      </c>
      <c r="J19" s="456">
        <f t="shared" si="3"/>
        <v>-1</v>
      </c>
      <c r="K19" s="455">
        <f t="shared" si="4"/>
        <v>1</v>
      </c>
      <c r="L19" s="454"/>
      <c r="M19" s="453"/>
      <c r="N19" s="460" t="s">
        <v>376</v>
      </c>
      <c r="O19" s="451">
        <f t="shared" si="5"/>
        <v>1</v>
      </c>
      <c r="P19" s="450">
        <f>('TOLUENE-A17'!Q79)/10</f>
        <v>2.2999999999999998</v>
      </c>
      <c r="Q19" s="449">
        <f>O19-P19</f>
        <v>-1.2999999999999998</v>
      </c>
      <c r="R19" s="448"/>
    </row>
    <row r="20" spans="1:18">
      <c r="A20" s="453"/>
      <c r="B20" s="460" t="s">
        <v>377</v>
      </c>
      <c r="C20" s="459">
        <f>'XYLENES-A18'!Q21/10</f>
        <v>0</v>
      </c>
      <c r="D20" s="459">
        <f>'XYLENES-A18'!Q50/10</f>
        <v>0</v>
      </c>
      <c r="E20" s="458">
        <v>0</v>
      </c>
      <c r="F20" s="458">
        <v>0</v>
      </c>
      <c r="G20" s="459">
        <f t="shared" si="0"/>
        <v>0</v>
      </c>
      <c r="H20" s="455" t="str">
        <f t="shared" si="1"/>
        <v xml:space="preserve">    -</v>
      </c>
      <c r="I20" s="455" t="str">
        <f t="shared" si="2"/>
        <v xml:space="preserve">    -</v>
      </c>
      <c r="J20" s="456">
        <f t="shared" si="3"/>
        <v>0</v>
      </c>
      <c r="K20" s="455" t="str">
        <f t="shared" si="4"/>
        <v xml:space="preserve">    -</v>
      </c>
      <c r="L20" s="454"/>
      <c r="M20" s="453"/>
      <c r="N20" s="460" t="s">
        <v>377</v>
      </c>
      <c r="O20" s="451">
        <f t="shared" si="5"/>
        <v>0</v>
      </c>
      <c r="P20" s="450">
        <f>('XYLENES-A18'!Q79)/10</f>
        <v>0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'PX-A19'!Q21/10</f>
        <v>0</v>
      </c>
      <c r="D21" s="459">
        <f>'PX-A19'!Q50/10</f>
        <v>0</v>
      </c>
      <c r="E21" s="458">
        <v>0</v>
      </c>
      <c r="F21" s="458">
        <v>0</v>
      </c>
      <c r="G21" s="459">
        <f t="shared" si="0"/>
        <v>0</v>
      </c>
      <c r="H21" s="455" t="str">
        <f t="shared" si="1"/>
        <v xml:space="preserve">    -</v>
      </c>
      <c r="I21" s="455" t="str">
        <f t="shared" si="2"/>
        <v xml:space="preserve">    -</v>
      </c>
      <c r="J21" s="456">
        <f t="shared" si="3"/>
        <v>0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('PX-A19'!Q79)/10</f>
        <v>0</v>
      </c>
      <c r="Q21" s="449">
        <f t="shared" si="6"/>
        <v>0</v>
      </c>
      <c r="R21" s="448"/>
    </row>
    <row r="22" spans="1:18">
      <c r="A22" s="453"/>
      <c r="B22" s="460" t="s">
        <v>62</v>
      </c>
      <c r="C22" s="459">
        <f>'PTA-A20'!Q21/10</f>
        <v>0</v>
      </c>
      <c r="D22" s="459">
        <f>'PTA-A20'!Q50/10</f>
        <v>0</v>
      </c>
      <c r="E22" s="458">
        <v>0</v>
      </c>
      <c r="F22" s="458">
        <v>0</v>
      </c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56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('PTA-A20'!Q79)/10</f>
        <v>0.2</v>
      </c>
      <c r="Q22" s="449">
        <f t="shared" si="6"/>
        <v>-0.2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3.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397</v>
      </c>
      <c r="B1" s="484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'ETHYLENE-A1'!K9/10</f>
        <v>400</v>
      </c>
      <c r="D5" s="459">
        <f>'ETHYLENE-A1'!K38/10</f>
        <v>400</v>
      </c>
      <c r="E5" s="458">
        <v>0</v>
      </c>
      <c r="F5" s="458">
        <v>42</v>
      </c>
      <c r="G5" s="459">
        <f t="shared" ref="G5:G22" si="0">D5+E5-F5</f>
        <v>358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0.105</v>
      </c>
      <c r="J5" s="456">
        <f t="shared" ref="J5:J22" si="3">D5-G5</f>
        <v>42</v>
      </c>
      <c r="K5" s="455">
        <f t="shared" ref="K5:K22" si="4">IF(AND(D5=0,C5=0),"    -",IF(C5=0,"     0%",IF(D5=0,"     -",ROUND(D5/C5,4))))</f>
        <v>1</v>
      </c>
      <c r="L5" s="454" t="s">
        <v>145</v>
      </c>
      <c r="M5" s="453"/>
      <c r="N5" s="452" t="s">
        <v>79</v>
      </c>
      <c r="O5" s="451">
        <f t="shared" ref="O5:O22" si="5">D5</f>
        <v>400</v>
      </c>
      <c r="P5" s="450">
        <f>('ETHYLENE-A1'!K67)/10</f>
        <v>357.7</v>
      </c>
      <c r="Q5" s="449">
        <f>O5-P5</f>
        <v>42.300000000000011</v>
      </c>
      <c r="R5" s="448"/>
    </row>
    <row r="6" spans="1:18">
      <c r="A6" s="453"/>
      <c r="B6" s="460" t="s">
        <v>78</v>
      </c>
      <c r="C6" s="459">
        <f>'LDPE-A2'!K9/10</f>
        <v>238</v>
      </c>
      <c r="D6" s="459">
        <f>'LDPE-A2'!K38/10</f>
        <v>189.2</v>
      </c>
      <c r="E6" s="458">
        <v>65</v>
      </c>
      <c r="F6" s="458">
        <v>247</v>
      </c>
      <c r="G6" s="459">
        <f t="shared" si="0"/>
        <v>7.1999999999999886</v>
      </c>
      <c r="H6" s="455">
        <f t="shared" si="1"/>
        <v>9.0277999999999992</v>
      </c>
      <c r="I6" s="455">
        <f t="shared" si="2"/>
        <v>1.3055000000000001</v>
      </c>
      <c r="J6" s="456">
        <f t="shared" si="3"/>
        <v>182</v>
      </c>
      <c r="K6" s="455">
        <f t="shared" si="4"/>
        <v>0.79500000000000004</v>
      </c>
      <c r="L6" s="454" t="s">
        <v>150</v>
      </c>
      <c r="M6" s="453"/>
      <c r="N6" s="452" t="s">
        <v>78</v>
      </c>
      <c r="O6" s="451">
        <f t="shared" si="5"/>
        <v>189.2</v>
      </c>
      <c r="P6" s="450">
        <f>('LDPE-A2'!K67)/10</f>
        <v>7.3</v>
      </c>
      <c r="Q6" s="449">
        <f t="shared" ref="Q6:Q22" si="6">O6-P6</f>
        <v>181.89999999999998</v>
      </c>
      <c r="R6" s="448"/>
    </row>
    <row r="7" spans="1:18">
      <c r="A7" s="453"/>
      <c r="B7" s="460" t="s">
        <v>76</v>
      </c>
      <c r="C7" s="459">
        <f>'HDPE-A3'!K9/10</f>
        <v>39</v>
      </c>
      <c r="D7" s="459">
        <f>'HDPE-A3'!K38/10</f>
        <v>34.299999999999997</v>
      </c>
      <c r="E7" s="458">
        <v>51</v>
      </c>
      <c r="F7" s="458">
        <v>82</v>
      </c>
      <c r="G7" s="459">
        <f t="shared" si="0"/>
        <v>3.2999999999999972</v>
      </c>
      <c r="H7" s="455">
        <f>IF(AND(E7=0,G7=0),"    -",IF(E7=0,"     0%",IF(G7=0,"     -",ROUND(E7/G7,4))))</f>
        <v>15.454499999999999</v>
      </c>
      <c r="I7" s="455">
        <f t="shared" si="2"/>
        <v>2.3906999999999998</v>
      </c>
      <c r="J7" s="456">
        <f t="shared" si="3"/>
        <v>31</v>
      </c>
      <c r="K7" s="455">
        <f t="shared" si="4"/>
        <v>0.87949999999999995</v>
      </c>
      <c r="L7" s="454" t="s">
        <v>149</v>
      </c>
      <c r="M7" s="453"/>
      <c r="N7" s="452" t="s">
        <v>76</v>
      </c>
      <c r="O7" s="451">
        <f t="shared" si="5"/>
        <v>34.299999999999997</v>
      </c>
      <c r="P7" s="450">
        <f>('HDPE-A3'!K67)/10</f>
        <v>3.4</v>
      </c>
      <c r="Q7" s="449">
        <f t="shared" si="6"/>
        <v>30.9</v>
      </c>
      <c r="R7" s="448"/>
    </row>
    <row r="8" spans="1:18">
      <c r="A8" s="453"/>
      <c r="B8" s="460" t="s">
        <v>75</v>
      </c>
      <c r="C8" s="459">
        <f>'SM-A6'!K9/10</f>
        <v>93</v>
      </c>
      <c r="D8" s="459">
        <f>'SM-A6'!K38/10</f>
        <v>93</v>
      </c>
      <c r="E8" s="458">
        <v>0</v>
      </c>
      <c r="F8" s="458">
        <v>68</v>
      </c>
      <c r="G8" s="459">
        <f t="shared" si="0"/>
        <v>25</v>
      </c>
      <c r="H8" s="455" t="str">
        <f t="shared" si="1"/>
        <v xml:space="preserve">     0%</v>
      </c>
      <c r="I8" s="455">
        <f t="shared" si="2"/>
        <v>0.73119999999999996</v>
      </c>
      <c r="J8" s="456">
        <f t="shared" si="3"/>
        <v>68</v>
      </c>
      <c r="K8" s="455">
        <f t="shared" si="4"/>
        <v>1</v>
      </c>
      <c r="L8" s="454" t="s">
        <v>148</v>
      </c>
      <c r="M8" s="453"/>
      <c r="N8" s="452" t="s">
        <v>75</v>
      </c>
      <c r="O8" s="451">
        <f t="shared" si="5"/>
        <v>93</v>
      </c>
      <c r="P8" s="450">
        <f>('SM-A6'!K67)/10</f>
        <v>25.4</v>
      </c>
      <c r="Q8" s="449">
        <f t="shared" si="6"/>
        <v>67.599999999999994</v>
      </c>
      <c r="R8" s="448"/>
    </row>
    <row r="9" spans="1:18">
      <c r="A9" s="453"/>
      <c r="B9" s="460" t="s">
        <v>74</v>
      </c>
      <c r="C9" s="459">
        <f>'EG-A10'!K9/10</f>
        <v>87.2</v>
      </c>
      <c r="D9" s="459">
        <f>'EG-A10'!K38/10</f>
        <v>87.2</v>
      </c>
      <c r="E9" s="458">
        <v>2</v>
      </c>
      <c r="F9" s="458">
        <v>87</v>
      </c>
      <c r="G9" s="459">
        <f t="shared" si="0"/>
        <v>2.2000000000000028</v>
      </c>
      <c r="H9" s="455">
        <f t="shared" si="1"/>
        <v>0.90910000000000002</v>
      </c>
      <c r="I9" s="455">
        <f t="shared" si="2"/>
        <v>0.99770000000000003</v>
      </c>
      <c r="J9" s="456">
        <f t="shared" si="3"/>
        <v>85</v>
      </c>
      <c r="K9" s="455">
        <f t="shared" si="4"/>
        <v>1</v>
      </c>
      <c r="L9" s="454" t="s">
        <v>147</v>
      </c>
      <c r="M9" s="453"/>
      <c r="N9" s="452" t="s">
        <v>74</v>
      </c>
      <c r="O9" s="451">
        <f t="shared" si="5"/>
        <v>87.2</v>
      </c>
      <c r="P9" s="450">
        <f>('EG-A10'!K67)/10</f>
        <v>2</v>
      </c>
      <c r="Q9" s="449">
        <f t="shared" si="6"/>
        <v>85.2</v>
      </c>
      <c r="R9" s="448"/>
    </row>
    <row r="10" spans="1:18">
      <c r="A10" s="453"/>
      <c r="B10" s="460" t="s">
        <v>72</v>
      </c>
      <c r="C10" s="459">
        <f>'PVC-A7'!K9/10</f>
        <v>0</v>
      </c>
      <c r="D10" s="459">
        <f>'PVC-A7'!Q9/10</f>
        <v>0</v>
      </c>
      <c r="E10" s="458">
        <v>4</v>
      </c>
      <c r="F10" s="458">
        <v>0</v>
      </c>
      <c r="G10" s="459">
        <f t="shared" si="0"/>
        <v>4</v>
      </c>
      <c r="H10" s="455">
        <f t="shared" si="1"/>
        <v>1</v>
      </c>
      <c r="I10" s="455" t="str">
        <f t="shared" si="2"/>
        <v xml:space="preserve">    -</v>
      </c>
      <c r="J10" s="456">
        <f t="shared" si="3"/>
        <v>-4</v>
      </c>
      <c r="K10" s="455" t="str">
        <f t="shared" si="4"/>
        <v xml:space="preserve">    -</v>
      </c>
      <c r="L10" s="454"/>
      <c r="M10" s="453"/>
      <c r="N10" s="452" t="s">
        <v>72</v>
      </c>
      <c r="O10" s="451">
        <f t="shared" si="5"/>
        <v>0</v>
      </c>
      <c r="P10" s="450">
        <f>('PVC-A7'!K67)/10</f>
        <v>4.3</v>
      </c>
      <c r="Q10" s="449">
        <f t="shared" si="6"/>
        <v>-4.3</v>
      </c>
      <c r="R10" s="448"/>
    </row>
    <row r="11" spans="1:18">
      <c r="A11" s="453"/>
      <c r="B11" s="460" t="s">
        <v>371</v>
      </c>
      <c r="C11" s="459">
        <f>'OTHER(C2)-A11'!K9/10</f>
        <v>88.5</v>
      </c>
      <c r="D11" s="459">
        <f>'OTHER(C2)-A11'!K38/10</f>
        <v>65.400000000000006</v>
      </c>
      <c r="E11" s="458">
        <v>2</v>
      </c>
      <c r="F11" s="458">
        <v>56</v>
      </c>
      <c r="G11" s="459">
        <f t="shared" si="0"/>
        <v>11.400000000000006</v>
      </c>
      <c r="H11" s="455">
        <f t="shared" si="1"/>
        <v>0.1754</v>
      </c>
      <c r="I11" s="455">
        <f t="shared" si="2"/>
        <v>0.85629999999999995</v>
      </c>
      <c r="J11" s="456">
        <f t="shared" si="3"/>
        <v>54</v>
      </c>
      <c r="K11" s="455">
        <f t="shared" si="4"/>
        <v>0.73899999999999999</v>
      </c>
      <c r="L11" s="454" t="s">
        <v>146</v>
      </c>
      <c r="M11" s="453"/>
      <c r="N11" s="460" t="s">
        <v>371</v>
      </c>
      <c r="O11" s="451">
        <f t="shared" si="5"/>
        <v>65.400000000000006</v>
      </c>
      <c r="P11" s="450">
        <f>('OTHER(C2)-A11'!K67)/10</f>
        <v>11.4</v>
      </c>
      <c r="Q11" s="449">
        <f t="shared" si="6"/>
        <v>54.000000000000007</v>
      </c>
      <c r="R11" s="448"/>
    </row>
    <row r="12" spans="1:18">
      <c r="A12" s="453"/>
      <c r="B12" s="460" t="s">
        <v>372</v>
      </c>
      <c r="C12" s="462">
        <f>C6*0.98+C7*1.04+C8*0.29+C9*0.66+C10*0.5+C11</f>
        <v>446.822</v>
      </c>
      <c r="D12" s="462">
        <f>D6*0.98+D7*1.04+D8*0.29+D9*0.66+D10*0.5+D11</f>
        <v>371.01</v>
      </c>
      <c r="E12" s="462">
        <f>E6*0.98+E7*1.04+E8*0.29+E9*0.66+E10*0.5</f>
        <v>120.05999999999999</v>
      </c>
      <c r="F12" s="462">
        <f>F6*0.98+F7*1.04+F8*0.29+F9*0.66+F10*0.5</f>
        <v>404.48000000000008</v>
      </c>
      <c r="G12" s="459">
        <f t="shared" si="0"/>
        <v>86.589999999999918</v>
      </c>
      <c r="H12" s="455">
        <f t="shared" si="1"/>
        <v>1.3865000000000001</v>
      </c>
      <c r="I12" s="455">
        <f t="shared" si="2"/>
        <v>1.0902000000000001</v>
      </c>
      <c r="J12" s="456">
        <f t="shared" si="3"/>
        <v>284.42000000000007</v>
      </c>
      <c r="K12" s="455">
        <f t="shared" si="4"/>
        <v>0.83030000000000004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338.084</v>
      </c>
      <c r="R12" s="448"/>
    </row>
    <row r="13" spans="1:18">
      <c r="A13" s="453"/>
      <c r="B13" s="460" t="s">
        <v>373</v>
      </c>
      <c r="C13" s="459">
        <f>'PROPYLENE-A12'!K9/10</f>
        <v>253</v>
      </c>
      <c r="D13" s="459">
        <f>'PROPYLENE-A12'!K38/10</f>
        <v>235.7</v>
      </c>
      <c r="E13" s="458">
        <v>8</v>
      </c>
      <c r="F13" s="458">
        <v>3</v>
      </c>
      <c r="G13" s="459">
        <f t="shared" si="0"/>
        <v>240.7</v>
      </c>
      <c r="H13" s="455">
        <f t="shared" si="1"/>
        <v>3.32E-2</v>
      </c>
      <c r="I13" s="455">
        <f t="shared" si="2"/>
        <v>1.2699999999999999E-2</v>
      </c>
      <c r="J13" s="456">
        <f t="shared" si="3"/>
        <v>-5</v>
      </c>
      <c r="K13" s="455">
        <f t="shared" si="4"/>
        <v>0.93159999999999998</v>
      </c>
      <c r="L13" s="454" t="s">
        <v>145</v>
      </c>
      <c r="M13" s="453"/>
      <c r="N13" s="460" t="s">
        <v>373</v>
      </c>
      <c r="O13" s="451">
        <f t="shared" si="5"/>
        <v>235.7</v>
      </c>
      <c r="P13" s="450">
        <f>('PROPYLENE-A12'!K67)/10</f>
        <v>240.5</v>
      </c>
      <c r="Q13" s="449">
        <f t="shared" si="6"/>
        <v>-4.8000000000000114</v>
      </c>
      <c r="R13" s="448"/>
    </row>
    <row r="14" spans="1:18">
      <c r="A14" s="453"/>
      <c r="B14" s="460" t="s">
        <v>69</v>
      </c>
      <c r="C14" s="459">
        <f>'PP-A13'!K9/10</f>
        <v>158</v>
      </c>
      <c r="D14" s="459">
        <f>'PP-A13'!K38/10</f>
        <v>145.5</v>
      </c>
      <c r="E14" s="458">
        <v>40</v>
      </c>
      <c r="F14" s="458">
        <v>183</v>
      </c>
      <c r="G14" s="459">
        <f t="shared" si="0"/>
        <v>2.5</v>
      </c>
      <c r="H14" s="455">
        <f t="shared" si="1"/>
        <v>16</v>
      </c>
      <c r="I14" s="455">
        <f t="shared" si="2"/>
        <v>1.2577</v>
      </c>
      <c r="J14" s="456">
        <f t="shared" si="3"/>
        <v>143</v>
      </c>
      <c r="K14" s="455">
        <f t="shared" si="4"/>
        <v>0.92090000000000005</v>
      </c>
      <c r="L14" s="454" t="s">
        <v>144</v>
      </c>
      <c r="M14" s="453"/>
      <c r="N14" s="452" t="s">
        <v>69</v>
      </c>
      <c r="O14" s="451">
        <f t="shared" si="5"/>
        <v>145.5</v>
      </c>
      <c r="P14" s="450">
        <f>('PP-A13'!K67)/10</f>
        <v>2.9</v>
      </c>
      <c r="Q14" s="449">
        <f t="shared" si="6"/>
        <v>142.6</v>
      </c>
      <c r="R14" s="448"/>
    </row>
    <row r="15" spans="1:18">
      <c r="A15" s="453"/>
      <c r="B15" s="460" t="s">
        <v>67</v>
      </c>
      <c r="C15" s="459">
        <f>'AN-A14'!K9/10</f>
        <v>0</v>
      </c>
      <c r="D15" s="459">
        <f>'AN-A14'!K38/10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56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('AN-A14'!K67)/10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'OTHER(C3)-A15'!K9/10</f>
        <v>106.3</v>
      </c>
      <c r="D16" s="459">
        <f>'OTHER(C3)-A15'!K38/10</f>
        <v>99.3</v>
      </c>
      <c r="E16" s="458">
        <v>5</v>
      </c>
      <c r="F16" s="458">
        <v>56</v>
      </c>
      <c r="G16" s="459">
        <f t="shared" si="0"/>
        <v>48.3</v>
      </c>
      <c r="H16" s="455">
        <f t="shared" si="1"/>
        <v>0.10349999999999999</v>
      </c>
      <c r="I16" s="455">
        <f t="shared" si="2"/>
        <v>0.56389999999999996</v>
      </c>
      <c r="J16" s="456">
        <f t="shared" si="3"/>
        <v>51</v>
      </c>
      <c r="K16" s="455">
        <f t="shared" si="4"/>
        <v>0.93410000000000004</v>
      </c>
      <c r="L16" s="454" t="s">
        <v>143</v>
      </c>
      <c r="M16" s="453"/>
      <c r="N16" s="460" t="s">
        <v>371</v>
      </c>
      <c r="O16" s="451">
        <f t="shared" si="5"/>
        <v>99.3</v>
      </c>
      <c r="P16" s="450">
        <f>('OTHER(C3)-A15'!K67)/10</f>
        <v>48.3</v>
      </c>
      <c r="Q16" s="449">
        <f t="shared" si="6"/>
        <v>51</v>
      </c>
      <c r="R16" s="448"/>
    </row>
    <row r="17" spans="1:18">
      <c r="A17" s="453"/>
      <c r="B17" s="460" t="s">
        <v>374</v>
      </c>
      <c r="C17" s="459">
        <f>C14*1.03+C15*1.09+C16</f>
        <v>269.04000000000002</v>
      </c>
      <c r="D17" s="459">
        <f>D14*1.03+D15*1.09+D16</f>
        <v>249.16500000000002</v>
      </c>
      <c r="E17" s="459">
        <f>E14*1.03+E15*1.09</f>
        <v>41.2</v>
      </c>
      <c r="F17" s="459">
        <f>F14*1.03+F15*1.09</f>
        <v>188.49</v>
      </c>
      <c r="G17" s="459">
        <f t="shared" si="0"/>
        <v>101.875</v>
      </c>
      <c r="H17" s="455">
        <f t="shared" si="1"/>
        <v>0.40439999999999998</v>
      </c>
      <c r="I17" s="455">
        <f t="shared" si="2"/>
        <v>0.75649999999999995</v>
      </c>
      <c r="J17" s="456">
        <f t="shared" si="3"/>
        <v>147.29000000000002</v>
      </c>
      <c r="K17" s="455">
        <f t="shared" si="4"/>
        <v>0.92610000000000003</v>
      </c>
      <c r="L17" s="454"/>
      <c r="M17" s="453"/>
      <c r="N17" s="460" t="s">
        <v>374</v>
      </c>
      <c r="O17" s="451"/>
      <c r="P17" s="450"/>
      <c r="Q17" s="461">
        <f>Q14*1.03+Q15*1.09+Q16</f>
        <v>197.87799999999999</v>
      </c>
      <c r="R17" s="448"/>
    </row>
    <row r="18" spans="1:18">
      <c r="A18" s="453"/>
      <c r="B18" s="460" t="s">
        <v>375</v>
      </c>
      <c r="C18" s="459">
        <f>'BENZENE-A16'!K9/10</f>
        <v>174</v>
      </c>
      <c r="D18" s="459">
        <f>'BENZENE-A16'!K38/10</f>
        <v>124.2</v>
      </c>
      <c r="E18" s="458">
        <v>20</v>
      </c>
      <c r="F18" s="458">
        <v>23</v>
      </c>
      <c r="G18" s="459">
        <f t="shared" si="0"/>
        <v>121.19999999999999</v>
      </c>
      <c r="H18" s="455">
        <f t="shared" si="1"/>
        <v>0.16500000000000001</v>
      </c>
      <c r="I18" s="455">
        <f t="shared" si="2"/>
        <v>0.1852</v>
      </c>
      <c r="J18" s="456">
        <f t="shared" si="3"/>
        <v>3.0000000000000142</v>
      </c>
      <c r="K18" s="455">
        <f t="shared" si="4"/>
        <v>0.71379999999999999</v>
      </c>
      <c r="L18" s="454" t="s">
        <v>153</v>
      </c>
      <c r="M18" s="453"/>
      <c r="N18" s="460" t="s">
        <v>375</v>
      </c>
      <c r="O18" s="451">
        <f t="shared" si="5"/>
        <v>124.2</v>
      </c>
      <c r="P18" s="450">
        <f>('BENZENE-A16'!K67)/10</f>
        <v>121.6</v>
      </c>
      <c r="Q18" s="449">
        <f t="shared" si="6"/>
        <v>2.6000000000000085</v>
      </c>
      <c r="R18" s="448"/>
    </row>
    <row r="19" spans="1:18">
      <c r="A19" s="453"/>
      <c r="B19" s="460" t="s">
        <v>376</v>
      </c>
      <c r="C19" s="459">
        <f>'TOLUENE-A17'!K9/10</f>
        <v>28.5</v>
      </c>
      <c r="D19" s="459">
        <f>'TOLUENE-A17'!K38/10</f>
        <v>28.5</v>
      </c>
      <c r="E19" s="458">
        <v>1</v>
      </c>
      <c r="F19" s="458">
        <v>30</v>
      </c>
      <c r="G19" s="459">
        <f t="shared" si="0"/>
        <v>-0.5</v>
      </c>
      <c r="H19" s="455">
        <f t="shared" si="1"/>
        <v>-2</v>
      </c>
      <c r="I19" s="455">
        <f t="shared" si="2"/>
        <v>1.0526</v>
      </c>
      <c r="J19" s="456">
        <f t="shared" si="3"/>
        <v>29</v>
      </c>
      <c r="K19" s="455">
        <f t="shared" si="4"/>
        <v>1</v>
      </c>
      <c r="L19" s="454" t="s">
        <v>142</v>
      </c>
      <c r="M19" s="453"/>
      <c r="N19" s="460" t="s">
        <v>376</v>
      </c>
      <c r="O19" s="451">
        <f t="shared" si="5"/>
        <v>28.5</v>
      </c>
      <c r="P19" s="450">
        <f>('TOLUENE-A17'!K67)/10</f>
        <v>0</v>
      </c>
      <c r="Q19" s="449">
        <f t="shared" si="6"/>
        <v>28.5</v>
      </c>
      <c r="R19" s="448"/>
    </row>
    <row r="20" spans="1:18">
      <c r="A20" s="453"/>
      <c r="B20" s="460" t="s">
        <v>377</v>
      </c>
      <c r="C20" s="459">
        <f>'XYLENES-A18'!K9/10</f>
        <v>37</v>
      </c>
      <c r="D20" s="459">
        <f>'XYLENES-A18'!K38/10</f>
        <v>35.200000000000003</v>
      </c>
      <c r="E20" s="458">
        <v>0</v>
      </c>
      <c r="F20" s="458">
        <v>23</v>
      </c>
      <c r="G20" s="459">
        <f t="shared" si="0"/>
        <v>12.200000000000003</v>
      </c>
      <c r="H20" s="455" t="str">
        <f t="shared" si="1"/>
        <v xml:space="preserve">     0%</v>
      </c>
      <c r="I20" s="455">
        <f t="shared" si="2"/>
        <v>0.65339999999999998</v>
      </c>
      <c r="J20" s="456">
        <f t="shared" si="3"/>
        <v>23</v>
      </c>
      <c r="K20" s="455">
        <f t="shared" si="4"/>
        <v>0.95140000000000002</v>
      </c>
      <c r="L20" s="454" t="s">
        <v>152</v>
      </c>
      <c r="M20" s="453"/>
      <c r="N20" s="460" t="s">
        <v>377</v>
      </c>
      <c r="O20" s="451">
        <f t="shared" si="5"/>
        <v>35.200000000000003</v>
      </c>
      <c r="P20" s="450">
        <f>('XYLENES-A18'!K67)/10</f>
        <v>11.8</v>
      </c>
      <c r="Q20" s="449">
        <f t="shared" si="6"/>
        <v>23.400000000000002</v>
      </c>
      <c r="R20" s="448"/>
    </row>
    <row r="21" spans="1:18">
      <c r="A21" s="453"/>
      <c r="B21" s="460" t="s">
        <v>64</v>
      </c>
      <c r="C21" s="459">
        <f>'PX-A19'!K9/10</f>
        <v>163</v>
      </c>
      <c r="D21" s="459">
        <f>'PX-A19'!K38/10</f>
        <v>162.69999999999999</v>
      </c>
      <c r="E21" s="458">
        <v>0</v>
      </c>
      <c r="F21" s="458">
        <v>163</v>
      </c>
      <c r="G21" s="459">
        <f t="shared" si="0"/>
        <v>-0.30000000000001137</v>
      </c>
      <c r="H21" s="455" t="str">
        <f t="shared" si="1"/>
        <v xml:space="preserve">     0%</v>
      </c>
      <c r="I21" s="455">
        <f t="shared" si="2"/>
        <v>1.0018</v>
      </c>
      <c r="J21" s="456">
        <f t="shared" si="3"/>
        <v>163</v>
      </c>
      <c r="K21" s="455">
        <f t="shared" si="4"/>
        <v>0.99819999999999998</v>
      </c>
      <c r="L21" s="454" t="s">
        <v>151</v>
      </c>
      <c r="M21" s="453"/>
      <c r="N21" s="452" t="s">
        <v>64</v>
      </c>
      <c r="O21" s="451">
        <f t="shared" si="5"/>
        <v>162.69999999999999</v>
      </c>
      <c r="P21" s="450">
        <f>('PX-A19'!K67)/10</f>
        <v>0</v>
      </c>
      <c r="Q21" s="449">
        <f t="shared" si="6"/>
        <v>162.69999999999999</v>
      </c>
      <c r="R21" s="448"/>
    </row>
    <row r="22" spans="1:18">
      <c r="A22" s="453"/>
      <c r="B22" s="460" t="s">
        <v>62</v>
      </c>
      <c r="C22" s="459">
        <f>'PTA-A20'!K9/10</f>
        <v>0</v>
      </c>
      <c r="D22" s="459">
        <f>'PTA-A20'!K38/10</f>
        <v>0</v>
      </c>
      <c r="E22" s="458">
        <v>0</v>
      </c>
      <c r="F22" s="458">
        <v>0</v>
      </c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56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('PTA-A20'!K67)/10</f>
        <v>0</v>
      </c>
      <c r="Q22" s="449">
        <f t="shared" si="6"/>
        <v>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3.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476" t="s">
        <v>398</v>
      </c>
      <c r="B1" s="484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'ETHYLENE-A1'!Q9/10</f>
        <v>400</v>
      </c>
      <c r="D5" s="459">
        <f>'ETHYLENE-A1'!Q38/10</f>
        <v>387.1</v>
      </c>
      <c r="E5" s="458">
        <v>0</v>
      </c>
      <c r="F5" s="458">
        <v>1</v>
      </c>
      <c r="G5" s="459">
        <f t="shared" ref="G5:G22" si="0">D5+E5-F5</f>
        <v>386.1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2.5999999999999999E-3</v>
      </c>
      <c r="J5" s="456">
        <f t="shared" ref="J5:J22" si="3">D5-G5</f>
        <v>1</v>
      </c>
      <c r="K5" s="455">
        <f t="shared" ref="K5:K22" si="4">IF(AND(D5=0,C5=0),"    -",IF(C5=0,"     0%",IF(D5=0,"     -",ROUND(D5/C5,4))))</f>
        <v>0.96779999999999999</v>
      </c>
      <c r="L5" s="454" t="s">
        <v>145</v>
      </c>
      <c r="M5" s="453"/>
      <c r="N5" s="452" t="s">
        <v>79</v>
      </c>
      <c r="O5" s="451">
        <f t="shared" ref="O5:O22" si="5">D5</f>
        <v>387.1</v>
      </c>
      <c r="P5" s="450">
        <f>('ETHYLENE-A1'!Q67)/10</f>
        <v>386.1</v>
      </c>
      <c r="Q5" s="449">
        <f>O5-P5</f>
        <v>1</v>
      </c>
      <c r="R5" s="448"/>
    </row>
    <row r="6" spans="1:18">
      <c r="A6" s="453"/>
      <c r="B6" s="460" t="s">
        <v>78</v>
      </c>
      <c r="C6" s="459">
        <f>'LDPE-A2'!Q9/10</f>
        <v>238</v>
      </c>
      <c r="D6" s="459">
        <f>'LDPE-A2'!Q38/10</f>
        <v>219</v>
      </c>
      <c r="E6" s="458">
        <v>65</v>
      </c>
      <c r="F6" s="458">
        <v>276</v>
      </c>
      <c r="G6" s="459">
        <f t="shared" si="0"/>
        <v>8</v>
      </c>
      <c r="H6" s="455">
        <f t="shared" si="1"/>
        <v>8.125</v>
      </c>
      <c r="I6" s="455">
        <f t="shared" si="2"/>
        <v>1.2603</v>
      </c>
      <c r="J6" s="456">
        <f t="shared" si="3"/>
        <v>211</v>
      </c>
      <c r="K6" s="455">
        <f t="shared" si="4"/>
        <v>0.92020000000000002</v>
      </c>
      <c r="L6" s="454" t="s">
        <v>150</v>
      </c>
      <c r="M6" s="453"/>
      <c r="N6" s="452" t="s">
        <v>78</v>
      </c>
      <c r="O6" s="451">
        <f t="shared" si="5"/>
        <v>219</v>
      </c>
      <c r="P6" s="450">
        <f>('LDPE-A2'!Q67)/10</f>
        <v>8.5</v>
      </c>
      <c r="Q6" s="449">
        <f t="shared" ref="Q6:Q22" si="6">O6-P6</f>
        <v>210.5</v>
      </c>
      <c r="R6" s="448"/>
    </row>
    <row r="7" spans="1:18">
      <c r="A7" s="453"/>
      <c r="B7" s="460" t="s">
        <v>76</v>
      </c>
      <c r="C7" s="459">
        <f>'HDPE-A3'!Q9/10</f>
        <v>39</v>
      </c>
      <c r="D7" s="459">
        <f>'HDPE-A3'!Q38/10</f>
        <v>35.299999999999997</v>
      </c>
      <c r="E7" s="458">
        <v>51</v>
      </c>
      <c r="F7" s="458">
        <v>82</v>
      </c>
      <c r="G7" s="459">
        <f t="shared" si="0"/>
        <v>4.2999999999999972</v>
      </c>
      <c r="H7" s="455">
        <f t="shared" si="1"/>
        <v>11.8605</v>
      </c>
      <c r="I7" s="455">
        <f t="shared" si="2"/>
        <v>2.3229000000000002</v>
      </c>
      <c r="J7" s="456">
        <f t="shared" si="3"/>
        <v>31</v>
      </c>
      <c r="K7" s="455">
        <f t="shared" si="4"/>
        <v>0.90510000000000002</v>
      </c>
      <c r="L7" s="454" t="s">
        <v>149</v>
      </c>
      <c r="M7" s="453"/>
      <c r="N7" s="452" t="s">
        <v>76</v>
      </c>
      <c r="O7" s="451">
        <f t="shared" si="5"/>
        <v>35.299999999999997</v>
      </c>
      <c r="P7" s="450">
        <f>('HDPE-A3'!Q67)/10</f>
        <v>4</v>
      </c>
      <c r="Q7" s="449">
        <f t="shared" si="6"/>
        <v>31.299999999999997</v>
      </c>
      <c r="R7" s="448"/>
    </row>
    <row r="8" spans="1:18">
      <c r="A8" s="453"/>
      <c r="B8" s="460" t="s">
        <v>75</v>
      </c>
      <c r="C8" s="459">
        <f>'SM-A6'!Q9/10</f>
        <v>93</v>
      </c>
      <c r="D8" s="459">
        <f>'SM-A6'!Q38/10</f>
        <v>88.4</v>
      </c>
      <c r="E8" s="458">
        <v>0</v>
      </c>
      <c r="F8" s="458">
        <v>63</v>
      </c>
      <c r="G8" s="459">
        <f t="shared" si="0"/>
        <v>25.400000000000006</v>
      </c>
      <c r="H8" s="455" t="str">
        <f t="shared" si="1"/>
        <v xml:space="preserve">     0%</v>
      </c>
      <c r="I8" s="455">
        <f t="shared" si="2"/>
        <v>0.7127</v>
      </c>
      <c r="J8" s="456">
        <f t="shared" si="3"/>
        <v>63</v>
      </c>
      <c r="K8" s="455">
        <f t="shared" si="4"/>
        <v>0.95050000000000001</v>
      </c>
      <c r="L8" s="454" t="s">
        <v>148</v>
      </c>
      <c r="M8" s="453"/>
      <c r="N8" s="452" t="s">
        <v>75</v>
      </c>
      <c r="O8" s="451">
        <f t="shared" si="5"/>
        <v>88.4</v>
      </c>
      <c r="P8" s="450">
        <f>('SM-A6'!Q67)/10</f>
        <v>25.7</v>
      </c>
      <c r="Q8" s="449">
        <f t="shared" si="6"/>
        <v>62.7</v>
      </c>
      <c r="R8" s="448"/>
    </row>
    <row r="9" spans="1:18">
      <c r="A9" s="453"/>
      <c r="B9" s="460" t="s">
        <v>74</v>
      </c>
      <c r="C9" s="459">
        <f>'EG-A10'!Q9/10</f>
        <v>87.2</v>
      </c>
      <c r="D9" s="459">
        <f>'EG-A10'!Q38/10</f>
        <v>81.7</v>
      </c>
      <c r="E9" s="458">
        <v>2</v>
      </c>
      <c r="F9" s="458">
        <v>81</v>
      </c>
      <c r="G9" s="459">
        <f t="shared" si="0"/>
        <v>2.7000000000000028</v>
      </c>
      <c r="H9" s="455">
        <f t="shared" si="1"/>
        <v>0.74070000000000003</v>
      </c>
      <c r="I9" s="455">
        <f t="shared" si="2"/>
        <v>0.99139999999999995</v>
      </c>
      <c r="J9" s="456">
        <f t="shared" si="3"/>
        <v>79</v>
      </c>
      <c r="K9" s="455">
        <f t="shared" si="4"/>
        <v>0.93689999999999996</v>
      </c>
      <c r="L9" s="454" t="s">
        <v>147</v>
      </c>
      <c r="M9" s="453"/>
      <c r="N9" s="452" t="s">
        <v>74</v>
      </c>
      <c r="O9" s="451">
        <f t="shared" si="5"/>
        <v>81.7</v>
      </c>
      <c r="P9" s="450">
        <f>('EG-A10'!Q67)/10</f>
        <v>2.2999999999999998</v>
      </c>
      <c r="Q9" s="449">
        <f t="shared" si="6"/>
        <v>79.400000000000006</v>
      </c>
      <c r="R9" s="448"/>
    </row>
    <row r="10" spans="1:18">
      <c r="A10" s="453"/>
      <c r="B10" s="460" t="s">
        <v>72</v>
      </c>
      <c r="C10" s="459">
        <f>'PVC-A7'!Q9/10</f>
        <v>0</v>
      </c>
      <c r="D10" s="459">
        <f>'PVC-A7'!Q38/10</f>
        <v>0</v>
      </c>
      <c r="E10" s="458">
        <v>5</v>
      </c>
      <c r="F10" s="458">
        <v>0</v>
      </c>
      <c r="G10" s="459">
        <f t="shared" si="0"/>
        <v>5</v>
      </c>
      <c r="H10" s="455">
        <f t="shared" si="1"/>
        <v>1</v>
      </c>
      <c r="I10" s="455" t="str">
        <f t="shared" si="2"/>
        <v xml:space="preserve">    -</v>
      </c>
      <c r="J10" s="456">
        <f t="shared" si="3"/>
        <v>-5</v>
      </c>
      <c r="K10" s="455" t="str">
        <f t="shared" si="4"/>
        <v xml:space="preserve">    -</v>
      </c>
      <c r="L10" s="454"/>
      <c r="M10" s="453"/>
      <c r="N10" s="452" t="s">
        <v>72</v>
      </c>
      <c r="O10" s="451">
        <f t="shared" si="5"/>
        <v>0</v>
      </c>
      <c r="P10" s="450">
        <f>('PVC-A7'!Q38)/10</f>
        <v>0</v>
      </c>
      <c r="Q10" s="449">
        <f t="shared" si="6"/>
        <v>0</v>
      </c>
      <c r="R10" s="448"/>
    </row>
    <row r="11" spans="1:18">
      <c r="A11" s="453"/>
      <c r="B11" s="460" t="s">
        <v>371</v>
      </c>
      <c r="C11" s="459">
        <f>'OTHER(C2)-A11'!Q9/10</f>
        <v>90.4</v>
      </c>
      <c r="D11" s="459">
        <f>'OTHER(C2)-A11'!Q38/10</f>
        <v>70.599999999999994</v>
      </c>
      <c r="E11" s="458">
        <v>1</v>
      </c>
      <c r="F11" s="458">
        <v>60</v>
      </c>
      <c r="G11" s="459">
        <f t="shared" si="0"/>
        <v>11.599999999999994</v>
      </c>
      <c r="H11" s="455">
        <f t="shared" si="1"/>
        <v>8.6199999999999999E-2</v>
      </c>
      <c r="I11" s="455">
        <f t="shared" si="2"/>
        <v>0.84989999999999999</v>
      </c>
      <c r="J11" s="456">
        <f t="shared" si="3"/>
        <v>59</v>
      </c>
      <c r="K11" s="455">
        <f t="shared" si="4"/>
        <v>0.78100000000000003</v>
      </c>
      <c r="L11" s="454" t="s">
        <v>146</v>
      </c>
      <c r="M11" s="453"/>
      <c r="N11" s="460" t="s">
        <v>371</v>
      </c>
      <c r="O11" s="451">
        <f t="shared" si="5"/>
        <v>70.599999999999994</v>
      </c>
      <c r="P11" s="450">
        <f>('OTHER(C2)-A11'!Q67)/10</f>
        <v>11.8</v>
      </c>
      <c r="Q11" s="449">
        <f t="shared" si="6"/>
        <v>58.8</v>
      </c>
      <c r="R11" s="448"/>
    </row>
    <row r="12" spans="1:18">
      <c r="A12" s="453"/>
      <c r="B12" s="460" t="s">
        <v>372</v>
      </c>
      <c r="C12" s="462">
        <f>C6*0.98+C7*1.04+C8*0.29+C9*0.66+C10*0.5+C11</f>
        <v>448.72199999999998</v>
      </c>
      <c r="D12" s="462">
        <f>D6*0.98+D7*1.04+D8*0.29+D9*0.66+D10*0.5+D11</f>
        <v>401.49</v>
      </c>
      <c r="E12" s="462">
        <f>E6*0.98+E7*1.04+E8*0.29+E9*0.66+E10*0.5</f>
        <v>120.55999999999999</v>
      </c>
      <c r="F12" s="462">
        <f>F6*0.98+F7*1.04+F8*0.29+F9*0.66+F10*0.5</f>
        <v>427.48999999999995</v>
      </c>
      <c r="G12" s="459">
        <f t="shared" si="0"/>
        <v>94.56</v>
      </c>
      <c r="H12" s="455">
        <f t="shared" si="1"/>
        <v>1.2749999999999999</v>
      </c>
      <c r="I12" s="455">
        <f t="shared" si="2"/>
        <v>1.0648</v>
      </c>
      <c r="J12" s="456">
        <f t="shared" si="3"/>
        <v>306.93</v>
      </c>
      <c r="K12" s="455">
        <f t="shared" si="4"/>
        <v>0.89470000000000005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368.22899999999998</v>
      </c>
      <c r="R12" s="448"/>
    </row>
    <row r="13" spans="1:18">
      <c r="A13" s="453"/>
      <c r="B13" s="460" t="s">
        <v>373</v>
      </c>
      <c r="C13" s="459">
        <f>'PROPYLENE-A12'!Q9/10</f>
        <v>253</v>
      </c>
      <c r="D13" s="459">
        <f>'PROPYLENE-A12'!Q38/10</f>
        <v>237.8</v>
      </c>
      <c r="E13" s="458">
        <v>6</v>
      </c>
      <c r="F13" s="458">
        <v>0</v>
      </c>
      <c r="G13" s="459">
        <f t="shared" si="0"/>
        <v>243.8</v>
      </c>
      <c r="H13" s="455">
        <f t="shared" si="1"/>
        <v>2.46E-2</v>
      </c>
      <c r="I13" s="455" t="str">
        <f t="shared" si="2"/>
        <v xml:space="preserve">     0%</v>
      </c>
      <c r="J13" s="456">
        <f t="shared" si="3"/>
        <v>-6</v>
      </c>
      <c r="K13" s="455">
        <f t="shared" si="4"/>
        <v>0.93989999999999996</v>
      </c>
      <c r="L13" s="454" t="s">
        <v>145</v>
      </c>
      <c r="M13" s="453"/>
      <c r="N13" s="460" t="s">
        <v>373</v>
      </c>
      <c r="O13" s="451">
        <f t="shared" si="5"/>
        <v>237.8</v>
      </c>
      <c r="P13" s="450">
        <f>('PROPYLENE-A12'!Q67)/10</f>
        <v>244.2</v>
      </c>
      <c r="Q13" s="449">
        <f t="shared" si="6"/>
        <v>-6.3999999999999773</v>
      </c>
      <c r="R13" s="448"/>
    </row>
    <row r="14" spans="1:18">
      <c r="A14" s="453"/>
      <c r="B14" s="460" t="s">
        <v>69</v>
      </c>
      <c r="C14" s="459">
        <f>'PP-A13'!Q9/10</f>
        <v>158</v>
      </c>
      <c r="D14" s="459">
        <f>'PP-A13'!Q38/10</f>
        <v>142.5</v>
      </c>
      <c r="E14" s="458">
        <v>40</v>
      </c>
      <c r="F14" s="458">
        <v>179</v>
      </c>
      <c r="G14" s="459">
        <f t="shared" si="0"/>
        <v>3.5</v>
      </c>
      <c r="H14" s="455">
        <f t="shared" si="1"/>
        <v>11.428599999999999</v>
      </c>
      <c r="I14" s="455">
        <f t="shared" si="2"/>
        <v>1.2561</v>
      </c>
      <c r="J14" s="456">
        <f t="shared" si="3"/>
        <v>139</v>
      </c>
      <c r="K14" s="455">
        <f t="shared" si="4"/>
        <v>0.90190000000000003</v>
      </c>
      <c r="L14" s="454" t="s">
        <v>144</v>
      </c>
      <c r="M14" s="453"/>
      <c r="N14" s="452" t="s">
        <v>69</v>
      </c>
      <c r="O14" s="451">
        <f t="shared" si="5"/>
        <v>142.5</v>
      </c>
      <c r="P14" s="450">
        <f>('PP-A13'!Q67)/10</f>
        <v>3.4</v>
      </c>
      <c r="Q14" s="449">
        <f t="shared" si="6"/>
        <v>139.1</v>
      </c>
      <c r="R14" s="448"/>
    </row>
    <row r="15" spans="1:18">
      <c r="A15" s="453"/>
      <c r="B15" s="460" t="s">
        <v>67</v>
      </c>
      <c r="C15" s="459">
        <f>'AN-A14'!Q9/10</f>
        <v>0</v>
      </c>
      <c r="D15" s="459">
        <f>'AN-A14'!Q38/10</f>
        <v>0</v>
      </c>
      <c r="E15" s="458">
        <v>0</v>
      </c>
      <c r="F15" s="458">
        <v>0</v>
      </c>
      <c r="G15" s="459">
        <f t="shared" si="0"/>
        <v>0</v>
      </c>
      <c r="H15" s="455" t="str">
        <f t="shared" si="1"/>
        <v xml:space="preserve">    -</v>
      </c>
      <c r="I15" s="455" t="str">
        <f t="shared" si="2"/>
        <v xml:space="preserve">    -</v>
      </c>
      <c r="J15" s="456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('AN-A14'!Q67)/10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'OTHER(C3)-A15'!Q9/10</f>
        <v>111.6</v>
      </c>
      <c r="D16" s="459">
        <f>'OTHER(C3)-A15'!Q38/10</f>
        <v>105.9</v>
      </c>
      <c r="E16" s="458">
        <v>5</v>
      </c>
      <c r="F16" s="458">
        <v>59</v>
      </c>
      <c r="G16" s="459">
        <f t="shared" si="0"/>
        <v>51.900000000000006</v>
      </c>
      <c r="H16" s="455">
        <f t="shared" si="1"/>
        <v>9.6299999999999997E-2</v>
      </c>
      <c r="I16" s="455">
        <f t="shared" si="2"/>
        <v>0.55710000000000004</v>
      </c>
      <c r="J16" s="456">
        <f t="shared" si="3"/>
        <v>54</v>
      </c>
      <c r="K16" s="455">
        <f t="shared" si="4"/>
        <v>0.94889999999999997</v>
      </c>
      <c r="L16" s="454" t="s">
        <v>143</v>
      </c>
      <c r="M16" s="453"/>
      <c r="N16" s="460" t="s">
        <v>371</v>
      </c>
      <c r="O16" s="451">
        <f t="shared" si="5"/>
        <v>105.9</v>
      </c>
      <c r="P16" s="450">
        <f>('OTHER(C3)-A15'!Q67)/10</f>
        <v>52.1</v>
      </c>
      <c r="Q16" s="449">
        <f t="shared" si="6"/>
        <v>53.800000000000004</v>
      </c>
      <c r="R16" s="448"/>
    </row>
    <row r="17" spans="1:18">
      <c r="A17" s="453"/>
      <c r="B17" s="460" t="s">
        <v>374</v>
      </c>
      <c r="C17" s="459">
        <f>C14*1.03+C15*1.09+C16</f>
        <v>274.34000000000003</v>
      </c>
      <c r="D17" s="459">
        <f>D14*1.03+D15*1.09+D16</f>
        <v>252.67500000000001</v>
      </c>
      <c r="E17" s="459">
        <f>E14*1.03+E15*1.09</f>
        <v>41.2</v>
      </c>
      <c r="F17" s="459">
        <f>F14*1.03+F15*1.09</f>
        <v>184.37</v>
      </c>
      <c r="G17" s="459">
        <f t="shared" si="0"/>
        <v>109.505</v>
      </c>
      <c r="H17" s="455">
        <f t="shared" si="1"/>
        <v>0.37619999999999998</v>
      </c>
      <c r="I17" s="455">
        <f t="shared" si="2"/>
        <v>0.72970000000000002</v>
      </c>
      <c r="J17" s="456">
        <f t="shared" si="3"/>
        <v>143.17000000000002</v>
      </c>
      <c r="K17" s="455">
        <f t="shared" si="4"/>
        <v>0.92100000000000004</v>
      </c>
      <c r="L17" s="454"/>
      <c r="M17" s="453"/>
      <c r="N17" s="460" t="s">
        <v>374</v>
      </c>
      <c r="O17" s="451"/>
      <c r="P17" s="450"/>
      <c r="Q17" s="461">
        <f>Q14*1.03+Q15*1.09+Q16</f>
        <v>197.07300000000001</v>
      </c>
      <c r="R17" s="448"/>
    </row>
    <row r="18" spans="1:18">
      <c r="A18" s="453"/>
      <c r="B18" s="460" t="s">
        <v>375</v>
      </c>
      <c r="C18" s="459">
        <f>'BENZENE-A16'!Q9/10</f>
        <v>174</v>
      </c>
      <c r="D18" s="459">
        <f>'BENZENE-A16'!Q38/10</f>
        <v>153.80000000000001</v>
      </c>
      <c r="E18" s="458">
        <v>20</v>
      </c>
      <c r="F18" s="458">
        <v>55</v>
      </c>
      <c r="G18" s="459">
        <f t="shared" si="0"/>
        <v>118.80000000000001</v>
      </c>
      <c r="H18" s="455">
        <f t="shared" si="1"/>
        <v>0.16839999999999999</v>
      </c>
      <c r="I18" s="455">
        <f t="shared" si="2"/>
        <v>0.35759999999999997</v>
      </c>
      <c r="J18" s="456">
        <f t="shared" si="3"/>
        <v>35</v>
      </c>
      <c r="K18" s="455">
        <f t="shared" si="4"/>
        <v>0.88390000000000002</v>
      </c>
      <c r="L18" s="454" t="s">
        <v>153</v>
      </c>
      <c r="M18" s="453"/>
      <c r="N18" s="460" t="s">
        <v>375</v>
      </c>
      <c r="O18" s="451">
        <f t="shared" si="5"/>
        <v>153.80000000000001</v>
      </c>
      <c r="P18" s="450">
        <f>('BENZENE-A16'!Q67)/10</f>
        <v>119.3</v>
      </c>
      <c r="Q18" s="449">
        <f t="shared" si="6"/>
        <v>34.500000000000014</v>
      </c>
      <c r="R18" s="448"/>
    </row>
    <row r="19" spans="1:18">
      <c r="A19" s="453"/>
      <c r="B19" s="460" t="s">
        <v>376</v>
      </c>
      <c r="C19" s="459">
        <f>'TOLUENE-A17'!Q9/10</f>
        <v>28.5</v>
      </c>
      <c r="D19" s="459">
        <f>'TOLUENE-A17'!Q38/10</f>
        <v>25.3</v>
      </c>
      <c r="E19" s="458">
        <v>1</v>
      </c>
      <c r="F19" s="458">
        <v>26</v>
      </c>
      <c r="G19" s="459">
        <f t="shared" si="0"/>
        <v>0.30000000000000071</v>
      </c>
      <c r="H19" s="455">
        <f t="shared" si="1"/>
        <v>3.3332999999999999</v>
      </c>
      <c r="I19" s="455">
        <f t="shared" si="2"/>
        <v>1.0277000000000001</v>
      </c>
      <c r="J19" s="456">
        <f t="shared" si="3"/>
        <v>25</v>
      </c>
      <c r="K19" s="455">
        <f t="shared" si="4"/>
        <v>0.88770000000000004</v>
      </c>
      <c r="L19" s="454" t="s">
        <v>142</v>
      </c>
      <c r="M19" s="453"/>
      <c r="N19" s="460" t="s">
        <v>376</v>
      </c>
      <c r="O19" s="451">
        <f t="shared" si="5"/>
        <v>25.3</v>
      </c>
      <c r="P19" s="450">
        <f>('TOLUENE-A17'!Q67)/10</f>
        <v>0</v>
      </c>
      <c r="Q19" s="449">
        <f t="shared" si="6"/>
        <v>25.3</v>
      </c>
      <c r="R19" s="448"/>
    </row>
    <row r="20" spans="1:18">
      <c r="A20" s="453"/>
      <c r="B20" s="460" t="s">
        <v>377</v>
      </c>
      <c r="C20" s="459">
        <f>'XYLENES-A18'!Q9/10</f>
        <v>37</v>
      </c>
      <c r="D20" s="459">
        <f>'XYLENES-A18'!Q38/10</f>
        <v>33.1</v>
      </c>
      <c r="E20" s="458">
        <v>0</v>
      </c>
      <c r="F20" s="458">
        <v>19</v>
      </c>
      <c r="G20" s="459">
        <f t="shared" si="0"/>
        <v>14.100000000000001</v>
      </c>
      <c r="H20" s="455" t="str">
        <f t="shared" si="1"/>
        <v xml:space="preserve">     0%</v>
      </c>
      <c r="I20" s="455">
        <f t="shared" si="2"/>
        <v>0.57399999999999995</v>
      </c>
      <c r="J20" s="456">
        <f t="shared" si="3"/>
        <v>19</v>
      </c>
      <c r="K20" s="455">
        <f t="shared" si="4"/>
        <v>0.89459999999999995</v>
      </c>
      <c r="L20" s="454" t="s">
        <v>152</v>
      </c>
      <c r="M20" s="453"/>
      <c r="N20" s="460" t="s">
        <v>377</v>
      </c>
      <c r="O20" s="451">
        <f t="shared" si="5"/>
        <v>33.1</v>
      </c>
      <c r="P20" s="450">
        <f>('XYLENES-A18'!Q67)/10</f>
        <v>13.8</v>
      </c>
      <c r="Q20" s="449">
        <f t="shared" si="6"/>
        <v>19.3</v>
      </c>
      <c r="R20" s="448"/>
    </row>
    <row r="21" spans="1:18">
      <c r="A21" s="453"/>
      <c r="B21" s="460" t="s">
        <v>64</v>
      </c>
      <c r="C21" s="459">
        <f>'PX-A19'!Q9/10</f>
        <v>163</v>
      </c>
      <c r="D21" s="459">
        <f>'PX-A19'!Q38/10</f>
        <v>154.9</v>
      </c>
      <c r="E21" s="458">
        <v>0</v>
      </c>
      <c r="F21" s="458">
        <v>155</v>
      </c>
      <c r="G21" s="459">
        <f t="shared" si="0"/>
        <v>-9.9999999999994316E-2</v>
      </c>
      <c r="H21" s="455" t="str">
        <f t="shared" si="1"/>
        <v xml:space="preserve">     0%</v>
      </c>
      <c r="I21" s="455">
        <f t="shared" si="2"/>
        <v>1.0005999999999999</v>
      </c>
      <c r="J21" s="456">
        <f t="shared" si="3"/>
        <v>155</v>
      </c>
      <c r="K21" s="455">
        <f t="shared" si="4"/>
        <v>0.95030000000000003</v>
      </c>
      <c r="L21" s="454" t="s">
        <v>151</v>
      </c>
      <c r="M21" s="453"/>
      <c r="N21" s="452" t="s">
        <v>64</v>
      </c>
      <c r="O21" s="451">
        <f t="shared" si="5"/>
        <v>154.9</v>
      </c>
      <c r="P21" s="450">
        <f>('PX-A19'!Q67)/10</f>
        <v>0</v>
      </c>
      <c r="Q21" s="449">
        <f t="shared" si="6"/>
        <v>154.9</v>
      </c>
      <c r="R21" s="448"/>
    </row>
    <row r="22" spans="1:18">
      <c r="A22" s="453"/>
      <c r="B22" s="460" t="s">
        <v>62</v>
      </c>
      <c r="C22" s="459">
        <f>'PTA-A20'!Q9/10</f>
        <v>0</v>
      </c>
      <c r="D22" s="459">
        <f>'PTA-A20'!Q38/10</f>
        <v>0</v>
      </c>
      <c r="E22" s="458">
        <v>0</v>
      </c>
      <c r="F22" s="458">
        <v>0</v>
      </c>
      <c r="G22" s="459">
        <f t="shared" si="0"/>
        <v>0</v>
      </c>
      <c r="H22" s="455" t="str">
        <f t="shared" si="1"/>
        <v xml:space="preserve">    -</v>
      </c>
      <c r="I22" s="455" t="str">
        <f t="shared" si="2"/>
        <v xml:space="preserve">    -</v>
      </c>
      <c r="J22" s="456">
        <f t="shared" si="3"/>
        <v>0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('PTA-A20'!Q67)/10</f>
        <v>0</v>
      </c>
      <c r="Q22" s="449">
        <f t="shared" si="6"/>
        <v>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23.75" bestFit="1" customWidth="1"/>
    <col min="2" max="2" width="21.125" customWidth="1"/>
    <col min="3" max="11" width="12.875" customWidth="1"/>
    <col min="12" max="12" width="63.3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3" t="s">
        <v>399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'ETHYLENE-A1'!K12/10</f>
        <v>86</v>
      </c>
      <c r="D5" s="459">
        <f>'ETHYLENE-A1'!K41/10</f>
        <v>65</v>
      </c>
      <c r="E5" s="458">
        <v>62.1</v>
      </c>
      <c r="F5" s="458">
        <v>12.1</v>
      </c>
      <c r="G5" s="459">
        <f t="shared" ref="G5:G22" si="0">D5+E5-F5</f>
        <v>115</v>
      </c>
      <c r="H5" s="455">
        <f t="shared" ref="H5:H22" si="1">IF(AND(E5=0,G5=0),"    -",IF(E5=0,"     0%",IF(G5=0,"     -",ROUND(E5/G5,4))))</f>
        <v>0.54</v>
      </c>
      <c r="I5" s="455">
        <f t="shared" ref="I5:I22" si="2">IF(AND(D5=0,F5=0),"    -",IF(F5=0,"     0%",IF(D5=0,"     -",ROUND(F5/D5,4))))</f>
        <v>0.1862</v>
      </c>
      <c r="J5" s="456">
        <f t="shared" ref="J5:J22" si="3">D5-G5</f>
        <v>-50</v>
      </c>
      <c r="K5" s="455">
        <f t="shared" ref="K5:K22" si="4">IF(AND(D5=0,C5=0),"    -",IF(C5=0,"     0%",IF(D5=0,"     -",ROUND(D5/C5,4))))</f>
        <v>0.75580000000000003</v>
      </c>
      <c r="L5" s="454" t="s">
        <v>165</v>
      </c>
      <c r="M5" s="453"/>
      <c r="N5" s="452" t="s">
        <v>79</v>
      </c>
      <c r="O5" s="451">
        <f t="shared" ref="O5:O22" si="5">D5</f>
        <v>65</v>
      </c>
      <c r="P5" s="450">
        <f>('ETHYLENE-A1'!K70)/10</f>
        <v>115</v>
      </c>
      <c r="Q5" s="449">
        <f>O5-P5</f>
        <v>-50</v>
      </c>
      <c r="R5" s="448"/>
    </row>
    <row r="6" spans="1:18">
      <c r="A6" s="453"/>
      <c r="B6" s="460" t="s">
        <v>78</v>
      </c>
      <c r="C6" s="459">
        <f>'LDPE-A2'!K12/10</f>
        <v>65</v>
      </c>
      <c r="D6" s="459">
        <f>'LDPE-A2'!K41/10</f>
        <v>47</v>
      </c>
      <c r="E6" s="458">
        <v>50.4</v>
      </c>
      <c r="F6" s="458">
        <v>3.6</v>
      </c>
      <c r="G6" s="459">
        <f t="shared" si="0"/>
        <v>93.800000000000011</v>
      </c>
      <c r="H6" s="455">
        <f t="shared" si="1"/>
        <v>0.5373</v>
      </c>
      <c r="I6" s="455">
        <f t="shared" si="2"/>
        <v>7.6600000000000001E-2</v>
      </c>
      <c r="J6" s="456">
        <f t="shared" si="3"/>
        <v>-46.800000000000011</v>
      </c>
      <c r="K6" s="455">
        <f t="shared" si="4"/>
        <v>0.72309999999999997</v>
      </c>
      <c r="L6" s="454" t="s">
        <v>164</v>
      </c>
      <c r="M6" s="453"/>
      <c r="N6" s="452" t="s">
        <v>78</v>
      </c>
      <c r="O6" s="451">
        <f t="shared" si="5"/>
        <v>47</v>
      </c>
      <c r="P6" s="450">
        <f>('LDPE-A2'!K70)/10</f>
        <v>94</v>
      </c>
      <c r="Q6" s="449">
        <f t="shared" ref="Q6:Q22" si="6">O6-P6</f>
        <v>-47</v>
      </c>
      <c r="R6" s="448"/>
    </row>
    <row r="7" spans="1:18">
      <c r="A7" s="453"/>
      <c r="B7" s="460" t="s">
        <v>76</v>
      </c>
      <c r="C7" s="459">
        <f>'HDPE-A3'!K12/10</f>
        <v>13.6</v>
      </c>
      <c r="D7" s="459">
        <f>'HDPE-A3'!K41/10</f>
        <v>10</v>
      </c>
      <c r="E7" s="458">
        <v>36.1</v>
      </c>
      <c r="F7" s="458">
        <v>3.1</v>
      </c>
      <c r="G7" s="459">
        <f t="shared" si="0"/>
        <v>43</v>
      </c>
      <c r="H7" s="455">
        <f t="shared" si="1"/>
        <v>0.83950000000000002</v>
      </c>
      <c r="I7" s="455">
        <f t="shared" si="2"/>
        <v>0.31</v>
      </c>
      <c r="J7" s="456">
        <f t="shared" si="3"/>
        <v>-33</v>
      </c>
      <c r="K7" s="455">
        <f t="shared" si="4"/>
        <v>0.73529999999999995</v>
      </c>
      <c r="L7" s="454" t="s">
        <v>163</v>
      </c>
      <c r="M7" s="453"/>
      <c r="N7" s="452" t="s">
        <v>76</v>
      </c>
      <c r="O7" s="451">
        <f t="shared" si="5"/>
        <v>10</v>
      </c>
      <c r="P7" s="450">
        <f>('HDPE-A3'!K70)/10</f>
        <v>43</v>
      </c>
      <c r="Q7" s="449">
        <f t="shared" si="6"/>
        <v>-33</v>
      </c>
      <c r="R7" s="448"/>
    </row>
    <row r="8" spans="1:18">
      <c r="A8" s="453"/>
      <c r="B8" s="460" t="s">
        <v>75</v>
      </c>
      <c r="C8" s="459">
        <f>'SM-A6'!K12/10</f>
        <v>34</v>
      </c>
      <c r="D8" s="459">
        <f>'SM-A6'!K41/10</f>
        <v>34</v>
      </c>
      <c r="E8" s="458">
        <v>1.5</v>
      </c>
      <c r="F8" s="458">
        <v>19.399999999999999</v>
      </c>
      <c r="G8" s="459">
        <f t="shared" si="0"/>
        <v>16.100000000000001</v>
      </c>
      <c r="H8" s="455">
        <f t="shared" si="1"/>
        <v>9.3200000000000005E-2</v>
      </c>
      <c r="I8" s="455">
        <f t="shared" si="2"/>
        <v>0.5706</v>
      </c>
      <c r="J8" s="456">
        <f t="shared" si="3"/>
        <v>17.899999999999999</v>
      </c>
      <c r="K8" s="455">
        <f t="shared" si="4"/>
        <v>1</v>
      </c>
      <c r="L8" s="454" t="s">
        <v>162</v>
      </c>
      <c r="M8" s="453"/>
      <c r="N8" s="452" t="s">
        <v>75</v>
      </c>
      <c r="O8" s="451">
        <f t="shared" si="5"/>
        <v>34</v>
      </c>
      <c r="P8" s="450">
        <f>('SM-A6'!K70)/10</f>
        <v>16</v>
      </c>
      <c r="Q8" s="449">
        <f t="shared" si="6"/>
        <v>18</v>
      </c>
      <c r="R8" s="448"/>
    </row>
    <row r="9" spans="1:18">
      <c r="A9" s="453"/>
      <c r="B9" s="460" t="s">
        <v>74</v>
      </c>
      <c r="C9" s="459">
        <f>'EG-A10'!K12/10</f>
        <v>22</v>
      </c>
      <c r="D9" s="459">
        <f>'EG-A10'!K41/10</f>
        <v>19.8</v>
      </c>
      <c r="E9" s="458">
        <v>40.1</v>
      </c>
      <c r="F9" s="458">
        <v>5.2</v>
      </c>
      <c r="G9" s="459">
        <f t="shared" si="0"/>
        <v>54.7</v>
      </c>
      <c r="H9" s="455">
        <f t="shared" si="1"/>
        <v>0.73309999999999997</v>
      </c>
      <c r="I9" s="455">
        <f t="shared" si="2"/>
        <v>0.2626</v>
      </c>
      <c r="J9" s="456">
        <f t="shared" si="3"/>
        <v>-34.900000000000006</v>
      </c>
      <c r="K9" s="455">
        <f t="shared" si="4"/>
        <v>0.9</v>
      </c>
      <c r="L9" s="454" t="s">
        <v>161</v>
      </c>
      <c r="M9" s="453"/>
      <c r="N9" s="452" t="s">
        <v>74</v>
      </c>
      <c r="O9" s="451">
        <f t="shared" si="5"/>
        <v>19.8</v>
      </c>
      <c r="P9" s="450">
        <f>('EG-A10'!K70)/10</f>
        <v>55</v>
      </c>
      <c r="Q9" s="449">
        <f t="shared" si="6"/>
        <v>-35.200000000000003</v>
      </c>
      <c r="R9" s="448"/>
    </row>
    <row r="10" spans="1:18">
      <c r="A10" s="453"/>
      <c r="B10" s="460" t="s">
        <v>72</v>
      </c>
      <c r="C10" s="459">
        <f>'PVC-A7'!K12/10</f>
        <v>99</v>
      </c>
      <c r="D10" s="459">
        <f>'PVC-A7'!K41/10</f>
        <v>84.15</v>
      </c>
      <c r="E10" s="458">
        <v>6.4</v>
      </c>
      <c r="F10" s="458">
        <v>23.3</v>
      </c>
      <c r="G10" s="459">
        <f t="shared" si="0"/>
        <v>67.250000000000014</v>
      </c>
      <c r="H10" s="455">
        <f t="shared" si="1"/>
        <v>9.5200000000000007E-2</v>
      </c>
      <c r="I10" s="455">
        <f t="shared" si="2"/>
        <v>0.27689999999999998</v>
      </c>
      <c r="J10" s="456">
        <f t="shared" si="3"/>
        <v>16.899999999999991</v>
      </c>
      <c r="K10" s="455">
        <f t="shared" si="4"/>
        <v>0.85</v>
      </c>
      <c r="L10" s="454" t="s">
        <v>160</v>
      </c>
      <c r="M10" s="453"/>
      <c r="N10" s="452" t="s">
        <v>72</v>
      </c>
      <c r="O10" s="451">
        <f t="shared" si="5"/>
        <v>84.15</v>
      </c>
      <c r="P10" s="450">
        <f>('PVC-A7'!K70)/10</f>
        <v>67</v>
      </c>
      <c r="Q10" s="449">
        <f t="shared" si="6"/>
        <v>17.150000000000006</v>
      </c>
      <c r="R10" s="448"/>
    </row>
    <row r="11" spans="1:18">
      <c r="A11" s="453"/>
      <c r="B11" s="460" t="s">
        <v>371</v>
      </c>
      <c r="C11" s="459">
        <f>'OTHER(C2)-A11'!K12/10</f>
        <v>0</v>
      </c>
      <c r="D11" s="459">
        <f>'OTHER(C2)-A11'!K41/10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('OTHER(C2)-A11'!K70)/10</f>
        <v>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151.72399999999999</v>
      </c>
      <c r="D12" s="462">
        <f>D6*0.98+D7*1.04+D8*0.29+D9*0.66+D10*0.5+D11</f>
        <v>121.46299999999999</v>
      </c>
      <c r="E12" s="462">
        <f>E6*0.98+E7*1.04+E8*0.29+E9*0.66+E10*0.5</f>
        <v>117.03700000000002</v>
      </c>
      <c r="F12" s="462">
        <f>F6*0.98+F7*1.04+F8*0.29+F9*0.66+F10*0.5</f>
        <v>27.46</v>
      </c>
      <c r="G12" s="459">
        <f t="shared" si="0"/>
        <v>211.04</v>
      </c>
      <c r="H12" s="455">
        <f t="shared" si="1"/>
        <v>0.55459999999999998</v>
      </c>
      <c r="I12" s="455">
        <f t="shared" si="2"/>
        <v>0.2261</v>
      </c>
      <c r="J12" s="482">
        <f t="shared" si="3"/>
        <v>-89.576999999999998</v>
      </c>
      <c r="K12" s="455">
        <f t="shared" si="4"/>
        <v>0.80059999999999998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-89.816999999999993</v>
      </c>
      <c r="R12" s="448"/>
    </row>
    <row r="13" spans="1:18">
      <c r="A13" s="453"/>
      <c r="B13" s="460" t="s">
        <v>373</v>
      </c>
      <c r="C13" s="459">
        <f>'PROPYLENE-A12'!K12/10</f>
        <v>99</v>
      </c>
      <c r="D13" s="459">
        <f>'PROPYLENE-A12'!K41/10</f>
        <v>74</v>
      </c>
      <c r="E13" s="458">
        <v>10</v>
      </c>
      <c r="F13" s="458">
        <v>4.5</v>
      </c>
      <c r="G13" s="459">
        <f t="shared" si="0"/>
        <v>79.5</v>
      </c>
      <c r="H13" s="455">
        <f t="shared" si="1"/>
        <v>0.1258</v>
      </c>
      <c r="I13" s="455">
        <f t="shared" si="2"/>
        <v>6.08E-2</v>
      </c>
      <c r="J13" s="482">
        <f t="shared" si="3"/>
        <v>-5.5</v>
      </c>
      <c r="K13" s="455">
        <f t="shared" si="4"/>
        <v>0.74750000000000005</v>
      </c>
      <c r="L13" s="454" t="s">
        <v>159</v>
      </c>
      <c r="M13" s="453"/>
      <c r="N13" s="460" t="s">
        <v>373</v>
      </c>
      <c r="O13" s="451">
        <f t="shared" si="5"/>
        <v>74</v>
      </c>
      <c r="P13" s="450">
        <f>('PROPYLENE-A12'!K70)/10</f>
        <v>80</v>
      </c>
      <c r="Q13" s="449">
        <f t="shared" si="6"/>
        <v>-6</v>
      </c>
      <c r="R13" s="448"/>
    </row>
    <row r="14" spans="1:18">
      <c r="A14" s="453"/>
      <c r="B14" s="460" t="s">
        <v>69</v>
      </c>
      <c r="C14" s="459">
        <f>'PP-A13'!K12/10</f>
        <v>90.5</v>
      </c>
      <c r="D14" s="459">
        <f>'PP-A13'!K41/10</f>
        <v>80</v>
      </c>
      <c r="E14" s="458">
        <v>72.3</v>
      </c>
      <c r="F14" s="458">
        <v>2.2999999999999998</v>
      </c>
      <c r="G14" s="459">
        <f t="shared" si="0"/>
        <v>150</v>
      </c>
      <c r="H14" s="455">
        <f t="shared" si="1"/>
        <v>0.48199999999999998</v>
      </c>
      <c r="I14" s="455">
        <f t="shared" si="2"/>
        <v>2.8799999999999999E-2</v>
      </c>
      <c r="J14" s="482">
        <f t="shared" si="3"/>
        <v>-70</v>
      </c>
      <c r="K14" s="455">
        <f t="shared" si="4"/>
        <v>0.88400000000000001</v>
      </c>
      <c r="L14" s="454" t="s">
        <v>158</v>
      </c>
      <c r="M14" s="453"/>
      <c r="N14" s="452" t="s">
        <v>69</v>
      </c>
      <c r="O14" s="451">
        <f t="shared" si="5"/>
        <v>80</v>
      </c>
      <c r="P14" s="450">
        <f>('PP-A13'!K70)/10</f>
        <v>150</v>
      </c>
      <c r="Q14" s="449">
        <f t="shared" si="6"/>
        <v>-70</v>
      </c>
      <c r="R14" s="448"/>
    </row>
    <row r="15" spans="1:18">
      <c r="A15" s="453"/>
      <c r="B15" s="460" t="s">
        <v>67</v>
      </c>
      <c r="C15" s="459">
        <f>'AN-A14'!K12/10</f>
        <v>0</v>
      </c>
      <c r="D15" s="459">
        <f>'AN-A14'!K41/10</f>
        <v>0</v>
      </c>
      <c r="E15" s="458">
        <v>0.5</v>
      </c>
      <c r="F15" s="458">
        <v>0</v>
      </c>
      <c r="G15" s="459">
        <f t="shared" si="0"/>
        <v>0.5</v>
      </c>
      <c r="H15" s="455">
        <f t="shared" si="1"/>
        <v>1</v>
      </c>
      <c r="I15" s="455" t="str">
        <f t="shared" si="2"/>
        <v xml:space="preserve">    -</v>
      </c>
      <c r="J15" s="482">
        <f t="shared" si="3"/>
        <v>-0.5</v>
      </c>
      <c r="K15" s="455" t="str">
        <f t="shared" si="4"/>
        <v xml:space="preserve">    -</v>
      </c>
      <c r="L15" s="454" t="s">
        <v>157</v>
      </c>
      <c r="M15" s="453"/>
      <c r="N15" s="452" t="s">
        <v>67</v>
      </c>
      <c r="O15" s="451">
        <f t="shared" si="5"/>
        <v>0</v>
      </c>
      <c r="P15" s="450">
        <f>('AN-A14'!K70)/10</f>
        <v>0.8</v>
      </c>
      <c r="Q15" s="449">
        <f t="shared" si="6"/>
        <v>-0.8</v>
      </c>
      <c r="R15" s="448"/>
    </row>
    <row r="16" spans="1:18">
      <c r="A16" s="453"/>
      <c r="B16" s="460" t="s">
        <v>371</v>
      </c>
      <c r="C16" s="459">
        <f>'OTHER(C3)-A15'!K12/10</f>
        <v>17.5</v>
      </c>
      <c r="D16" s="459">
        <f>'OTHER(C3)-A15'!K41/10</f>
        <v>15.307581104268598</v>
      </c>
      <c r="E16" s="458">
        <v>2</v>
      </c>
      <c r="F16" s="458">
        <v>0</v>
      </c>
      <c r="G16" s="459">
        <f t="shared" si="0"/>
        <v>17.3075811042686</v>
      </c>
      <c r="H16" s="455">
        <f t="shared" si="1"/>
        <v>0.11559999999999999</v>
      </c>
      <c r="I16" s="455" t="str">
        <f t="shared" si="2"/>
        <v xml:space="preserve">     0%</v>
      </c>
      <c r="J16" s="482">
        <f t="shared" si="3"/>
        <v>-2.0000000000000018</v>
      </c>
      <c r="K16" s="455">
        <f t="shared" si="4"/>
        <v>0.87470000000000003</v>
      </c>
      <c r="L16" s="454"/>
      <c r="M16" s="453"/>
      <c r="N16" s="460" t="s">
        <v>371</v>
      </c>
      <c r="O16" s="451">
        <f t="shared" si="5"/>
        <v>15.307581104268598</v>
      </c>
      <c r="P16" s="450">
        <f>('OTHER(C3)-A15'!K70)/10</f>
        <v>17</v>
      </c>
      <c r="Q16" s="449">
        <f t="shared" si="6"/>
        <v>-1.6924188957314019</v>
      </c>
      <c r="R16" s="448"/>
    </row>
    <row r="17" spans="1:18">
      <c r="A17" s="453"/>
      <c r="B17" s="460" t="s">
        <v>374</v>
      </c>
      <c r="C17" s="459">
        <f>C14*1.03+C15*1.09+C16</f>
        <v>110.715</v>
      </c>
      <c r="D17" s="459">
        <f>D14*1.03+D15*1.09+D16</f>
        <v>97.707581104268598</v>
      </c>
      <c r="E17" s="459">
        <f>E14*1.03+E15*1.09</f>
        <v>75.013999999999996</v>
      </c>
      <c r="F17" s="459">
        <f>F14*1.03+F15*1.09</f>
        <v>2.3689999999999998</v>
      </c>
      <c r="G17" s="459">
        <f t="shared" si="0"/>
        <v>170.35258110426858</v>
      </c>
      <c r="H17" s="455">
        <f t="shared" si="1"/>
        <v>0.44030000000000002</v>
      </c>
      <c r="I17" s="455">
        <f t="shared" si="2"/>
        <v>2.4199999999999999E-2</v>
      </c>
      <c r="J17" s="482">
        <f t="shared" si="3"/>
        <v>-72.644999999999982</v>
      </c>
      <c r="K17" s="455">
        <f t="shared" si="4"/>
        <v>0.88249999999999995</v>
      </c>
      <c r="L17" s="454"/>
      <c r="M17" s="453"/>
      <c r="N17" s="460" t="s">
        <v>374</v>
      </c>
      <c r="O17" s="451"/>
      <c r="P17" s="450"/>
      <c r="Q17" s="461">
        <f>Q14*1.03+Q15*1.09+Q16</f>
        <v>-74.664418895731416</v>
      </c>
      <c r="R17" s="448"/>
    </row>
    <row r="18" spans="1:18">
      <c r="A18" s="453"/>
      <c r="B18" s="460" t="s">
        <v>375</v>
      </c>
      <c r="C18" s="459">
        <f>'BENZENE-A16'!K12/10</f>
        <v>63</v>
      </c>
      <c r="D18" s="459">
        <f>'BENZENE-A16'!K41/10</f>
        <v>30</v>
      </c>
      <c r="E18" s="458">
        <v>26</v>
      </c>
      <c r="F18" s="458">
        <v>0</v>
      </c>
      <c r="G18" s="459">
        <f t="shared" si="0"/>
        <v>56</v>
      </c>
      <c r="H18" s="455">
        <f t="shared" si="1"/>
        <v>0.46429999999999999</v>
      </c>
      <c r="I18" s="455" t="str">
        <f t="shared" si="2"/>
        <v xml:space="preserve">     0%</v>
      </c>
      <c r="J18" s="482">
        <f t="shared" si="3"/>
        <v>-26</v>
      </c>
      <c r="K18" s="455">
        <f t="shared" si="4"/>
        <v>0.47620000000000001</v>
      </c>
      <c r="L18" s="454" t="s">
        <v>155</v>
      </c>
      <c r="M18" s="453"/>
      <c r="N18" s="460" t="s">
        <v>375</v>
      </c>
      <c r="O18" s="451">
        <f t="shared" si="5"/>
        <v>30</v>
      </c>
      <c r="P18" s="450">
        <f>('BENZENE-A16'!K70)/10</f>
        <v>56</v>
      </c>
      <c r="Q18" s="449">
        <f t="shared" si="6"/>
        <v>-26</v>
      </c>
      <c r="R18" s="448"/>
    </row>
    <row r="19" spans="1:18">
      <c r="A19" s="453"/>
      <c r="B19" s="460" t="s">
        <v>376</v>
      </c>
      <c r="C19" s="459">
        <f>'TOLUENE-A17'!K12/10</f>
        <v>10</v>
      </c>
      <c r="D19" s="459">
        <f>'TOLUENE-A17'!K41/10</f>
        <v>0</v>
      </c>
      <c r="E19" s="458">
        <v>15</v>
      </c>
      <c r="F19" s="458">
        <v>0</v>
      </c>
      <c r="G19" s="459">
        <f t="shared" si="0"/>
        <v>15</v>
      </c>
      <c r="H19" s="455">
        <f t="shared" si="1"/>
        <v>1</v>
      </c>
      <c r="I19" s="455" t="str">
        <f t="shared" si="2"/>
        <v xml:space="preserve">    -</v>
      </c>
      <c r="J19" s="482">
        <f t="shared" si="3"/>
        <v>-15</v>
      </c>
      <c r="K19" s="455" t="str">
        <f t="shared" si="4"/>
        <v xml:space="preserve">     -</v>
      </c>
      <c r="L19" s="454" t="s">
        <v>156</v>
      </c>
      <c r="M19" s="453"/>
      <c r="N19" s="460" t="s">
        <v>376</v>
      </c>
      <c r="O19" s="451">
        <f t="shared" si="5"/>
        <v>0</v>
      </c>
      <c r="P19" s="450">
        <f>('TOLUENE-A17'!K70)/10</f>
        <v>15</v>
      </c>
      <c r="Q19" s="449">
        <f t="shared" si="6"/>
        <v>-15</v>
      </c>
      <c r="R19" s="448"/>
    </row>
    <row r="20" spans="1:18">
      <c r="A20" s="453"/>
      <c r="B20" s="460" t="s">
        <v>377</v>
      </c>
      <c r="C20" s="459">
        <f>'XYLENES-A18'!K12/10</f>
        <v>12</v>
      </c>
      <c r="D20" s="459">
        <f>'XYLENES-A18'!K41/10</f>
        <v>0</v>
      </c>
      <c r="E20" s="458">
        <v>12</v>
      </c>
      <c r="F20" s="458">
        <v>0</v>
      </c>
      <c r="G20" s="459">
        <f t="shared" si="0"/>
        <v>12</v>
      </c>
      <c r="H20" s="455">
        <f t="shared" si="1"/>
        <v>1</v>
      </c>
      <c r="I20" s="455" t="str">
        <f t="shared" si="2"/>
        <v xml:space="preserve">    -</v>
      </c>
      <c r="J20" s="456">
        <f t="shared" si="3"/>
        <v>-12</v>
      </c>
      <c r="K20" s="455" t="str">
        <f t="shared" si="4"/>
        <v xml:space="preserve">     -</v>
      </c>
      <c r="L20" s="454" t="s">
        <v>156</v>
      </c>
      <c r="M20" s="453"/>
      <c r="N20" s="460" t="s">
        <v>377</v>
      </c>
      <c r="O20" s="451">
        <f t="shared" si="5"/>
        <v>0</v>
      </c>
      <c r="P20" s="450">
        <f>('XYLENES-A18'!K70)/10</f>
        <v>12</v>
      </c>
      <c r="Q20" s="449">
        <f t="shared" si="6"/>
        <v>-12</v>
      </c>
      <c r="R20" s="448"/>
    </row>
    <row r="21" spans="1:18">
      <c r="A21" s="453"/>
      <c r="B21" s="460" t="s">
        <v>64</v>
      </c>
      <c r="C21" s="459">
        <f>'PX-A19'!K12/10</f>
        <v>92</v>
      </c>
      <c r="D21" s="459">
        <f>'PX-A19'!K41/10</f>
        <v>34</v>
      </c>
      <c r="E21" s="458">
        <v>82</v>
      </c>
      <c r="F21" s="458">
        <v>0</v>
      </c>
      <c r="G21" s="459">
        <f t="shared" si="0"/>
        <v>116</v>
      </c>
      <c r="H21" s="455">
        <f t="shared" si="1"/>
        <v>0.70689999999999997</v>
      </c>
      <c r="I21" s="455" t="str">
        <f t="shared" si="2"/>
        <v xml:space="preserve">     0%</v>
      </c>
      <c r="J21" s="456">
        <f t="shared" si="3"/>
        <v>-82</v>
      </c>
      <c r="K21" s="455">
        <f t="shared" si="4"/>
        <v>0.36959999999999998</v>
      </c>
      <c r="L21" s="454" t="s">
        <v>155</v>
      </c>
      <c r="M21" s="453"/>
      <c r="N21" s="452" t="s">
        <v>64</v>
      </c>
      <c r="O21" s="451">
        <f t="shared" si="5"/>
        <v>34</v>
      </c>
      <c r="P21" s="450">
        <f>('PX-A19'!K70)/10</f>
        <v>116</v>
      </c>
      <c r="Q21" s="449">
        <f t="shared" si="6"/>
        <v>-82</v>
      </c>
      <c r="R21" s="448"/>
    </row>
    <row r="22" spans="1:18">
      <c r="A22" s="453"/>
      <c r="B22" s="460" t="s">
        <v>62</v>
      </c>
      <c r="C22" s="459">
        <f>'PTA-A20'!K12/10</f>
        <v>224</v>
      </c>
      <c r="D22" s="459">
        <f>'PTA-A20'!K41/10</f>
        <v>151.19999999999999</v>
      </c>
      <c r="E22" s="458">
        <v>12</v>
      </c>
      <c r="F22" s="458">
        <v>13</v>
      </c>
      <c r="G22" s="459">
        <f t="shared" si="0"/>
        <v>150.19999999999999</v>
      </c>
      <c r="H22" s="455">
        <f t="shared" si="1"/>
        <v>7.9899999999999999E-2</v>
      </c>
      <c r="I22" s="455">
        <f t="shared" si="2"/>
        <v>8.5999999999999993E-2</v>
      </c>
      <c r="J22" s="456">
        <f t="shared" si="3"/>
        <v>1</v>
      </c>
      <c r="K22" s="455">
        <f t="shared" si="4"/>
        <v>0.67500000000000004</v>
      </c>
      <c r="L22" s="454" t="s">
        <v>154</v>
      </c>
      <c r="M22" s="453"/>
      <c r="N22" s="452" t="s">
        <v>62</v>
      </c>
      <c r="O22" s="451">
        <f t="shared" si="5"/>
        <v>151.19999999999999</v>
      </c>
      <c r="P22" s="450">
        <f>('PTA-A20'!K70)/10</f>
        <v>150</v>
      </c>
      <c r="Q22" s="449">
        <f t="shared" si="6"/>
        <v>1.1999999999999886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  <c r="P23" s="441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5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23.75" bestFit="1" customWidth="1"/>
    <col min="2" max="2" width="21.125" customWidth="1"/>
    <col min="3" max="11" width="12.875" customWidth="1"/>
    <col min="12" max="12" width="6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3" t="s">
        <v>400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'ETHYLENE-A1'!Q12/10</f>
        <v>290</v>
      </c>
      <c r="D5" s="459">
        <f>'ETHYLENE-A1'!Q41/10</f>
        <v>150</v>
      </c>
      <c r="E5" s="458">
        <v>22</v>
      </c>
      <c r="F5" s="458">
        <v>0</v>
      </c>
      <c r="G5" s="459">
        <f t="shared" ref="G5:G22" si="0">D5+E5-F5</f>
        <v>172</v>
      </c>
      <c r="H5" s="455">
        <f t="shared" ref="H5:H22" si="1">IF(AND(E5=0,G5=0),"    -",IF(E5=0,"     0%",IF(G5=0,"     -",ROUND(E5/G5,4))))</f>
        <v>0.12790000000000001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-22</v>
      </c>
      <c r="K5" s="455">
        <f t="shared" ref="K5:K22" si="4">IF(AND(D5=0,C5=0),"    -",IF(C5=0,"     0%",IF(D5=0,"     -",ROUND(D5/C5,4))))</f>
        <v>0.51719999999999999</v>
      </c>
      <c r="L5" s="454" t="s">
        <v>245</v>
      </c>
      <c r="M5" s="453"/>
      <c r="N5" s="452" t="s">
        <v>79</v>
      </c>
      <c r="O5" s="451">
        <f t="shared" ref="O5:O22" si="5">D5</f>
        <v>150</v>
      </c>
      <c r="P5" s="450">
        <f>('ETHYLENE-A1'!Q70)/10</f>
        <v>172</v>
      </c>
      <c r="Q5" s="449">
        <f>O5-P5</f>
        <v>-22</v>
      </c>
      <c r="R5" s="448"/>
    </row>
    <row r="6" spans="1:18">
      <c r="A6" s="453"/>
      <c r="B6" s="460" t="s">
        <v>78</v>
      </c>
      <c r="C6" s="459">
        <f>'LDPE-A2'!Q12/10</f>
        <v>145</v>
      </c>
      <c r="D6" s="459">
        <f>'LDPE-A2'!Q41/10</f>
        <v>120</v>
      </c>
      <c r="E6" s="458">
        <v>70</v>
      </c>
      <c r="F6" s="458">
        <v>78</v>
      </c>
      <c r="G6" s="459">
        <f t="shared" si="0"/>
        <v>112</v>
      </c>
      <c r="H6" s="455">
        <f t="shared" si="1"/>
        <v>0.625</v>
      </c>
      <c r="I6" s="455">
        <f t="shared" si="2"/>
        <v>0.65</v>
      </c>
      <c r="J6" s="456">
        <f t="shared" si="3"/>
        <v>8</v>
      </c>
      <c r="K6" s="455">
        <f t="shared" si="4"/>
        <v>0.8276</v>
      </c>
      <c r="L6" s="454" t="s">
        <v>246</v>
      </c>
      <c r="M6" s="453"/>
      <c r="N6" s="452" t="s">
        <v>78</v>
      </c>
      <c r="O6" s="451">
        <f t="shared" si="5"/>
        <v>120</v>
      </c>
      <c r="P6" s="450">
        <f>('LDPE-A2'!Q70)/10</f>
        <v>112</v>
      </c>
      <c r="Q6" s="449">
        <f t="shared" ref="Q6:Q22" si="6">O6-P6</f>
        <v>8</v>
      </c>
      <c r="R6" s="448"/>
    </row>
    <row r="7" spans="1:18">
      <c r="A7" s="453"/>
      <c r="B7" s="460" t="s">
        <v>76</v>
      </c>
      <c r="C7" s="459">
        <f>'HDPE-A3'!Q12/10</f>
        <v>13.6</v>
      </c>
      <c r="D7" s="459">
        <f>'HDPE-A3'!Q41/10</f>
        <v>10</v>
      </c>
      <c r="E7" s="458">
        <v>59</v>
      </c>
      <c r="F7" s="458">
        <v>20</v>
      </c>
      <c r="G7" s="459">
        <f t="shared" si="0"/>
        <v>49</v>
      </c>
      <c r="H7" s="455">
        <f t="shared" si="1"/>
        <v>1.2040999999999999</v>
      </c>
      <c r="I7" s="455">
        <f t="shared" si="2"/>
        <v>2</v>
      </c>
      <c r="J7" s="456">
        <f t="shared" si="3"/>
        <v>-39</v>
      </c>
      <c r="K7" s="455">
        <f t="shared" si="4"/>
        <v>0.73529999999999995</v>
      </c>
      <c r="L7" s="454" t="s">
        <v>245</v>
      </c>
      <c r="M7" s="453"/>
      <c r="N7" s="452" t="s">
        <v>76</v>
      </c>
      <c r="O7" s="451">
        <f t="shared" si="5"/>
        <v>10</v>
      </c>
      <c r="P7" s="450">
        <f>('HDPE-A3'!Q70)/10</f>
        <v>49</v>
      </c>
      <c r="Q7" s="449">
        <f t="shared" si="6"/>
        <v>-39</v>
      </c>
      <c r="R7" s="448"/>
    </row>
    <row r="8" spans="1:18">
      <c r="A8" s="453"/>
      <c r="B8" s="460" t="s">
        <v>75</v>
      </c>
      <c r="C8" s="459">
        <f>'SM-A6'!Q12/10</f>
        <v>34</v>
      </c>
      <c r="D8" s="459">
        <f>'SM-A6'!Q41/10</f>
        <v>30</v>
      </c>
      <c r="E8" s="458">
        <v>18</v>
      </c>
      <c r="F8" s="458">
        <v>10</v>
      </c>
      <c r="G8" s="459">
        <f t="shared" si="0"/>
        <v>38</v>
      </c>
      <c r="H8" s="455">
        <f t="shared" si="1"/>
        <v>0.47370000000000001</v>
      </c>
      <c r="I8" s="455">
        <f t="shared" si="2"/>
        <v>0.33329999999999999</v>
      </c>
      <c r="J8" s="456">
        <f t="shared" si="3"/>
        <v>-8</v>
      </c>
      <c r="K8" s="455">
        <f t="shared" si="4"/>
        <v>0.88239999999999996</v>
      </c>
      <c r="L8" s="454" t="s">
        <v>162</v>
      </c>
      <c r="M8" s="453"/>
      <c r="N8" s="452" t="s">
        <v>75</v>
      </c>
      <c r="O8" s="451">
        <f t="shared" si="5"/>
        <v>30</v>
      </c>
      <c r="P8" s="450">
        <f>('SM-A6'!Q70)/10</f>
        <v>37.5</v>
      </c>
      <c r="Q8" s="449">
        <f t="shared" si="6"/>
        <v>-7.5</v>
      </c>
      <c r="R8" s="448"/>
    </row>
    <row r="9" spans="1:18">
      <c r="A9" s="453"/>
      <c r="B9" s="460" t="s">
        <v>74</v>
      </c>
      <c r="C9" s="459">
        <f>'EG-A10'!Q12/10</f>
        <v>57</v>
      </c>
      <c r="D9" s="459">
        <f>'EG-A10'!Q41/10</f>
        <v>40</v>
      </c>
      <c r="E9" s="458">
        <v>41</v>
      </c>
      <c r="F9" s="458">
        <v>0</v>
      </c>
      <c r="G9" s="459">
        <f t="shared" si="0"/>
        <v>81</v>
      </c>
      <c r="H9" s="455">
        <f t="shared" si="1"/>
        <v>0.50619999999999998</v>
      </c>
      <c r="I9" s="455" t="str">
        <f t="shared" si="2"/>
        <v xml:space="preserve">     0%</v>
      </c>
      <c r="J9" s="456">
        <f t="shared" si="3"/>
        <v>-41</v>
      </c>
      <c r="K9" s="455">
        <f t="shared" si="4"/>
        <v>0.70179999999999998</v>
      </c>
      <c r="L9" s="454" t="s">
        <v>247</v>
      </c>
      <c r="M9" s="453"/>
      <c r="N9" s="452" t="s">
        <v>74</v>
      </c>
      <c r="O9" s="451">
        <f t="shared" si="5"/>
        <v>40</v>
      </c>
      <c r="P9" s="450">
        <f>('EG-A10'!Q70)/10</f>
        <v>80.5</v>
      </c>
      <c r="Q9" s="449">
        <f t="shared" si="6"/>
        <v>-40.5</v>
      </c>
      <c r="R9" s="448"/>
    </row>
    <row r="10" spans="1:18">
      <c r="A10" s="453"/>
      <c r="B10" s="460" t="s">
        <v>72</v>
      </c>
      <c r="C10" s="459">
        <f>'PVC-A7'!Q12/10</f>
        <v>99</v>
      </c>
      <c r="D10" s="459">
        <f>'PVC-A7'!Q41/10</f>
        <v>84.2</v>
      </c>
      <c r="E10" s="458">
        <v>19</v>
      </c>
      <c r="F10" s="458">
        <v>19</v>
      </c>
      <c r="G10" s="459">
        <f t="shared" si="0"/>
        <v>84.2</v>
      </c>
      <c r="H10" s="455">
        <f t="shared" si="1"/>
        <v>0.22570000000000001</v>
      </c>
      <c r="I10" s="455">
        <f t="shared" si="2"/>
        <v>0.22570000000000001</v>
      </c>
      <c r="J10" s="456">
        <f t="shared" si="3"/>
        <v>0</v>
      </c>
      <c r="K10" s="455">
        <f t="shared" si="4"/>
        <v>0.85050000000000003</v>
      </c>
      <c r="L10" s="454" t="s">
        <v>160</v>
      </c>
      <c r="M10" s="453"/>
      <c r="N10" s="452" t="s">
        <v>72</v>
      </c>
      <c r="O10" s="451">
        <f t="shared" si="5"/>
        <v>84.2</v>
      </c>
      <c r="P10" s="450">
        <f>('PVC-A7'!Q70)/10</f>
        <v>84.5</v>
      </c>
      <c r="Q10" s="449">
        <f t="shared" si="6"/>
        <v>-0.29999999999999716</v>
      </c>
      <c r="R10" s="448"/>
    </row>
    <row r="11" spans="1:18">
      <c r="A11" s="453"/>
      <c r="B11" s="460" t="s">
        <v>371</v>
      </c>
      <c r="C11" s="459">
        <f>'OTHER(C2)-A11'!Q12/10</f>
        <v>0</v>
      </c>
      <c r="D11" s="459">
        <f>'OTHER(C2)-A11'!Q41/10</f>
        <v>0</v>
      </c>
      <c r="E11" s="458">
        <v>0</v>
      </c>
      <c r="F11" s="458">
        <v>0</v>
      </c>
      <c r="G11" s="459">
        <f t="shared" si="0"/>
        <v>0</v>
      </c>
      <c r="H11" s="455" t="str">
        <f t="shared" si="1"/>
        <v xml:space="preserve">    -</v>
      </c>
      <c r="I11" s="455" t="str">
        <f t="shared" si="2"/>
        <v xml:space="preserve">    -</v>
      </c>
      <c r="J11" s="482">
        <f t="shared" si="3"/>
        <v>0</v>
      </c>
      <c r="K11" s="455" t="str">
        <f t="shared" si="4"/>
        <v xml:space="preserve">    -</v>
      </c>
      <c r="L11" s="454"/>
      <c r="M11" s="453"/>
      <c r="N11" s="460" t="s">
        <v>371</v>
      </c>
      <c r="O11" s="451">
        <f t="shared" si="5"/>
        <v>0</v>
      </c>
      <c r="P11" s="450">
        <f>('OTHER(C2)-A11'!Q70)/10</f>
        <v>0</v>
      </c>
      <c r="Q11" s="449">
        <f>O11-P11</f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253.22399999999999</v>
      </c>
      <c r="D12" s="462">
        <f>D6*0.98+D7*1.04+D8*0.29+D9*0.66+D10*0.5+D11</f>
        <v>205.2</v>
      </c>
      <c r="E12" s="462">
        <f>E6*0.98+E7*1.04+E8*0.29+E9*0.66+E10*0.5</f>
        <v>171.73999999999998</v>
      </c>
      <c r="F12" s="462">
        <f>F6*0.98+F7*1.04+F8*0.29+F9*0.66+F10*0.5</f>
        <v>109.64</v>
      </c>
      <c r="G12" s="459">
        <f t="shared" si="0"/>
        <v>267.29999999999995</v>
      </c>
      <c r="H12" s="455">
        <f t="shared" si="1"/>
        <v>0.64249999999999996</v>
      </c>
      <c r="I12" s="455">
        <f t="shared" si="2"/>
        <v>0.5343</v>
      </c>
      <c r="J12" s="482">
        <f t="shared" si="3"/>
        <v>-62.099999999999966</v>
      </c>
      <c r="K12" s="455">
        <f t="shared" si="4"/>
        <v>0.81030000000000002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-61.774999999999999</v>
      </c>
      <c r="R12" s="448"/>
    </row>
    <row r="13" spans="1:18">
      <c r="A13" s="453"/>
      <c r="B13" s="460" t="s">
        <v>373</v>
      </c>
      <c r="C13" s="459">
        <f>'PROPYLENE-A12'!Q12/10</f>
        <v>101</v>
      </c>
      <c r="D13" s="459">
        <f>'PROPYLENE-A12'!Q41/10</f>
        <v>80</v>
      </c>
      <c r="E13" s="458">
        <v>66</v>
      </c>
      <c r="F13" s="458">
        <v>15</v>
      </c>
      <c r="G13" s="459">
        <f t="shared" si="0"/>
        <v>131</v>
      </c>
      <c r="H13" s="455">
        <f t="shared" si="1"/>
        <v>0.50380000000000003</v>
      </c>
      <c r="I13" s="455">
        <f t="shared" si="2"/>
        <v>0.1875</v>
      </c>
      <c r="J13" s="482">
        <f t="shared" si="3"/>
        <v>-51</v>
      </c>
      <c r="K13" s="455">
        <f t="shared" si="4"/>
        <v>0.79210000000000003</v>
      </c>
      <c r="L13" s="454" t="s">
        <v>159</v>
      </c>
      <c r="M13" s="453"/>
      <c r="N13" s="460" t="s">
        <v>373</v>
      </c>
      <c r="O13" s="451">
        <f t="shared" si="5"/>
        <v>80</v>
      </c>
      <c r="P13" s="450">
        <f>('PROPYLENE-A12'!Q70)/10</f>
        <v>131</v>
      </c>
      <c r="Q13" s="449">
        <f t="shared" si="6"/>
        <v>-51</v>
      </c>
      <c r="R13" s="448"/>
    </row>
    <row r="14" spans="1:18">
      <c r="A14" s="453"/>
      <c r="B14" s="460" t="s">
        <v>69</v>
      </c>
      <c r="C14" s="459">
        <f>'PP-A13'!Q12/10</f>
        <v>123.5</v>
      </c>
      <c r="D14" s="459">
        <f>'PP-A13'!Q41/10</f>
        <v>90</v>
      </c>
      <c r="E14" s="458">
        <v>100</v>
      </c>
      <c r="F14" s="458">
        <v>10</v>
      </c>
      <c r="G14" s="459">
        <f t="shared" si="0"/>
        <v>180</v>
      </c>
      <c r="H14" s="455">
        <f t="shared" si="1"/>
        <v>0.55559999999999998</v>
      </c>
      <c r="I14" s="455">
        <f t="shared" si="2"/>
        <v>0.1111</v>
      </c>
      <c r="J14" s="482">
        <f t="shared" si="3"/>
        <v>-90</v>
      </c>
      <c r="K14" s="455">
        <f t="shared" si="4"/>
        <v>0.72870000000000001</v>
      </c>
      <c r="L14" s="454" t="s">
        <v>248</v>
      </c>
      <c r="M14" s="453"/>
      <c r="N14" s="452" t="s">
        <v>69</v>
      </c>
      <c r="O14" s="451">
        <f t="shared" si="5"/>
        <v>90</v>
      </c>
      <c r="P14" s="450">
        <f>('PP-A13'!Q70)/10</f>
        <v>180</v>
      </c>
      <c r="Q14" s="449">
        <f t="shared" si="6"/>
        <v>-90</v>
      </c>
      <c r="R14" s="448"/>
    </row>
    <row r="15" spans="1:18">
      <c r="A15" s="453"/>
      <c r="B15" s="460" t="s">
        <v>67</v>
      </c>
      <c r="C15" s="459">
        <f>'AN-A14'!Q12/10</f>
        <v>0</v>
      </c>
      <c r="D15" s="459">
        <f>'AN-A14'!Q41/10</f>
        <v>0</v>
      </c>
      <c r="E15" s="458">
        <v>1</v>
      </c>
      <c r="F15" s="458">
        <v>0</v>
      </c>
      <c r="G15" s="459">
        <f t="shared" si="0"/>
        <v>1</v>
      </c>
      <c r="H15" s="455">
        <f t="shared" si="1"/>
        <v>1</v>
      </c>
      <c r="I15" s="455" t="str">
        <f t="shared" si="2"/>
        <v xml:space="preserve">    -</v>
      </c>
      <c r="J15" s="482">
        <f t="shared" si="3"/>
        <v>-1</v>
      </c>
      <c r="K15" s="455" t="str">
        <f t="shared" si="4"/>
        <v xml:space="preserve">    -</v>
      </c>
      <c r="L15" s="454" t="s">
        <v>157</v>
      </c>
      <c r="M15" s="453"/>
      <c r="N15" s="452" t="s">
        <v>67</v>
      </c>
      <c r="O15" s="451">
        <f t="shared" si="5"/>
        <v>0</v>
      </c>
      <c r="P15" s="450">
        <f>('AN-A14'!Q70)/10</f>
        <v>1</v>
      </c>
      <c r="Q15" s="449">
        <f t="shared" si="6"/>
        <v>-1</v>
      </c>
      <c r="R15" s="448"/>
    </row>
    <row r="16" spans="1:18">
      <c r="A16" s="453"/>
      <c r="B16" s="460" t="s">
        <v>371</v>
      </c>
      <c r="C16" s="459">
        <f>'OTHER(C3)-A15'!Q12/10</f>
        <v>17.5</v>
      </c>
      <c r="D16" s="459">
        <f>'OTHER(C3)-A15'!Q41/10</f>
        <v>15.3</v>
      </c>
      <c r="E16" s="458">
        <v>5</v>
      </c>
      <c r="F16" s="458">
        <v>0</v>
      </c>
      <c r="G16" s="459">
        <f t="shared" si="0"/>
        <v>20.3</v>
      </c>
      <c r="H16" s="455">
        <f t="shared" si="1"/>
        <v>0.24629999999999999</v>
      </c>
      <c r="I16" s="455" t="str">
        <f t="shared" si="2"/>
        <v xml:space="preserve">     0%</v>
      </c>
      <c r="J16" s="482">
        <f t="shared" si="3"/>
        <v>-5</v>
      </c>
      <c r="K16" s="455">
        <f t="shared" si="4"/>
        <v>0.87429999999999997</v>
      </c>
      <c r="L16" s="454"/>
      <c r="M16" s="453"/>
      <c r="N16" s="460" t="s">
        <v>371</v>
      </c>
      <c r="O16" s="451">
        <f t="shared" si="5"/>
        <v>15.3</v>
      </c>
      <c r="P16" s="450">
        <f>('OTHER(C3)-A15'!Q70)/10</f>
        <v>20</v>
      </c>
      <c r="Q16" s="449">
        <f t="shared" si="6"/>
        <v>-4.6999999999999993</v>
      </c>
      <c r="R16" s="448"/>
    </row>
    <row r="17" spans="1:18">
      <c r="A17" s="453"/>
      <c r="B17" s="460" t="s">
        <v>374</v>
      </c>
      <c r="C17" s="459">
        <f>C14*1.03+C15*1.09+C16</f>
        <v>144.70499999999998</v>
      </c>
      <c r="D17" s="459">
        <f>D14*1.03+D15*1.09+D16</f>
        <v>108</v>
      </c>
      <c r="E17" s="459">
        <f>E14*1.03+E15*1.09</f>
        <v>104.09</v>
      </c>
      <c r="F17" s="459">
        <f>F14*1.03+F15*1.09</f>
        <v>10.3</v>
      </c>
      <c r="G17" s="459">
        <f t="shared" si="0"/>
        <v>201.79</v>
      </c>
      <c r="H17" s="455">
        <f t="shared" si="1"/>
        <v>0.51580000000000004</v>
      </c>
      <c r="I17" s="455">
        <f t="shared" si="2"/>
        <v>9.5399999999999999E-2</v>
      </c>
      <c r="J17" s="482">
        <f t="shared" si="3"/>
        <v>-93.789999999999992</v>
      </c>
      <c r="K17" s="455">
        <f t="shared" si="4"/>
        <v>0.74629999999999996</v>
      </c>
      <c r="L17" s="454"/>
      <c r="M17" s="453"/>
      <c r="N17" s="460" t="s">
        <v>374</v>
      </c>
      <c r="O17" s="451"/>
      <c r="P17" s="450"/>
      <c r="Q17" s="461">
        <f>Q14*1.03+Q15*1.09+Q16</f>
        <v>-98.490000000000009</v>
      </c>
      <c r="R17" s="448"/>
    </row>
    <row r="18" spans="1:18">
      <c r="A18" s="453"/>
      <c r="B18" s="460" t="s">
        <v>375</v>
      </c>
      <c r="C18" s="459">
        <f>'BENZENE-A16'!Q12/10</f>
        <v>63</v>
      </c>
      <c r="D18" s="459">
        <f>'BENZENE-A16'!Q41/10</f>
        <v>50</v>
      </c>
      <c r="E18" s="458">
        <v>12</v>
      </c>
      <c r="F18" s="458">
        <v>0</v>
      </c>
      <c r="G18" s="459">
        <f t="shared" si="0"/>
        <v>62</v>
      </c>
      <c r="H18" s="455">
        <f t="shared" si="1"/>
        <v>0.19350000000000001</v>
      </c>
      <c r="I18" s="455" t="str">
        <f t="shared" si="2"/>
        <v xml:space="preserve">     0%</v>
      </c>
      <c r="J18" s="482">
        <f t="shared" si="3"/>
        <v>-12</v>
      </c>
      <c r="K18" s="455">
        <f t="shared" si="4"/>
        <v>0.79369999999999996</v>
      </c>
      <c r="L18" s="454" t="s">
        <v>155</v>
      </c>
      <c r="M18" s="453"/>
      <c r="N18" s="460" t="s">
        <v>375</v>
      </c>
      <c r="O18" s="451">
        <f t="shared" si="5"/>
        <v>50</v>
      </c>
      <c r="P18" s="450">
        <f>('BENZENE-A16'!Q70)/10</f>
        <v>62</v>
      </c>
      <c r="Q18" s="449">
        <f t="shared" si="6"/>
        <v>-12</v>
      </c>
      <c r="R18" s="448"/>
    </row>
    <row r="19" spans="1:18">
      <c r="A19" s="453"/>
      <c r="B19" s="460" t="s">
        <v>376</v>
      </c>
      <c r="C19" s="459">
        <f>'TOLUENE-A17'!Q12/10</f>
        <v>10</v>
      </c>
      <c r="D19" s="459">
        <f>'TOLUENE-A17'!Q41/10</f>
        <v>10</v>
      </c>
      <c r="E19" s="458">
        <v>10</v>
      </c>
      <c r="F19" s="458">
        <v>0</v>
      </c>
      <c r="G19" s="459">
        <f t="shared" si="0"/>
        <v>20</v>
      </c>
      <c r="H19" s="455">
        <f t="shared" si="1"/>
        <v>0.5</v>
      </c>
      <c r="I19" s="455" t="str">
        <f t="shared" si="2"/>
        <v xml:space="preserve">     0%</v>
      </c>
      <c r="J19" s="482">
        <f t="shared" si="3"/>
        <v>-10</v>
      </c>
      <c r="K19" s="455">
        <f t="shared" si="4"/>
        <v>1</v>
      </c>
      <c r="L19" s="454" t="s">
        <v>156</v>
      </c>
      <c r="M19" s="453"/>
      <c r="N19" s="460" t="s">
        <v>376</v>
      </c>
      <c r="O19" s="451">
        <f t="shared" si="5"/>
        <v>10</v>
      </c>
      <c r="P19" s="450">
        <f>('TOLUENE-A17'!Q70)/10</f>
        <v>20</v>
      </c>
      <c r="Q19" s="449">
        <f t="shared" si="6"/>
        <v>-10</v>
      </c>
      <c r="R19" s="448"/>
    </row>
    <row r="20" spans="1:18">
      <c r="A20" s="453"/>
      <c r="B20" s="460" t="s">
        <v>377</v>
      </c>
      <c r="C20" s="459">
        <f>'XYLENES-A18'!Q12/10</f>
        <v>12</v>
      </c>
      <c r="D20" s="459">
        <f>'XYLENES-A18'!Q41/10</f>
        <v>0</v>
      </c>
      <c r="E20" s="458">
        <v>15</v>
      </c>
      <c r="F20" s="458">
        <v>0</v>
      </c>
      <c r="G20" s="459">
        <f t="shared" si="0"/>
        <v>15</v>
      </c>
      <c r="H20" s="455">
        <f t="shared" si="1"/>
        <v>1</v>
      </c>
      <c r="I20" s="455" t="str">
        <f t="shared" si="2"/>
        <v xml:space="preserve">    -</v>
      </c>
      <c r="J20" s="456">
        <f t="shared" si="3"/>
        <v>-15</v>
      </c>
      <c r="K20" s="455" t="str">
        <f t="shared" si="4"/>
        <v xml:space="preserve">     -</v>
      </c>
      <c r="L20" s="454" t="s">
        <v>156</v>
      </c>
      <c r="M20" s="453"/>
      <c r="N20" s="460" t="s">
        <v>377</v>
      </c>
      <c r="O20" s="451">
        <f t="shared" si="5"/>
        <v>0</v>
      </c>
      <c r="P20" s="450">
        <f>('XYLENES-A18'!Q70)/10</f>
        <v>14.5</v>
      </c>
      <c r="Q20" s="449">
        <f t="shared" si="6"/>
        <v>-14.5</v>
      </c>
      <c r="R20" s="448"/>
    </row>
    <row r="21" spans="1:18">
      <c r="A21" s="453"/>
      <c r="B21" s="460" t="s">
        <v>64</v>
      </c>
      <c r="C21" s="459">
        <f>'PX-A19'!Q12/10</f>
        <v>168.5</v>
      </c>
      <c r="D21" s="459">
        <f>'PX-A19'!Q41/10</f>
        <v>130</v>
      </c>
      <c r="E21" s="458">
        <v>26</v>
      </c>
      <c r="F21" s="458">
        <v>0</v>
      </c>
      <c r="G21" s="459">
        <f t="shared" si="0"/>
        <v>156</v>
      </c>
      <c r="H21" s="455">
        <f t="shared" si="1"/>
        <v>0.16669999999999999</v>
      </c>
      <c r="I21" s="455" t="str">
        <f t="shared" si="2"/>
        <v xml:space="preserve">     0%</v>
      </c>
      <c r="J21" s="456">
        <f t="shared" si="3"/>
        <v>-26</v>
      </c>
      <c r="K21" s="455">
        <f t="shared" si="4"/>
        <v>0.77149999999999996</v>
      </c>
      <c r="L21" s="454" t="s">
        <v>155</v>
      </c>
      <c r="M21" s="453"/>
      <c r="N21" s="452" t="s">
        <v>64</v>
      </c>
      <c r="O21" s="451">
        <f t="shared" si="5"/>
        <v>130</v>
      </c>
      <c r="P21" s="450">
        <f>('PX-A19'!Q70)/10</f>
        <v>156</v>
      </c>
      <c r="Q21" s="449">
        <f t="shared" si="6"/>
        <v>-26</v>
      </c>
      <c r="R21" s="448"/>
    </row>
    <row r="22" spans="1:18">
      <c r="A22" s="453"/>
      <c r="B22" s="460" t="s">
        <v>62</v>
      </c>
      <c r="C22" s="459">
        <f>'PTA-A20'!Q12/10</f>
        <v>224</v>
      </c>
      <c r="D22" s="459">
        <f>'PTA-A20'!Q41/10</f>
        <v>200</v>
      </c>
      <c r="E22" s="458">
        <v>15</v>
      </c>
      <c r="F22" s="458">
        <v>15</v>
      </c>
      <c r="G22" s="459">
        <f t="shared" si="0"/>
        <v>200</v>
      </c>
      <c r="H22" s="455">
        <f t="shared" si="1"/>
        <v>7.4999999999999997E-2</v>
      </c>
      <c r="I22" s="455">
        <f t="shared" si="2"/>
        <v>7.4999999999999997E-2</v>
      </c>
      <c r="J22" s="456">
        <f t="shared" si="3"/>
        <v>0</v>
      </c>
      <c r="K22" s="455">
        <f t="shared" si="4"/>
        <v>0.89290000000000003</v>
      </c>
      <c r="L22" s="454" t="s">
        <v>154</v>
      </c>
      <c r="M22" s="453"/>
      <c r="N22" s="452" t="s">
        <v>62</v>
      </c>
      <c r="O22" s="451">
        <f t="shared" si="5"/>
        <v>200</v>
      </c>
      <c r="P22" s="450">
        <f>('PTA-A20'!Q70)/10</f>
        <v>200</v>
      </c>
      <c r="Q22" s="449">
        <f t="shared" si="6"/>
        <v>0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5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4.3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401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'ETHYLENE-A1'!K22/10</f>
        <v>2468.9</v>
      </c>
      <c r="D5" s="459">
        <f>'ETHYLENE-A1'!K51/10</f>
        <v>2208.3352334000001</v>
      </c>
      <c r="E5" s="458">
        <v>24</v>
      </c>
      <c r="F5" s="458">
        <v>86</v>
      </c>
      <c r="G5" s="459">
        <f t="shared" ref="G5:G22" si="0">D5+E5-F5</f>
        <v>2146.3352334000001</v>
      </c>
      <c r="H5" s="455">
        <f t="shared" ref="H5:H22" si="1">IF(AND(E5=0,G5=0),"    -",IF(E5=0,"     0%",IF(G5=0,"     -",ROUND(E5/G5,4))))</f>
        <v>1.12E-2</v>
      </c>
      <c r="I5" s="455">
        <f t="shared" ref="I5:I22" si="2">IF(AND(D5=0,F5=0),"    -",IF(F5=0,"     0%",IF(D5=0,"     -",ROUND(F5/D5,4))))</f>
        <v>3.8899999999999997E-2</v>
      </c>
      <c r="J5" s="456">
        <f t="shared" ref="J5:J22" si="3">D5-G5</f>
        <v>62</v>
      </c>
      <c r="K5" s="455">
        <f t="shared" ref="K5:K22" si="4">IF(AND(D5=0,C5=0),"    -",IF(C5=0,"     0%",IF(D5=0,"     -",ROUND(D5/C5,4))))</f>
        <v>0.89449999999999996</v>
      </c>
      <c r="L5" s="454" t="s">
        <v>282</v>
      </c>
      <c r="M5" s="453"/>
      <c r="N5" s="452" t="s">
        <v>79</v>
      </c>
      <c r="O5" s="451">
        <f t="shared" ref="O5:O22" si="5">D5</f>
        <v>2208.3352334000001</v>
      </c>
      <c r="P5" s="450">
        <f>('ETHYLENE-A1'!K80)/10</f>
        <v>2145.8707693000001</v>
      </c>
      <c r="Q5" s="449">
        <f>O5-P5</f>
        <v>62.464464099999987</v>
      </c>
      <c r="R5" s="448"/>
    </row>
    <row r="6" spans="1:18">
      <c r="A6" s="453"/>
      <c r="B6" s="460" t="s">
        <v>78</v>
      </c>
      <c r="C6" s="459">
        <f>'LDPE-A2'!K22/10</f>
        <v>964.3</v>
      </c>
      <c r="D6" s="459">
        <f>'LDPE-A2'!K51/10</f>
        <v>752.91016739999998</v>
      </c>
      <c r="E6" s="458">
        <v>296</v>
      </c>
      <c r="F6" s="458">
        <v>242</v>
      </c>
      <c r="G6" s="459">
        <f t="shared" si="0"/>
        <v>806.91016739999986</v>
      </c>
      <c r="H6" s="455">
        <f t="shared" si="1"/>
        <v>0.36680000000000001</v>
      </c>
      <c r="I6" s="455">
        <f t="shared" si="2"/>
        <v>0.32140000000000002</v>
      </c>
      <c r="J6" s="456">
        <f t="shared" si="3"/>
        <v>-53.999999999999886</v>
      </c>
      <c r="K6" s="455">
        <f t="shared" si="4"/>
        <v>0.78080000000000005</v>
      </c>
      <c r="L6" s="454" t="s">
        <v>283</v>
      </c>
      <c r="M6" s="453"/>
      <c r="N6" s="452" t="s">
        <v>78</v>
      </c>
      <c r="O6" s="451">
        <f t="shared" si="5"/>
        <v>752.91016739999998</v>
      </c>
      <c r="P6" s="450">
        <f>('LDPE-A2'!K80)/10</f>
        <v>806.84989310000003</v>
      </c>
      <c r="Q6" s="449">
        <f t="shared" ref="Q6:Q22" si="6">O6-P6</f>
        <v>-53.939725700000054</v>
      </c>
      <c r="R6" s="448"/>
    </row>
    <row r="7" spans="1:18">
      <c r="A7" s="453"/>
      <c r="B7" s="460" t="s">
        <v>76</v>
      </c>
      <c r="C7" s="459">
        <f>'HDPE-A3'!K22/10</f>
        <v>606.79999999999995</v>
      </c>
      <c r="D7" s="459">
        <f>'HDPE-A3'!K51/10</f>
        <v>537.14614430000006</v>
      </c>
      <c r="E7" s="458">
        <v>237</v>
      </c>
      <c r="F7" s="458">
        <v>162</v>
      </c>
      <c r="G7" s="459">
        <f t="shared" si="0"/>
        <v>612.14614430000006</v>
      </c>
      <c r="H7" s="455">
        <f t="shared" si="1"/>
        <v>0.38719999999999999</v>
      </c>
      <c r="I7" s="455">
        <f t="shared" si="2"/>
        <v>0.30159999999999998</v>
      </c>
      <c r="J7" s="456">
        <f t="shared" si="3"/>
        <v>-75</v>
      </c>
      <c r="K7" s="455">
        <f t="shared" si="4"/>
        <v>0.88519999999999999</v>
      </c>
      <c r="L7" s="454" t="s">
        <v>284</v>
      </c>
      <c r="M7" s="453"/>
      <c r="N7" s="452" t="s">
        <v>76</v>
      </c>
      <c r="O7" s="451">
        <f t="shared" si="5"/>
        <v>537.14614430000006</v>
      </c>
      <c r="P7" s="450">
        <f>('HDPE-A3'!K80)/10</f>
        <v>612.54381699999999</v>
      </c>
      <c r="Q7" s="449">
        <f t="shared" si="6"/>
        <v>-75.39767269999993</v>
      </c>
      <c r="R7" s="448"/>
    </row>
    <row r="8" spans="1:18">
      <c r="A8" s="453"/>
      <c r="B8" s="460" t="s">
        <v>75</v>
      </c>
      <c r="C8" s="459">
        <f>'SM-A6'!K22/10</f>
        <v>548</v>
      </c>
      <c r="D8" s="459">
        <f>'SM-A6'!K51/10</f>
        <v>467.3</v>
      </c>
      <c r="E8" s="458">
        <v>75</v>
      </c>
      <c r="F8" s="458">
        <v>58</v>
      </c>
      <c r="G8" s="459">
        <f t="shared" si="0"/>
        <v>484.29999999999995</v>
      </c>
      <c r="H8" s="455">
        <f t="shared" si="1"/>
        <v>0.15490000000000001</v>
      </c>
      <c r="I8" s="455">
        <f t="shared" si="2"/>
        <v>0.1241</v>
      </c>
      <c r="J8" s="456">
        <f t="shared" si="3"/>
        <v>-16.999999999999943</v>
      </c>
      <c r="K8" s="455">
        <f t="shared" si="4"/>
        <v>0.85270000000000001</v>
      </c>
      <c r="L8" s="454" t="s">
        <v>168</v>
      </c>
      <c r="M8" s="453"/>
      <c r="N8" s="452" t="s">
        <v>75</v>
      </c>
      <c r="O8" s="451">
        <f t="shared" si="5"/>
        <v>467.3</v>
      </c>
      <c r="P8" s="450">
        <f>('SM-A6'!K80)/10</f>
        <v>484.7</v>
      </c>
      <c r="Q8" s="449">
        <f t="shared" si="6"/>
        <v>-17.399999999999977</v>
      </c>
      <c r="R8" s="448"/>
    </row>
    <row r="9" spans="1:18">
      <c r="A9" s="453"/>
      <c r="B9" s="460" t="s">
        <v>74</v>
      </c>
      <c r="C9" s="459">
        <f>'EG-A10'!K22/10</f>
        <v>138.9</v>
      </c>
      <c r="D9" s="459">
        <f>'EG-A10'!K51/10</f>
        <v>118.65899999999999</v>
      </c>
      <c r="E9" s="458">
        <v>92</v>
      </c>
      <c r="F9" s="458">
        <v>20</v>
      </c>
      <c r="G9" s="459">
        <f t="shared" si="0"/>
        <v>190.65899999999999</v>
      </c>
      <c r="H9" s="455">
        <f t="shared" si="1"/>
        <v>0.48249999999999998</v>
      </c>
      <c r="I9" s="455">
        <f t="shared" si="2"/>
        <v>0.1686</v>
      </c>
      <c r="J9" s="456">
        <f t="shared" si="3"/>
        <v>-72</v>
      </c>
      <c r="K9" s="455">
        <f t="shared" si="4"/>
        <v>0.85429999999999995</v>
      </c>
      <c r="L9" s="454" t="s">
        <v>167</v>
      </c>
      <c r="M9" s="453"/>
      <c r="N9" s="452" t="s">
        <v>74</v>
      </c>
      <c r="O9" s="451">
        <f t="shared" si="5"/>
        <v>118.65899999999999</v>
      </c>
      <c r="P9" s="450">
        <f>('EG-A10'!K80)/10</f>
        <v>190.75579999999999</v>
      </c>
      <c r="Q9" s="449">
        <f t="shared" si="6"/>
        <v>-72.096800000000002</v>
      </c>
      <c r="R9" s="448"/>
    </row>
    <row r="10" spans="1:18">
      <c r="A10" s="453"/>
      <c r="B10" s="460" t="s">
        <v>72</v>
      </c>
      <c r="C10" s="459">
        <f>'PVC-A7'!K22/10</f>
        <v>692.3</v>
      </c>
      <c r="D10" s="459">
        <f>'PVC-A7'!K51/10</f>
        <v>573.70000000000005</v>
      </c>
      <c r="E10" s="458">
        <v>87</v>
      </c>
      <c r="F10" s="458">
        <v>169</v>
      </c>
      <c r="G10" s="459">
        <f t="shared" si="0"/>
        <v>491.70000000000005</v>
      </c>
      <c r="H10" s="455">
        <f t="shared" si="1"/>
        <v>0.1769</v>
      </c>
      <c r="I10" s="455">
        <f t="shared" si="2"/>
        <v>0.29459999999999997</v>
      </c>
      <c r="J10" s="456">
        <f t="shared" si="3"/>
        <v>82</v>
      </c>
      <c r="K10" s="455">
        <f t="shared" si="4"/>
        <v>0.82869999999999999</v>
      </c>
      <c r="L10" s="454" t="s">
        <v>285</v>
      </c>
      <c r="M10" s="453"/>
      <c r="N10" s="452" t="s">
        <v>72</v>
      </c>
      <c r="O10" s="451">
        <f t="shared" si="5"/>
        <v>573.70000000000005</v>
      </c>
      <c r="P10" s="450">
        <f>('PVC-A7'!K80)/10</f>
        <v>491.3</v>
      </c>
      <c r="Q10" s="449">
        <f t="shared" si="6"/>
        <v>82.400000000000034</v>
      </c>
      <c r="R10" s="448"/>
    </row>
    <row r="11" spans="1:18">
      <c r="A11" s="453"/>
      <c r="B11" s="460" t="s">
        <v>371</v>
      </c>
      <c r="C11" s="459">
        <f>'OTHER(C2)-A11'!K22/10</f>
        <v>300.8</v>
      </c>
      <c r="D11" s="459">
        <f>'OTHER(C2)-A11'!K51/10</f>
        <v>250.3</v>
      </c>
      <c r="E11" s="458">
        <v>39</v>
      </c>
      <c r="F11" s="458">
        <v>38</v>
      </c>
      <c r="G11" s="459">
        <f t="shared" si="0"/>
        <v>251.3</v>
      </c>
      <c r="H11" s="455">
        <f t="shared" si="1"/>
        <v>0.1552</v>
      </c>
      <c r="I11" s="455">
        <f t="shared" si="2"/>
        <v>0.15179999999999999</v>
      </c>
      <c r="J11" s="456">
        <f t="shared" si="3"/>
        <v>-1</v>
      </c>
      <c r="K11" s="455">
        <f t="shared" si="4"/>
        <v>0.83209999999999995</v>
      </c>
      <c r="L11" s="454"/>
      <c r="M11" s="453"/>
      <c r="N11" s="460" t="s">
        <v>371</v>
      </c>
      <c r="O11" s="451">
        <f t="shared" si="5"/>
        <v>250.3</v>
      </c>
      <c r="P11" s="450">
        <f>('OTHER(C2)-A11'!K80)/10</f>
        <v>250.8</v>
      </c>
      <c r="Q11" s="449">
        <f t="shared" si="6"/>
        <v>-0.5</v>
      </c>
      <c r="R11" s="448"/>
    </row>
    <row r="12" spans="1:18">
      <c r="A12" s="453"/>
      <c r="B12" s="460" t="s">
        <v>372</v>
      </c>
      <c r="C12" s="462">
        <f>C6*0.98+C7*1.04+C8*0.29+C9*0.66+C10*0.5+C11</f>
        <v>2473.63</v>
      </c>
      <c r="D12" s="462">
        <f>D6*0.98+D7*1.04+D8*0.29+D9*0.66+D10*0.5+D11</f>
        <v>2047.4658941240002</v>
      </c>
      <c r="E12" s="462">
        <f>E6*0.98+E7*1.04+E8*0.29+E9*0.66+E10*0.5</f>
        <v>662.53</v>
      </c>
      <c r="F12" s="462">
        <f>F6*0.98+F7*1.04+F8*0.29+F9*0.66+F10*0.5</f>
        <v>520.16</v>
      </c>
      <c r="G12" s="459">
        <f t="shared" si="0"/>
        <v>2189.8358941240003</v>
      </c>
      <c r="H12" s="455">
        <f t="shared" si="1"/>
        <v>0.30249999999999999</v>
      </c>
      <c r="I12" s="455">
        <f t="shared" si="2"/>
        <v>0.25409999999999999</v>
      </c>
      <c r="J12" s="456">
        <f t="shared" si="3"/>
        <v>-142.37000000000012</v>
      </c>
      <c r="K12" s="455">
        <f t="shared" si="4"/>
        <v>0.82769999999999999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-143.20439879399996</v>
      </c>
      <c r="R12" s="448"/>
    </row>
    <row r="13" spans="1:18">
      <c r="A13" s="453"/>
      <c r="B13" s="460" t="s">
        <v>373</v>
      </c>
      <c r="C13" s="459">
        <f>'PROPYLENE-A12'!K22/10</f>
        <v>1757.6</v>
      </c>
      <c r="D13" s="459">
        <f>'PROPYLENE-A12'!K51/10</f>
        <v>1501.7092359000001</v>
      </c>
      <c r="E13" s="458">
        <v>78</v>
      </c>
      <c r="F13" s="458">
        <v>40</v>
      </c>
      <c r="G13" s="459">
        <f t="shared" si="0"/>
        <v>1539.7092359000001</v>
      </c>
      <c r="H13" s="455">
        <f t="shared" si="1"/>
        <v>5.0700000000000002E-2</v>
      </c>
      <c r="I13" s="455">
        <f t="shared" si="2"/>
        <v>2.6599999999999999E-2</v>
      </c>
      <c r="J13" s="456">
        <f t="shared" si="3"/>
        <v>-38</v>
      </c>
      <c r="K13" s="455">
        <f t="shared" si="4"/>
        <v>0.85440000000000005</v>
      </c>
      <c r="L13" s="454" t="s">
        <v>286</v>
      </c>
      <c r="M13" s="453"/>
      <c r="N13" s="460" t="s">
        <v>373</v>
      </c>
      <c r="O13" s="451">
        <f t="shared" si="5"/>
        <v>1501.7092359000001</v>
      </c>
      <c r="P13" s="450">
        <f>('PROPYLENE-A12'!K80)/10</f>
        <v>1539.9312700999999</v>
      </c>
      <c r="Q13" s="449">
        <f t="shared" si="6"/>
        <v>-38.222034199999825</v>
      </c>
      <c r="R13" s="448"/>
    </row>
    <row r="14" spans="1:18">
      <c r="A14" s="453"/>
      <c r="B14" s="460" t="s">
        <v>69</v>
      </c>
      <c r="C14" s="459">
        <f>'PP-A13'!K22/10</f>
        <v>1098.5</v>
      </c>
      <c r="D14" s="459">
        <f>'PP-A13'!K51/10</f>
        <v>1108.5</v>
      </c>
      <c r="E14" s="458">
        <v>196</v>
      </c>
      <c r="F14" s="458">
        <v>308</v>
      </c>
      <c r="G14" s="459">
        <f t="shared" si="0"/>
        <v>996.5</v>
      </c>
      <c r="H14" s="455">
        <f t="shared" si="1"/>
        <v>0.19670000000000001</v>
      </c>
      <c r="I14" s="455">
        <f t="shared" si="2"/>
        <v>0.27789999999999998</v>
      </c>
      <c r="J14" s="456">
        <f t="shared" si="3"/>
        <v>112</v>
      </c>
      <c r="K14" s="455">
        <f t="shared" si="4"/>
        <v>1.0091000000000001</v>
      </c>
      <c r="L14" s="454" t="s">
        <v>287</v>
      </c>
      <c r="M14" s="453"/>
      <c r="N14" s="452" t="s">
        <v>69</v>
      </c>
      <c r="O14" s="451">
        <f t="shared" si="5"/>
        <v>1108.5</v>
      </c>
      <c r="P14" s="450">
        <f>('PP-A13'!K80)/10</f>
        <v>996.77828599999998</v>
      </c>
      <c r="Q14" s="449">
        <f t="shared" si="6"/>
        <v>111.72171400000002</v>
      </c>
      <c r="R14" s="448"/>
    </row>
    <row r="15" spans="1:18">
      <c r="A15" s="453"/>
      <c r="B15" s="460" t="s">
        <v>67</v>
      </c>
      <c r="C15" s="459">
        <f>'AN-A14'!K22/10</f>
        <v>88</v>
      </c>
      <c r="D15" s="459">
        <f>'AN-A14'!K51/10</f>
        <v>76</v>
      </c>
      <c r="E15" s="458">
        <v>4</v>
      </c>
      <c r="F15" s="458">
        <v>10</v>
      </c>
      <c r="G15" s="459">
        <f t="shared" si="0"/>
        <v>70</v>
      </c>
      <c r="H15" s="455">
        <f t="shared" si="1"/>
        <v>5.7099999999999998E-2</v>
      </c>
      <c r="I15" s="455">
        <f t="shared" si="2"/>
        <v>0.13159999999999999</v>
      </c>
      <c r="J15" s="456">
        <f t="shared" si="3"/>
        <v>6</v>
      </c>
      <c r="K15" s="455">
        <f t="shared" si="4"/>
        <v>0.86360000000000003</v>
      </c>
      <c r="L15" s="454" t="s">
        <v>166</v>
      </c>
      <c r="M15" s="453"/>
      <c r="N15" s="452" t="s">
        <v>67</v>
      </c>
      <c r="O15" s="451">
        <f t="shared" si="5"/>
        <v>76</v>
      </c>
      <c r="P15" s="450">
        <f>('AN-A14'!K80)/10</f>
        <v>69.8</v>
      </c>
      <c r="Q15" s="449">
        <f t="shared" si="6"/>
        <v>6.2000000000000028</v>
      </c>
      <c r="R15" s="448"/>
    </row>
    <row r="16" spans="1:18">
      <c r="A16" s="453"/>
      <c r="B16" s="460" t="s">
        <v>371</v>
      </c>
      <c r="C16" s="459">
        <f>'OTHER(C3)-A15'!K22/10</f>
        <v>510.4</v>
      </c>
      <c r="D16" s="459">
        <f>'OTHER(C3)-A15'!K51/10</f>
        <v>459.79200000000009</v>
      </c>
      <c r="E16" s="458"/>
      <c r="F16" s="458"/>
      <c r="G16" s="459">
        <f t="shared" si="0"/>
        <v>459.79200000000009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0.90080000000000005</v>
      </c>
      <c r="L16" s="454"/>
      <c r="M16" s="453"/>
      <c r="N16" s="460" t="s">
        <v>371</v>
      </c>
      <c r="O16" s="451">
        <f t="shared" si="5"/>
        <v>459.79200000000009</v>
      </c>
      <c r="P16" s="450">
        <f>('OTHER(C3)-A15'!K80)/10</f>
        <v>459.79200000000009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1737.7750000000001</v>
      </c>
      <c r="D17" s="459">
        <f>D14*1.03+D15*1.09+D16</f>
        <v>1684.3870000000002</v>
      </c>
      <c r="E17" s="459">
        <f>E14*1.03+E15*1.09</f>
        <v>206.24</v>
      </c>
      <c r="F17" s="459">
        <f>F14*1.03+F15*1.09</f>
        <v>328.14</v>
      </c>
      <c r="G17" s="459">
        <f t="shared" si="0"/>
        <v>1562.4870000000001</v>
      </c>
      <c r="H17" s="455">
        <f t="shared" si="1"/>
        <v>0.13200000000000001</v>
      </c>
      <c r="I17" s="455">
        <f t="shared" si="2"/>
        <v>0.1948</v>
      </c>
      <c r="J17" s="456">
        <f t="shared" si="3"/>
        <v>121.90000000000009</v>
      </c>
      <c r="K17" s="455">
        <f t="shared" si="4"/>
        <v>0.96930000000000005</v>
      </c>
      <c r="L17" s="454"/>
      <c r="M17" s="453"/>
      <c r="N17" s="460" t="s">
        <v>374</v>
      </c>
      <c r="O17" s="451"/>
      <c r="P17" s="450"/>
      <c r="Q17" s="461">
        <f>Q14*1.03+Q15*1.09+Q16</f>
        <v>121.83136542000004</v>
      </c>
      <c r="R17" s="448"/>
    </row>
    <row r="18" spans="1:18">
      <c r="A18" s="453"/>
      <c r="B18" s="460" t="s">
        <v>375</v>
      </c>
      <c r="C18" s="459">
        <f>'BENZENE-A16'!K22/10</f>
        <v>1012.3</v>
      </c>
      <c r="D18" s="459">
        <f>'BENZENE-A16'!K51/10</f>
        <v>719.3443436</v>
      </c>
      <c r="E18" s="458">
        <v>142</v>
      </c>
      <c r="F18" s="458">
        <v>75</v>
      </c>
      <c r="G18" s="459">
        <f t="shared" si="0"/>
        <v>786.3443436</v>
      </c>
      <c r="H18" s="455">
        <f t="shared" si="1"/>
        <v>0.18060000000000001</v>
      </c>
      <c r="I18" s="455">
        <f t="shared" si="2"/>
        <v>0.1043</v>
      </c>
      <c r="J18" s="456">
        <f t="shared" si="3"/>
        <v>-67</v>
      </c>
      <c r="K18" s="455">
        <f t="shared" si="4"/>
        <v>0.71060000000000001</v>
      </c>
      <c r="L18" s="454" t="s">
        <v>288</v>
      </c>
      <c r="M18" s="453"/>
      <c r="N18" s="460" t="s">
        <v>375</v>
      </c>
      <c r="O18" s="451">
        <f t="shared" si="5"/>
        <v>719.3443436</v>
      </c>
      <c r="P18" s="450">
        <f>('BENZENE-A16'!K80)/10</f>
        <v>786.64434359999996</v>
      </c>
      <c r="Q18" s="449">
        <f t="shared" si="6"/>
        <v>-67.299999999999955</v>
      </c>
      <c r="R18" s="448"/>
    </row>
    <row r="19" spans="1:18">
      <c r="A19" s="453"/>
      <c r="B19" s="460" t="s">
        <v>376</v>
      </c>
      <c r="C19" s="459">
        <f>'TOLUENE-A17'!K22/10</f>
        <v>304.10000000000002</v>
      </c>
      <c r="D19" s="459">
        <f>'TOLUENE-A17'!K51/10</f>
        <v>224.20699999999997</v>
      </c>
      <c r="E19" s="458">
        <v>5</v>
      </c>
      <c r="F19" s="458">
        <v>27</v>
      </c>
      <c r="G19" s="459">
        <f t="shared" si="0"/>
        <v>202.20699999999997</v>
      </c>
      <c r="H19" s="455">
        <f t="shared" si="1"/>
        <v>2.47E-2</v>
      </c>
      <c r="I19" s="455">
        <f t="shared" si="2"/>
        <v>0.12039999999999999</v>
      </c>
      <c r="J19" s="456">
        <f t="shared" si="3"/>
        <v>22</v>
      </c>
      <c r="K19" s="455">
        <f t="shared" si="4"/>
        <v>0.73729999999999996</v>
      </c>
      <c r="L19" s="454" t="s">
        <v>289</v>
      </c>
      <c r="M19" s="453"/>
      <c r="N19" s="460" t="s">
        <v>376</v>
      </c>
      <c r="O19" s="451">
        <f t="shared" si="5"/>
        <v>224.20699999999997</v>
      </c>
      <c r="P19" s="450">
        <f>('TOLUENE-A17'!K80)/10</f>
        <v>202.57900000000001</v>
      </c>
      <c r="Q19" s="449">
        <f t="shared" si="6"/>
        <v>21.627999999999957</v>
      </c>
      <c r="R19" s="448"/>
    </row>
    <row r="20" spans="1:18">
      <c r="A20" s="453"/>
      <c r="B20" s="460" t="s">
        <v>377</v>
      </c>
      <c r="C20" s="459">
        <f>'XYLENES-A18'!K22/10</f>
        <v>524.5</v>
      </c>
      <c r="D20" s="459">
        <f>'XYLENES-A18'!K51/10</f>
        <v>279.71000000000004</v>
      </c>
      <c r="E20" s="458">
        <v>4</v>
      </c>
      <c r="F20" s="458">
        <v>14</v>
      </c>
      <c r="G20" s="459">
        <f t="shared" si="0"/>
        <v>269.71000000000004</v>
      </c>
      <c r="H20" s="455">
        <f t="shared" si="1"/>
        <v>1.4800000000000001E-2</v>
      </c>
      <c r="I20" s="455">
        <f t="shared" si="2"/>
        <v>5.0099999999999999E-2</v>
      </c>
      <c r="J20" s="456">
        <f t="shared" si="3"/>
        <v>10</v>
      </c>
      <c r="K20" s="455">
        <f t="shared" si="4"/>
        <v>0.5333</v>
      </c>
      <c r="L20" s="454" t="s">
        <v>290</v>
      </c>
      <c r="M20" s="453"/>
      <c r="N20" s="460" t="s">
        <v>377</v>
      </c>
      <c r="O20" s="451">
        <f t="shared" si="5"/>
        <v>279.71000000000004</v>
      </c>
      <c r="P20" s="450">
        <f>('XYLENES-A18'!K80)/10</f>
        <v>269.76000000000005</v>
      </c>
      <c r="Q20" s="449">
        <f t="shared" si="6"/>
        <v>9.9499999999999886</v>
      </c>
      <c r="R20" s="448"/>
    </row>
    <row r="21" spans="1:18">
      <c r="A21" s="453"/>
      <c r="B21" s="460" t="s">
        <v>64</v>
      </c>
      <c r="C21" s="459">
        <f>'PX-A19'!K22/10</f>
        <v>235.5</v>
      </c>
      <c r="D21" s="459">
        <f>'PX-A19'!K51/10</f>
        <v>169.8</v>
      </c>
      <c r="E21" s="458">
        <v>16</v>
      </c>
      <c r="F21" s="458">
        <v>45</v>
      </c>
      <c r="G21" s="459">
        <f t="shared" si="0"/>
        <v>140.80000000000001</v>
      </c>
      <c r="H21" s="455">
        <f t="shared" si="1"/>
        <v>0.11360000000000001</v>
      </c>
      <c r="I21" s="455">
        <f t="shared" si="2"/>
        <v>0.26500000000000001</v>
      </c>
      <c r="J21" s="456">
        <f t="shared" si="3"/>
        <v>29</v>
      </c>
      <c r="K21" s="455">
        <f t="shared" si="4"/>
        <v>0.72099999999999997</v>
      </c>
      <c r="L21" s="454" t="s">
        <v>291</v>
      </c>
      <c r="M21" s="453"/>
      <c r="N21" s="452" t="s">
        <v>64</v>
      </c>
      <c r="O21" s="451">
        <f t="shared" si="5"/>
        <v>169.8</v>
      </c>
      <c r="P21" s="450">
        <f>('PX-A19'!K80)/10</f>
        <v>141</v>
      </c>
      <c r="Q21" s="449">
        <f t="shared" si="6"/>
        <v>28.800000000000011</v>
      </c>
      <c r="R21" s="448"/>
    </row>
    <row r="22" spans="1:18">
      <c r="A22" s="453"/>
      <c r="B22" s="460" t="s">
        <v>62</v>
      </c>
      <c r="C22" s="459">
        <f>'PTA-A20'!K22/10</f>
        <v>409</v>
      </c>
      <c r="D22" s="459">
        <f>'PTA-A20'!K51/10</f>
        <v>236.37800000000001</v>
      </c>
      <c r="E22" s="458">
        <v>78</v>
      </c>
      <c r="F22" s="458">
        <v>5</v>
      </c>
      <c r="G22" s="459">
        <f t="shared" si="0"/>
        <v>309.37800000000004</v>
      </c>
      <c r="H22" s="455">
        <f t="shared" si="1"/>
        <v>0.25209999999999999</v>
      </c>
      <c r="I22" s="455">
        <f t="shared" si="2"/>
        <v>2.12E-2</v>
      </c>
      <c r="J22" s="456">
        <f t="shared" si="3"/>
        <v>-73.000000000000028</v>
      </c>
      <c r="K22" s="455">
        <f t="shared" si="4"/>
        <v>0.57789999999999997</v>
      </c>
      <c r="L22" s="454" t="s">
        <v>292</v>
      </c>
      <c r="M22" s="453"/>
      <c r="N22" s="452" t="s">
        <v>62</v>
      </c>
      <c r="O22" s="451">
        <f t="shared" si="5"/>
        <v>236.37800000000001</v>
      </c>
      <c r="P22" s="450">
        <f>('PTA-A20'!K80)/10</f>
        <v>308.91659999999996</v>
      </c>
      <c r="Q22" s="449">
        <f t="shared" si="6"/>
        <v>-72.538599999999946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4.3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402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'ETHYLENE-A1'!Q22/10</f>
        <v>2468.9</v>
      </c>
      <c r="D5" s="459">
        <f>'ETHYLENE-A1'!Q51/10</f>
        <v>2227.0666035000004</v>
      </c>
      <c r="E5" s="458">
        <v>25</v>
      </c>
      <c r="F5" s="458">
        <v>31</v>
      </c>
      <c r="G5" s="459">
        <f t="shared" ref="G5:G22" si="0">D5+E5-F5</f>
        <v>2221.0666035000004</v>
      </c>
      <c r="H5" s="455">
        <f t="shared" ref="H5:H22" si="1">IF(AND(E5=0,G5=0),"    -",IF(E5=0,"     0%",IF(G5=0,"     -",ROUND(E5/G5,4))))</f>
        <v>1.1299999999999999E-2</v>
      </c>
      <c r="I5" s="455">
        <f t="shared" ref="I5:I22" si="2">IF(AND(D5=0,F5=0),"    -",IF(F5=0,"     0%",IF(D5=0,"     -",ROUND(F5/D5,4))))</f>
        <v>1.3899999999999999E-2</v>
      </c>
      <c r="J5" s="456">
        <f t="shared" ref="J5:J22" si="3">D5-G5</f>
        <v>6</v>
      </c>
      <c r="K5" s="455">
        <f t="shared" ref="K5:K22" si="4">IF(AND(D5=0,C5=0),"    -",IF(C5=0,"     0%",IF(D5=0,"     -",ROUND(D5/C5,4))))</f>
        <v>0.90200000000000002</v>
      </c>
      <c r="L5" s="454" t="s">
        <v>282</v>
      </c>
      <c r="M5" s="453"/>
      <c r="N5" s="452" t="s">
        <v>79</v>
      </c>
      <c r="O5" s="451">
        <f t="shared" ref="O5:O22" si="5">D5</f>
        <v>2227.0666035000004</v>
      </c>
      <c r="P5" s="450">
        <f>('ETHYLENE-A1'!Q80)/10</f>
        <v>2220.6498854000001</v>
      </c>
      <c r="Q5" s="449">
        <f>O5-P5</f>
        <v>6.4167181000002529</v>
      </c>
      <c r="R5" s="448"/>
    </row>
    <row r="6" spans="1:18">
      <c r="A6" s="453"/>
      <c r="B6" s="460" t="s">
        <v>78</v>
      </c>
      <c r="C6" s="459">
        <f>'LDPE-A2'!Q22/10</f>
        <v>964.3</v>
      </c>
      <c r="D6" s="459">
        <f>'LDPE-A2'!Q51/10</f>
        <v>806.96996679999995</v>
      </c>
      <c r="E6" s="458">
        <v>296</v>
      </c>
      <c r="F6" s="458">
        <v>226</v>
      </c>
      <c r="G6" s="459">
        <f t="shared" si="0"/>
        <v>876.96996679999984</v>
      </c>
      <c r="H6" s="455">
        <f t="shared" si="1"/>
        <v>0.33750000000000002</v>
      </c>
      <c r="I6" s="455">
        <f t="shared" si="2"/>
        <v>0.28010000000000002</v>
      </c>
      <c r="J6" s="456">
        <f t="shared" si="3"/>
        <v>-69.999999999999886</v>
      </c>
      <c r="K6" s="455">
        <f t="shared" si="4"/>
        <v>0.83679999999999999</v>
      </c>
      <c r="L6" s="454" t="s">
        <v>283</v>
      </c>
      <c r="M6" s="453"/>
      <c r="N6" s="452" t="s">
        <v>78</v>
      </c>
      <c r="O6" s="451">
        <f t="shared" si="5"/>
        <v>806.96996679999995</v>
      </c>
      <c r="P6" s="450">
        <f>('LDPE-A2'!Q80)/10</f>
        <v>876.53026109999996</v>
      </c>
      <c r="Q6" s="449">
        <f t="shared" ref="Q6:Q22" si="6">O6-P6</f>
        <v>-69.56029430000001</v>
      </c>
      <c r="R6" s="448"/>
    </row>
    <row r="7" spans="1:18">
      <c r="A7" s="453"/>
      <c r="B7" s="460" t="s">
        <v>76</v>
      </c>
      <c r="C7" s="459">
        <f>'HDPE-A3'!Q22/10</f>
        <v>633.79999999999995</v>
      </c>
      <c r="D7" s="459">
        <f>'HDPE-A3'!Q51/10</f>
        <v>558.26682359999995</v>
      </c>
      <c r="E7" s="458">
        <v>252</v>
      </c>
      <c r="F7" s="458">
        <v>142</v>
      </c>
      <c r="G7" s="459">
        <f t="shared" si="0"/>
        <v>668.26682359999995</v>
      </c>
      <c r="H7" s="455">
        <f t="shared" si="1"/>
        <v>0.37709999999999999</v>
      </c>
      <c r="I7" s="455">
        <f t="shared" si="2"/>
        <v>0.25440000000000002</v>
      </c>
      <c r="J7" s="456">
        <f t="shared" si="3"/>
        <v>-110</v>
      </c>
      <c r="K7" s="455">
        <f t="shared" si="4"/>
        <v>0.88080000000000003</v>
      </c>
      <c r="L7" s="454" t="s">
        <v>284</v>
      </c>
      <c r="M7" s="453"/>
      <c r="N7" s="452" t="s">
        <v>76</v>
      </c>
      <c r="O7" s="451">
        <f t="shared" si="5"/>
        <v>558.26682359999995</v>
      </c>
      <c r="P7" s="450">
        <f>('HDPE-A3'!Q80)/10</f>
        <v>668.30801050000002</v>
      </c>
      <c r="Q7" s="449">
        <f t="shared" si="6"/>
        <v>-110.04118690000007</v>
      </c>
      <c r="R7" s="448"/>
    </row>
    <row r="8" spans="1:18">
      <c r="A8" s="453"/>
      <c r="B8" s="460" t="s">
        <v>75</v>
      </c>
      <c r="C8" s="459">
        <f>'SM-A6'!Q22/10</f>
        <v>548</v>
      </c>
      <c r="D8" s="459">
        <f>'SM-A6'!Q51/10</f>
        <v>427.3</v>
      </c>
      <c r="E8" s="458">
        <v>91</v>
      </c>
      <c r="F8" s="458">
        <v>35</v>
      </c>
      <c r="G8" s="459">
        <f t="shared" si="0"/>
        <v>483.29999999999995</v>
      </c>
      <c r="H8" s="455">
        <f t="shared" si="1"/>
        <v>0.1883</v>
      </c>
      <c r="I8" s="455">
        <f t="shared" si="2"/>
        <v>8.1900000000000001E-2</v>
      </c>
      <c r="J8" s="456">
        <f t="shared" si="3"/>
        <v>-55.999999999999943</v>
      </c>
      <c r="K8" s="455">
        <f t="shared" si="4"/>
        <v>0.77969999999999995</v>
      </c>
      <c r="L8" s="454" t="s">
        <v>168</v>
      </c>
      <c r="M8" s="453"/>
      <c r="N8" s="452" t="s">
        <v>75</v>
      </c>
      <c r="O8" s="451">
        <f t="shared" si="5"/>
        <v>427.3</v>
      </c>
      <c r="P8" s="450">
        <f>('SM-A6'!Q80)/10</f>
        <v>483.2</v>
      </c>
      <c r="Q8" s="449">
        <f t="shared" si="6"/>
        <v>-55.899999999999977</v>
      </c>
      <c r="R8" s="448"/>
    </row>
    <row r="9" spans="1:18">
      <c r="A9" s="453"/>
      <c r="B9" s="460" t="s">
        <v>74</v>
      </c>
      <c r="C9" s="459">
        <f>'EG-A10'!Q22/10</f>
        <v>138.9</v>
      </c>
      <c r="D9" s="459">
        <f>'EG-A10'!Q51/10</f>
        <v>114.1036</v>
      </c>
      <c r="E9" s="458">
        <v>117</v>
      </c>
      <c r="F9" s="458">
        <v>20</v>
      </c>
      <c r="G9" s="459">
        <f t="shared" si="0"/>
        <v>211.1036</v>
      </c>
      <c r="H9" s="455">
        <f t="shared" si="1"/>
        <v>0.55420000000000003</v>
      </c>
      <c r="I9" s="455">
        <f t="shared" si="2"/>
        <v>0.17530000000000001</v>
      </c>
      <c r="J9" s="456">
        <f t="shared" si="3"/>
        <v>-97</v>
      </c>
      <c r="K9" s="455">
        <f t="shared" si="4"/>
        <v>0.82150000000000001</v>
      </c>
      <c r="L9" s="454" t="s">
        <v>167</v>
      </c>
      <c r="M9" s="453"/>
      <c r="N9" s="452" t="s">
        <v>74</v>
      </c>
      <c r="O9" s="451">
        <f t="shared" si="5"/>
        <v>114.1036</v>
      </c>
      <c r="P9" s="450">
        <f>('EG-A10'!Q80)/10</f>
        <v>210.67580000000004</v>
      </c>
      <c r="Q9" s="449">
        <f t="shared" si="6"/>
        <v>-96.572200000000038</v>
      </c>
      <c r="R9" s="448"/>
    </row>
    <row r="10" spans="1:18">
      <c r="A10" s="453"/>
      <c r="B10" s="460" t="s">
        <v>72</v>
      </c>
      <c r="C10" s="459">
        <f>'PVC-A7'!Q22/10</f>
        <v>692.3</v>
      </c>
      <c r="D10" s="459">
        <f>'PVC-A7'!Q51/10</f>
        <v>602.4</v>
      </c>
      <c r="E10" s="458">
        <v>74</v>
      </c>
      <c r="F10" s="458">
        <v>137</v>
      </c>
      <c r="G10" s="459">
        <f t="shared" si="0"/>
        <v>539.4</v>
      </c>
      <c r="H10" s="455">
        <f t="shared" si="1"/>
        <v>0.13719999999999999</v>
      </c>
      <c r="I10" s="455">
        <f t="shared" si="2"/>
        <v>0.22739999999999999</v>
      </c>
      <c r="J10" s="456">
        <f t="shared" si="3"/>
        <v>63</v>
      </c>
      <c r="K10" s="455">
        <f t="shared" si="4"/>
        <v>0.87009999999999998</v>
      </c>
      <c r="L10" s="454" t="s">
        <v>285</v>
      </c>
      <c r="M10" s="453"/>
      <c r="N10" s="452" t="s">
        <v>72</v>
      </c>
      <c r="O10" s="451">
        <f t="shared" si="5"/>
        <v>602.4</v>
      </c>
      <c r="P10" s="450">
        <f>('PVC-A7'!Q80)/10</f>
        <v>539.8955694</v>
      </c>
      <c r="Q10" s="449">
        <f t="shared" si="6"/>
        <v>62.504430599999978</v>
      </c>
      <c r="R10" s="448"/>
    </row>
    <row r="11" spans="1:18">
      <c r="A11" s="453"/>
      <c r="B11" s="460" t="s">
        <v>371</v>
      </c>
      <c r="C11" s="459">
        <f>'OTHER(C2)-A11'!Q22/10</f>
        <v>310.8</v>
      </c>
      <c r="D11" s="459">
        <f>'OTHER(C2)-A11'!Q51/10</f>
        <v>250.5</v>
      </c>
      <c r="E11" s="458">
        <v>26</v>
      </c>
      <c r="F11" s="458">
        <v>24</v>
      </c>
      <c r="G11" s="459">
        <f t="shared" si="0"/>
        <v>252.5</v>
      </c>
      <c r="H11" s="455">
        <f t="shared" si="1"/>
        <v>0.10299999999999999</v>
      </c>
      <c r="I11" s="455">
        <f t="shared" si="2"/>
        <v>9.5799999999999996E-2</v>
      </c>
      <c r="J11" s="456">
        <f t="shared" si="3"/>
        <v>-2</v>
      </c>
      <c r="K11" s="455">
        <f t="shared" si="4"/>
        <v>0.80600000000000005</v>
      </c>
      <c r="L11" s="454"/>
      <c r="M11" s="453"/>
      <c r="N11" s="460" t="s">
        <v>371</v>
      </c>
      <c r="O11" s="451">
        <f t="shared" si="5"/>
        <v>250.5</v>
      </c>
      <c r="P11" s="450">
        <f>('OTHER(C2)-A11'!Q80)/10</f>
        <v>252.2</v>
      </c>
      <c r="Q11" s="449">
        <f t="shared" si="6"/>
        <v>-1.6999999999999886</v>
      </c>
      <c r="R11" s="448"/>
    </row>
    <row r="12" spans="1:18">
      <c r="A12" s="453"/>
      <c r="B12" s="460" t="s">
        <v>372</v>
      </c>
      <c r="C12" s="462">
        <f>C6*0.98+C7*1.04+C8*0.29+C9*0.66+C10*0.5+C11</f>
        <v>2511.71</v>
      </c>
      <c r="D12" s="462">
        <f>D6*0.98+D7*1.04+D8*0.29+D9*0.66+D10*0.5+D11</f>
        <v>2122.3534400079998</v>
      </c>
      <c r="E12" s="462">
        <f>E6*0.98+E7*1.04+E8*0.29+E9*0.66+E10*0.5</f>
        <v>692.77</v>
      </c>
      <c r="F12" s="462">
        <f>F6*0.98+F7*1.04+F8*0.29+F9*0.66+F10*0.5</f>
        <v>461.00999999999993</v>
      </c>
      <c r="G12" s="459">
        <f t="shared" si="0"/>
        <v>2354.113440008</v>
      </c>
      <c r="H12" s="455">
        <f t="shared" si="1"/>
        <v>0.29430000000000001</v>
      </c>
      <c r="I12" s="455">
        <f t="shared" si="2"/>
        <v>0.2172</v>
      </c>
      <c r="J12" s="456">
        <f t="shared" si="3"/>
        <v>-231.76000000000022</v>
      </c>
      <c r="K12" s="455">
        <f t="shared" si="4"/>
        <v>0.84499999999999997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-233.00835949000015</v>
      </c>
      <c r="R12" s="448"/>
    </row>
    <row r="13" spans="1:18">
      <c r="A13" s="453"/>
      <c r="B13" s="460" t="s">
        <v>373</v>
      </c>
      <c r="C13" s="459">
        <f>'PROPYLENE-A12'!Q22/10</f>
        <v>1849.1</v>
      </c>
      <c r="D13" s="459">
        <f>'PROPYLENE-A12'!Q51/10</f>
        <v>1568.3439991</v>
      </c>
      <c r="E13" s="458">
        <v>77</v>
      </c>
      <c r="F13" s="458">
        <v>31</v>
      </c>
      <c r="G13" s="459">
        <f t="shared" si="0"/>
        <v>1614.3439991</v>
      </c>
      <c r="H13" s="455">
        <f t="shared" si="1"/>
        <v>4.7699999999999999E-2</v>
      </c>
      <c r="I13" s="455">
        <f t="shared" si="2"/>
        <v>1.9800000000000002E-2</v>
      </c>
      <c r="J13" s="456">
        <f t="shared" si="3"/>
        <v>-46</v>
      </c>
      <c r="K13" s="455">
        <f t="shared" si="4"/>
        <v>0.84819999999999995</v>
      </c>
      <c r="L13" s="454" t="s">
        <v>286</v>
      </c>
      <c r="M13" s="453"/>
      <c r="N13" s="460" t="s">
        <v>373</v>
      </c>
      <c r="O13" s="451">
        <f t="shared" si="5"/>
        <v>1568.3439991</v>
      </c>
      <c r="P13" s="450">
        <f>('PROPYLENE-A12'!Q80)/10</f>
        <v>1614.3104076</v>
      </c>
      <c r="Q13" s="449">
        <f t="shared" si="6"/>
        <v>-45.966408499999943</v>
      </c>
      <c r="R13" s="448"/>
    </row>
    <row r="14" spans="1:18">
      <c r="A14" s="453"/>
      <c r="B14" s="460" t="s">
        <v>69</v>
      </c>
      <c r="C14" s="459">
        <f>'PP-A13'!Q22/10</f>
        <v>1108.5</v>
      </c>
      <c r="D14" s="459">
        <f>'PP-A13'!Q51/10</f>
        <v>1118.5</v>
      </c>
      <c r="E14" s="458">
        <v>239</v>
      </c>
      <c r="F14" s="458">
        <v>261</v>
      </c>
      <c r="G14" s="459">
        <f t="shared" si="0"/>
        <v>1096.5</v>
      </c>
      <c r="H14" s="455">
        <f t="shared" si="1"/>
        <v>0.218</v>
      </c>
      <c r="I14" s="455">
        <f t="shared" si="2"/>
        <v>0.23330000000000001</v>
      </c>
      <c r="J14" s="456">
        <f t="shared" si="3"/>
        <v>22</v>
      </c>
      <c r="K14" s="455">
        <f t="shared" si="4"/>
        <v>1.0089999999999999</v>
      </c>
      <c r="L14" s="454" t="s">
        <v>287</v>
      </c>
      <c r="M14" s="453"/>
      <c r="N14" s="452" t="s">
        <v>69</v>
      </c>
      <c r="O14" s="451">
        <f t="shared" si="5"/>
        <v>1118.5</v>
      </c>
      <c r="P14" s="450">
        <f>('PP-A13'!Q80)/10</f>
        <v>1096.8420126000001</v>
      </c>
      <c r="Q14" s="449">
        <f t="shared" si="6"/>
        <v>21.657987399999911</v>
      </c>
      <c r="R14" s="448"/>
    </row>
    <row r="15" spans="1:18">
      <c r="A15" s="453"/>
      <c r="B15" s="460" t="s">
        <v>67</v>
      </c>
      <c r="C15" s="459">
        <f>'AN-A14'!Q22/10</f>
        <v>88</v>
      </c>
      <c r="D15" s="459">
        <f>'AN-A14'!Q51/10</f>
        <v>78</v>
      </c>
      <c r="E15" s="458">
        <v>1</v>
      </c>
      <c r="F15" s="458">
        <v>2</v>
      </c>
      <c r="G15" s="459">
        <f t="shared" si="0"/>
        <v>77</v>
      </c>
      <c r="H15" s="455">
        <f t="shared" si="1"/>
        <v>1.2999999999999999E-2</v>
      </c>
      <c r="I15" s="455">
        <f t="shared" si="2"/>
        <v>2.5600000000000001E-2</v>
      </c>
      <c r="J15" s="456">
        <f t="shared" si="3"/>
        <v>1</v>
      </c>
      <c r="K15" s="455">
        <f t="shared" si="4"/>
        <v>0.88639999999999997</v>
      </c>
      <c r="L15" s="454" t="s">
        <v>166</v>
      </c>
      <c r="M15" s="453"/>
      <c r="N15" s="452" t="s">
        <v>67</v>
      </c>
      <c r="O15" s="451">
        <f t="shared" si="5"/>
        <v>78</v>
      </c>
      <c r="P15" s="450">
        <f>('AN-A14'!Q80)/10</f>
        <v>77.5</v>
      </c>
      <c r="Q15" s="449">
        <f t="shared" si="6"/>
        <v>0.5</v>
      </c>
      <c r="R15" s="448"/>
    </row>
    <row r="16" spans="1:18">
      <c r="A16" s="453"/>
      <c r="B16" s="460" t="s">
        <v>371</v>
      </c>
      <c r="C16" s="459">
        <f>'OTHER(C3)-A15'!Q22/10</f>
        <v>510.4</v>
      </c>
      <c r="D16" s="459">
        <f>'OTHER(C3)-A15'!Q51/10</f>
        <v>459.79200000000009</v>
      </c>
      <c r="E16" s="458">
        <v>0</v>
      </c>
      <c r="F16" s="458">
        <v>0</v>
      </c>
      <c r="G16" s="459">
        <f t="shared" si="0"/>
        <v>459.79200000000009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0.90080000000000005</v>
      </c>
      <c r="L16" s="454"/>
      <c r="M16" s="453"/>
      <c r="N16" s="460" t="s">
        <v>371</v>
      </c>
      <c r="O16" s="451">
        <f t="shared" si="5"/>
        <v>459.79200000000009</v>
      </c>
      <c r="P16" s="450">
        <f>('OTHER(C3)-A15'!Q80)/10</f>
        <v>459.79200000000009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1748.0750000000003</v>
      </c>
      <c r="D17" s="459">
        <f>D14*1.03+D15*1.09+D16</f>
        <v>1696.8670000000002</v>
      </c>
      <c r="E17" s="459">
        <f>E14*1.03+E15*1.09</f>
        <v>247.26000000000002</v>
      </c>
      <c r="F17" s="459">
        <f>F14*1.03+F15*1.09</f>
        <v>271.01</v>
      </c>
      <c r="G17" s="459">
        <f t="shared" si="0"/>
        <v>1673.1170000000002</v>
      </c>
      <c r="H17" s="455">
        <f t="shared" si="1"/>
        <v>0.14779999999999999</v>
      </c>
      <c r="I17" s="455">
        <f t="shared" si="2"/>
        <v>0.15970000000000001</v>
      </c>
      <c r="J17" s="456">
        <f t="shared" si="3"/>
        <v>23.75</v>
      </c>
      <c r="K17" s="455">
        <f t="shared" si="4"/>
        <v>0.97070000000000001</v>
      </c>
      <c r="L17" s="454"/>
      <c r="M17" s="453"/>
      <c r="N17" s="460" t="s">
        <v>374</v>
      </c>
      <c r="O17" s="451"/>
      <c r="P17" s="450"/>
      <c r="Q17" s="461">
        <f>Q14*1.03+Q15*1.09+Q16</f>
        <v>22.852727021999911</v>
      </c>
      <c r="R17" s="448"/>
    </row>
    <row r="18" spans="1:18">
      <c r="A18" s="453"/>
      <c r="B18" s="460" t="s">
        <v>375</v>
      </c>
      <c r="C18" s="459">
        <f>'BENZENE-A16'!Q22/10</f>
        <v>1015.7</v>
      </c>
      <c r="D18" s="459">
        <f>'BENZENE-A16'!Q51/10</f>
        <v>715.28661380000005</v>
      </c>
      <c r="E18" s="458">
        <v>143</v>
      </c>
      <c r="F18" s="458">
        <v>60</v>
      </c>
      <c r="G18" s="459">
        <f t="shared" si="0"/>
        <v>798.28661380000005</v>
      </c>
      <c r="H18" s="455">
        <f t="shared" si="1"/>
        <v>0.17910000000000001</v>
      </c>
      <c r="I18" s="455">
        <f t="shared" si="2"/>
        <v>8.3900000000000002E-2</v>
      </c>
      <c r="J18" s="456">
        <f t="shared" si="3"/>
        <v>-83</v>
      </c>
      <c r="K18" s="455">
        <f t="shared" si="4"/>
        <v>0.70420000000000005</v>
      </c>
      <c r="L18" s="454" t="s">
        <v>288</v>
      </c>
      <c r="M18" s="453"/>
      <c r="N18" s="460" t="s">
        <v>375</v>
      </c>
      <c r="O18" s="451">
        <f t="shared" si="5"/>
        <v>715.28661380000005</v>
      </c>
      <c r="P18" s="450">
        <f>('BENZENE-A16'!Q80)/10</f>
        <v>797.90001940000002</v>
      </c>
      <c r="Q18" s="449">
        <f t="shared" si="6"/>
        <v>-82.613405599999965</v>
      </c>
      <c r="R18" s="448"/>
    </row>
    <row r="19" spans="1:18">
      <c r="A19" s="453"/>
      <c r="B19" s="460" t="s">
        <v>376</v>
      </c>
      <c r="C19" s="459">
        <f>'TOLUENE-A17'!Q22/10</f>
        <v>304.10000000000002</v>
      </c>
      <c r="D19" s="459">
        <f>'TOLUENE-A17'!Q51/10</f>
        <v>233.9</v>
      </c>
      <c r="E19" s="458">
        <v>9</v>
      </c>
      <c r="F19" s="458">
        <v>27</v>
      </c>
      <c r="G19" s="459">
        <f>D19+E19-F19</f>
        <v>215.9</v>
      </c>
      <c r="H19" s="455">
        <f t="shared" si="1"/>
        <v>4.1700000000000001E-2</v>
      </c>
      <c r="I19" s="455">
        <f t="shared" si="2"/>
        <v>0.1154</v>
      </c>
      <c r="J19" s="456">
        <f t="shared" si="3"/>
        <v>18</v>
      </c>
      <c r="K19" s="455">
        <f t="shared" si="4"/>
        <v>0.76919999999999999</v>
      </c>
      <c r="L19" s="454" t="s">
        <v>289</v>
      </c>
      <c r="M19" s="453"/>
      <c r="N19" s="460" t="s">
        <v>376</v>
      </c>
      <c r="O19" s="451">
        <f t="shared" si="5"/>
        <v>233.9</v>
      </c>
      <c r="P19" s="450">
        <f>('TOLUENE-A17'!Q80)/10</f>
        <v>215.7</v>
      </c>
      <c r="Q19" s="449">
        <f t="shared" si="6"/>
        <v>18.200000000000017</v>
      </c>
      <c r="R19" s="448"/>
    </row>
    <row r="20" spans="1:18">
      <c r="A20" s="453"/>
      <c r="B20" s="460" t="s">
        <v>377</v>
      </c>
      <c r="C20" s="459">
        <f>'XYLENES-A18'!Q22/10</f>
        <v>524.5</v>
      </c>
      <c r="D20" s="459">
        <f>'XYLENES-A18'!Q51/10</f>
        <v>291.2</v>
      </c>
      <c r="E20" s="458">
        <v>3</v>
      </c>
      <c r="F20" s="458">
        <v>14</v>
      </c>
      <c r="G20" s="459">
        <f t="shared" si="0"/>
        <v>280.2</v>
      </c>
      <c r="H20" s="455">
        <f t="shared" si="1"/>
        <v>1.0699999999999999E-2</v>
      </c>
      <c r="I20" s="455">
        <f t="shared" si="2"/>
        <v>4.8099999999999997E-2</v>
      </c>
      <c r="J20" s="456">
        <f t="shared" si="3"/>
        <v>11</v>
      </c>
      <c r="K20" s="455">
        <f t="shared" si="4"/>
        <v>0.55520000000000003</v>
      </c>
      <c r="L20" s="454" t="s">
        <v>290</v>
      </c>
      <c r="M20" s="453"/>
      <c r="N20" s="460" t="s">
        <v>377</v>
      </c>
      <c r="O20" s="451">
        <f t="shared" si="5"/>
        <v>291.2</v>
      </c>
      <c r="P20" s="450">
        <f>('XYLENES-A18'!Q80)/10</f>
        <v>280.39999999999998</v>
      </c>
      <c r="Q20" s="449">
        <f t="shared" si="6"/>
        <v>10.800000000000011</v>
      </c>
      <c r="R20" s="448"/>
    </row>
    <row r="21" spans="1:18">
      <c r="A21" s="453"/>
      <c r="B21" s="460" t="s">
        <v>64</v>
      </c>
      <c r="C21" s="459">
        <f>'PX-A19'!Q22/10</f>
        <v>235.5</v>
      </c>
      <c r="D21" s="459">
        <f>'PX-A19'!Q51/10</f>
        <v>187.2</v>
      </c>
      <c r="E21" s="458">
        <v>20</v>
      </c>
      <c r="F21" s="458">
        <v>25</v>
      </c>
      <c r="G21" s="459">
        <f t="shared" si="0"/>
        <v>182.2</v>
      </c>
      <c r="H21" s="455">
        <f t="shared" si="1"/>
        <v>0.10979999999999999</v>
      </c>
      <c r="I21" s="455">
        <f t="shared" si="2"/>
        <v>0.13350000000000001</v>
      </c>
      <c r="J21" s="456">
        <f t="shared" si="3"/>
        <v>5</v>
      </c>
      <c r="K21" s="455">
        <f t="shared" si="4"/>
        <v>0.79490000000000005</v>
      </c>
      <c r="L21" s="454" t="s">
        <v>291</v>
      </c>
      <c r="M21" s="453"/>
      <c r="N21" s="452" t="s">
        <v>64</v>
      </c>
      <c r="O21" s="451">
        <f t="shared" si="5"/>
        <v>187.2</v>
      </c>
      <c r="P21" s="450">
        <f>('PX-A19'!Q80)/10</f>
        <v>182.2</v>
      </c>
      <c r="Q21" s="449">
        <f t="shared" si="6"/>
        <v>5</v>
      </c>
      <c r="R21" s="448"/>
    </row>
    <row r="22" spans="1:18">
      <c r="A22" s="453"/>
      <c r="B22" s="460" t="s">
        <v>62</v>
      </c>
      <c r="C22" s="459">
        <f>'PTA-A20'!Q22/10</f>
        <v>409</v>
      </c>
      <c r="D22" s="459">
        <f>'PTA-A20'!Q51/10</f>
        <v>338.81200000000001</v>
      </c>
      <c r="E22" s="458">
        <v>26</v>
      </c>
      <c r="F22" s="458">
        <v>10</v>
      </c>
      <c r="G22" s="459">
        <f t="shared" si="0"/>
        <v>354.81200000000001</v>
      </c>
      <c r="H22" s="455">
        <f t="shared" si="1"/>
        <v>7.3300000000000004E-2</v>
      </c>
      <c r="I22" s="455">
        <f t="shared" si="2"/>
        <v>2.9499999999999998E-2</v>
      </c>
      <c r="J22" s="456">
        <f t="shared" si="3"/>
        <v>-16</v>
      </c>
      <c r="K22" s="455">
        <f t="shared" si="4"/>
        <v>0.82840000000000003</v>
      </c>
      <c r="L22" s="454" t="s">
        <v>292</v>
      </c>
      <c r="M22" s="453"/>
      <c r="N22" s="452" t="s">
        <v>62</v>
      </c>
      <c r="O22" s="451">
        <f t="shared" si="5"/>
        <v>338.81200000000001</v>
      </c>
      <c r="P22" s="450">
        <f>('PTA-A20'!Q80)/10</f>
        <v>354.68590000000006</v>
      </c>
      <c r="Q22" s="449">
        <f t="shared" si="6"/>
        <v>-15.873900000000049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8.625" customWidth="1"/>
    <col min="2" max="2" width="21.125" customWidth="1"/>
    <col min="3" max="11" width="12.875" customWidth="1"/>
    <col min="12" max="12" width="4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403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'ETHYLENE-A1'!K24/10</f>
        <v>3551.4</v>
      </c>
      <c r="D5" s="459">
        <f>'ETHYLENE-A1'!K53/10</f>
        <v>2818.2</v>
      </c>
      <c r="E5" s="458"/>
      <c r="F5" s="458">
        <v>50</v>
      </c>
      <c r="G5" s="459">
        <f t="shared" ref="G5:G22" si="0">D5+E5-F5</f>
        <v>2768.2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1.77E-2</v>
      </c>
      <c r="J5" s="456">
        <f t="shared" ref="J5:J22" si="3">D5-G5</f>
        <v>50</v>
      </c>
      <c r="K5" s="455">
        <f t="shared" ref="K5:K22" si="4">IF(AND(D5=0,C5=0),"    -",IF(C5=0,"     0%",IF(D5=0,"     -",ROUND(D5/C5,4))))</f>
        <v>0.79349999999999998</v>
      </c>
      <c r="L5" s="454" t="s">
        <v>224</v>
      </c>
      <c r="M5" s="453"/>
      <c r="N5" s="452" t="s">
        <v>79</v>
      </c>
      <c r="O5" s="451">
        <f>D5</f>
        <v>2818.2</v>
      </c>
      <c r="P5" s="450">
        <f>('ETHYLENE-A1'!K82)/10</f>
        <v>2768.2</v>
      </c>
      <c r="Q5" s="449">
        <f>O5-P5</f>
        <v>50</v>
      </c>
      <c r="R5" s="448"/>
    </row>
    <row r="6" spans="1:18">
      <c r="A6" s="453"/>
      <c r="B6" s="460" t="s">
        <v>78</v>
      </c>
      <c r="C6" s="459">
        <f>'LDPE-A2'!K24/10</f>
        <v>1135</v>
      </c>
      <c r="D6" s="459">
        <f>'LDPE-A2'!K53/10</f>
        <v>944.1</v>
      </c>
      <c r="E6" s="458"/>
      <c r="F6" s="458">
        <v>620</v>
      </c>
      <c r="G6" s="459">
        <f t="shared" si="0"/>
        <v>324.10000000000002</v>
      </c>
      <c r="H6" s="455" t="str">
        <f t="shared" si="1"/>
        <v xml:space="preserve">     0%</v>
      </c>
      <c r="I6" s="455">
        <f t="shared" si="2"/>
        <v>0.65669999999999995</v>
      </c>
      <c r="J6" s="456">
        <f t="shared" si="3"/>
        <v>620</v>
      </c>
      <c r="K6" s="455">
        <f t="shared" si="4"/>
        <v>0.83179999999999998</v>
      </c>
      <c r="L6" s="454" t="s">
        <v>225</v>
      </c>
      <c r="M6" s="453"/>
      <c r="N6" s="452" t="s">
        <v>78</v>
      </c>
      <c r="O6" s="451">
        <f t="shared" ref="O6:O22" si="5">D6</f>
        <v>944.1</v>
      </c>
      <c r="P6" s="450">
        <f>('LDPE-A2'!K82)/10</f>
        <v>324.60000000000002</v>
      </c>
      <c r="Q6" s="449">
        <f t="shared" ref="Q6:Q22" si="6">O6-P6</f>
        <v>619.5</v>
      </c>
      <c r="R6" s="448"/>
    </row>
    <row r="7" spans="1:18">
      <c r="A7" s="453"/>
      <c r="B7" s="460" t="s">
        <v>76</v>
      </c>
      <c r="C7" s="459">
        <f>'HDPE-A3'!K24/10</f>
        <v>950</v>
      </c>
      <c r="D7" s="459">
        <f>'HDPE-A3'!K53/10</f>
        <v>896.4</v>
      </c>
      <c r="E7" s="458"/>
      <c r="F7" s="458">
        <v>617</v>
      </c>
      <c r="G7" s="459">
        <f t="shared" si="0"/>
        <v>279.39999999999998</v>
      </c>
      <c r="H7" s="455" t="str">
        <f t="shared" si="1"/>
        <v xml:space="preserve">     0%</v>
      </c>
      <c r="I7" s="455">
        <f t="shared" si="2"/>
        <v>0.68830000000000002</v>
      </c>
      <c r="J7" s="456">
        <f t="shared" si="3"/>
        <v>617</v>
      </c>
      <c r="K7" s="455">
        <f t="shared" si="4"/>
        <v>0.94359999999999999</v>
      </c>
      <c r="L7" s="454" t="s">
        <v>225</v>
      </c>
      <c r="M7" s="453"/>
      <c r="N7" s="452" t="s">
        <v>76</v>
      </c>
      <c r="O7" s="451">
        <f t="shared" si="5"/>
        <v>896.4</v>
      </c>
      <c r="P7" s="450">
        <f>('HDPE-A3'!K82)/10</f>
        <v>279.3</v>
      </c>
      <c r="Q7" s="449">
        <f t="shared" si="6"/>
        <v>617.09999999999991</v>
      </c>
      <c r="R7" s="448"/>
    </row>
    <row r="8" spans="1:18">
      <c r="A8" s="453"/>
      <c r="B8" s="460" t="s">
        <v>75</v>
      </c>
      <c r="C8" s="459">
        <f>'SM-A6'!K24/10</f>
        <v>304.7</v>
      </c>
      <c r="D8" s="459">
        <f>'SM-A6'!K53/10</f>
        <v>241.5</v>
      </c>
      <c r="E8" s="458"/>
      <c r="F8" s="458">
        <v>171</v>
      </c>
      <c r="G8" s="459">
        <f t="shared" si="0"/>
        <v>70.5</v>
      </c>
      <c r="H8" s="455" t="str">
        <f t="shared" si="1"/>
        <v xml:space="preserve">     0%</v>
      </c>
      <c r="I8" s="455">
        <f t="shared" si="2"/>
        <v>0.70809999999999995</v>
      </c>
      <c r="J8" s="456">
        <f t="shared" si="3"/>
        <v>171</v>
      </c>
      <c r="K8" s="455">
        <f t="shared" si="4"/>
        <v>0.79259999999999997</v>
      </c>
      <c r="L8" s="454" t="s">
        <v>226</v>
      </c>
      <c r="M8" s="453"/>
      <c r="N8" s="452" t="s">
        <v>75</v>
      </c>
      <c r="O8" s="451">
        <f t="shared" si="5"/>
        <v>241.5</v>
      </c>
      <c r="P8" s="450">
        <f>('SM-A6'!K82)/10</f>
        <v>70.618591508062508</v>
      </c>
      <c r="Q8" s="449">
        <f t="shared" si="6"/>
        <v>170.88140849193749</v>
      </c>
      <c r="R8" s="448"/>
    </row>
    <row r="9" spans="1:18">
      <c r="A9" s="453"/>
      <c r="B9" s="460" t="s">
        <v>74</v>
      </c>
      <c r="C9" s="459">
        <f>'EG-A10'!K24/10</f>
        <v>969.6</v>
      </c>
      <c r="D9" s="459">
        <f>'EG-A10'!K53/10</f>
        <v>876</v>
      </c>
      <c r="E9" s="458"/>
      <c r="F9" s="458">
        <v>807</v>
      </c>
      <c r="G9" s="459">
        <f t="shared" si="0"/>
        <v>69</v>
      </c>
      <c r="H9" s="455" t="str">
        <f t="shared" si="1"/>
        <v xml:space="preserve">     0%</v>
      </c>
      <c r="I9" s="455">
        <f t="shared" si="2"/>
        <v>0.92120000000000002</v>
      </c>
      <c r="J9" s="456">
        <f t="shared" si="3"/>
        <v>807</v>
      </c>
      <c r="K9" s="455">
        <f t="shared" si="4"/>
        <v>0.90349999999999997</v>
      </c>
      <c r="L9" s="454" t="s">
        <v>227</v>
      </c>
      <c r="M9" s="453"/>
      <c r="N9" s="452" t="s">
        <v>74</v>
      </c>
      <c r="O9" s="451">
        <f t="shared" si="5"/>
        <v>876</v>
      </c>
      <c r="P9" s="450">
        <f>('EG-A10'!K82)/10</f>
        <v>69.400000000000006</v>
      </c>
      <c r="Q9" s="449">
        <f t="shared" si="6"/>
        <v>806.6</v>
      </c>
      <c r="R9" s="448"/>
    </row>
    <row r="10" spans="1:18">
      <c r="A10" s="453"/>
      <c r="B10" s="460" t="s">
        <v>72</v>
      </c>
      <c r="C10" s="459">
        <f>'PVC-A7'!K24/10</f>
        <v>156</v>
      </c>
      <c r="D10" s="459">
        <f>'PVC-A7'!K53/10</f>
        <v>124</v>
      </c>
      <c r="E10" s="458">
        <v>47</v>
      </c>
      <c r="F10" s="458"/>
      <c r="G10" s="459">
        <f t="shared" si="0"/>
        <v>171</v>
      </c>
      <c r="H10" s="455">
        <f t="shared" si="1"/>
        <v>0.27489999999999998</v>
      </c>
      <c r="I10" s="455" t="str">
        <f t="shared" si="2"/>
        <v xml:space="preserve">     0%</v>
      </c>
      <c r="J10" s="456">
        <f t="shared" si="3"/>
        <v>-47</v>
      </c>
      <c r="K10" s="455">
        <f t="shared" si="4"/>
        <v>0.79490000000000005</v>
      </c>
      <c r="L10" s="454" t="s">
        <v>228</v>
      </c>
      <c r="M10" s="453"/>
      <c r="N10" s="452" t="s">
        <v>72</v>
      </c>
      <c r="O10" s="451">
        <f t="shared" si="5"/>
        <v>124</v>
      </c>
      <c r="P10" s="450">
        <f>('PVC-A7'!K82)/10</f>
        <v>171.4</v>
      </c>
      <c r="Q10" s="449">
        <f t="shared" si="6"/>
        <v>-47.400000000000006</v>
      </c>
      <c r="R10" s="448"/>
    </row>
    <row r="11" spans="1:18">
      <c r="A11" s="453"/>
      <c r="B11" s="460" t="s">
        <v>371</v>
      </c>
      <c r="C11" s="459">
        <f>'OTHER(C2)-A11'!K24/10</f>
        <v>200</v>
      </c>
      <c r="D11" s="459">
        <f>'OTHER(C2)-A11'!K53/10</f>
        <v>200</v>
      </c>
      <c r="E11" s="458"/>
      <c r="F11" s="458"/>
      <c r="G11" s="459">
        <f t="shared" si="0"/>
        <v>200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1</v>
      </c>
      <c r="L11" s="454"/>
      <c r="M11" s="453"/>
      <c r="N11" s="460" t="s">
        <v>371</v>
      </c>
      <c r="O11" s="451">
        <f t="shared" si="5"/>
        <v>200</v>
      </c>
      <c r="P11" s="450">
        <f>('OTHER(C2)-A11'!K82)/10</f>
        <v>200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3106.5990000000002</v>
      </c>
      <c r="D12" s="462">
        <f>D6*0.98+D7*1.04+D8*0.29+D9*0.66+D10*0.5+D11</f>
        <v>2767.6689999999999</v>
      </c>
      <c r="E12" s="462">
        <f>E6*0.98+E7*1.04+E8*0.29+E9*0.66+E10*0.5</f>
        <v>23.5</v>
      </c>
      <c r="F12" s="462">
        <f>F6*0.98+F7*1.04+F8*0.29+F9*0.66+F10*0.5</f>
        <v>1831.4900000000002</v>
      </c>
      <c r="G12" s="459">
        <f t="shared" si="0"/>
        <v>959.67899999999963</v>
      </c>
      <c r="H12" s="455">
        <f t="shared" si="1"/>
        <v>2.4500000000000001E-2</v>
      </c>
      <c r="I12" s="455">
        <f t="shared" si="2"/>
        <v>0.66169999999999995</v>
      </c>
      <c r="J12" s="456">
        <f t="shared" si="3"/>
        <v>1807.9900000000002</v>
      </c>
      <c r="K12" s="455">
        <f t="shared" si="4"/>
        <v>0.89090000000000003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1807.1056084626616</v>
      </c>
      <c r="R12" s="448"/>
    </row>
    <row r="13" spans="1:18">
      <c r="A13" s="453"/>
      <c r="B13" s="460" t="s">
        <v>373</v>
      </c>
      <c r="C13" s="459">
        <f>'PROPYLENE-A12'!K24/10</f>
        <v>1293.3</v>
      </c>
      <c r="D13" s="459">
        <f>'PROPYLENE-A12'!K53/10</f>
        <v>968.6</v>
      </c>
      <c r="E13" s="458"/>
      <c r="F13" s="458">
        <v>23</v>
      </c>
      <c r="G13" s="459">
        <f t="shared" si="0"/>
        <v>945.6</v>
      </c>
      <c r="H13" s="455" t="str">
        <f t="shared" si="1"/>
        <v xml:space="preserve">     0%</v>
      </c>
      <c r="I13" s="455">
        <f t="shared" si="2"/>
        <v>2.3699999999999999E-2</v>
      </c>
      <c r="J13" s="456">
        <f t="shared" si="3"/>
        <v>23</v>
      </c>
      <c r="K13" s="455">
        <f t="shared" si="4"/>
        <v>0.74890000000000001</v>
      </c>
      <c r="L13" s="454" t="s">
        <v>229</v>
      </c>
      <c r="M13" s="453"/>
      <c r="N13" s="460" t="s">
        <v>373</v>
      </c>
      <c r="O13" s="451">
        <f t="shared" si="5"/>
        <v>968.6</v>
      </c>
      <c r="P13" s="450">
        <f>('PROPYLENE-A12'!K82)/10</f>
        <v>945.8</v>
      </c>
      <c r="Q13" s="449">
        <f t="shared" si="6"/>
        <v>22.800000000000068</v>
      </c>
      <c r="R13" s="448"/>
    </row>
    <row r="14" spans="1:18">
      <c r="A14" s="453"/>
      <c r="B14" s="460" t="s">
        <v>69</v>
      </c>
      <c r="C14" s="459">
        <f>'PP-A13'!K24/10</f>
        <v>959</v>
      </c>
      <c r="D14" s="459">
        <f>'PP-A13'!K53/10</f>
        <v>880.1</v>
      </c>
      <c r="E14" s="458"/>
      <c r="F14" s="458">
        <v>601</v>
      </c>
      <c r="G14" s="459">
        <f t="shared" si="0"/>
        <v>279.10000000000002</v>
      </c>
      <c r="H14" s="455" t="str">
        <f t="shared" si="1"/>
        <v xml:space="preserve">     0%</v>
      </c>
      <c r="I14" s="455">
        <f t="shared" si="2"/>
        <v>0.68289999999999995</v>
      </c>
      <c r="J14" s="456">
        <f t="shared" si="3"/>
        <v>601</v>
      </c>
      <c r="K14" s="455">
        <f t="shared" si="4"/>
        <v>0.91769999999999996</v>
      </c>
      <c r="L14" s="454" t="s">
        <v>230</v>
      </c>
      <c r="M14" s="453"/>
      <c r="N14" s="452" t="s">
        <v>69</v>
      </c>
      <c r="O14" s="451">
        <f t="shared" si="5"/>
        <v>880.1</v>
      </c>
      <c r="P14" s="450">
        <f>('PP-A13'!K82)/10</f>
        <v>279.3</v>
      </c>
      <c r="Q14" s="449">
        <f t="shared" si="6"/>
        <v>600.79999999999995</v>
      </c>
      <c r="R14" s="448"/>
    </row>
    <row r="15" spans="1:18">
      <c r="A15" s="453"/>
      <c r="B15" s="460" t="s">
        <v>67</v>
      </c>
      <c r="C15" s="459">
        <f>'AN-A14'!K24/10</f>
        <v>10</v>
      </c>
      <c r="D15" s="459">
        <f>'AN-A14'!K53/10</f>
        <v>9</v>
      </c>
      <c r="E15" s="458">
        <v>30</v>
      </c>
      <c r="F15" s="458"/>
      <c r="G15" s="459">
        <f t="shared" si="0"/>
        <v>39</v>
      </c>
      <c r="H15" s="455">
        <f t="shared" si="1"/>
        <v>0.76919999999999999</v>
      </c>
      <c r="I15" s="455" t="str">
        <f t="shared" si="2"/>
        <v xml:space="preserve">     0%</v>
      </c>
      <c r="J15" s="456">
        <f t="shared" si="3"/>
        <v>-30</v>
      </c>
      <c r="K15" s="455">
        <f t="shared" si="4"/>
        <v>0.9</v>
      </c>
      <c r="L15" s="454"/>
      <c r="M15" s="453"/>
      <c r="N15" s="452" t="s">
        <v>67</v>
      </c>
      <c r="O15" s="451">
        <f t="shared" si="5"/>
        <v>9</v>
      </c>
      <c r="P15" s="450">
        <f>('AN-A14'!K82)/10</f>
        <v>39.336170443024486</v>
      </c>
      <c r="Q15" s="449">
        <f t="shared" si="6"/>
        <v>-30.336170443024486</v>
      </c>
      <c r="R15" s="448"/>
    </row>
    <row r="16" spans="1:18">
      <c r="A16" s="453"/>
      <c r="B16" s="460" t="s">
        <v>371</v>
      </c>
      <c r="C16" s="459">
        <f>'OTHER(C3)-A15'!K24/10</f>
        <v>30</v>
      </c>
      <c r="D16" s="459">
        <f>'OTHER(C3)-A15'!K53/10</f>
        <v>30</v>
      </c>
      <c r="E16" s="458"/>
      <c r="F16" s="458"/>
      <c r="G16" s="459">
        <f t="shared" si="0"/>
        <v>30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1</v>
      </c>
      <c r="L16" s="454"/>
      <c r="M16" s="453"/>
      <c r="N16" s="460" t="s">
        <v>371</v>
      </c>
      <c r="O16" s="451">
        <f t="shared" si="5"/>
        <v>30</v>
      </c>
      <c r="P16" s="450">
        <f>('OTHER(C3)-A15'!K82)/10</f>
        <v>30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1028.67</v>
      </c>
      <c r="D17" s="459">
        <f>D14*1.03+D15*1.09+D16</f>
        <v>946.31299999999999</v>
      </c>
      <c r="E17" s="459">
        <f>E14*1.03+E15*1.09</f>
        <v>32.700000000000003</v>
      </c>
      <c r="F17" s="459">
        <f>F14*1.03+F15*1.09</f>
        <v>619.03</v>
      </c>
      <c r="G17" s="459">
        <f t="shared" si="0"/>
        <v>359.98300000000006</v>
      </c>
      <c r="H17" s="455">
        <f t="shared" si="1"/>
        <v>9.0800000000000006E-2</v>
      </c>
      <c r="I17" s="455">
        <f t="shared" si="2"/>
        <v>0.65410000000000001</v>
      </c>
      <c r="J17" s="456">
        <f t="shared" si="3"/>
        <v>586.32999999999993</v>
      </c>
      <c r="K17" s="455">
        <f t="shared" si="4"/>
        <v>0.91990000000000005</v>
      </c>
      <c r="L17" s="454"/>
      <c r="M17" s="453"/>
      <c r="N17" s="460" t="s">
        <v>374</v>
      </c>
      <c r="O17" s="451"/>
      <c r="P17" s="450"/>
      <c r="Q17" s="461">
        <f>Q14*1.03+Q15*1.09+Q16</f>
        <v>585.7575742171033</v>
      </c>
      <c r="R17" s="448"/>
    </row>
    <row r="18" spans="1:18">
      <c r="A18" s="453"/>
      <c r="B18" s="460" t="s">
        <v>375</v>
      </c>
      <c r="C18" s="459">
        <f>'BENZENE-A16'!K24/10</f>
        <v>458.6</v>
      </c>
      <c r="D18" s="459">
        <f>'BENZENE-A16'!K53/10</f>
        <v>332.4</v>
      </c>
      <c r="E18" s="458"/>
      <c r="F18" s="458">
        <v>13</v>
      </c>
      <c r="G18" s="459">
        <f t="shared" si="0"/>
        <v>319.39999999999998</v>
      </c>
      <c r="H18" s="455" t="str">
        <f t="shared" si="1"/>
        <v xml:space="preserve">     0%</v>
      </c>
      <c r="I18" s="455">
        <f t="shared" si="2"/>
        <v>3.9100000000000003E-2</v>
      </c>
      <c r="J18" s="456">
        <f t="shared" si="3"/>
        <v>13</v>
      </c>
      <c r="K18" s="455">
        <f t="shared" si="4"/>
        <v>0.7248</v>
      </c>
      <c r="L18" s="454" t="s">
        <v>231</v>
      </c>
      <c r="M18" s="453"/>
      <c r="N18" s="460" t="s">
        <v>375</v>
      </c>
      <c r="O18" s="451">
        <f t="shared" si="5"/>
        <v>332.4</v>
      </c>
      <c r="P18" s="450">
        <f>('BENZENE-A16'!K82)/10</f>
        <v>319.5</v>
      </c>
      <c r="Q18" s="449">
        <f t="shared" si="6"/>
        <v>12.899999999999977</v>
      </c>
      <c r="R18" s="448"/>
    </row>
    <row r="19" spans="1:18">
      <c r="A19" s="453"/>
      <c r="B19" s="460" t="s">
        <v>376</v>
      </c>
      <c r="C19" s="459">
        <f>'TOLUENE-A17'!K24/10</f>
        <v>249.8</v>
      </c>
      <c r="D19" s="459">
        <f>'TOLUENE-A17'!K53/10</f>
        <v>212.09433962264202</v>
      </c>
      <c r="E19" s="458">
        <v>13</v>
      </c>
      <c r="F19" s="458"/>
      <c r="G19" s="459">
        <f t="shared" si="0"/>
        <v>225.09433962264202</v>
      </c>
      <c r="H19" s="455">
        <f t="shared" si="1"/>
        <v>5.7799999999999997E-2</v>
      </c>
      <c r="I19" s="455" t="str">
        <f t="shared" si="2"/>
        <v xml:space="preserve">     0%</v>
      </c>
      <c r="J19" s="456">
        <f t="shared" si="3"/>
        <v>-13</v>
      </c>
      <c r="K19" s="455">
        <f t="shared" si="4"/>
        <v>0.84909999999999997</v>
      </c>
      <c r="L19" s="454" t="s">
        <v>231</v>
      </c>
      <c r="M19" s="453"/>
      <c r="N19" s="460" t="s">
        <v>376</v>
      </c>
      <c r="O19" s="451">
        <f t="shared" si="5"/>
        <v>212.09433962264202</v>
      </c>
      <c r="P19" s="450">
        <f>('TOLUENE-A17'!K82)/10</f>
        <v>225.494</v>
      </c>
      <c r="Q19" s="449">
        <f t="shared" si="6"/>
        <v>-13.399660377357975</v>
      </c>
      <c r="R19" s="448"/>
    </row>
    <row r="20" spans="1:18">
      <c r="A20" s="453"/>
      <c r="B20" s="460" t="s">
        <v>377</v>
      </c>
      <c r="C20" s="459">
        <f>'XYLENES-A18'!K24/10</f>
        <v>568.79999999999995</v>
      </c>
      <c r="D20" s="459">
        <f>'XYLENES-A18'!K53/10</f>
        <v>420</v>
      </c>
      <c r="E20" s="458"/>
      <c r="F20" s="458"/>
      <c r="G20" s="459">
        <f t="shared" si="0"/>
        <v>420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0.73839999999999995</v>
      </c>
      <c r="L20" s="454" t="s">
        <v>231</v>
      </c>
      <c r="M20" s="453"/>
      <c r="N20" s="460" t="s">
        <v>377</v>
      </c>
      <c r="O20" s="451">
        <f t="shared" si="5"/>
        <v>420</v>
      </c>
      <c r="P20" s="450">
        <f>('XYLENES-A18'!K82)/10</f>
        <v>420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'PX-A19'!K24/10</f>
        <v>455</v>
      </c>
      <c r="D21" s="459">
        <f>'PX-A19'!K53/10</f>
        <v>336</v>
      </c>
      <c r="E21" s="458"/>
      <c r="F21" s="458">
        <v>280</v>
      </c>
      <c r="G21" s="459">
        <f t="shared" si="0"/>
        <v>56</v>
      </c>
      <c r="H21" s="455" t="str">
        <f t="shared" si="1"/>
        <v xml:space="preserve">     0%</v>
      </c>
      <c r="I21" s="455">
        <f t="shared" si="2"/>
        <v>0.83330000000000004</v>
      </c>
      <c r="J21" s="456">
        <f t="shared" si="3"/>
        <v>280</v>
      </c>
      <c r="K21" s="455">
        <f t="shared" si="4"/>
        <v>0.73850000000000005</v>
      </c>
      <c r="L21" s="454" t="s">
        <v>231</v>
      </c>
      <c r="M21" s="453"/>
      <c r="N21" s="452" t="s">
        <v>64</v>
      </c>
      <c r="O21" s="451">
        <f t="shared" si="5"/>
        <v>336</v>
      </c>
      <c r="P21" s="450">
        <f>('PX-A19'!K82)/10</f>
        <v>55.77</v>
      </c>
      <c r="Q21" s="449">
        <f t="shared" si="6"/>
        <v>280.23</v>
      </c>
      <c r="R21" s="448"/>
    </row>
    <row r="22" spans="1:18">
      <c r="A22" s="453"/>
      <c r="B22" s="460" t="s">
        <v>62</v>
      </c>
      <c r="C22" s="459">
        <f>'PTA-A20'!K24/10</f>
        <v>151</v>
      </c>
      <c r="D22" s="459">
        <f>'PTA-A20'!K53/10</f>
        <v>84.5</v>
      </c>
      <c r="E22" s="458">
        <v>133</v>
      </c>
      <c r="F22" s="458"/>
      <c r="G22" s="459">
        <f t="shared" si="0"/>
        <v>217.5</v>
      </c>
      <c r="H22" s="455">
        <f t="shared" si="1"/>
        <v>0.61150000000000004</v>
      </c>
      <c r="I22" s="455" t="str">
        <f t="shared" si="2"/>
        <v xml:space="preserve">     0%</v>
      </c>
      <c r="J22" s="456">
        <f t="shared" si="3"/>
        <v>-133</v>
      </c>
      <c r="K22" s="455">
        <f t="shared" si="4"/>
        <v>0.55959999999999999</v>
      </c>
      <c r="L22" s="454" t="s">
        <v>232</v>
      </c>
      <c r="M22" s="453"/>
      <c r="N22" s="452" t="s">
        <v>62</v>
      </c>
      <c r="O22" s="451">
        <f t="shared" si="5"/>
        <v>84.5</v>
      </c>
      <c r="P22" s="450">
        <f>('PTA-A20'!K82)/10</f>
        <v>217.89709999999999</v>
      </c>
      <c r="Q22" s="449">
        <f t="shared" si="6"/>
        <v>-133.39709999999999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9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pageSetUpPr fitToPage="1"/>
  </sheetPr>
  <dimension ref="A1:R23"/>
  <sheetViews>
    <sheetView showGridLines="0" view="pageBreakPreview" zoomScale="60" zoomScaleNormal="100" workbookViewId="0">
      <selection activeCell="R17" sqref="R17"/>
    </sheetView>
  </sheetViews>
  <sheetFormatPr defaultRowHeight="13.5"/>
  <cols>
    <col min="1" max="1" width="18.625" customWidth="1"/>
    <col min="2" max="2" width="21.125" customWidth="1"/>
    <col min="3" max="11" width="12.875" customWidth="1"/>
    <col min="12" max="12" width="4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404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'ETHYLENE-A1'!Q24/10</f>
        <v>3704.2</v>
      </c>
      <c r="D5" s="459">
        <f>'ETHYLENE-A1'!Q53/10</f>
        <v>3210.2</v>
      </c>
      <c r="E5" s="458"/>
      <c r="F5" s="458">
        <v>25</v>
      </c>
      <c r="G5" s="459">
        <f t="shared" ref="G5:G22" si="0">D5+E5-F5</f>
        <v>3185.2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7.7999999999999996E-3</v>
      </c>
      <c r="J5" s="456">
        <f t="shared" ref="J5:J22" si="3">D5-G5</f>
        <v>25</v>
      </c>
      <c r="K5" s="455">
        <f t="shared" ref="K5:K22" si="4">IF(AND(D5=0,C5=0),"    -",IF(C5=0,"     0%",IF(D5=0,"     -",ROUND(D5/C5,4))))</f>
        <v>0.86660000000000004</v>
      </c>
      <c r="L5" s="454" t="s">
        <v>224</v>
      </c>
      <c r="M5" s="453"/>
      <c r="N5" s="452" t="s">
        <v>79</v>
      </c>
      <c r="O5" s="451">
        <f>D5</f>
        <v>3210.2</v>
      </c>
      <c r="P5" s="450">
        <f>('ETHYLENE-A1'!Q82)/10</f>
        <v>3185.2</v>
      </c>
      <c r="Q5" s="449">
        <f>O5-P5</f>
        <v>25</v>
      </c>
      <c r="R5" s="448"/>
    </row>
    <row r="6" spans="1:18">
      <c r="A6" s="453"/>
      <c r="B6" s="460" t="s">
        <v>78</v>
      </c>
      <c r="C6" s="459">
        <f>'LDPE-A2'!Q24/10</f>
        <v>1188.5</v>
      </c>
      <c r="D6" s="459">
        <f>'LDPE-A2'!Q53/10</f>
        <v>1115</v>
      </c>
      <c r="E6" s="458"/>
      <c r="F6" s="458">
        <v>721</v>
      </c>
      <c r="G6" s="459">
        <f t="shared" si="0"/>
        <v>394</v>
      </c>
      <c r="H6" s="455" t="str">
        <f t="shared" si="1"/>
        <v xml:space="preserve">     0%</v>
      </c>
      <c r="I6" s="455">
        <f t="shared" si="2"/>
        <v>0.64659999999999995</v>
      </c>
      <c r="J6" s="456">
        <f t="shared" si="3"/>
        <v>721</v>
      </c>
      <c r="K6" s="455">
        <f t="shared" si="4"/>
        <v>0.93820000000000003</v>
      </c>
      <c r="L6" s="454" t="s">
        <v>225</v>
      </c>
      <c r="M6" s="453"/>
      <c r="N6" s="452" t="s">
        <v>78</v>
      </c>
      <c r="O6" s="451">
        <f t="shared" ref="O6:O22" si="5">D6</f>
        <v>1115</v>
      </c>
      <c r="P6" s="450">
        <f>('LDPE-A2'!Q82)/10</f>
        <v>394.2</v>
      </c>
      <c r="Q6" s="449">
        <f t="shared" ref="Q6:Q22" si="6">O6-P6</f>
        <v>720.8</v>
      </c>
      <c r="R6" s="448"/>
    </row>
    <row r="7" spans="1:18">
      <c r="A7" s="453"/>
      <c r="B7" s="460" t="s">
        <v>76</v>
      </c>
      <c r="C7" s="459">
        <f>'HDPE-A3'!Q24/10</f>
        <v>1033</v>
      </c>
      <c r="D7" s="459">
        <f>'HDPE-A3'!Q53/10</f>
        <v>971</v>
      </c>
      <c r="E7" s="458"/>
      <c r="F7" s="458">
        <v>622</v>
      </c>
      <c r="G7" s="459">
        <f t="shared" si="0"/>
        <v>349</v>
      </c>
      <c r="H7" s="455" t="str">
        <f t="shared" si="1"/>
        <v xml:space="preserve">     0%</v>
      </c>
      <c r="I7" s="455">
        <f t="shared" si="2"/>
        <v>0.64059999999999995</v>
      </c>
      <c r="J7" s="456">
        <f t="shared" si="3"/>
        <v>622</v>
      </c>
      <c r="K7" s="455">
        <f t="shared" si="4"/>
        <v>0.94</v>
      </c>
      <c r="L7" s="454" t="s">
        <v>225</v>
      </c>
      <c r="M7" s="453"/>
      <c r="N7" s="452" t="s">
        <v>76</v>
      </c>
      <c r="O7" s="451">
        <f t="shared" si="5"/>
        <v>971</v>
      </c>
      <c r="P7" s="450">
        <f>('HDPE-A3'!Q82)/10</f>
        <v>348.6</v>
      </c>
      <c r="Q7" s="449">
        <f t="shared" si="6"/>
        <v>622.4</v>
      </c>
      <c r="R7" s="448"/>
    </row>
    <row r="8" spans="1:18">
      <c r="A8" s="453"/>
      <c r="B8" s="460" t="s">
        <v>75</v>
      </c>
      <c r="C8" s="459">
        <f>'SM-A6'!Q24/10</f>
        <v>304.7</v>
      </c>
      <c r="D8" s="459">
        <f>'SM-A6'!Q53/10</f>
        <v>270.5</v>
      </c>
      <c r="E8" s="458"/>
      <c r="F8" s="458">
        <v>187</v>
      </c>
      <c r="G8" s="459">
        <f t="shared" si="0"/>
        <v>83.5</v>
      </c>
      <c r="H8" s="455" t="str">
        <f t="shared" si="1"/>
        <v xml:space="preserve">     0%</v>
      </c>
      <c r="I8" s="455">
        <f t="shared" si="2"/>
        <v>0.69130000000000003</v>
      </c>
      <c r="J8" s="456">
        <f t="shared" si="3"/>
        <v>187</v>
      </c>
      <c r="K8" s="455">
        <f t="shared" si="4"/>
        <v>0.88780000000000003</v>
      </c>
      <c r="L8" s="454" t="s">
        <v>226</v>
      </c>
      <c r="M8" s="453"/>
      <c r="N8" s="452" t="s">
        <v>75</v>
      </c>
      <c r="O8" s="451">
        <f t="shared" si="5"/>
        <v>270.5</v>
      </c>
      <c r="P8" s="450">
        <f>('SM-A6'!Q82)/10</f>
        <v>84</v>
      </c>
      <c r="Q8" s="449">
        <f t="shared" si="6"/>
        <v>186.5</v>
      </c>
      <c r="R8" s="448"/>
    </row>
    <row r="9" spans="1:18">
      <c r="A9" s="453"/>
      <c r="B9" s="460" t="s">
        <v>74</v>
      </c>
      <c r="C9" s="459">
        <f>'EG-A10'!Q24/10</f>
        <v>1027.5999999999999</v>
      </c>
      <c r="D9" s="459">
        <f>'EG-A10'!Q53/10</f>
        <v>958</v>
      </c>
      <c r="E9" s="458"/>
      <c r="F9" s="458">
        <v>872</v>
      </c>
      <c r="G9" s="459">
        <f t="shared" si="0"/>
        <v>86</v>
      </c>
      <c r="H9" s="455" t="str">
        <f t="shared" si="1"/>
        <v xml:space="preserve">     0%</v>
      </c>
      <c r="I9" s="455">
        <f t="shared" si="2"/>
        <v>0.91020000000000001</v>
      </c>
      <c r="J9" s="456">
        <f t="shared" si="3"/>
        <v>872</v>
      </c>
      <c r="K9" s="455">
        <f t="shared" si="4"/>
        <v>0.93230000000000002</v>
      </c>
      <c r="L9" s="454" t="s">
        <v>233</v>
      </c>
      <c r="M9" s="453"/>
      <c r="N9" s="452" t="s">
        <v>74</v>
      </c>
      <c r="O9" s="451">
        <f t="shared" si="5"/>
        <v>958</v>
      </c>
      <c r="P9" s="450">
        <f>('EG-A10'!Q82)/10</f>
        <v>85.8</v>
      </c>
      <c r="Q9" s="449">
        <f t="shared" si="6"/>
        <v>872.2</v>
      </c>
      <c r="R9" s="448"/>
    </row>
    <row r="10" spans="1:18">
      <c r="A10" s="453"/>
      <c r="B10" s="460" t="s">
        <v>72</v>
      </c>
      <c r="C10" s="459">
        <f>'PVC-A7'!Q24/10</f>
        <v>156</v>
      </c>
      <c r="D10" s="459">
        <f>'PVC-A7'!Q53/10</f>
        <v>142.5</v>
      </c>
      <c r="E10" s="458">
        <v>73</v>
      </c>
      <c r="F10" s="458"/>
      <c r="G10" s="459">
        <f t="shared" si="0"/>
        <v>215.5</v>
      </c>
      <c r="H10" s="455">
        <f t="shared" si="1"/>
        <v>0.3387</v>
      </c>
      <c r="I10" s="455" t="str">
        <f t="shared" si="2"/>
        <v xml:space="preserve">     0%</v>
      </c>
      <c r="J10" s="456">
        <f t="shared" si="3"/>
        <v>-73</v>
      </c>
      <c r="K10" s="455">
        <f t="shared" si="4"/>
        <v>0.91349999999999998</v>
      </c>
      <c r="L10" s="454" t="s">
        <v>228</v>
      </c>
      <c r="M10" s="453"/>
      <c r="N10" s="452" t="s">
        <v>72</v>
      </c>
      <c r="O10" s="451">
        <f t="shared" si="5"/>
        <v>142.5</v>
      </c>
      <c r="P10" s="450">
        <f>('PVC-A7'!Q82)/10</f>
        <v>215.8</v>
      </c>
      <c r="Q10" s="449">
        <f t="shared" si="6"/>
        <v>-73.300000000000011</v>
      </c>
      <c r="R10" s="448"/>
    </row>
    <row r="11" spans="1:18">
      <c r="A11" s="453"/>
      <c r="B11" s="460" t="s">
        <v>371</v>
      </c>
      <c r="C11" s="459">
        <f>'OTHER(C2)-A11'!Q24/10</f>
        <v>300</v>
      </c>
      <c r="D11" s="459">
        <f>'OTHER(C2)-A11'!Q53/10</f>
        <v>300</v>
      </c>
      <c r="E11" s="458"/>
      <c r="F11" s="458"/>
      <c r="G11" s="459">
        <f t="shared" si="0"/>
        <v>300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1</v>
      </c>
      <c r="L11" s="454"/>
      <c r="M11" s="453"/>
      <c r="N11" s="460" t="s">
        <v>371</v>
      </c>
      <c r="O11" s="451">
        <f t="shared" si="5"/>
        <v>300</v>
      </c>
      <c r="P11" s="450">
        <f>('OTHER(C2)-A11'!Q82)/10</f>
        <v>300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3383.6289999999999</v>
      </c>
      <c r="D12" s="462">
        <f>D6*0.98+D7*1.04+D8*0.29+D9*0.66+D10*0.5+D11</f>
        <v>3184.5150000000003</v>
      </c>
      <c r="E12" s="462">
        <f>E6*0.98+E7*1.04+E8*0.29+E9*0.66+E10*0.5</f>
        <v>36.5</v>
      </c>
      <c r="F12" s="462">
        <f>F6*0.98+F7*1.04+F8*0.29+F9*0.66+F10*0.5</f>
        <v>1983.21</v>
      </c>
      <c r="G12" s="459">
        <f t="shared" si="0"/>
        <v>1237.8050000000003</v>
      </c>
      <c r="H12" s="455">
        <f t="shared" si="1"/>
        <v>2.9499999999999998E-2</v>
      </c>
      <c r="I12" s="455">
        <f t="shared" si="2"/>
        <v>0.62280000000000002</v>
      </c>
      <c r="J12" s="456">
        <f t="shared" si="3"/>
        <v>1946.71</v>
      </c>
      <c r="K12" s="455">
        <f t="shared" si="4"/>
        <v>0.94120000000000004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1946.7669999999998</v>
      </c>
      <c r="R12" s="448"/>
    </row>
    <row r="13" spans="1:18">
      <c r="A13" s="453"/>
      <c r="B13" s="460" t="s">
        <v>373</v>
      </c>
      <c r="C13" s="459">
        <f>'PROPYLENE-A12'!Q24/10</f>
        <v>1393.7</v>
      </c>
      <c r="D13" s="459">
        <f>'PROPYLENE-A12'!Q53/10</f>
        <v>1156.2</v>
      </c>
      <c r="E13" s="458"/>
      <c r="F13" s="458">
        <v>45</v>
      </c>
      <c r="G13" s="459">
        <f t="shared" si="0"/>
        <v>1111.2</v>
      </c>
      <c r="H13" s="455" t="str">
        <f t="shared" si="1"/>
        <v xml:space="preserve">     0%</v>
      </c>
      <c r="I13" s="455">
        <f t="shared" si="2"/>
        <v>3.8899999999999997E-2</v>
      </c>
      <c r="J13" s="456">
        <f t="shared" si="3"/>
        <v>45</v>
      </c>
      <c r="K13" s="455">
        <f t="shared" si="4"/>
        <v>0.8296</v>
      </c>
      <c r="L13" s="454" t="s">
        <v>229</v>
      </c>
      <c r="M13" s="453"/>
      <c r="N13" s="460" t="s">
        <v>373</v>
      </c>
      <c r="O13" s="451">
        <f t="shared" si="5"/>
        <v>1156.2</v>
      </c>
      <c r="P13" s="450">
        <f>('PROPYLENE-A12'!Q82)/10</f>
        <v>1111.5999999999999</v>
      </c>
      <c r="Q13" s="449">
        <f t="shared" si="6"/>
        <v>44.600000000000136</v>
      </c>
      <c r="R13" s="448"/>
    </row>
    <row r="14" spans="1:18">
      <c r="A14" s="453"/>
      <c r="B14" s="460" t="s">
        <v>69</v>
      </c>
      <c r="C14" s="459">
        <f>'PP-A13'!Q24/10</f>
        <v>1059.4000000000001</v>
      </c>
      <c r="D14" s="459">
        <f>'PP-A13'!Q53/10</f>
        <v>972.5</v>
      </c>
      <c r="E14" s="458"/>
      <c r="F14" s="458">
        <v>632</v>
      </c>
      <c r="G14" s="459">
        <f t="shared" si="0"/>
        <v>340.5</v>
      </c>
      <c r="H14" s="455" t="str">
        <f t="shared" si="1"/>
        <v xml:space="preserve">     0%</v>
      </c>
      <c r="I14" s="455">
        <f t="shared" si="2"/>
        <v>0.64990000000000003</v>
      </c>
      <c r="J14" s="456">
        <f t="shared" si="3"/>
        <v>632</v>
      </c>
      <c r="K14" s="455">
        <f t="shared" si="4"/>
        <v>0.91800000000000004</v>
      </c>
      <c r="L14" s="454" t="s">
        <v>230</v>
      </c>
      <c r="M14" s="453"/>
      <c r="N14" s="452" t="s">
        <v>69</v>
      </c>
      <c r="O14" s="451">
        <f t="shared" si="5"/>
        <v>972.5</v>
      </c>
      <c r="P14" s="450">
        <f>('PP-A13'!Q82)/10</f>
        <v>340.5</v>
      </c>
      <c r="Q14" s="449">
        <f t="shared" si="6"/>
        <v>632</v>
      </c>
      <c r="R14" s="448"/>
    </row>
    <row r="15" spans="1:18">
      <c r="A15" s="453"/>
      <c r="B15" s="460" t="s">
        <v>67</v>
      </c>
      <c r="C15" s="459">
        <f>'AN-A14'!Q24/10</f>
        <v>10</v>
      </c>
      <c r="D15" s="459">
        <f>'AN-A14'!Q53/10</f>
        <v>9</v>
      </c>
      <c r="E15" s="458">
        <v>33</v>
      </c>
      <c r="F15" s="458"/>
      <c r="G15" s="459">
        <f t="shared" si="0"/>
        <v>42</v>
      </c>
      <c r="H15" s="455">
        <f t="shared" si="1"/>
        <v>0.78569999999999995</v>
      </c>
      <c r="I15" s="455" t="str">
        <f t="shared" si="2"/>
        <v xml:space="preserve">     0%</v>
      </c>
      <c r="J15" s="456">
        <f t="shared" si="3"/>
        <v>-33</v>
      </c>
      <c r="K15" s="455">
        <f t="shared" si="4"/>
        <v>0.9</v>
      </c>
      <c r="L15" s="454"/>
      <c r="M15" s="453"/>
      <c r="N15" s="452" t="s">
        <v>67</v>
      </c>
      <c r="O15" s="451">
        <f t="shared" si="5"/>
        <v>9</v>
      </c>
      <c r="P15" s="450">
        <f>('AN-A14'!Q82)/10</f>
        <v>42.1</v>
      </c>
      <c r="Q15" s="449">
        <f t="shared" si="6"/>
        <v>-33.1</v>
      </c>
      <c r="R15" s="448"/>
    </row>
    <row r="16" spans="1:18">
      <c r="A16" s="453"/>
      <c r="B16" s="460" t="s">
        <v>371</v>
      </c>
      <c r="C16" s="459">
        <f>'OTHER(C3)-A15'!Q24/10</f>
        <v>100</v>
      </c>
      <c r="D16" s="459">
        <f>'OTHER(C3)-A15'!Q53/10</f>
        <v>100</v>
      </c>
      <c r="E16" s="458"/>
      <c r="F16" s="458"/>
      <c r="G16" s="459">
        <f t="shared" si="0"/>
        <v>100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1</v>
      </c>
      <c r="L16" s="454"/>
      <c r="M16" s="453"/>
      <c r="N16" s="460" t="s">
        <v>371</v>
      </c>
      <c r="O16" s="451">
        <f t="shared" si="5"/>
        <v>100</v>
      </c>
      <c r="P16" s="450">
        <f>('OTHER(C3)-A15'!Q82)/10</f>
        <v>100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1202.0820000000001</v>
      </c>
      <c r="D17" s="459">
        <f>D14*1.03+D15*1.09+D16</f>
        <v>1111.4850000000001</v>
      </c>
      <c r="E17" s="459">
        <f>E14*1.03+E15*1.09</f>
        <v>35.970000000000006</v>
      </c>
      <c r="F17" s="459">
        <f>F14*1.03+F15*1.09</f>
        <v>650.96</v>
      </c>
      <c r="G17" s="459">
        <f t="shared" si="0"/>
        <v>496.49500000000012</v>
      </c>
      <c r="H17" s="455">
        <f t="shared" si="1"/>
        <v>7.2400000000000006E-2</v>
      </c>
      <c r="I17" s="455">
        <f t="shared" si="2"/>
        <v>0.5857</v>
      </c>
      <c r="J17" s="456">
        <f t="shared" si="3"/>
        <v>614.99</v>
      </c>
      <c r="K17" s="455">
        <f t="shared" si="4"/>
        <v>0.92459999999999998</v>
      </c>
      <c r="L17" s="454"/>
      <c r="M17" s="453"/>
      <c r="N17" s="460" t="s">
        <v>374</v>
      </c>
      <c r="O17" s="451"/>
      <c r="P17" s="450"/>
      <c r="Q17" s="461">
        <f>Q14*1.03+Q15*1.09+Q16</f>
        <v>614.88100000000009</v>
      </c>
      <c r="R17" s="448"/>
    </row>
    <row r="18" spans="1:18">
      <c r="A18" s="453"/>
      <c r="B18" s="460" t="s">
        <v>375</v>
      </c>
      <c r="C18" s="459">
        <f>'BENZENE-A16'!Q24/10</f>
        <v>540.6</v>
      </c>
      <c r="D18" s="459">
        <f>'BENZENE-A16'!Q53/10</f>
        <v>450</v>
      </c>
      <c r="E18" s="458"/>
      <c r="F18" s="458">
        <v>78</v>
      </c>
      <c r="G18" s="459">
        <f t="shared" si="0"/>
        <v>372</v>
      </c>
      <c r="H18" s="455" t="str">
        <f t="shared" si="1"/>
        <v xml:space="preserve">     0%</v>
      </c>
      <c r="I18" s="455">
        <f t="shared" si="2"/>
        <v>0.17330000000000001</v>
      </c>
      <c r="J18" s="456">
        <f t="shared" si="3"/>
        <v>78</v>
      </c>
      <c r="K18" s="455">
        <f t="shared" si="4"/>
        <v>0.83240000000000003</v>
      </c>
      <c r="L18" s="454" t="s">
        <v>231</v>
      </c>
      <c r="M18" s="453"/>
      <c r="N18" s="460" t="s">
        <v>375</v>
      </c>
      <c r="O18" s="451">
        <f t="shared" si="5"/>
        <v>450</v>
      </c>
      <c r="P18" s="450">
        <f>('BENZENE-A16'!Q82)/10</f>
        <v>372</v>
      </c>
      <c r="Q18" s="449">
        <f t="shared" si="6"/>
        <v>78</v>
      </c>
      <c r="R18" s="448"/>
    </row>
    <row r="19" spans="1:18">
      <c r="A19" s="453"/>
      <c r="B19" s="460" t="s">
        <v>376</v>
      </c>
      <c r="C19" s="459">
        <f>'TOLUENE-A17'!Q24/10</f>
        <v>273.8</v>
      </c>
      <c r="D19" s="459">
        <f>'TOLUENE-A17'!Q53/10</f>
        <v>232.47169811320813</v>
      </c>
      <c r="E19" s="458">
        <v>7</v>
      </c>
      <c r="F19" s="458"/>
      <c r="G19" s="459">
        <f t="shared" si="0"/>
        <v>239.47169811320813</v>
      </c>
      <c r="H19" s="455">
        <f t="shared" si="1"/>
        <v>2.92E-2</v>
      </c>
      <c r="I19" s="455" t="str">
        <f t="shared" si="2"/>
        <v xml:space="preserve">     0%</v>
      </c>
      <c r="J19" s="456">
        <f t="shared" si="3"/>
        <v>-7</v>
      </c>
      <c r="K19" s="455">
        <f t="shared" si="4"/>
        <v>0.84909999999999997</v>
      </c>
      <c r="L19" s="454" t="s">
        <v>231</v>
      </c>
      <c r="M19" s="453"/>
      <c r="N19" s="460" t="s">
        <v>376</v>
      </c>
      <c r="O19" s="451">
        <f t="shared" si="5"/>
        <v>232.47169811320813</v>
      </c>
      <c r="P19" s="450">
        <f>('TOLUENE-A17'!Q82)/10</f>
        <v>239.36642483962191</v>
      </c>
      <c r="Q19" s="449">
        <f t="shared" si="6"/>
        <v>-6.8947267264137793</v>
      </c>
      <c r="R19" s="448"/>
    </row>
    <row r="20" spans="1:18">
      <c r="A20" s="453"/>
      <c r="B20" s="460" t="s">
        <v>377</v>
      </c>
      <c r="C20" s="459">
        <f>'XYLENES-A18'!Q24/10</f>
        <v>1031.3</v>
      </c>
      <c r="D20" s="459">
        <f>'XYLENES-A18'!Q53/10</f>
        <v>882.5</v>
      </c>
      <c r="E20" s="458"/>
      <c r="F20" s="458"/>
      <c r="G20" s="459">
        <f t="shared" si="0"/>
        <v>882.5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0.85570000000000002</v>
      </c>
      <c r="L20" s="454" t="s">
        <v>231</v>
      </c>
      <c r="M20" s="453"/>
      <c r="N20" s="460" t="s">
        <v>377</v>
      </c>
      <c r="O20" s="451">
        <f t="shared" si="5"/>
        <v>882.5</v>
      </c>
      <c r="P20" s="450">
        <f>('XYLENES-A18'!Q82)/10</f>
        <v>882.5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'PX-A19'!Q24/10</f>
        <v>769</v>
      </c>
      <c r="D21" s="459">
        <f>'PX-A19'!Q53/10</f>
        <v>575</v>
      </c>
      <c r="E21" s="458"/>
      <c r="F21" s="458">
        <v>473</v>
      </c>
      <c r="G21" s="459">
        <f t="shared" si="0"/>
        <v>102</v>
      </c>
      <c r="H21" s="455" t="str">
        <f t="shared" si="1"/>
        <v xml:space="preserve">     0%</v>
      </c>
      <c r="I21" s="455">
        <f t="shared" si="2"/>
        <v>0.8226</v>
      </c>
      <c r="J21" s="456">
        <f t="shared" si="3"/>
        <v>473</v>
      </c>
      <c r="K21" s="455">
        <f t="shared" si="4"/>
        <v>0.74770000000000003</v>
      </c>
      <c r="L21" s="454" t="s">
        <v>231</v>
      </c>
      <c r="M21" s="453"/>
      <c r="N21" s="452" t="s">
        <v>64</v>
      </c>
      <c r="O21" s="451">
        <f t="shared" si="5"/>
        <v>575</v>
      </c>
      <c r="P21" s="450">
        <f>('PX-A19'!Q82)/10</f>
        <v>101.64000000000001</v>
      </c>
      <c r="Q21" s="449">
        <f t="shared" si="6"/>
        <v>473.36</v>
      </c>
      <c r="R21" s="448"/>
    </row>
    <row r="22" spans="1:18">
      <c r="A22" s="453"/>
      <c r="B22" s="460" t="s">
        <v>62</v>
      </c>
      <c r="C22" s="459">
        <f>'PTA-A20'!Q24/10</f>
        <v>151</v>
      </c>
      <c r="D22" s="459">
        <f>'PTA-A20'!Q53/10</f>
        <v>98.5</v>
      </c>
      <c r="E22" s="458">
        <v>265</v>
      </c>
      <c r="F22" s="458"/>
      <c r="G22" s="459">
        <f t="shared" si="0"/>
        <v>363.5</v>
      </c>
      <c r="H22" s="455">
        <f t="shared" si="1"/>
        <v>0.72899999999999998</v>
      </c>
      <c r="I22" s="455" t="str">
        <f t="shared" si="2"/>
        <v xml:space="preserve">     0%</v>
      </c>
      <c r="J22" s="456">
        <f t="shared" si="3"/>
        <v>-265</v>
      </c>
      <c r="K22" s="455">
        <f t="shared" si="4"/>
        <v>0.65229999999999999</v>
      </c>
      <c r="L22" s="454" t="s">
        <v>232</v>
      </c>
      <c r="M22" s="453"/>
      <c r="N22" s="452" t="s">
        <v>62</v>
      </c>
      <c r="O22" s="451">
        <f t="shared" si="5"/>
        <v>98.5</v>
      </c>
      <c r="P22" s="450">
        <f>('PTA-A20'!Q82)/10</f>
        <v>363.4</v>
      </c>
      <c r="Q22" s="449">
        <f t="shared" si="6"/>
        <v>-264.89999999999998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9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6.625" customWidth="1"/>
    <col min="2" max="2" width="21.125" customWidth="1"/>
    <col min="3" max="11" width="12.875" customWidth="1"/>
    <col min="12" max="12" width="39.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405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'ETHYLENE-A1'!K26/10</f>
        <v>220.8</v>
      </c>
      <c r="D5" s="459">
        <f>'ETHYLENE-A1'!K55/10</f>
        <v>165</v>
      </c>
      <c r="E5" s="458"/>
      <c r="F5" s="458">
        <v>5</v>
      </c>
      <c r="G5" s="459">
        <f t="shared" ref="G5:G22" si="0">D5+E5-F5</f>
        <v>160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3.0300000000000001E-2</v>
      </c>
      <c r="J5" s="456">
        <f t="shared" ref="J5:J22" si="3">D5-G5</f>
        <v>5</v>
      </c>
      <c r="K5" s="455">
        <f t="shared" ref="K5:K22" si="4">IF(AND(D5=0,C5=0),"    -",IF(C5=0,"     0%",IF(D5=0,"     -",ROUND(D5/C5,4))))</f>
        <v>0.74729999999999996</v>
      </c>
      <c r="L5" s="454" t="s">
        <v>234</v>
      </c>
      <c r="M5" s="453"/>
      <c r="N5" s="452" t="s">
        <v>79</v>
      </c>
      <c r="O5" s="451">
        <f>D5</f>
        <v>165</v>
      </c>
      <c r="P5" s="450">
        <f>('ETHYLENE-A1'!K84)/10</f>
        <v>160</v>
      </c>
      <c r="Q5" s="449">
        <f>O5-P5</f>
        <v>5</v>
      </c>
      <c r="R5" s="448"/>
    </row>
    <row r="6" spans="1:18">
      <c r="A6" s="453"/>
      <c r="B6" s="460" t="s">
        <v>78</v>
      </c>
      <c r="C6" s="459">
        <f>'LDPE-A2'!K26/10</f>
        <v>95</v>
      </c>
      <c r="D6" s="459">
        <f>'LDPE-A2'!K55/10</f>
        <v>70</v>
      </c>
      <c r="E6" s="458">
        <v>108</v>
      </c>
      <c r="F6" s="458"/>
      <c r="G6" s="459">
        <f t="shared" si="0"/>
        <v>178</v>
      </c>
      <c r="H6" s="455">
        <f t="shared" si="1"/>
        <v>0.60670000000000002</v>
      </c>
      <c r="I6" s="455" t="str">
        <f t="shared" si="2"/>
        <v xml:space="preserve">     0%</v>
      </c>
      <c r="J6" s="456">
        <f t="shared" si="3"/>
        <v>-108</v>
      </c>
      <c r="K6" s="455">
        <f t="shared" si="4"/>
        <v>0.73680000000000001</v>
      </c>
      <c r="L6" s="454" t="s">
        <v>235</v>
      </c>
      <c r="M6" s="453"/>
      <c r="N6" s="452" t="s">
        <v>78</v>
      </c>
      <c r="O6" s="451">
        <f t="shared" ref="O6:O22" si="5">D6</f>
        <v>70</v>
      </c>
      <c r="P6" s="450">
        <f>('LDPE-A2'!K84)/10</f>
        <v>177.7</v>
      </c>
      <c r="Q6" s="449">
        <f t="shared" ref="Q6:Q22" si="6">O6-P6</f>
        <v>-107.69999999999999</v>
      </c>
      <c r="R6" s="448"/>
    </row>
    <row r="7" spans="1:18">
      <c r="A7" s="453"/>
      <c r="B7" s="460" t="s">
        <v>76</v>
      </c>
      <c r="C7" s="459">
        <f>'HDPE-A3'!K26/10</f>
        <v>81.5</v>
      </c>
      <c r="D7" s="459">
        <f>'HDPE-A3'!K55/10</f>
        <v>61</v>
      </c>
      <c r="E7" s="458">
        <v>133</v>
      </c>
      <c r="F7" s="458"/>
      <c r="G7" s="459">
        <f t="shared" si="0"/>
        <v>194</v>
      </c>
      <c r="H7" s="455">
        <f t="shared" si="1"/>
        <v>0.68559999999999999</v>
      </c>
      <c r="I7" s="455" t="str">
        <f t="shared" si="2"/>
        <v xml:space="preserve">     0%</v>
      </c>
      <c r="J7" s="456">
        <f t="shared" si="3"/>
        <v>-133</v>
      </c>
      <c r="K7" s="455">
        <f t="shared" si="4"/>
        <v>0.74850000000000005</v>
      </c>
      <c r="L7" s="454" t="s">
        <v>234</v>
      </c>
      <c r="M7" s="453"/>
      <c r="N7" s="452" t="s">
        <v>76</v>
      </c>
      <c r="O7" s="451">
        <f t="shared" si="5"/>
        <v>61</v>
      </c>
      <c r="P7" s="450">
        <f>('HDPE-A3'!K84)/10</f>
        <v>194.2</v>
      </c>
      <c r="Q7" s="449">
        <f t="shared" si="6"/>
        <v>-133.19999999999999</v>
      </c>
      <c r="R7" s="448"/>
    </row>
    <row r="8" spans="1:18">
      <c r="A8" s="453"/>
      <c r="B8" s="460" t="s">
        <v>75</v>
      </c>
      <c r="C8" s="459">
        <f>'SM-A6'!K26/10</f>
        <v>0</v>
      </c>
      <c r="D8" s="459">
        <f>'SM-A6'!K55/10</f>
        <v>0</v>
      </c>
      <c r="E8" s="458">
        <v>19</v>
      </c>
      <c r="F8" s="458"/>
      <c r="G8" s="459">
        <f t="shared" si="0"/>
        <v>19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-19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('SM-A6'!K84)/10</f>
        <v>18.5</v>
      </c>
      <c r="Q8" s="449">
        <f t="shared" si="6"/>
        <v>-18.5</v>
      </c>
      <c r="R8" s="448"/>
    </row>
    <row r="9" spans="1:18">
      <c r="A9" s="453"/>
      <c r="B9" s="460" t="s">
        <v>74</v>
      </c>
      <c r="C9" s="459">
        <f>'EG-A10'!K26/10</f>
        <v>0</v>
      </c>
      <c r="D9" s="459">
        <f>'EG-A10'!K55/10</f>
        <v>0</v>
      </c>
      <c r="E9" s="458">
        <v>12</v>
      </c>
      <c r="F9" s="458"/>
      <c r="G9" s="459">
        <f t="shared" si="0"/>
        <v>12</v>
      </c>
      <c r="H9" s="455">
        <f t="shared" si="1"/>
        <v>1</v>
      </c>
      <c r="I9" s="455" t="str">
        <f t="shared" si="2"/>
        <v xml:space="preserve">    -</v>
      </c>
      <c r="J9" s="456">
        <f t="shared" si="3"/>
        <v>-12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('EG-A10'!K84)/10</f>
        <v>12.2</v>
      </c>
      <c r="Q9" s="449">
        <f t="shared" si="6"/>
        <v>-12.2</v>
      </c>
      <c r="R9" s="448"/>
    </row>
    <row r="10" spans="1:18">
      <c r="A10" s="453"/>
      <c r="B10" s="460" t="s">
        <v>72</v>
      </c>
      <c r="C10" s="459">
        <f>'PVC-A7'!K26/10</f>
        <v>79</v>
      </c>
      <c r="D10" s="459">
        <f>'PVC-A7'!K55/10</f>
        <v>46.8</v>
      </c>
      <c r="E10" s="458">
        <v>78</v>
      </c>
      <c r="F10" s="458"/>
      <c r="G10" s="459">
        <f t="shared" si="0"/>
        <v>124.8</v>
      </c>
      <c r="H10" s="455">
        <f t="shared" si="1"/>
        <v>0.625</v>
      </c>
      <c r="I10" s="455" t="str">
        <f t="shared" si="2"/>
        <v xml:space="preserve">     0%</v>
      </c>
      <c r="J10" s="456">
        <f t="shared" si="3"/>
        <v>-78</v>
      </c>
      <c r="K10" s="455">
        <f t="shared" si="4"/>
        <v>0.59240000000000004</v>
      </c>
      <c r="L10" s="454" t="s">
        <v>236</v>
      </c>
      <c r="M10" s="453"/>
      <c r="N10" s="452" t="s">
        <v>72</v>
      </c>
      <c r="O10" s="451">
        <f t="shared" si="5"/>
        <v>46.8</v>
      </c>
      <c r="P10" s="450">
        <f>('PVC-A7'!K84)/10</f>
        <v>124.5</v>
      </c>
      <c r="Q10" s="449">
        <f t="shared" si="6"/>
        <v>-77.7</v>
      </c>
      <c r="R10" s="448"/>
    </row>
    <row r="11" spans="1:18">
      <c r="A11" s="453"/>
      <c r="B11" s="460" t="s">
        <v>371</v>
      </c>
      <c r="C11" s="459">
        <f>'OTHER(C2)-A11'!K26/10</f>
        <v>6</v>
      </c>
      <c r="D11" s="459">
        <f>'OTHER(C2)-A11'!K55/10</f>
        <v>5</v>
      </c>
      <c r="E11" s="458"/>
      <c r="F11" s="458"/>
      <c r="G11" s="459">
        <f t="shared" si="0"/>
        <v>5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0.83330000000000004</v>
      </c>
      <c r="L11" s="454"/>
      <c r="M11" s="453"/>
      <c r="N11" s="460" t="s">
        <v>371</v>
      </c>
      <c r="O11" s="451">
        <f t="shared" si="5"/>
        <v>5</v>
      </c>
      <c r="P11" s="450">
        <f>('OTHER(C2)-A11'!K84)/10</f>
        <v>5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223.36</v>
      </c>
      <c r="D12" s="462">
        <f>D6*0.98+D7*1.04+D8*0.29+D9*0.66+D10*0.5+D11</f>
        <v>160.44</v>
      </c>
      <c r="E12" s="462">
        <f>E6*0.98+E7*1.04+E8*0.29+E9*0.66+E10*0.5</f>
        <v>296.58999999999997</v>
      </c>
      <c r="F12" s="462">
        <f>F6*0.98+F7*1.04+F8*0.29+F9*0.66+F10*0.5</f>
        <v>0</v>
      </c>
      <c r="G12" s="459">
        <f t="shared" si="0"/>
        <v>457.03</v>
      </c>
      <c r="H12" s="455">
        <f t="shared" si="1"/>
        <v>0.64900000000000002</v>
      </c>
      <c r="I12" s="455" t="str">
        <f t="shared" si="2"/>
        <v xml:space="preserve">     0%</v>
      </c>
      <c r="J12" s="456">
        <f t="shared" si="3"/>
        <v>-296.58999999999997</v>
      </c>
      <c r="K12" s="455">
        <f t="shared" si="4"/>
        <v>0.71830000000000005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-296.34100000000001</v>
      </c>
      <c r="R12" s="448"/>
    </row>
    <row r="13" spans="1:18">
      <c r="A13" s="453"/>
      <c r="B13" s="460" t="s">
        <v>373</v>
      </c>
      <c r="C13" s="459">
        <f>'PROPYLENE-A12'!K26/10</f>
        <v>176.1</v>
      </c>
      <c r="D13" s="459">
        <f>'PROPYLENE-A12'!K55/10</f>
        <v>127.5</v>
      </c>
      <c r="E13" s="458"/>
      <c r="F13" s="458">
        <v>10</v>
      </c>
      <c r="G13" s="459">
        <f t="shared" si="0"/>
        <v>117.5</v>
      </c>
      <c r="H13" s="455" t="str">
        <f t="shared" si="1"/>
        <v xml:space="preserve">     0%</v>
      </c>
      <c r="I13" s="455">
        <f t="shared" si="2"/>
        <v>7.8399999999999997E-2</v>
      </c>
      <c r="J13" s="456">
        <f t="shared" si="3"/>
        <v>10</v>
      </c>
      <c r="K13" s="455">
        <f t="shared" si="4"/>
        <v>0.72399999999999998</v>
      </c>
      <c r="L13" s="454" t="s">
        <v>237</v>
      </c>
      <c r="M13" s="453"/>
      <c r="N13" s="460" t="s">
        <v>373</v>
      </c>
      <c r="O13" s="451">
        <f t="shared" si="5"/>
        <v>127.5</v>
      </c>
      <c r="P13" s="450">
        <f>('PROPYLENE-A12'!K84)/10</f>
        <v>117.5</v>
      </c>
      <c r="Q13" s="449">
        <f t="shared" si="6"/>
        <v>10</v>
      </c>
      <c r="R13" s="448"/>
    </row>
    <row r="14" spans="1:18">
      <c r="A14" s="453"/>
      <c r="B14" s="460" t="s">
        <v>69</v>
      </c>
      <c r="C14" s="459">
        <f>'PP-A13'!K26/10</f>
        <v>137.69999999999999</v>
      </c>
      <c r="D14" s="459">
        <f>'PP-A13'!K55/10</f>
        <v>98</v>
      </c>
      <c r="E14" s="458">
        <v>96</v>
      </c>
      <c r="F14" s="458"/>
      <c r="G14" s="459">
        <f t="shared" si="0"/>
        <v>194</v>
      </c>
      <c r="H14" s="455">
        <f t="shared" si="1"/>
        <v>0.49480000000000002</v>
      </c>
      <c r="I14" s="455" t="str">
        <f t="shared" si="2"/>
        <v xml:space="preserve">     0%</v>
      </c>
      <c r="J14" s="456">
        <f t="shared" si="3"/>
        <v>-96</v>
      </c>
      <c r="K14" s="455">
        <f t="shared" si="4"/>
        <v>0.7117</v>
      </c>
      <c r="L14" s="454" t="s">
        <v>237</v>
      </c>
      <c r="M14" s="453"/>
      <c r="N14" s="452" t="s">
        <v>69</v>
      </c>
      <c r="O14" s="451">
        <f t="shared" si="5"/>
        <v>98</v>
      </c>
      <c r="P14" s="450">
        <f>('PP-A13'!K84)/10</f>
        <v>194.2</v>
      </c>
      <c r="Q14" s="449">
        <f t="shared" si="6"/>
        <v>-96.199999999999989</v>
      </c>
      <c r="R14" s="448"/>
    </row>
    <row r="15" spans="1:18">
      <c r="A15" s="453"/>
      <c r="B15" s="460" t="s">
        <v>67</v>
      </c>
      <c r="C15" s="459">
        <f>'AN-A14'!K26/10</f>
        <v>0</v>
      </c>
      <c r="D15" s="459">
        <f>'AN-A14'!K55/10</f>
        <v>0</v>
      </c>
      <c r="E15" s="458">
        <v>5</v>
      </c>
      <c r="F15" s="458"/>
      <c r="G15" s="459">
        <f t="shared" si="0"/>
        <v>5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-5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('AN-A14'!K84)/10</f>
        <v>5.2048793815224972</v>
      </c>
      <c r="Q15" s="449">
        <f t="shared" si="6"/>
        <v>-5.2048793815224972</v>
      </c>
      <c r="R15" s="448"/>
    </row>
    <row r="16" spans="1:18">
      <c r="A16" s="453"/>
      <c r="B16" s="460" t="s">
        <v>371</v>
      </c>
      <c r="C16" s="459">
        <f>'OTHER(C3)-A15'!K26/10</f>
        <v>15</v>
      </c>
      <c r="D16" s="459">
        <f>'OTHER(C3)-A15'!K55/10</f>
        <v>15</v>
      </c>
      <c r="E16" s="458"/>
      <c r="F16" s="458"/>
      <c r="G16" s="459">
        <f t="shared" si="0"/>
        <v>15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1</v>
      </c>
      <c r="L16" s="454"/>
      <c r="M16" s="453"/>
      <c r="N16" s="460" t="s">
        <v>371</v>
      </c>
      <c r="O16" s="451">
        <f t="shared" si="5"/>
        <v>15</v>
      </c>
      <c r="P16" s="450">
        <f>('OTHER(C3)-A15'!K84)/10</f>
        <v>15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156.83099999999999</v>
      </c>
      <c r="D17" s="459">
        <f>D14*1.03+D15*1.09+D16</f>
        <v>115.94</v>
      </c>
      <c r="E17" s="459">
        <f>E14*1.03+E15*1.09</f>
        <v>104.33</v>
      </c>
      <c r="F17" s="459">
        <f>F14*1.03+F15*1.09</f>
        <v>0</v>
      </c>
      <c r="G17" s="459">
        <f t="shared" si="0"/>
        <v>220.26999999999998</v>
      </c>
      <c r="H17" s="455">
        <f t="shared" si="1"/>
        <v>0.47360000000000002</v>
      </c>
      <c r="I17" s="455" t="str">
        <f t="shared" si="2"/>
        <v xml:space="preserve">     0%</v>
      </c>
      <c r="J17" s="456">
        <f t="shared" si="3"/>
        <v>-104.32999999999998</v>
      </c>
      <c r="K17" s="455">
        <f t="shared" si="4"/>
        <v>0.73929999999999996</v>
      </c>
      <c r="L17" s="454"/>
      <c r="M17" s="453"/>
      <c r="N17" s="460" t="s">
        <v>374</v>
      </c>
      <c r="O17" s="451"/>
      <c r="P17" s="450"/>
      <c r="Q17" s="461">
        <f>Q14*1.03+Q15*1.09+Q16</f>
        <v>-104.75931852585951</v>
      </c>
      <c r="R17" s="448"/>
    </row>
    <row r="18" spans="1:18">
      <c r="A18" s="453"/>
      <c r="B18" s="460" t="s">
        <v>375</v>
      </c>
      <c r="C18" s="459">
        <f>'BENZENE-A16'!K26/10</f>
        <v>48.7</v>
      </c>
      <c r="D18" s="459">
        <f>'BENZENE-A16'!K55/10</f>
        <v>15.1</v>
      </c>
      <c r="E18" s="458"/>
      <c r="F18" s="458">
        <v>10</v>
      </c>
      <c r="G18" s="459">
        <f t="shared" si="0"/>
        <v>5.0999999999999996</v>
      </c>
      <c r="H18" s="455" t="str">
        <f t="shared" si="1"/>
        <v xml:space="preserve">     0%</v>
      </c>
      <c r="I18" s="455">
        <f t="shared" si="2"/>
        <v>0.6623</v>
      </c>
      <c r="J18" s="456">
        <f t="shared" si="3"/>
        <v>10</v>
      </c>
      <c r="K18" s="455">
        <f t="shared" si="4"/>
        <v>0.31009999999999999</v>
      </c>
      <c r="L18" s="454" t="s">
        <v>238</v>
      </c>
      <c r="M18" s="453"/>
      <c r="N18" s="460" t="s">
        <v>375</v>
      </c>
      <c r="O18" s="451">
        <f t="shared" si="5"/>
        <v>15.1</v>
      </c>
      <c r="P18" s="450">
        <f>('BENZENE-A16'!K84)/10</f>
        <v>5.5</v>
      </c>
      <c r="Q18" s="449">
        <f t="shared" si="6"/>
        <v>9.6</v>
      </c>
      <c r="R18" s="448"/>
    </row>
    <row r="19" spans="1:18">
      <c r="A19" s="453"/>
      <c r="B19" s="460" t="s">
        <v>376</v>
      </c>
      <c r="C19" s="459">
        <f>'TOLUENE-A17'!K26/10</f>
        <v>3.3</v>
      </c>
      <c r="D19" s="459">
        <f>'TOLUENE-A17'!K55/10</f>
        <v>0.5</v>
      </c>
      <c r="E19" s="458">
        <v>2</v>
      </c>
      <c r="F19" s="458"/>
      <c r="G19" s="459">
        <f t="shared" si="0"/>
        <v>2.5</v>
      </c>
      <c r="H19" s="455">
        <f t="shared" si="1"/>
        <v>0.8</v>
      </c>
      <c r="I19" s="455" t="str">
        <f t="shared" si="2"/>
        <v xml:space="preserve">     0%</v>
      </c>
      <c r="J19" s="456">
        <f t="shared" si="3"/>
        <v>-2</v>
      </c>
      <c r="K19" s="455">
        <f t="shared" si="4"/>
        <v>0.1515</v>
      </c>
      <c r="L19" s="454"/>
      <c r="M19" s="453"/>
      <c r="N19" s="460" t="s">
        <v>376</v>
      </c>
      <c r="O19" s="451">
        <f t="shared" si="5"/>
        <v>0.5</v>
      </c>
      <c r="P19" s="450">
        <f>('TOLUENE-A17'!K84)/10</f>
        <v>2.6</v>
      </c>
      <c r="Q19" s="449">
        <f t="shared" si="6"/>
        <v>-2.1</v>
      </c>
      <c r="R19" s="448"/>
    </row>
    <row r="20" spans="1:18">
      <c r="A20" s="453"/>
      <c r="B20" s="460" t="s">
        <v>377</v>
      </c>
      <c r="C20" s="459">
        <f>'XYLENES-A18'!K26/10</f>
        <v>30</v>
      </c>
      <c r="D20" s="459">
        <f>'XYLENES-A18'!K55/10</f>
        <v>25.5</v>
      </c>
      <c r="E20" s="458"/>
      <c r="F20" s="458"/>
      <c r="G20" s="459">
        <f t="shared" si="0"/>
        <v>25.5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0.85</v>
      </c>
      <c r="L20" s="454" t="s">
        <v>239</v>
      </c>
      <c r="M20" s="453"/>
      <c r="N20" s="460" t="s">
        <v>377</v>
      </c>
      <c r="O20" s="451">
        <f t="shared" si="5"/>
        <v>25.5</v>
      </c>
      <c r="P20" s="450">
        <f>('XYLENES-A18'!K84)/10</f>
        <v>25.5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'PX-A19'!K26/10</f>
        <v>24</v>
      </c>
      <c r="D21" s="459">
        <f>'PX-A19'!K55/10</f>
        <v>20.399999999999999</v>
      </c>
      <c r="E21" s="458"/>
      <c r="F21" s="458">
        <v>20</v>
      </c>
      <c r="G21" s="459">
        <f t="shared" si="0"/>
        <v>0.39999999999999858</v>
      </c>
      <c r="H21" s="455" t="str">
        <f t="shared" si="1"/>
        <v xml:space="preserve">     0%</v>
      </c>
      <c r="I21" s="455">
        <f t="shared" si="2"/>
        <v>0.98040000000000005</v>
      </c>
      <c r="J21" s="456">
        <f t="shared" si="3"/>
        <v>20</v>
      </c>
      <c r="K21" s="455">
        <f t="shared" si="4"/>
        <v>0.85</v>
      </c>
      <c r="L21" s="454" t="s">
        <v>239</v>
      </c>
      <c r="M21" s="453"/>
      <c r="N21" s="452" t="s">
        <v>64</v>
      </c>
      <c r="O21" s="451">
        <f t="shared" si="5"/>
        <v>20.399999999999999</v>
      </c>
      <c r="P21" s="450">
        <f>('PX-A19'!K84)/10</f>
        <v>0</v>
      </c>
      <c r="Q21" s="449">
        <f t="shared" si="6"/>
        <v>20.399999999999999</v>
      </c>
      <c r="R21" s="448"/>
    </row>
    <row r="22" spans="1:18">
      <c r="A22" s="453"/>
      <c r="B22" s="460" t="s">
        <v>62</v>
      </c>
      <c r="C22" s="459">
        <f>'PTA-A20'!K26/10</f>
        <v>0</v>
      </c>
      <c r="D22" s="459">
        <f>'PTA-A20'!K55/10</f>
        <v>0</v>
      </c>
      <c r="E22" s="458">
        <v>33</v>
      </c>
      <c r="F22" s="458"/>
      <c r="G22" s="459">
        <f t="shared" si="0"/>
        <v>33</v>
      </c>
      <c r="H22" s="455">
        <f t="shared" si="1"/>
        <v>1</v>
      </c>
      <c r="I22" s="455" t="str">
        <f t="shared" si="2"/>
        <v xml:space="preserve">    -</v>
      </c>
      <c r="J22" s="456">
        <f t="shared" si="3"/>
        <v>-33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('PTA-A20'!K84)/10</f>
        <v>33.372599999999998</v>
      </c>
      <c r="Q22" s="449">
        <f t="shared" si="6"/>
        <v>-33.372599999999998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0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6.625" customWidth="1"/>
    <col min="2" max="2" width="21.125" customWidth="1"/>
    <col min="3" max="11" width="12.875" customWidth="1"/>
    <col min="12" max="12" width="39.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406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'ETHYLENE-A1'!Q26/10</f>
        <v>220.8</v>
      </c>
      <c r="D5" s="459">
        <f>'ETHYLENE-A1'!Q55/10</f>
        <v>202.5</v>
      </c>
      <c r="E5" s="458"/>
      <c r="F5" s="458">
        <v>3</v>
      </c>
      <c r="G5" s="459">
        <f t="shared" ref="G5:G22" si="0">D5+E5-F5</f>
        <v>199.5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1.4800000000000001E-2</v>
      </c>
      <c r="J5" s="456">
        <f t="shared" ref="J5:J22" si="3">D5-G5</f>
        <v>3</v>
      </c>
      <c r="K5" s="455">
        <f t="shared" ref="K5:K22" si="4">IF(AND(D5=0,C5=0),"    -",IF(C5=0,"     0%",IF(D5=0,"     -",ROUND(D5/C5,4))))</f>
        <v>0.91710000000000003</v>
      </c>
      <c r="L5" s="454" t="s">
        <v>235</v>
      </c>
      <c r="M5" s="453"/>
      <c r="N5" s="452" t="s">
        <v>79</v>
      </c>
      <c r="O5" s="451">
        <f>D5</f>
        <v>202.5</v>
      </c>
      <c r="P5" s="450">
        <f>('ETHYLENE-A1'!Q84)/10</f>
        <v>200</v>
      </c>
      <c r="Q5" s="449">
        <f>O5-P5</f>
        <v>2.5</v>
      </c>
      <c r="R5" s="448"/>
    </row>
    <row r="6" spans="1:18">
      <c r="A6" s="453"/>
      <c r="B6" s="460" t="s">
        <v>78</v>
      </c>
      <c r="C6" s="459">
        <f>'LDPE-A2'!Q26/10</f>
        <v>95</v>
      </c>
      <c r="D6" s="459">
        <f>'LDPE-A2'!Q55/10</f>
        <v>84</v>
      </c>
      <c r="E6" s="458">
        <v>185</v>
      </c>
      <c r="F6" s="458"/>
      <c r="G6" s="459">
        <f t="shared" si="0"/>
        <v>269</v>
      </c>
      <c r="H6" s="455">
        <f t="shared" si="1"/>
        <v>0.68769999999999998</v>
      </c>
      <c r="I6" s="455" t="str">
        <f t="shared" si="2"/>
        <v xml:space="preserve">     0%</v>
      </c>
      <c r="J6" s="456">
        <f t="shared" si="3"/>
        <v>-185</v>
      </c>
      <c r="K6" s="455">
        <f t="shared" si="4"/>
        <v>0.88419999999999999</v>
      </c>
      <c r="L6" s="454" t="s">
        <v>235</v>
      </c>
      <c r="M6" s="453"/>
      <c r="N6" s="452" t="s">
        <v>78</v>
      </c>
      <c r="O6" s="451">
        <f t="shared" ref="O6:O22" si="5">D6</f>
        <v>84</v>
      </c>
      <c r="P6" s="450">
        <f>('LDPE-A2'!Q84)/10</f>
        <v>268.60000000000002</v>
      </c>
      <c r="Q6" s="449">
        <f t="shared" ref="Q6:Q22" si="6">O6-P6</f>
        <v>-184.60000000000002</v>
      </c>
      <c r="R6" s="448"/>
    </row>
    <row r="7" spans="1:18">
      <c r="A7" s="453"/>
      <c r="B7" s="460" t="s">
        <v>76</v>
      </c>
      <c r="C7" s="459">
        <f>'HDPE-A3'!Q26/10</f>
        <v>81.5</v>
      </c>
      <c r="D7" s="459">
        <f>'HDPE-A3'!Q55/10</f>
        <v>73.8</v>
      </c>
      <c r="E7" s="458">
        <v>205</v>
      </c>
      <c r="F7" s="458"/>
      <c r="G7" s="459">
        <f t="shared" si="0"/>
        <v>278.8</v>
      </c>
      <c r="H7" s="455">
        <f t="shared" si="1"/>
        <v>0.73529999999999995</v>
      </c>
      <c r="I7" s="455" t="str">
        <f t="shared" si="2"/>
        <v xml:space="preserve">     0%</v>
      </c>
      <c r="J7" s="456">
        <f t="shared" si="3"/>
        <v>-205</v>
      </c>
      <c r="K7" s="455">
        <f t="shared" si="4"/>
        <v>0.90549999999999997</v>
      </c>
      <c r="L7" s="454" t="s">
        <v>235</v>
      </c>
      <c r="M7" s="453"/>
      <c r="N7" s="452" t="s">
        <v>76</v>
      </c>
      <c r="O7" s="451">
        <f t="shared" si="5"/>
        <v>73.8</v>
      </c>
      <c r="P7" s="450">
        <f>('HDPE-A3'!Q84)/10</f>
        <v>279</v>
      </c>
      <c r="Q7" s="449">
        <f t="shared" si="6"/>
        <v>-205.2</v>
      </c>
      <c r="R7" s="448"/>
    </row>
    <row r="8" spans="1:18">
      <c r="A8" s="453"/>
      <c r="B8" s="460" t="s">
        <v>75</v>
      </c>
      <c r="C8" s="459">
        <f>'SM-A6'!Q26/10</f>
        <v>0</v>
      </c>
      <c r="D8" s="459">
        <f>'SM-A6'!Q55/10</f>
        <v>0</v>
      </c>
      <c r="E8" s="458">
        <v>21</v>
      </c>
      <c r="F8" s="458"/>
      <c r="G8" s="459">
        <f t="shared" si="0"/>
        <v>21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-21</v>
      </c>
      <c r="K8" s="455" t="str">
        <f t="shared" si="4"/>
        <v xml:space="preserve">    -</v>
      </c>
      <c r="L8" s="454"/>
      <c r="M8" s="453"/>
      <c r="N8" s="452" t="s">
        <v>75</v>
      </c>
      <c r="O8" s="451">
        <f t="shared" si="5"/>
        <v>0</v>
      </c>
      <c r="P8" s="450">
        <f>('SM-A6'!Q84)/10</f>
        <v>20.6</v>
      </c>
      <c r="Q8" s="449">
        <f t="shared" si="6"/>
        <v>-20.6</v>
      </c>
      <c r="R8" s="448"/>
    </row>
    <row r="9" spans="1:18">
      <c r="A9" s="453"/>
      <c r="B9" s="460" t="s">
        <v>74</v>
      </c>
      <c r="C9" s="459">
        <f>'EG-A10'!Q26/10</f>
        <v>0</v>
      </c>
      <c r="D9" s="459">
        <f>'EG-A10'!Q55/10</f>
        <v>0</v>
      </c>
      <c r="E9" s="458">
        <v>24</v>
      </c>
      <c r="F9" s="458"/>
      <c r="G9" s="459">
        <f t="shared" si="0"/>
        <v>24</v>
      </c>
      <c r="H9" s="455">
        <f t="shared" si="1"/>
        <v>1</v>
      </c>
      <c r="I9" s="455" t="str">
        <f t="shared" si="2"/>
        <v xml:space="preserve">    -</v>
      </c>
      <c r="J9" s="456">
        <f t="shared" si="3"/>
        <v>-24</v>
      </c>
      <c r="K9" s="455" t="str">
        <f t="shared" si="4"/>
        <v xml:space="preserve">    -</v>
      </c>
      <c r="L9" s="454"/>
      <c r="M9" s="453"/>
      <c r="N9" s="452" t="s">
        <v>74</v>
      </c>
      <c r="O9" s="451">
        <f t="shared" si="5"/>
        <v>0</v>
      </c>
      <c r="P9" s="450">
        <f>('EG-A10'!Q84)/10</f>
        <v>23.9</v>
      </c>
      <c r="Q9" s="449">
        <f t="shared" si="6"/>
        <v>-23.9</v>
      </c>
      <c r="R9" s="448"/>
    </row>
    <row r="10" spans="1:18">
      <c r="A10" s="453"/>
      <c r="B10" s="460" t="s">
        <v>72</v>
      </c>
      <c r="C10" s="459">
        <f>'PVC-A7'!Q26/10</f>
        <v>79</v>
      </c>
      <c r="D10" s="459">
        <f>'PVC-A7'!Q55/10</f>
        <v>73.5</v>
      </c>
      <c r="E10" s="458">
        <v>112</v>
      </c>
      <c r="F10" s="458"/>
      <c r="G10" s="459">
        <f t="shared" si="0"/>
        <v>185.5</v>
      </c>
      <c r="H10" s="455">
        <f t="shared" si="1"/>
        <v>0.6038</v>
      </c>
      <c r="I10" s="455" t="str">
        <f t="shared" si="2"/>
        <v xml:space="preserve">     0%</v>
      </c>
      <c r="J10" s="456">
        <f t="shared" si="3"/>
        <v>-112</v>
      </c>
      <c r="K10" s="455">
        <f t="shared" si="4"/>
        <v>0.9304</v>
      </c>
      <c r="L10" s="454" t="s">
        <v>240</v>
      </c>
      <c r="M10" s="453"/>
      <c r="N10" s="452" t="s">
        <v>72</v>
      </c>
      <c r="O10" s="451">
        <f t="shared" si="5"/>
        <v>73.5</v>
      </c>
      <c r="P10" s="450">
        <f>('PVC-A7'!Q84)/10</f>
        <v>185</v>
      </c>
      <c r="Q10" s="449">
        <f t="shared" si="6"/>
        <v>-111.5</v>
      </c>
      <c r="R10" s="448"/>
    </row>
    <row r="11" spans="1:18">
      <c r="A11" s="453"/>
      <c r="B11" s="460" t="s">
        <v>371</v>
      </c>
      <c r="C11" s="459">
        <f>'OTHER(C2)-A11'!Q26/10</f>
        <v>6</v>
      </c>
      <c r="D11" s="459">
        <f>'OTHER(C2)-A11'!Q55/10</f>
        <v>6</v>
      </c>
      <c r="E11" s="458"/>
      <c r="F11" s="458"/>
      <c r="G11" s="459">
        <f t="shared" si="0"/>
        <v>6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1</v>
      </c>
      <c r="L11" s="454"/>
      <c r="M11" s="453"/>
      <c r="N11" s="460" t="s">
        <v>371</v>
      </c>
      <c r="O11" s="451">
        <f t="shared" si="5"/>
        <v>6</v>
      </c>
      <c r="P11" s="450">
        <f>('OTHER(C2)-A11'!Q84)/10</f>
        <v>6</v>
      </c>
      <c r="Q11" s="449">
        <f t="shared" si="6"/>
        <v>0</v>
      </c>
      <c r="R11" s="448"/>
    </row>
    <row r="12" spans="1:18">
      <c r="A12" s="453"/>
      <c r="B12" s="460" t="s">
        <v>372</v>
      </c>
      <c r="C12" s="462">
        <f>C6*0.98+C7*1.04+C8*0.29+C9*0.66+C10*0.5+C11</f>
        <v>223.36</v>
      </c>
      <c r="D12" s="462">
        <f>D6*0.98+D7*1.04+D8*0.29+D9*0.66+D10*0.5+D11</f>
        <v>201.822</v>
      </c>
      <c r="E12" s="462">
        <f>E6*0.98+E7*1.04+E8*0.29+E9*0.66+E10*0.5</f>
        <v>472.42999999999995</v>
      </c>
      <c r="F12" s="462">
        <f>F6*0.98+F7*1.04+F8*0.29+F9*0.66+F10*0.5</f>
        <v>0</v>
      </c>
      <c r="G12" s="459">
        <f t="shared" si="0"/>
        <v>674.25199999999995</v>
      </c>
      <c r="H12" s="455">
        <f t="shared" si="1"/>
        <v>0.70069999999999999</v>
      </c>
      <c r="I12" s="455" t="str">
        <f t="shared" si="2"/>
        <v xml:space="preserve">     0%</v>
      </c>
      <c r="J12" s="456">
        <f t="shared" si="3"/>
        <v>-472.42999999999995</v>
      </c>
      <c r="K12" s="455">
        <f t="shared" si="4"/>
        <v>0.90359999999999996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-471.81400000000002</v>
      </c>
      <c r="R12" s="448"/>
    </row>
    <row r="13" spans="1:18">
      <c r="A13" s="453"/>
      <c r="B13" s="460" t="s">
        <v>373</v>
      </c>
      <c r="C13" s="459">
        <f>'PROPYLENE-A12'!Q26/10</f>
        <v>176.1</v>
      </c>
      <c r="D13" s="459">
        <f>'PROPYLENE-A12'!Q55/10</f>
        <v>130.5</v>
      </c>
      <c r="E13" s="458"/>
      <c r="F13" s="458">
        <v>11</v>
      </c>
      <c r="G13" s="459">
        <f t="shared" si="0"/>
        <v>119.5</v>
      </c>
      <c r="H13" s="455" t="str">
        <f t="shared" si="1"/>
        <v xml:space="preserve">     0%</v>
      </c>
      <c r="I13" s="455">
        <f t="shared" si="2"/>
        <v>8.43E-2</v>
      </c>
      <c r="J13" s="456">
        <f t="shared" si="3"/>
        <v>11</v>
      </c>
      <c r="K13" s="455">
        <f t="shared" si="4"/>
        <v>0.74109999999999998</v>
      </c>
      <c r="L13" s="454" t="s">
        <v>241</v>
      </c>
      <c r="M13" s="453"/>
      <c r="N13" s="460" t="s">
        <v>373</v>
      </c>
      <c r="O13" s="451">
        <f t="shared" si="5"/>
        <v>130.5</v>
      </c>
      <c r="P13" s="450">
        <f>('PROPYLENE-A12'!Q84)/10</f>
        <v>120</v>
      </c>
      <c r="Q13" s="449">
        <f t="shared" si="6"/>
        <v>10.5</v>
      </c>
      <c r="R13" s="448"/>
    </row>
    <row r="14" spans="1:18">
      <c r="A14" s="453"/>
      <c r="B14" s="460" t="s">
        <v>69</v>
      </c>
      <c r="C14" s="459">
        <f>'PP-A13'!Q26/10</f>
        <v>137.69999999999999</v>
      </c>
      <c r="D14" s="459">
        <f>'PP-A13'!Q55/10</f>
        <v>103</v>
      </c>
      <c r="E14" s="458">
        <v>170</v>
      </c>
      <c r="F14" s="458"/>
      <c r="G14" s="459">
        <f t="shared" si="0"/>
        <v>273</v>
      </c>
      <c r="H14" s="455">
        <f t="shared" si="1"/>
        <v>0.62270000000000003</v>
      </c>
      <c r="I14" s="455" t="str">
        <f t="shared" si="2"/>
        <v xml:space="preserve">     0%</v>
      </c>
      <c r="J14" s="456">
        <f t="shared" si="3"/>
        <v>-170</v>
      </c>
      <c r="K14" s="455">
        <f t="shared" si="4"/>
        <v>0.748</v>
      </c>
      <c r="L14" s="454" t="s">
        <v>241</v>
      </c>
      <c r="M14" s="453"/>
      <c r="N14" s="452" t="s">
        <v>69</v>
      </c>
      <c r="O14" s="451">
        <f t="shared" si="5"/>
        <v>103</v>
      </c>
      <c r="P14" s="450">
        <f>('PP-A13'!Q84)/10</f>
        <v>273</v>
      </c>
      <c r="Q14" s="449">
        <f t="shared" si="6"/>
        <v>-170</v>
      </c>
      <c r="R14" s="448"/>
    </row>
    <row r="15" spans="1:18">
      <c r="A15" s="453"/>
      <c r="B15" s="460" t="s">
        <v>67</v>
      </c>
      <c r="C15" s="459">
        <f>'AN-A14'!Q26/10</f>
        <v>0</v>
      </c>
      <c r="D15" s="459">
        <f>'AN-A14'!Q55/10</f>
        <v>0</v>
      </c>
      <c r="E15" s="458">
        <v>6</v>
      </c>
      <c r="F15" s="458"/>
      <c r="G15" s="459">
        <f t="shared" si="0"/>
        <v>6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-6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('AN-A14'!Q84)/10</f>
        <v>5.9</v>
      </c>
      <c r="Q15" s="449">
        <f t="shared" si="6"/>
        <v>-5.9</v>
      </c>
      <c r="R15" s="448"/>
    </row>
    <row r="16" spans="1:18">
      <c r="A16" s="453"/>
      <c r="B16" s="460" t="s">
        <v>371</v>
      </c>
      <c r="C16" s="459">
        <f>'OTHER(C3)-A15'!Q26/10</f>
        <v>15</v>
      </c>
      <c r="D16" s="459">
        <f>'OTHER(C3)-A15'!Q55/10</f>
        <v>15</v>
      </c>
      <c r="E16" s="458"/>
      <c r="F16" s="458"/>
      <c r="G16" s="459">
        <f t="shared" si="0"/>
        <v>15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1</v>
      </c>
      <c r="L16" s="454"/>
      <c r="M16" s="453"/>
      <c r="N16" s="460" t="s">
        <v>371</v>
      </c>
      <c r="O16" s="451">
        <f t="shared" si="5"/>
        <v>15</v>
      </c>
      <c r="P16" s="450">
        <f>('OTHER(C3)-A15'!Q84)/10</f>
        <v>15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156.83099999999999</v>
      </c>
      <c r="D17" s="459">
        <f>D14*1.03+D15*1.09+D16</f>
        <v>121.09</v>
      </c>
      <c r="E17" s="459">
        <f>E14*1.03+E15*1.09</f>
        <v>181.64</v>
      </c>
      <c r="F17" s="459">
        <f>F14*1.03+F15*1.09</f>
        <v>0</v>
      </c>
      <c r="G17" s="459">
        <f t="shared" si="0"/>
        <v>302.73</v>
      </c>
      <c r="H17" s="455">
        <f t="shared" si="1"/>
        <v>0.6</v>
      </c>
      <c r="I17" s="455" t="str">
        <f t="shared" si="2"/>
        <v xml:space="preserve">     0%</v>
      </c>
      <c r="J17" s="456">
        <f t="shared" si="3"/>
        <v>-181.64000000000001</v>
      </c>
      <c r="K17" s="455">
        <f t="shared" si="4"/>
        <v>0.77210000000000001</v>
      </c>
      <c r="L17" s="454"/>
      <c r="M17" s="453"/>
      <c r="N17" s="460" t="s">
        <v>374</v>
      </c>
      <c r="O17" s="451"/>
      <c r="P17" s="450"/>
      <c r="Q17" s="461">
        <f>Q14*1.03+Q15*1.09+Q16</f>
        <v>-181.53100000000001</v>
      </c>
      <c r="R17" s="448"/>
    </row>
    <row r="18" spans="1:18">
      <c r="A18" s="453"/>
      <c r="B18" s="460" t="s">
        <v>375</v>
      </c>
      <c r="C18" s="459">
        <f>'BENZENE-A16'!Q26/10</f>
        <v>48.7</v>
      </c>
      <c r="D18" s="459">
        <f>'BENZENE-A16'!Q55/10</f>
        <v>36</v>
      </c>
      <c r="E18" s="458"/>
      <c r="F18" s="458">
        <v>26</v>
      </c>
      <c r="G18" s="459">
        <f t="shared" si="0"/>
        <v>10</v>
      </c>
      <c r="H18" s="455" t="str">
        <f t="shared" si="1"/>
        <v xml:space="preserve">     0%</v>
      </c>
      <c r="I18" s="455">
        <f t="shared" si="2"/>
        <v>0.72219999999999995</v>
      </c>
      <c r="J18" s="456">
        <f t="shared" si="3"/>
        <v>26</v>
      </c>
      <c r="K18" s="455">
        <f t="shared" si="4"/>
        <v>0.73919999999999997</v>
      </c>
      <c r="L18" s="454" t="s">
        <v>239</v>
      </c>
      <c r="M18" s="453"/>
      <c r="N18" s="460" t="s">
        <v>375</v>
      </c>
      <c r="O18" s="451">
        <f t="shared" si="5"/>
        <v>36</v>
      </c>
      <c r="P18" s="450">
        <f>('BENZENE-A16'!Q84)/10</f>
        <v>10</v>
      </c>
      <c r="Q18" s="449">
        <f t="shared" si="6"/>
        <v>26</v>
      </c>
      <c r="R18" s="448"/>
    </row>
    <row r="19" spans="1:18">
      <c r="A19" s="453"/>
      <c r="B19" s="460" t="s">
        <v>376</v>
      </c>
      <c r="C19" s="459">
        <f>'TOLUENE-A17'!Q26/10</f>
        <v>3.3</v>
      </c>
      <c r="D19" s="459">
        <f>'TOLUENE-A17'!Q55/10</f>
        <v>0.5</v>
      </c>
      <c r="E19" s="458">
        <v>2</v>
      </c>
      <c r="F19" s="458"/>
      <c r="G19" s="459">
        <f t="shared" si="0"/>
        <v>2.5</v>
      </c>
      <c r="H19" s="455">
        <f t="shared" si="1"/>
        <v>0.8</v>
      </c>
      <c r="I19" s="455" t="str">
        <f t="shared" si="2"/>
        <v xml:space="preserve">     0%</v>
      </c>
      <c r="J19" s="456">
        <f t="shared" si="3"/>
        <v>-2</v>
      </c>
      <c r="K19" s="455">
        <f t="shared" si="4"/>
        <v>0.1515</v>
      </c>
      <c r="L19" s="454"/>
      <c r="M19" s="453"/>
      <c r="N19" s="460" t="s">
        <v>376</v>
      </c>
      <c r="O19" s="451">
        <f t="shared" si="5"/>
        <v>0.5</v>
      </c>
      <c r="P19" s="450">
        <f>('TOLUENE-A17'!Q84)/10</f>
        <v>2.6</v>
      </c>
      <c r="Q19" s="449">
        <f t="shared" si="6"/>
        <v>-2.1</v>
      </c>
      <c r="R19" s="448"/>
    </row>
    <row r="20" spans="1:18">
      <c r="A20" s="453"/>
      <c r="B20" s="460" t="s">
        <v>377</v>
      </c>
      <c r="C20" s="459">
        <f>'XYLENES-A18'!Q26/10</f>
        <v>30</v>
      </c>
      <c r="D20" s="459">
        <f>'XYLENES-A18'!Q55/10</f>
        <v>25.5</v>
      </c>
      <c r="E20" s="458"/>
      <c r="F20" s="458"/>
      <c r="G20" s="459">
        <f t="shared" si="0"/>
        <v>25.5</v>
      </c>
      <c r="H20" s="455" t="str">
        <f t="shared" si="1"/>
        <v xml:space="preserve">     0%</v>
      </c>
      <c r="I20" s="455" t="str">
        <f t="shared" si="2"/>
        <v xml:space="preserve">     0%</v>
      </c>
      <c r="J20" s="456">
        <f t="shared" si="3"/>
        <v>0</v>
      </c>
      <c r="K20" s="455">
        <f t="shared" si="4"/>
        <v>0.85</v>
      </c>
      <c r="L20" s="454" t="s">
        <v>239</v>
      </c>
      <c r="M20" s="453"/>
      <c r="N20" s="460" t="s">
        <v>377</v>
      </c>
      <c r="O20" s="451">
        <f t="shared" si="5"/>
        <v>25.5</v>
      </c>
      <c r="P20" s="450">
        <f>('XYLENES-A18'!Q84)/10</f>
        <v>25.5</v>
      </c>
      <c r="Q20" s="449">
        <f t="shared" si="6"/>
        <v>0</v>
      </c>
      <c r="R20" s="448"/>
    </row>
    <row r="21" spans="1:18">
      <c r="A21" s="453"/>
      <c r="B21" s="460" t="s">
        <v>64</v>
      </c>
      <c r="C21" s="459">
        <f>'PX-A19'!Q26/10</f>
        <v>24</v>
      </c>
      <c r="D21" s="459">
        <f>'PX-A19'!Q55/10</f>
        <v>20.399999999999999</v>
      </c>
      <c r="E21" s="458"/>
      <c r="F21" s="458">
        <v>20</v>
      </c>
      <c r="G21" s="459">
        <f t="shared" si="0"/>
        <v>0.39999999999999858</v>
      </c>
      <c r="H21" s="455" t="str">
        <f t="shared" si="1"/>
        <v xml:space="preserve">     0%</v>
      </c>
      <c r="I21" s="455">
        <f t="shared" si="2"/>
        <v>0.98040000000000005</v>
      </c>
      <c r="J21" s="456">
        <f t="shared" si="3"/>
        <v>20</v>
      </c>
      <c r="K21" s="455">
        <f t="shared" si="4"/>
        <v>0.85</v>
      </c>
      <c r="L21" s="454" t="s">
        <v>239</v>
      </c>
      <c r="M21" s="453"/>
      <c r="N21" s="452" t="s">
        <v>64</v>
      </c>
      <c r="O21" s="451">
        <f t="shared" si="5"/>
        <v>20.399999999999999</v>
      </c>
      <c r="P21" s="450">
        <f>('PX-A19'!Q84)/10</f>
        <v>0</v>
      </c>
      <c r="Q21" s="449">
        <f t="shared" si="6"/>
        <v>20.399999999999999</v>
      </c>
      <c r="R21" s="448"/>
    </row>
    <row r="22" spans="1:18">
      <c r="A22" s="453"/>
      <c r="B22" s="460" t="s">
        <v>62</v>
      </c>
      <c r="C22" s="459">
        <f>'PTA-A20'!Q26/10</f>
        <v>0</v>
      </c>
      <c r="D22" s="459">
        <f>'PTA-A20'!Q55/10</f>
        <v>0</v>
      </c>
      <c r="E22" s="458">
        <v>32</v>
      </c>
      <c r="F22" s="458"/>
      <c r="G22" s="459">
        <f t="shared" si="0"/>
        <v>32</v>
      </c>
      <c r="H22" s="455">
        <f t="shared" si="1"/>
        <v>1</v>
      </c>
      <c r="I22" s="455" t="str">
        <f t="shared" si="2"/>
        <v xml:space="preserve">    -</v>
      </c>
      <c r="J22" s="456">
        <f t="shared" si="3"/>
        <v>-32</v>
      </c>
      <c r="K22" s="455" t="str">
        <f t="shared" si="4"/>
        <v xml:space="preserve">    -</v>
      </c>
      <c r="L22" s="454"/>
      <c r="M22" s="453"/>
      <c r="N22" s="452" t="s">
        <v>62</v>
      </c>
      <c r="O22" s="451">
        <f t="shared" si="5"/>
        <v>0</v>
      </c>
      <c r="P22" s="450">
        <f>('PTA-A20'!Q84)/10</f>
        <v>32.268000000000001</v>
      </c>
      <c r="Q22" s="449">
        <f t="shared" si="6"/>
        <v>-32.268000000000001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0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54.3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407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'ETHYLENE-A1'!K27/10</f>
        <v>453.8</v>
      </c>
      <c r="D5" s="459">
        <f>'ETHYLENE-A1'!K56/10</f>
        <v>362.7</v>
      </c>
      <c r="E5" s="458">
        <v>0</v>
      </c>
      <c r="F5" s="458">
        <v>0</v>
      </c>
      <c r="G5" s="459">
        <f t="shared" ref="G5:G22" si="0">D5+E5-F5</f>
        <v>362.7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0.79930000000000001</v>
      </c>
      <c r="L5" s="454" t="s">
        <v>182</v>
      </c>
      <c r="M5" s="453"/>
      <c r="N5" s="452" t="s">
        <v>79</v>
      </c>
      <c r="O5" s="451">
        <f t="shared" ref="O5:O22" si="5">D5</f>
        <v>362.7</v>
      </c>
      <c r="P5" s="450">
        <f>('ETHYLENE-A1'!K85)/10</f>
        <v>362.7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'LDPE-A2'!K27/10</f>
        <v>115.8</v>
      </c>
      <c r="D6" s="459">
        <f>'LDPE-A2'!K56/10</f>
        <v>96.329000000000008</v>
      </c>
      <c r="E6" s="458">
        <v>13</v>
      </c>
      <c r="F6" s="458">
        <v>23</v>
      </c>
      <c r="G6" s="459">
        <f t="shared" si="0"/>
        <v>86.329000000000008</v>
      </c>
      <c r="H6" s="455">
        <f t="shared" si="1"/>
        <v>0.15060000000000001</v>
      </c>
      <c r="I6" s="455">
        <f t="shared" si="2"/>
        <v>0.23880000000000001</v>
      </c>
      <c r="J6" s="456">
        <f t="shared" si="3"/>
        <v>10</v>
      </c>
      <c r="K6" s="455">
        <f t="shared" si="4"/>
        <v>0.83189999999999997</v>
      </c>
      <c r="L6" s="454" t="s">
        <v>181</v>
      </c>
      <c r="M6" s="453"/>
      <c r="N6" s="452" t="s">
        <v>78</v>
      </c>
      <c r="O6" s="451">
        <f t="shared" si="5"/>
        <v>96.329000000000008</v>
      </c>
      <c r="P6" s="450">
        <f>('LDPE-A2'!K85)/10</f>
        <v>86</v>
      </c>
      <c r="Q6" s="449">
        <f t="shared" ref="Q6:Q22" si="6">O6-P6</f>
        <v>10.329000000000008</v>
      </c>
      <c r="R6" s="448"/>
    </row>
    <row r="7" spans="1:18">
      <c r="A7" s="453"/>
      <c r="B7" s="460" t="s">
        <v>76</v>
      </c>
      <c r="C7" s="459">
        <f>'HDPE-A3'!K27/10</f>
        <v>176.5</v>
      </c>
      <c r="D7" s="459">
        <f>'HDPE-A3'!K56/10</f>
        <v>145.5</v>
      </c>
      <c r="E7" s="458">
        <v>21</v>
      </c>
      <c r="F7" s="458">
        <v>14</v>
      </c>
      <c r="G7" s="459">
        <f t="shared" si="0"/>
        <v>152.5</v>
      </c>
      <c r="H7" s="455">
        <f t="shared" si="1"/>
        <v>0.13769999999999999</v>
      </c>
      <c r="I7" s="455">
        <f t="shared" si="2"/>
        <v>9.6199999999999994E-2</v>
      </c>
      <c r="J7" s="456">
        <f t="shared" si="3"/>
        <v>-7</v>
      </c>
      <c r="K7" s="455">
        <f t="shared" si="4"/>
        <v>0.82440000000000002</v>
      </c>
      <c r="L7" s="454" t="s">
        <v>180</v>
      </c>
      <c r="M7" s="453"/>
      <c r="N7" s="452" t="s">
        <v>76</v>
      </c>
      <c r="O7" s="451">
        <f t="shared" si="5"/>
        <v>145.5</v>
      </c>
      <c r="P7" s="450">
        <f>('HDPE-A3'!K85)/10</f>
        <v>152.9</v>
      </c>
      <c r="Q7" s="449">
        <f t="shared" si="6"/>
        <v>-7.4000000000000057</v>
      </c>
      <c r="R7" s="448"/>
    </row>
    <row r="8" spans="1:18">
      <c r="A8" s="453"/>
      <c r="B8" s="460" t="s">
        <v>75</v>
      </c>
      <c r="C8" s="459">
        <f>'SM-A6'!K27/10</f>
        <v>76.5</v>
      </c>
      <c r="D8" s="459">
        <f>'SM-A6'!K56/10</f>
        <v>69.099999999999994</v>
      </c>
      <c r="E8" s="458">
        <v>0</v>
      </c>
      <c r="F8" s="458">
        <v>20</v>
      </c>
      <c r="G8" s="459">
        <f t="shared" si="0"/>
        <v>49.099999999999994</v>
      </c>
      <c r="H8" s="455" t="str">
        <f t="shared" si="1"/>
        <v xml:space="preserve">     0%</v>
      </c>
      <c r="I8" s="455">
        <f t="shared" si="2"/>
        <v>0.28939999999999999</v>
      </c>
      <c r="J8" s="456">
        <f t="shared" si="3"/>
        <v>20</v>
      </c>
      <c r="K8" s="455">
        <f t="shared" si="4"/>
        <v>0.90329999999999999</v>
      </c>
      <c r="L8" s="454" t="s">
        <v>179</v>
      </c>
      <c r="M8" s="453"/>
      <c r="N8" s="452" t="s">
        <v>75</v>
      </c>
      <c r="O8" s="451">
        <f t="shared" si="5"/>
        <v>69.099999999999994</v>
      </c>
      <c r="P8" s="450">
        <f>('SM-A6'!K85)/10</f>
        <v>48.9</v>
      </c>
      <c r="Q8" s="449">
        <f t="shared" si="6"/>
        <v>20.199999999999996</v>
      </c>
      <c r="R8" s="448"/>
    </row>
    <row r="9" spans="1:18">
      <c r="A9" s="453"/>
      <c r="B9" s="460" t="s">
        <v>74</v>
      </c>
      <c r="C9" s="459">
        <f>'EG-A10'!K27/10</f>
        <v>70</v>
      </c>
      <c r="D9" s="459">
        <f>('EG-A10'!$K$56)/10</f>
        <v>30.689658000000001</v>
      </c>
      <c r="E9" s="458">
        <v>5</v>
      </c>
      <c r="F9" s="458">
        <v>4</v>
      </c>
      <c r="G9" s="459">
        <f t="shared" si="0"/>
        <v>31.689658000000001</v>
      </c>
      <c r="H9" s="455">
        <f t="shared" si="1"/>
        <v>0.1578</v>
      </c>
      <c r="I9" s="455">
        <f t="shared" si="2"/>
        <v>0.1303</v>
      </c>
      <c r="J9" s="456">
        <f t="shared" si="3"/>
        <v>-1</v>
      </c>
      <c r="K9" s="455">
        <f t="shared" si="4"/>
        <v>0.43840000000000001</v>
      </c>
      <c r="L9" s="454" t="s">
        <v>178</v>
      </c>
      <c r="M9" s="453"/>
      <c r="N9" s="452" t="s">
        <v>74</v>
      </c>
      <c r="O9" s="451">
        <f t="shared" si="5"/>
        <v>30.689658000000001</v>
      </c>
      <c r="P9" s="450">
        <f>('EG-A10'!K85)/10</f>
        <v>31.8</v>
      </c>
      <c r="Q9" s="449">
        <f t="shared" si="6"/>
        <v>-1.1103419999999993</v>
      </c>
      <c r="R9" s="448"/>
    </row>
    <row r="10" spans="1:18">
      <c r="A10" s="453"/>
      <c r="B10" s="460" t="s">
        <v>72</v>
      </c>
      <c r="C10" s="459">
        <f>'PVC-A7'!K27/10</f>
        <v>132</v>
      </c>
      <c r="D10" s="459">
        <f>'PVC-A7'!K56/10</f>
        <v>96.5</v>
      </c>
      <c r="E10" s="458">
        <v>18</v>
      </c>
      <c r="F10" s="458">
        <v>7</v>
      </c>
      <c r="G10" s="459">
        <f t="shared" si="0"/>
        <v>107.5</v>
      </c>
      <c r="H10" s="455">
        <f t="shared" si="1"/>
        <v>0.16739999999999999</v>
      </c>
      <c r="I10" s="455">
        <f t="shared" si="2"/>
        <v>7.2499999999999995E-2</v>
      </c>
      <c r="J10" s="456">
        <f t="shared" si="3"/>
        <v>-11</v>
      </c>
      <c r="K10" s="455">
        <f t="shared" si="4"/>
        <v>0.73109999999999997</v>
      </c>
      <c r="L10" s="454" t="s">
        <v>177</v>
      </c>
      <c r="M10" s="453"/>
      <c r="N10" s="452" t="s">
        <v>72</v>
      </c>
      <c r="O10" s="451">
        <f t="shared" si="5"/>
        <v>96.5</v>
      </c>
      <c r="P10" s="450">
        <f>('PVC-A7'!K85)/10</f>
        <v>107.8</v>
      </c>
      <c r="Q10" s="449">
        <f t="shared" si="6"/>
        <v>-11.299999999999997</v>
      </c>
      <c r="R10" s="448"/>
    </row>
    <row r="11" spans="1:18">
      <c r="A11" s="453"/>
      <c r="B11" s="460" t="s">
        <v>371</v>
      </c>
      <c r="C11" s="459">
        <f>'OTHER(C2)-A11'!K27/10</f>
        <v>75.5</v>
      </c>
      <c r="D11" s="459">
        <f>'OTHER(C2)-A11'!K56/10</f>
        <v>11.4</v>
      </c>
      <c r="E11" s="458">
        <v>0</v>
      </c>
      <c r="F11" s="458">
        <v>3</v>
      </c>
      <c r="G11" s="459">
        <f t="shared" si="0"/>
        <v>8.4</v>
      </c>
      <c r="H11" s="455" t="str">
        <f t="shared" si="1"/>
        <v xml:space="preserve">     0%</v>
      </c>
      <c r="I11" s="455">
        <f t="shared" si="2"/>
        <v>0.26319999999999999</v>
      </c>
      <c r="J11" s="456">
        <f t="shared" si="3"/>
        <v>3</v>
      </c>
      <c r="K11" s="455">
        <f t="shared" si="4"/>
        <v>0.151</v>
      </c>
      <c r="L11" s="454"/>
      <c r="M11" s="453"/>
      <c r="N11" s="460" t="s">
        <v>371</v>
      </c>
      <c r="O11" s="451">
        <f t="shared" si="5"/>
        <v>11.4</v>
      </c>
      <c r="P11" s="450">
        <f>('OTHER(C2)-A11'!K85)/10</f>
        <v>8.5</v>
      </c>
      <c r="Q11" s="449">
        <f t="shared" si="6"/>
        <v>2.9000000000000004</v>
      </c>
      <c r="R11" s="448"/>
    </row>
    <row r="12" spans="1:18">
      <c r="A12" s="453"/>
      <c r="B12" s="460" t="s">
        <v>372</v>
      </c>
      <c r="C12" s="462">
        <f>C6*0.98+C7*1.04+C8*0.29+C9*0.66+C10*0.5+C11</f>
        <v>506.92899999999997</v>
      </c>
      <c r="D12" s="462">
        <f>D6*0.98+D7*1.04+D8*0.29+D9*0.66+D10*0.5+D11</f>
        <v>345.66659427999997</v>
      </c>
      <c r="E12" s="462">
        <f>E6*0.98+E7*1.04+E8*0.29+E9*0.66+E10*0.5</f>
        <v>46.879999999999995</v>
      </c>
      <c r="F12" s="462">
        <f>F6*0.98+F7*1.04+F8*0.29+F9*0.66+F10*0.5</f>
        <v>49.04</v>
      </c>
      <c r="G12" s="459">
        <f t="shared" si="0"/>
        <v>343.50659427999994</v>
      </c>
      <c r="H12" s="455">
        <f t="shared" si="1"/>
        <v>0.13650000000000001</v>
      </c>
      <c r="I12" s="455">
        <f t="shared" si="2"/>
        <v>0.1419</v>
      </c>
      <c r="J12" s="456">
        <f t="shared" si="3"/>
        <v>2.160000000000025</v>
      </c>
      <c r="K12" s="455">
        <f t="shared" si="4"/>
        <v>0.68189999999999995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4.8015942800000033</v>
      </c>
      <c r="R12" s="448"/>
    </row>
    <row r="13" spans="1:18">
      <c r="A13" s="453"/>
      <c r="B13" s="460" t="s">
        <v>373</v>
      </c>
      <c r="C13" s="459">
        <f>'PROPYLENE-A12'!K27/10</f>
        <v>282.7</v>
      </c>
      <c r="D13" s="459">
        <f>'PROPYLENE-A12'!K56/10</f>
        <v>245.45500000000001</v>
      </c>
      <c r="E13" s="458">
        <v>0</v>
      </c>
      <c r="F13" s="458">
        <v>24</v>
      </c>
      <c r="G13" s="459">
        <f t="shared" si="0"/>
        <v>221.45500000000001</v>
      </c>
      <c r="H13" s="455" t="str">
        <f t="shared" si="1"/>
        <v xml:space="preserve">     0%</v>
      </c>
      <c r="I13" s="455">
        <f t="shared" si="2"/>
        <v>9.7799999999999998E-2</v>
      </c>
      <c r="J13" s="456">
        <f t="shared" si="3"/>
        <v>24</v>
      </c>
      <c r="K13" s="455">
        <f t="shared" si="4"/>
        <v>0.86829999999999996</v>
      </c>
      <c r="L13" s="454" t="s">
        <v>176</v>
      </c>
      <c r="M13" s="453"/>
      <c r="N13" s="460" t="s">
        <v>373</v>
      </c>
      <c r="O13" s="451">
        <f t="shared" si="5"/>
        <v>245.45500000000001</v>
      </c>
      <c r="P13" s="450">
        <f>('PROPYLENE-A12'!K85)/10</f>
        <v>221.3</v>
      </c>
      <c r="Q13" s="449">
        <f t="shared" si="6"/>
        <v>24.155000000000001</v>
      </c>
      <c r="R13" s="448"/>
    </row>
    <row r="14" spans="1:18">
      <c r="A14" s="453"/>
      <c r="B14" s="460" t="s">
        <v>69</v>
      </c>
      <c r="C14" s="459">
        <f>'PP-A13'!K27/10</f>
        <v>165</v>
      </c>
      <c r="D14" s="459">
        <f>'PP-A13'!K56/10</f>
        <v>158.69</v>
      </c>
      <c r="E14" s="458">
        <v>9</v>
      </c>
      <c r="F14" s="458">
        <v>32</v>
      </c>
      <c r="G14" s="459">
        <f t="shared" si="0"/>
        <v>135.69</v>
      </c>
      <c r="H14" s="455">
        <f t="shared" si="1"/>
        <v>6.6299999999999998E-2</v>
      </c>
      <c r="I14" s="455">
        <f t="shared" si="2"/>
        <v>0.20169999999999999</v>
      </c>
      <c r="J14" s="456">
        <f t="shared" si="3"/>
        <v>23</v>
      </c>
      <c r="K14" s="455">
        <f t="shared" si="4"/>
        <v>0.96179999999999999</v>
      </c>
      <c r="L14" s="454" t="s">
        <v>175</v>
      </c>
      <c r="M14" s="453"/>
      <c r="N14" s="452" t="s">
        <v>69</v>
      </c>
      <c r="O14" s="451">
        <f t="shared" si="5"/>
        <v>158.69</v>
      </c>
      <c r="P14" s="450">
        <f>('PP-A13'!K85)/10</f>
        <v>136.1</v>
      </c>
      <c r="Q14" s="449">
        <f t="shared" si="6"/>
        <v>22.590000000000003</v>
      </c>
      <c r="R14" s="448"/>
    </row>
    <row r="15" spans="1:18">
      <c r="A15" s="453"/>
      <c r="B15" s="460" t="s">
        <v>67</v>
      </c>
      <c r="C15" s="459">
        <f>'AN-A14'!K27/10</f>
        <v>28.5</v>
      </c>
      <c r="D15" s="459">
        <f>'AN-A14'!K56/10</f>
        <v>28.5</v>
      </c>
      <c r="E15" s="458">
        <v>0</v>
      </c>
      <c r="F15" s="458">
        <v>20</v>
      </c>
      <c r="G15" s="459">
        <f t="shared" si="0"/>
        <v>8.5</v>
      </c>
      <c r="H15" s="455" t="str">
        <f t="shared" si="1"/>
        <v xml:space="preserve">     0%</v>
      </c>
      <c r="I15" s="455">
        <f t="shared" si="2"/>
        <v>0.70179999999999998</v>
      </c>
      <c r="J15" s="456">
        <f t="shared" si="3"/>
        <v>20</v>
      </c>
      <c r="K15" s="455">
        <f t="shared" si="4"/>
        <v>1</v>
      </c>
      <c r="L15" s="454" t="s">
        <v>174</v>
      </c>
      <c r="M15" s="453"/>
      <c r="N15" s="452" t="s">
        <v>67</v>
      </c>
      <c r="O15" s="451">
        <f t="shared" si="5"/>
        <v>28.5</v>
      </c>
      <c r="P15" s="450">
        <f>('AN-A14'!K85)/10</f>
        <v>9.3183120000000006</v>
      </c>
      <c r="Q15" s="449">
        <f t="shared" si="6"/>
        <v>19.181688000000001</v>
      </c>
      <c r="R15" s="448"/>
    </row>
    <row r="16" spans="1:18">
      <c r="A16" s="453"/>
      <c r="B16" s="460" t="s">
        <v>371</v>
      </c>
      <c r="C16" s="459">
        <f>'OTHER(C3)-A15'!K27/10</f>
        <v>54.8</v>
      </c>
      <c r="D16" s="459">
        <f>'OTHER(C3)-A15'!K56/10</f>
        <v>45.1</v>
      </c>
      <c r="E16" s="458">
        <v>3</v>
      </c>
      <c r="F16" s="458">
        <v>8</v>
      </c>
      <c r="G16" s="459">
        <f t="shared" si="0"/>
        <v>40.1</v>
      </c>
      <c r="H16" s="455">
        <f t="shared" si="1"/>
        <v>7.4800000000000005E-2</v>
      </c>
      <c r="I16" s="455">
        <f t="shared" si="2"/>
        <v>0.1774</v>
      </c>
      <c r="J16" s="456">
        <f t="shared" si="3"/>
        <v>5</v>
      </c>
      <c r="K16" s="455">
        <f t="shared" si="4"/>
        <v>0.82299999999999995</v>
      </c>
      <c r="L16" s="454"/>
      <c r="M16" s="453"/>
      <c r="N16" s="460" t="s">
        <v>371</v>
      </c>
      <c r="O16" s="451">
        <f t="shared" si="5"/>
        <v>45.1</v>
      </c>
      <c r="P16" s="450">
        <f>('OTHER(C3)-A15'!K85)/10</f>
        <v>40.769807999999998</v>
      </c>
      <c r="Q16" s="449">
        <f t="shared" si="6"/>
        <v>4.3301920000000038</v>
      </c>
      <c r="R16" s="448"/>
    </row>
    <row r="17" spans="1:18">
      <c r="A17" s="453"/>
      <c r="B17" s="460" t="s">
        <v>374</v>
      </c>
      <c r="C17" s="459">
        <f>C14*1.03+C15*1.09+C16</f>
        <v>255.815</v>
      </c>
      <c r="D17" s="459">
        <f>D14*1.03+D15*1.09+D16</f>
        <v>239.6157</v>
      </c>
      <c r="E17" s="459">
        <f>E14*1.03+E15*1.09</f>
        <v>9.27</v>
      </c>
      <c r="F17" s="459">
        <f>F14*1.03+F15*1.09</f>
        <v>54.760000000000005</v>
      </c>
      <c r="G17" s="459">
        <f t="shared" si="0"/>
        <v>194.12569999999999</v>
      </c>
      <c r="H17" s="455">
        <f t="shared" si="1"/>
        <v>4.7800000000000002E-2</v>
      </c>
      <c r="I17" s="455">
        <f t="shared" si="2"/>
        <v>0.22850000000000001</v>
      </c>
      <c r="J17" s="456">
        <f t="shared" si="3"/>
        <v>45.490000000000009</v>
      </c>
      <c r="K17" s="455">
        <f t="shared" si="4"/>
        <v>0.93669999999999998</v>
      </c>
      <c r="L17" s="454"/>
      <c r="M17" s="453"/>
      <c r="N17" s="460" t="s">
        <v>374</v>
      </c>
      <c r="O17" s="451"/>
      <c r="P17" s="450"/>
      <c r="Q17" s="461">
        <f>Q14*1.03+Q15*1.09+Q16</f>
        <v>48.505931920000016</v>
      </c>
      <c r="R17" s="448"/>
    </row>
    <row r="18" spans="1:18">
      <c r="A18" s="453"/>
      <c r="B18" s="460" t="s">
        <v>375</v>
      </c>
      <c r="C18" s="459">
        <f>'BENZENE-A16'!K27/10</f>
        <v>198</v>
      </c>
      <c r="D18" s="459">
        <f>'BENZENE-A16'!K56/10</f>
        <v>146.5</v>
      </c>
      <c r="E18" s="458">
        <v>0</v>
      </c>
      <c r="F18" s="458">
        <v>14</v>
      </c>
      <c r="G18" s="459">
        <f t="shared" si="0"/>
        <v>132.5</v>
      </c>
      <c r="H18" s="455" t="str">
        <f t="shared" si="1"/>
        <v xml:space="preserve">     0%</v>
      </c>
      <c r="I18" s="455">
        <f t="shared" si="2"/>
        <v>9.5600000000000004E-2</v>
      </c>
      <c r="J18" s="456">
        <f t="shared" si="3"/>
        <v>14</v>
      </c>
      <c r="K18" s="455">
        <f t="shared" si="4"/>
        <v>0.7399</v>
      </c>
      <c r="L18" s="454" t="s">
        <v>173</v>
      </c>
      <c r="M18" s="453"/>
      <c r="N18" s="460" t="s">
        <v>375</v>
      </c>
      <c r="O18" s="451">
        <f t="shared" si="5"/>
        <v>146.5</v>
      </c>
      <c r="P18" s="450">
        <f>('BENZENE-A16'!K85)/10</f>
        <v>132.80000000000001</v>
      </c>
      <c r="Q18" s="449">
        <f t="shared" si="6"/>
        <v>13.699999999999989</v>
      </c>
      <c r="R18" s="448"/>
    </row>
    <row r="19" spans="1:18">
      <c r="A19" s="453"/>
      <c r="B19" s="460" t="s">
        <v>376</v>
      </c>
      <c r="C19" s="459">
        <f>'TOLUENE-A17'!K27/10</f>
        <v>37.5</v>
      </c>
      <c r="D19" s="459">
        <f>'TOLUENE-A17'!K56/10</f>
        <v>35</v>
      </c>
      <c r="E19" s="458">
        <v>0</v>
      </c>
      <c r="F19" s="458">
        <v>1</v>
      </c>
      <c r="G19" s="459">
        <f t="shared" si="0"/>
        <v>34</v>
      </c>
      <c r="H19" s="455" t="str">
        <f t="shared" si="1"/>
        <v xml:space="preserve">     0%</v>
      </c>
      <c r="I19" s="455">
        <f t="shared" si="2"/>
        <v>2.86E-2</v>
      </c>
      <c r="J19" s="456">
        <f t="shared" si="3"/>
        <v>1</v>
      </c>
      <c r="K19" s="455">
        <f t="shared" si="4"/>
        <v>0.93330000000000002</v>
      </c>
      <c r="L19" s="454" t="s">
        <v>172</v>
      </c>
      <c r="M19" s="453"/>
      <c r="N19" s="460" t="s">
        <v>376</v>
      </c>
      <c r="O19" s="451">
        <f t="shared" si="5"/>
        <v>35</v>
      </c>
      <c r="P19" s="450">
        <f>('TOLUENE-A17'!K85)/10</f>
        <v>34.1</v>
      </c>
      <c r="Q19" s="449">
        <f t="shared" si="6"/>
        <v>0.89999999999999858</v>
      </c>
      <c r="R19" s="448"/>
    </row>
    <row r="20" spans="1:18">
      <c r="A20" s="453"/>
      <c r="B20" s="460" t="s">
        <v>377</v>
      </c>
      <c r="C20" s="459">
        <f>'XYLENES-A18'!K27/10</f>
        <v>89.8</v>
      </c>
      <c r="D20" s="459">
        <f>'XYLENES-A18'!K56/10</f>
        <v>61.5</v>
      </c>
      <c r="E20" s="458">
        <v>0</v>
      </c>
      <c r="F20" s="458">
        <v>1</v>
      </c>
      <c r="G20" s="459">
        <f t="shared" si="0"/>
        <v>60.5</v>
      </c>
      <c r="H20" s="455" t="str">
        <f t="shared" si="1"/>
        <v xml:space="preserve">     0%</v>
      </c>
      <c r="I20" s="455">
        <f t="shared" si="2"/>
        <v>1.6299999999999999E-2</v>
      </c>
      <c r="J20" s="456">
        <f t="shared" si="3"/>
        <v>1</v>
      </c>
      <c r="K20" s="455">
        <f t="shared" si="4"/>
        <v>0.68489999999999995</v>
      </c>
      <c r="L20" s="454" t="s">
        <v>171</v>
      </c>
      <c r="M20" s="453"/>
      <c r="N20" s="460" t="s">
        <v>377</v>
      </c>
      <c r="O20" s="451">
        <f t="shared" si="5"/>
        <v>61.5</v>
      </c>
      <c r="P20" s="450">
        <f>('XYLENES-A18'!K85)/10</f>
        <v>60.8</v>
      </c>
      <c r="Q20" s="449">
        <f t="shared" si="6"/>
        <v>0.70000000000000284</v>
      </c>
      <c r="R20" s="448"/>
    </row>
    <row r="21" spans="1:18">
      <c r="A21" s="453"/>
      <c r="B21" s="460" t="s">
        <v>64</v>
      </c>
      <c r="C21" s="459">
        <f>'PX-A19'!K27/10</f>
        <v>51.5</v>
      </c>
      <c r="D21" s="459">
        <f>'PX-A19'!K56/10</f>
        <v>38</v>
      </c>
      <c r="E21" s="458">
        <v>0</v>
      </c>
      <c r="F21" s="458">
        <v>17</v>
      </c>
      <c r="G21" s="459">
        <f t="shared" si="0"/>
        <v>21</v>
      </c>
      <c r="H21" s="455" t="str">
        <f t="shared" si="1"/>
        <v xml:space="preserve">     0%</v>
      </c>
      <c r="I21" s="455">
        <f t="shared" si="2"/>
        <v>0.44740000000000002</v>
      </c>
      <c r="J21" s="456">
        <f t="shared" si="3"/>
        <v>17</v>
      </c>
      <c r="K21" s="455">
        <f t="shared" si="4"/>
        <v>0.7379</v>
      </c>
      <c r="L21" s="454" t="s">
        <v>170</v>
      </c>
      <c r="M21" s="453"/>
      <c r="N21" s="452" t="s">
        <v>64</v>
      </c>
      <c r="O21" s="451">
        <f t="shared" si="5"/>
        <v>38</v>
      </c>
      <c r="P21" s="450">
        <f>('PX-A19'!K85)/10</f>
        <v>21</v>
      </c>
      <c r="Q21" s="449">
        <f t="shared" si="6"/>
        <v>17</v>
      </c>
      <c r="R21" s="448"/>
    </row>
    <row r="22" spans="1:18">
      <c r="A22" s="453"/>
      <c r="B22" s="460" t="s">
        <v>62</v>
      </c>
      <c r="C22" s="459">
        <f>'PTA-A20'!K27/10</f>
        <v>26</v>
      </c>
      <c r="D22" s="459">
        <f>'PTA-A20'!K56/10</f>
        <v>26</v>
      </c>
      <c r="E22" s="458">
        <v>21</v>
      </c>
      <c r="F22" s="458">
        <v>0</v>
      </c>
      <c r="G22" s="459">
        <f t="shared" si="0"/>
        <v>47</v>
      </c>
      <c r="H22" s="455">
        <f t="shared" si="1"/>
        <v>0.44679999999999997</v>
      </c>
      <c r="I22" s="455" t="str">
        <f t="shared" si="2"/>
        <v xml:space="preserve">     0%</v>
      </c>
      <c r="J22" s="456">
        <f t="shared" si="3"/>
        <v>-21</v>
      </c>
      <c r="K22" s="455">
        <f t="shared" si="4"/>
        <v>1</v>
      </c>
      <c r="L22" s="454" t="s">
        <v>169</v>
      </c>
      <c r="M22" s="453"/>
      <c r="N22" s="452" t="s">
        <v>62</v>
      </c>
      <c r="O22" s="451">
        <f t="shared" si="5"/>
        <v>26</v>
      </c>
      <c r="P22" s="450">
        <f>('PTA-A20'!K85)/10</f>
        <v>47.2</v>
      </c>
      <c r="Q22" s="449">
        <f t="shared" si="6"/>
        <v>-21.200000000000003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8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56.12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408</v>
      </c>
      <c r="B1" s="475"/>
      <c r="C1" s="453"/>
      <c r="D1" s="453"/>
      <c r="E1" s="453"/>
      <c r="F1" s="453"/>
      <c r="G1" s="453" t="s">
        <v>280</v>
      </c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'ETHYLENE-A1'!Q27/10</f>
        <v>780.8</v>
      </c>
      <c r="D5" s="459">
        <f>'ETHYLENE-A1'!Q56/10</f>
        <v>624.6</v>
      </c>
      <c r="E5" s="458">
        <v>0</v>
      </c>
      <c r="F5" s="458">
        <v>0</v>
      </c>
      <c r="G5" s="459">
        <f t="shared" ref="G5:G22" si="0">D5+E5-F5</f>
        <v>624.6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0.79990000000000006</v>
      </c>
      <c r="L5" s="454" t="s">
        <v>186</v>
      </c>
      <c r="M5" s="453"/>
      <c r="N5" s="452" t="s">
        <v>79</v>
      </c>
      <c r="O5" s="451">
        <f t="shared" ref="O5:O22" si="5">D5</f>
        <v>624.6</v>
      </c>
      <c r="P5" s="450">
        <f>('ETHYLENE-A1'!Q85)/10</f>
        <v>624.6</v>
      </c>
      <c r="Q5" s="449">
        <f>O5-P5</f>
        <v>0</v>
      </c>
      <c r="R5" s="448"/>
    </row>
    <row r="6" spans="1:18">
      <c r="A6" s="453"/>
      <c r="B6" s="460" t="s">
        <v>78</v>
      </c>
      <c r="C6" s="459">
        <f>'LDPE-A2'!Q27/10</f>
        <v>195.8</v>
      </c>
      <c r="D6" s="459">
        <f>'LDPE-A2'!Q56/10</f>
        <v>161.19999999999999</v>
      </c>
      <c r="E6" s="458">
        <v>4</v>
      </c>
      <c r="F6" s="458">
        <v>71</v>
      </c>
      <c r="G6" s="459">
        <f t="shared" si="0"/>
        <v>94.199999999999989</v>
      </c>
      <c r="H6" s="455">
        <f t="shared" si="1"/>
        <v>4.2500000000000003E-2</v>
      </c>
      <c r="I6" s="455">
        <f t="shared" si="2"/>
        <v>0.44040000000000001</v>
      </c>
      <c r="J6" s="456">
        <f t="shared" si="3"/>
        <v>67</v>
      </c>
      <c r="K6" s="455">
        <f t="shared" si="4"/>
        <v>0.82330000000000003</v>
      </c>
      <c r="L6" s="454" t="s">
        <v>281</v>
      </c>
      <c r="M6" s="453"/>
      <c r="N6" s="452" t="s">
        <v>78</v>
      </c>
      <c r="O6" s="451">
        <f t="shared" si="5"/>
        <v>161.19999999999999</v>
      </c>
      <c r="P6" s="450">
        <f>('LDPE-A2'!Q85)/10</f>
        <v>93.943291720202282</v>
      </c>
      <c r="Q6" s="449">
        <f t="shared" ref="Q6:Q22" si="6">O6-P6</f>
        <v>67.256708279797706</v>
      </c>
      <c r="R6" s="448"/>
    </row>
    <row r="7" spans="1:18">
      <c r="A7" s="453"/>
      <c r="B7" s="460" t="s">
        <v>76</v>
      </c>
      <c r="C7" s="459">
        <f>'HDPE-A3'!Q27/10</f>
        <v>499.5</v>
      </c>
      <c r="D7" s="459">
        <f>'HDPE-A3'!Q56/10</f>
        <v>380</v>
      </c>
      <c r="E7" s="458">
        <v>10</v>
      </c>
      <c r="F7" s="458">
        <v>170</v>
      </c>
      <c r="G7" s="459">
        <f t="shared" si="0"/>
        <v>220</v>
      </c>
      <c r="H7" s="455">
        <f t="shared" si="1"/>
        <v>4.5499999999999999E-2</v>
      </c>
      <c r="I7" s="455">
        <f t="shared" si="2"/>
        <v>0.44740000000000002</v>
      </c>
      <c r="J7" s="456">
        <f t="shared" si="3"/>
        <v>160</v>
      </c>
      <c r="K7" s="455">
        <f t="shared" si="4"/>
        <v>0.76080000000000003</v>
      </c>
      <c r="L7" s="454" t="s">
        <v>185</v>
      </c>
      <c r="M7" s="453"/>
      <c r="N7" s="452" t="s">
        <v>76</v>
      </c>
      <c r="O7" s="451">
        <f t="shared" si="5"/>
        <v>380</v>
      </c>
      <c r="P7" s="450">
        <f>('HDPE-A3'!Q85)/10</f>
        <v>220</v>
      </c>
      <c r="Q7" s="449">
        <f t="shared" si="6"/>
        <v>160</v>
      </c>
      <c r="R7" s="448"/>
    </row>
    <row r="8" spans="1:18">
      <c r="A8" s="453"/>
      <c r="B8" s="460" t="s">
        <v>75</v>
      </c>
      <c r="C8" s="459">
        <f>'SM-A6'!Q27/10</f>
        <v>76.5</v>
      </c>
      <c r="D8" s="459">
        <f>'SM-A6'!Q56/10</f>
        <v>75.482342533325337</v>
      </c>
      <c r="E8" s="458">
        <v>0</v>
      </c>
      <c r="F8" s="458">
        <v>22</v>
      </c>
      <c r="G8" s="459">
        <f t="shared" si="0"/>
        <v>53.482342533325337</v>
      </c>
      <c r="H8" s="455" t="str">
        <f t="shared" si="1"/>
        <v xml:space="preserve">     0%</v>
      </c>
      <c r="I8" s="455">
        <f t="shared" si="2"/>
        <v>0.29149999999999998</v>
      </c>
      <c r="J8" s="456">
        <f t="shared" si="3"/>
        <v>22</v>
      </c>
      <c r="K8" s="455">
        <f t="shared" si="4"/>
        <v>0.98670000000000002</v>
      </c>
      <c r="L8" s="454" t="s">
        <v>179</v>
      </c>
      <c r="M8" s="453"/>
      <c r="N8" s="452" t="s">
        <v>75</v>
      </c>
      <c r="O8" s="451">
        <f t="shared" si="5"/>
        <v>75.482342533325337</v>
      </c>
      <c r="P8" s="450">
        <f>('SM-A6'!Q85)/10</f>
        <v>53.416592617649904</v>
      </c>
      <c r="Q8" s="449">
        <f t="shared" si="6"/>
        <v>22.065749915675433</v>
      </c>
      <c r="R8" s="448"/>
    </row>
    <row r="9" spans="1:18">
      <c r="A9" s="453"/>
      <c r="B9" s="460" t="s">
        <v>74</v>
      </c>
      <c r="C9" s="459">
        <f>'EG-A10'!Q27/10</f>
        <v>70</v>
      </c>
      <c r="D9" s="459">
        <f>'EG-A10'!Q56/10</f>
        <v>33.524273189386513</v>
      </c>
      <c r="E9" s="458">
        <v>5</v>
      </c>
      <c r="F9" s="458">
        <v>6</v>
      </c>
      <c r="G9" s="459">
        <f t="shared" si="0"/>
        <v>32.524273189386513</v>
      </c>
      <c r="H9" s="455">
        <f t="shared" si="1"/>
        <v>0.1537</v>
      </c>
      <c r="I9" s="455">
        <f t="shared" si="2"/>
        <v>0.17899999999999999</v>
      </c>
      <c r="J9" s="456">
        <f t="shared" si="3"/>
        <v>1</v>
      </c>
      <c r="K9" s="455">
        <f t="shared" si="4"/>
        <v>0.47889999999999999</v>
      </c>
      <c r="L9" s="454" t="s">
        <v>178</v>
      </c>
      <c r="M9" s="453"/>
      <c r="N9" s="452" t="s">
        <v>74</v>
      </c>
      <c r="O9" s="451">
        <f t="shared" si="5"/>
        <v>33.524273189386513</v>
      </c>
      <c r="P9" s="450">
        <f>('EG-A10'!Q85)/10</f>
        <v>33</v>
      </c>
      <c r="Q9" s="449">
        <f t="shared" si="6"/>
        <v>0.52427318938651268</v>
      </c>
      <c r="R9" s="448"/>
    </row>
    <row r="10" spans="1:18">
      <c r="A10" s="453"/>
      <c r="B10" s="460" t="s">
        <v>72</v>
      </c>
      <c r="C10" s="459">
        <f>'PVC-A7'!Q27/10</f>
        <v>142</v>
      </c>
      <c r="D10" s="459">
        <f>'PVC-A7'!Q56/10</f>
        <v>105.41311222092466</v>
      </c>
      <c r="E10" s="458">
        <v>18</v>
      </c>
      <c r="F10" s="458">
        <v>7</v>
      </c>
      <c r="G10" s="459">
        <f t="shared" si="0"/>
        <v>116.41311222092466</v>
      </c>
      <c r="H10" s="455">
        <f t="shared" si="1"/>
        <v>0.15459999999999999</v>
      </c>
      <c r="I10" s="455">
        <f t="shared" si="2"/>
        <v>6.6400000000000001E-2</v>
      </c>
      <c r="J10" s="456">
        <f t="shared" si="3"/>
        <v>-11</v>
      </c>
      <c r="K10" s="455">
        <f t="shared" si="4"/>
        <v>0.74229999999999996</v>
      </c>
      <c r="L10" s="454" t="s">
        <v>177</v>
      </c>
      <c r="M10" s="453"/>
      <c r="N10" s="452" t="s">
        <v>72</v>
      </c>
      <c r="O10" s="451">
        <f t="shared" si="5"/>
        <v>105.41311222092466</v>
      </c>
      <c r="P10" s="450">
        <f>('PVC-A7'!Q85)/10</f>
        <v>116.1</v>
      </c>
      <c r="Q10" s="449">
        <f t="shared" si="6"/>
        <v>-10.686887779075334</v>
      </c>
      <c r="R10" s="448"/>
    </row>
    <row r="11" spans="1:18">
      <c r="A11" s="453"/>
      <c r="B11" s="460" t="s">
        <v>371</v>
      </c>
      <c r="C11" s="459">
        <f>'OTHER(C2)-A11'!Q27/10</f>
        <v>75.5</v>
      </c>
      <c r="D11" s="459">
        <f>'OTHER(C2)-A11'!Q56/10</f>
        <v>12.5</v>
      </c>
      <c r="E11" s="458">
        <v>0</v>
      </c>
      <c r="F11" s="458">
        <v>3</v>
      </c>
      <c r="G11" s="459">
        <f t="shared" si="0"/>
        <v>9.5</v>
      </c>
      <c r="H11" s="455" t="str">
        <f t="shared" si="1"/>
        <v xml:space="preserve">     0%</v>
      </c>
      <c r="I11" s="455">
        <f t="shared" si="2"/>
        <v>0.24</v>
      </c>
      <c r="J11" s="456">
        <f t="shared" si="3"/>
        <v>3</v>
      </c>
      <c r="K11" s="455">
        <f t="shared" si="4"/>
        <v>0.1656</v>
      </c>
      <c r="L11" s="454"/>
      <c r="M11" s="453"/>
      <c r="N11" s="460" t="s">
        <v>371</v>
      </c>
      <c r="O11" s="451">
        <f t="shared" si="5"/>
        <v>12.5</v>
      </c>
      <c r="P11" s="450">
        <f>('OTHER(C2)-A11'!Q85)/10</f>
        <v>9.3000000000000007</v>
      </c>
      <c r="Q11" s="449">
        <f t="shared" si="6"/>
        <v>3.1999999999999993</v>
      </c>
      <c r="R11" s="448"/>
    </row>
    <row r="12" spans="1:18">
      <c r="A12" s="453"/>
      <c r="B12" s="460" t="s">
        <v>372</v>
      </c>
      <c r="C12" s="462">
        <f>C6*0.98+C7*1.04+C8*0.29+C9*0.66+C10*0.5+C11</f>
        <v>926.24900000000002</v>
      </c>
      <c r="D12" s="462">
        <f>D6*0.98+D7*1.04+D8*0.29+D9*0.66+D10*0.5+D11</f>
        <v>662.39845575012168</v>
      </c>
      <c r="E12" s="462">
        <f>E6*0.98+E7*1.04+E8*0.29+E9*0.66+E10*0.5</f>
        <v>26.62</v>
      </c>
      <c r="F12" s="462">
        <f>F6*0.98+F7*1.04+F8*0.29+F9*0.66+F10*0.5</f>
        <v>260.21999999999997</v>
      </c>
      <c r="G12" s="459">
        <f t="shared" si="0"/>
        <v>428.79845575012172</v>
      </c>
      <c r="H12" s="455">
        <f t="shared" si="1"/>
        <v>6.2100000000000002E-2</v>
      </c>
      <c r="I12" s="455">
        <f t="shared" si="2"/>
        <v>0.39279999999999998</v>
      </c>
      <c r="J12" s="456">
        <f t="shared" si="3"/>
        <v>233.59999999999997</v>
      </c>
      <c r="K12" s="455">
        <f t="shared" si="4"/>
        <v>0.71509999999999996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236.91321800520507</v>
      </c>
      <c r="R12" s="448"/>
    </row>
    <row r="13" spans="1:18">
      <c r="A13" s="453"/>
      <c r="B13" s="460" t="s">
        <v>373</v>
      </c>
      <c r="C13" s="459">
        <f>'PROPYLENE-A12'!Q27/10</f>
        <v>416.7</v>
      </c>
      <c r="D13" s="459">
        <f>'PROPYLENE-A12'!Q56/10</f>
        <v>362.5</v>
      </c>
      <c r="E13" s="458">
        <v>0</v>
      </c>
      <c r="F13" s="458">
        <v>26</v>
      </c>
      <c r="G13" s="459">
        <f t="shared" si="0"/>
        <v>336.5</v>
      </c>
      <c r="H13" s="455" t="str">
        <f t="shared" si="1"/>
        <v xml:space="preserve">     0%</v>
      </c>
      <c r="I13" s="455">
        <f t="shared" si="2"/>
        <v>7.17E-2</v>
      </c>
      <c r="J13" s="456">
        <f t="shared" si="3"/>
        <v>26</v>
      </c>
      <c r="K13" s="455">
        <f t="shared" si="4"/>
        <v>0.86990000000000001</v>
      </c>
      <c r="L13" s="454" t="s">
        <v>184</v>
      </c>
      <c r="M13" s="453"/>
      <c r="N13" s="460" t="s">
        <v>373</v>
      </c>
      <c r="O13" s="451">
        <f t="shared" si="5"/>
        <v>362.5</v>
      </c>
      <c r="P13" s="450">
        <f>('PROPYLENE-A12'!Q85)/10</f>
        <v>337</v>
      </c>
      <c r="Q13" s="449">
        <f t="shared" si="6"/>
        <v>25.5</v>
      </c>
      <c r="R13" s="448"/>
    </row>
    <row r="14" spans="1:18">
      <c r="A14" s="453"/>
      <c r="B14" s="460" t="s">
        <v>69</v>
      </c>
      <c r="C14" s="459">
        <f>'PP-A13'!Q27/10</f>
        <v>386</v>
      </c>
      <c r="D14" s="459">
        <f>'PP-A13'!Q56/10</f>
        <v>328.1</v>
      </c>
      <c r="E14" s="458">
        <v>9</v>
      </c>
      <c r="F14" s="458">
        <v>128</v>
      </c>
      <c r="G14" s="459">
        <f t="shared" si="0"/>
        <v>209.10000000000002</v>
      </c>
      <c r="H14" s="455">
        <f t="shared" si="1"/>
        <v>4.2999999999999997E-2</v>
      </c>
      <c r="I14" s="455">
        <f t="shared" si="2"/>
        <v>0.3901</v>
      </c>
      <c r="J14" s="456">
        <f t="shared" si="3"/>
        <v>119</v>
      </c>
      <c r="K14" s="455">
        <f t="shared" si="4"/>
        <v>0.85</v>
      </c>
      <c r="L14" s="454" t="s">
        <v>184</v>
      </c>
      <c r="M14" s="453"/>
      <c r="N14" s="452" t="s">
        <v>69</v>
      </c>
      <c r="O14" s="451">
        <f t="shared" si="5"/>
        <v>328.1</v>
      </c>
      <c r="P14" s="450">
        <f>('PP-A13'!Q85)/10</f>
        <v>208.7</v>
      </c>
      <c r="Q14" s="449">
        <f t="shared" si="6"/>
        <v>119.40000000000003</v>
      </c>
      <c r="R14" s="448"/>
    </row>
    <row r="15" spans="1:18">
      <c r="A15" s="453"/>
      <c r="B15" s="460" t="s">
        <v>67</v>
      </c>
      <c r="C15" s="459">
        <f>'AN-A14'!Q27/10</f>
        <v>32.5</v>
      </c>
      <c r="D15" s="459">
        <f>'AN-A14'!Q56/10</f>
        <v>32.5</v>
      </c>
      <c r="E15" s="458">
        <v>0</v>
      </c>
      <c r="F15" s="458">
        <v>22</v>
      </c>
      <c r="G15" s="459">
        <f t="shared" si="0"/>
        <v>10.5</v>
      </c>
      <c r="H15" s="455" t="str">
        <f t="shared" si="1"/>
        <v xml:space="preserve">     0%</v>
      </c>
      <c r="I15" s="455">
        <f t="shared" si="2"/>
        <v>0.67689999999999995</v>
      </c>
      <c r="J15" s="456">
        <f t="shared" si="3"/>
        <v>22</v>
      </c>
      <c r="K15" s="455">
        <f t="shared" si="4"/>
        <v>1</v>
      </c>
      <c r="L15" s="454" t="s">
        <v>174</v>
      </c>
      <c r="M15" s="453"/>
      <c r="N15" s="452" t="s">
        <v>67</v>
      </c>
      <c r="O15" s="451">
        <f t="shared" si="5"/>
        <v>32.5</v>
      </c>
      <c r="P15" s="450">
        <f>('AN-A14'!Q85)/10</f>
        <v>10.1</v>
      </c>
      <c r="Q15" s="449">
        <f t="shared" si="6"/>
        <v>22.4</v>
      </c>
      <c r="R15" s="448"/>
    </row>
    <row r="16" spans="1:18">
      <c r="A16" s="453"/>
      <c r="B16" s="460" t="s">
        <v>371</v>
      </c>
      <c r="C16" s="459">
        <f>'OTHER(C3)-A15'!Q27/10</f>
        <v>54.8</v>
      </c>
      <c r="D16" s="459">
        <f>'OTHER(C3)-A15'!Q56/10</f>
        <v>49.2</v>
      </c>
      <c r="E16" s="458">
        <v>0</v>
      </c>
      <c r="F16" s="458">
        <v>5</v>
      </c>
      <c r="G16" s="459">
        <f t="shared" si="0"/>
        <v>44.2</v>
      </c>
      <c r="H16" s="455" t="str">
        <f t="shared" si="1"/>
        <v xml:space="preserve">     0%</v>
      </c>
      <c r="I16" s="455">
        <f t="shared" si="2"/>
        <v>0.1016</v>
      </c>
      <c r="J16" s="456">
        <f t="shared" si="3"/>
        <v>5</v>
      </c>
      <c r="K16" s="455">
        <f t="shared" si="4"/>
        <v>0.89780000000000004</v>
      </c>
      <c r="L16" s="454"/>
      <c r="M16" s="453"/>
      <c r="N16" s="460" t="s">
        <v>371</v>
      </c>
      <c r="O16" s="451">
        <f t="shared" si="5"/>
        <v>49.2</v>
      </c>
      <c r="P16" s="450">
        <f>('OTHER(C3)-A15'!Q85)/10</f>
        <v>44.5</v>
      </c>
      <c r="Q16" s="449">
        <f t="shared" si="6"/>
        <v>4.7000000000000028</v>
      </c>
      <c r="R16" s="448"/>
    </row>
    <row r="17" spans="1:18">
      <c r="A17" s="453"/>
      <c r="B17" s="460" t="s">
        <v>374</v>
      </c>
      <c r="C17" s="459">
        <f>C14*1.03+C15*1.09+C16</f>
        <v>487.80500000000001</v>
      </c>
      <c r="D17" s="459">
        <f>D14*1.03+D15*1.09+D16</f>
        <v>422.56800000000004</v>
      </c>
      <c r="E17" s="459">
        <f>E14*1.03+E15*1.09</f>
        <v>9.27</v>
      </c>
      <c r="F17" s="459">
        <f>F14*1.03+F15*1.09</f>
        <v>155.82</v>
      </c>
      <c r="G17" s="459">
        <f t="shared" si="0"/>
        <v>276.01800000000003</v>
      </c>
      <c r="H17" s="455">
        <f t="shared" si="1"/>
        <v>3.3599999999999998E-2</v>
      </c>
      <c r="I17" s="455">
        <f t="shared" si="2"/>
        <v>0.36870000000000003</v>
      </c>
      <c r="J17" s="456">
        <f t="shared" si="3"/>
        <v>146.55000000000001</v>
      </c>
      <c r="K17" s="455">
        <f t="shared" si="4"/>
        <v>0.86629999999999996</v>
      </c>
      <c r="L17" s="454"/>
      <c r="M17" s="453"/>
      <c r="N17" s="460" t="s">
        <v>374</v>
      </c>
      <c r="O17" s="451"/>
      <c r="P17" s="450"/>
      <c r="Q17" s="461">
        <f>Q14*1.03+Q15*1.09+Q16</f>
        <v>152.09800000000007</v>
      </c>
      <c r="R17" s="448"/>
    </row>
    <row r="18" spans="1:18">
      <c r="A18" s="453"/>
      <c r="B18" s="460" t="s">
        <v>375</v>
      </c>
      <c r="C18" s="459">
        <f>'BENZENE-A16'!Q27/10</f>
        <v>204.4</v>
      </c>
      <c r="D18" s="459">
        <f>'BENZENE-A16'!Q56/10</f>
        <v>160.03130508150741</v>
      </c>
      <c r="E18" s="458">
        <v>0</v>
      </c>
      <c r="F18" s="458">
        <v>15</v>
      </c>
      <c r="G18" s="459">
        <f t="shared" si="0"/>
        <v>145.03130508150741</v>
      </c>
      <c r="H18" s="455" t="str">
        <f t="shared" si="1"/>
        <v xml:space="preserve">     0%</v>
      </c>
      <c r="I18" s="455">
        <f t="shared" si="2"/>
        <v>9.3700000000000006E-2</v>
      </c>
      <c r="J18" s="456">
        <f t="shared" si="3"/>
        <v>15</v>
      </c>
      <c r="K18" s="455">
        <f t="shared" si="4"/>
        <v>0.78290000000000004</v>
      </c>
      <c r="L18" s="454" t="s">
        <v>173</v>
      </c>
      <c r="M18" s="453"/>
      <c r="N18" s="460" t="s">
        <v>375</v>
      </c>
      <c r="O18" s="451">
        <f t="shared" si="5"/>
        <v>160.03130508150741</v>
      </c>
      <c r="P18" s="450">
        <f>('BENZENE-A16'!Q85)/10</f>
        <v>145.19999999999999</v>
      </c>
      <c r="Q18" s="449">
        <f t="shared" si="6"/>
        <v>14.831305081507423</v>
      </c>
      <c r="R18" s="448"/>
    </row>
    <row r="19" spans="1:18">
      <c r="A19" s="453"/>
      <c r="B19" s="460" t="s">
        <v>376</v>
      </c>
      <c r="C19" s="459">
        <f>'TOLUENE-A17'!Q27/10</f>
        <v>37.5</v>
      </c>
      <c r="D19" s="459">
        <f>'TOLUENE-A17'!Q56/10</f>
        <v>38.232735002407914</v>
      </c>
      <c r="E19" s="458">
        <v>0</v>
      </c>
      <c r="F19" s="458">
        <v>1</v>
      </c>
      <c r="G19" s="459">
        <f t="shared" si="0"/>
        <v>37.232735002407914</v>
      </c>
      <c r="H19" s="455" t="str">
        <f t="shared" si="1"/>
        <v xml:space="preserve">     0%</v>
      </c>
      <c r="I19" s="455">
        <f t="shared" si="2"/>
        <v>2.6200000000000001E-2</v>
      </c>
      <c r="J19" s="456">
        <f t="shared" si="3"/>
        <v>1</v>
      </c>
      <c r="K19" s="455">
        <f t="shared" si="4"/>
        <v>1.0195000000000001</v>
      </c>
      <c r="L19" s="454" t="s">
        <v>172</v>
      </c>
      <c r="M19" s="453"/>
      <c r="N19" s="460" t="s">
        <v>376</v>
      </c>
      <c r="O19" s="451">
        <f t="shared" si="5"/>
        <v>38.232735002407914</v>
      </c>
      <c r="P19" s="450">
        <f>('TOLUENE-A17'!Q85)/10</f>
        <v>37.507371208774757</v>
      </c>
      <c r="Q19" s="449">
        <f t="shared" si="6"/>
        <v>0.72536379363315717</v>
      </c>
      <c r="R19" s="448"/>
    </row>
    <row r="20" spans="1:18">
      <c r="A20" s="453"/>
      <c r="B20" s="460" t="s">
        <v>377</v>
      </c>
      <c r="C20" s="459">
        <f>'XYLENES-A18'!Q27/10</f>
        <v>89.8</v>
      </c>
      <c r="D20" s="459">
        <f>'XYLENES-A18'!Q56/10</f>
        <v>67.180377218516725</v>
      </c>
      <c r="E20" s="458">
        <v>0</v>
      </c>
      <c r="F20" s="458">
        <v>1</v>
      </c>
      <c r="G20" s="459">
        <f t="shared" si="0"/>
        <v>66.180377218516725</v>
      </c>
      <c r="H20" s="455" t="str">
        <f t="shared" si="1"/>
        <v xml:space="preserve">     0%</v>
      </c>
      <c r="I20" s="455">
        <f t="shared" si="2"/>
        <v>1.49E-2</v>
      </c>
      <c r="J20" s="456">
        <f t="shared" si="3"/>
        <v>1</v>
      </c>
      <c r="K20" s="455">
        <f t="shared" si="4"/>
        <v>0.74809999999999999</v>
      </c>
      <c r="L20" s="454" t="s">
        <v>171</v>
      </c>
      <c r="M20" s="453"/>
      <c r="N20" s="460" t="s">
        <v>377</v>
      </c>
      <c r="O20" s="451">
        <f t="shared" si="5"/>
        <v>67.180377218516725</v>
      </c>
      <c r="P20" s="450">
        <f>('XYLENES-A18'!Q85)/10</f>
        <v>66.2</v>
      </c>
      <c r="Q20" s="449">
        <f t="shared" si="6"/>
        <v>0.98037721851672188</v>
      </c>
      <c r="R20" s="448"/>
    </row>
    <row r="21" spans="1:18">
      <c r="A21" s="453"/>
      <c r="B21" s="460" t="s">
        <v>64</v>
      </c>
      <c r="C21" s="459">
        <f>'PX-A19'!Q27/10</f>
        <v>127.5</v>
      </c>
      <c r="D21" s="459">
        <f>'PX-A19'!Q56/10</f>
        <v>94.3</v>
      </c>
      <c r="E21" s="458">
        <v>0</v>
      </c>
      <c r="F21" s="458">
        <v>18</v>
      </c>
      <c r="G21" s="459">
        <f t="shared" si="0"/>
        <v>76.3</v>
      </c>
      <c r="H21" s="455" t="str">
        <f t="shared" si="1"/>
        <v xml:space="preserve">     0%</v>
      </c>
      <c r="I21" s="455">
        <f t="shared" si="2"/>
        <v>0.19089999999999999</v>
      </c>
      <c r="J21" s="456">
        <f t="shared" si="3"/>
        <v>18</v>
      </c>
      <c r="K21" s="455">
        <f t="shared" si="4"/>
        <v>0.73960000000000004</v>
      </c>
      <c r="L21" s="454" t="s">
        <v>170</v>
      </c>
      <c r="M21" s="453"/>
      <c r="N21" s="452" t="s">
        <v>64</v>
      </c>
      <c r="O21" s="451">
        <f t="shared" si="5"/>
        <v>94.3</v>
      </c>
      <c r="P21" s="450">
        <f>('PX-A19'!Q85)/10</f>
        <v>76</v>
      </c>
      <c r="Q21" s="449">
        <f t="shared" si="6"/>
        <v>18.299999999999997</v>
      </c>
      <c r="R21" s="448"/>
    </row>
    <row r="22" spans="1:18">
      <c r="A22" s="453"/>
      <c r="B22" s="460" t="s">
        <v>62</v>
      </c>
      <c r="C22" s="459">
        <f>'PTA-A20'!Q27/10</f>
        <v>47</v>
      </c>
      <c r="D22" s="459">
        <f>'PTA-A20'!Q56/10</f>
        <v>41.5</v>
      </c>
      <c r="E22" s="458">
        <v>22</v>
      </c>
      <c r="F22" s="458">
        <v>0</v>
      </c>
      <c r="G22" s="459">
        <f t="shared" si="0"/>
        <v>63.5</v>
      </c>
      <c r="H22" s="455">
        <f t="shared" si="1"/>
        <v>0.34649999999999997</v>
      </c>
      <c r="I22" s="455" t="str">
        <f t="shared" si="2"/>
        <v xml:space="preserve">     0%</v>
      </c>
      <c r="J22" s="456">
        <f t="shared" si="3"/>
        <v>-22</v>
      </c>
      <c r="K22" s="455">
        <f t="shared" si="4"/>
        <v>0.88300000000000001</v>
      </c>
      <c r="L22" s="454" t="s">
        <v>183</v>
      </c>
      <c r="M22" s="453"/>
      <c r="N22" s="452" t="s">
        <v>62</v>
      </c>
      <c r="O22" s="451">
        <f t="shared" si="5"/>
        <v>41.5</v>
      </c>
      <c r="P22" s="450">
        <f>('PTA-A20'!Q85)/10</f>
        <v>63.9</v>
      </c>
      <c r="Q22" s="449">
        <f t="shared" si="6"/>
        <v>-22.4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8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5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409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85">
        <f>'ETHYLENE-A1'!K28/10</f>
        <v>3026.9</v>
      </c>
      <c r="D5" s="485">
        <f>'ETHYLENE-A1'!K57/10</f>
        <v>2746.2</v>
      </c>
      <c r="E5" s="458">
        <v>1</v>
      </c>
      <c r="F5" s="458">
        <v>18</v>
      </c>
      <c r="G5" s="485">
        <f t="shared" ref="G5:G22" si="0">D5+E5-F5</f>
        <v>2729.2</v>
      </c>
      <c r="H5" s="455">
        <f t="shared" ref="H5:H22" si="1">IF(AND(E5=0,G5=0),"    -",IF(E5=0,"     0%",IF(G5=0,"     -",ROUND(E5/G5,4))))</f>
        <v>4.0000000000000002E-4</v>
      </c>
      <c r="I5" s="455">
        <f t="shared" ref="I5:I22" si="2">IF(AND(D5=0,F5=0),"    -",IF(F5=0,"     0%",IF(D5=0,"     -",ROUND(F5/D5,4))))</f>
        <v>6.6E-3</v>
      </c>
      <c r="J5" s="456">
        <f t="shared" ref="J5:J22" si="3">D5-G5</f>
        <v>17</v>
      </c>
      <c r="K5" s="455">
        <f t="shared" ref="K5:K22" si="4">IF(AND(D5=0,C5=0),"    -",IF(C5=0,"     0%",IF(D5=0,"     -",ROUND(D5/C5,4))))</f>
        <v>0.9073</v>
      </c>
      <c r="L5" s="454" t="s">
        <v>249</v>
      </c>
      <c r="M5" s="453"/>
      <c r="N5" s="452" t="s">
        <v>79</v>
      </c>
      <c r="O5" s="451">
        <f t="shared" ref="O5:O22" si="5">D5</f>
        <v>2746.2</v>
      </c>
      <c r="P5" s="450">
        <f>('ETHYLENE-A1'!K86)/10</f>
        <v>2727</v>
      </c>
      <c r="Q5" s="449">
        <f>O5-P5</f>
        <v>19.199999999999818</v>
      </c>
      <c r="R5" s="448"/>
    </row>
    <row r="6" spans="1:18">
      <c r="A6" s="453"/>
      <c r="B6" s="460" t="s">
        <v>78</v>
      </c>
      <c r="C6" s="459">
        <f>'LDPE-A2'!K28/10</f>
        <v>858.7</v>
      </c>
      <c r="D6" s="459">
        <f>'LDPE-A2'!K57/10</f>
        <v>772.83</v>
      </c>
      <c r="E6" s="458">
        <v>43</v>
      </c>
      <c r="F6" s="458">
        <v>153</v>
      </c>
      <c r="G6" s="459">
        <f t="shared" si="0"/>
        <v>662.83</v>
      </c>
      <c r="H6" s="455">
        <f t="shared" si="1"/>
        <v>6.4899999999999999E-2</v>
      </c>
      <c r="I6" s="455">
        <f t="shared" si="2"/>
        <v>0.19800000000000001</v>
      </c>
      <c r="J6" s="456">
        <f t="shared" si="3"/>
        <v>110</v>
      </c>
      <c r="K6" s="455">
        <f t="shared" si="4"/>
        <v>0.9</v>
      </c>
      <c r="L6" s="454" t="s">
        <v>250</v>
      </c>
      <c r="M6" s="453"/>
      <c r="N6" s="452" t="s">
        <v>78</v>
      </c>
      <c r="O6" s="451">
        <f t="shared" si="5"/>
        <v>772.83</v>
      </c>
      <c r="P6" s="450">
        <f>('LDPE-A2'!K86)/10</f>
        <v>668.1</v>
      </c>
      <c r="Q6" s="449">
        <f t="shared" ref="Q6:Q22" si="6">O6-P6</f>
        <v>104.73000000000002</v>
      </c>
      <c r="R6" s="448"/>
    </row>
    <row r="7" spans="1:18">
      <c r="A7" s="453"/>
      <c r="B7" s="460" t="s">
        <v>76</v>
      </c>
      <c r="C7" s="459">
        <f>'HDPE-A3'!K28/10</f>
        <v>812.1</v>
      </c>
      <c r="D7" s="459">
        <f>'HDPE-A3'!K57/10</f>
        <v>741.51</v>
      </c>
      <c r="E7" s="458">
        <v>110</v>
      </c>
      <c r="F7" s="458">
        <v>203</v>
      </c>
      <c r="G7" s="459">
        <f t="shared" si="0"/>
        <v>648.51</v>
      </c>
      <c r="H7" s="455">
        <f t="shared" si="1"/>
        <v>0.1696</v>
      </c>
      <c r="I7" s="455">
        <f t="shared" si="2"/>
        <v>0.27379999999999999</v>
      </c>
      <c r="J7" s="456">
        <f t="shared" si="3"/>
        <v>93</v>
      </c>
      <c r="K7" s="455">
        <f t="shared" si="4"/>
        <v>0.91310000000000002</v>
      </c>
      <c r="L7" s="454" t="s">
        <v>251</v>
      </c>
      <c r="M7" s="453"/>
      <c r="N7" s="452" t="s">
        <v>76</v>
      </c>
      <c r="O7" s="451">
        <f t="shared" si="5"/>
        <v>741.51</v>
      </c>
      <c r="P7" s="450">
        <f>('HDPE-A3'!K86)/10</f>
        <v>650.5</v>
      </c>
      <c r="Q7" s="449">
        <f t="shared" si="6"/>
        <v>91.009999999999991</v>
      </c>
      <c r="R7" s="448"/>
    </row>
    <row r="8" spans="1:18">
      <c r="A8" s="453"/>
      <c r="B8" s="460" t="s">
        <v>75</v>
      </c>
      <c r="C8" s="459">
        <f>'SM-A6'!K28/10</f>
        <v>499.1</v>
      </c>
      <c r="D8" s="459">
        <f>'SM-A6'!K57/10</f>
        <v>449.2</v>
      </c>
      <c r="E8" s="458">
        <v>62</v>
      </c>
      <c r="F8" s="458">
        <v>191</v>
      </c>
      <c r="G8" s="459">
        <f t="shared" si="0"/>
        <v>320.2</v>
      </c>
      <c r="H8" s="455">
        <f t="shared" si="1"/>
        <v>0.19359999999999999</v>
      </c>
      <c r="I8" s="455">
        <f t="shared" si="2"/>
        <v>0.42520000000000002</v>
      </c>
      <c r="J8" s="456">
        <f t="shared" si="3"/>
        <v>129</v>
      </c>
      <c r="K8" s="455">
        <f t="shared" si="4"/>
        <v>0.9</v>
      </c>
      <c r="L8" s="454" t="s">
        <v>252</v>
      </c>
      <c r="M8" s="453"/>
      <c r="N8" s="452" t="s">
        <v>75</v>
      </c>
      <c r="O8" s="451">
        <f t="shared" si="5"/>
        <v>449.2</v>
      </c>
      <c r="P8" s="450">
        <f>('SM-A6'!K86)/10</f>
        <v>303.10000000000002</v>
      </c>
      <c r="Q8" s="449">
        <f t="shared" si="6"/>
        <v>146.09999999999997</v>
      </c>
      <c r="R8" s="448"/>
    </row>
    <row r="9" spans="1:18">
      <c r="A9" s="453"/>
      <c r="B9" s="460" t="s">
        <v>74</v>
      </c>
      <c r="C9" s="459">
        <f>'EG-A10'!K28/10</f>
        <v>227</v>
      </c>
      <c r="D9" s="459">
        <f>'EG-A10'!K57/10</f>
        <v>204.3</v>
      </c>
      <c r="E9" s="458">
        <v>86</v>
      </c>
      <c r="F9" s="458">
        <v>63</v>
      </c>
      <c r="G9" s="459">
        <f t="shared" si="0"/>
        <v>227.3</v>
      </c>
      <c r="H9" s="455">
        <f t="shared" si="1"/>
        <v>0.37840000000000001</v>
      </c>
      <c r="I9" s="455">
        <f t="shared" si="2"/>
        <v>0.30840000000000001</v>
      </c>
      <c r="J9" s="456">
        <f t="shared" si="3"/>
        <v>-23</v>
      </c>
      <c r="K9" s="455">
        <f t="shared" si="4"/>
        <v>0.9</v>
      </c>
      <c r="L9" s="454" t="s">
        <v>253</v>
      </c>
      <c r="M9" s="453"/>
      <c r="N9" s="452" t="s">
        <v>74</v>
      </c>
      <c r="O9" s="451">
        <f t="shared" si="5"/>
        <v>204.3</v>
      </c>
      <c r="P9" s="450">
        <f>('EG-A10'!K86)/10</f>
        <v>255.6</v>
      </c>
      <c r="Q9" s="449">
        <f t="shared" si="6"/>
        <v>-51.299999999999983</v>
      </c>
      <c r="R9" s="448"/>
    </row>
    <row r="10" spans="1:18">
      <c r="A10" s="453"/>
      <c r="B10" s="460" t="s">
        <v>72</v>
      </c>
      <c r="C10" s="459">
        <f>'PVC-A7'!K28/10</f>
        <v>896.9</v>
      </c>
      <c r="D10" s="459">
        <f>'PVC-A7'!K57/10</f>
        <v>807.2</v>
      </c>
      <c r="E10" s="458">
        <v>24</v>
      </c>
      <c r="F10" s="458">
        <v>273</v>
      </c>
      <c r="G10" s="459">
        <f t="shared" si="0"/>
        <v>558.20000000000005</v>
      </c>
      <c r="H10" s="455">
        <f t="shared" si="1"/>
        <v>4.2999999999999997E-2</v>
      </c>
      <c r="I10" s="455">
        <f t="shared" si="2"/>
        <v>0.3382</v>
      </c>
      <c r="J10" s="456">
        <f t="shared" si="3"/>
        <v>249</v>
      </c>
      <c r="K10" s="455">
        <f t="shared" si="4"/>
        <v>0.9</v>
      </c>
      <c r="L10" s="454" t="s">
        <v>254</v>
      </c>
      <c r="M10" s="453"/>
      <c r="N10" s="452" t="s">
        <v>72</v>
      </c>
      <c r="O10" s="451">
        <f t="shared" si="5"/>
        <v>807.2</v>
      </c>
      <c r="P10" s="450">
        <f>('PVC-A7'!K86)/10</f>
        <v>495.6</v>
      </c>
      <c r="Q10" s="449">
        <f t="shared" si="6"/>
        <v>311.60000000000002</v>
      </c>
      <c r="R10" s="448"/>
    </row>
    <row r="11" spans="1:18">
      <c r="A11" s="453"/>
      <c r="B11" s="460" t="s">
        <v>371</v>
      </c>
      <c r="C11" s="459">
        <f>'OTHER(C2)-A11'!K28/10</f>
        <v>490</v>
      </c>
      <c r="D11" s="459">
        <f>'OTHER(C2)-A11'!K57/10</f>
        <v>460</v>
      </c>
      <c r="E11" s="458">
        <v>490</v>
      </c>
      <c r="F11" s="458">
        <v>460</v>
      </c>
      <c r="G11" s="459">
        <f t="shared" si="0"/>
        <v>490</v>
      </c>
      <c r="H11" s="455">
        <f t="shared" si="1"/>
        <v>1</v>
      </c>
      <c r="I11" s="455">
        <f t="shared" si="2"/>
        <v>1</v>
      </c>
      <c r="J11" s="456">
        <f t="shared" si="3"/>
        <v>-30</v>
      </c>
      <c r="K11" s="455">
        <f t="shared" si="4"/>
        <v>0.93879999999999997</v>
      </c>
      <c r="L11" s="454"/>
      <c r="M11" s="453"/>
      <c r="N11" s="460" t="s">
        <v>371</v>
      </c>
      <c r="O11" s="451">
        <f t="shared" si="5"/>
        <v>460</v>
      </c>
      <c r="P11" s="450">
        <f>('OTHER(C2)-A11'!K86)/10</f>
        <v>442.1</v>
      </c>
      <c r="Q11" s="449">
        <f t="shared" si="6"/>
        <v>17.899999999999977</v>
      </c>
      <c r="R11" s="448"/>
    </row>
    <row r="12" spans="1:18">
      <c r="A12" s="453"/>
      <c r="B12" s="460" t="s">
        <v>372</v>
      </c>
      <c r="C12" s="463">
        <f>C6*0.98+C7*1.04+C8*0.29+C9*0.66+C10*0.5+C11</f>
        <v>2919.1190000000001</v>
      </c>
      <c r="D12" s="463">
        <f>D6*0.98+D7*1.04+D8*0.29+D9*0.66+D10*0.5+D11</f>
        <v>2657.2498000000001</v>
      </c>
      <c r="E12" s="462">
        <f>E6*0.98+E7*1.04+E8*0.29+E9*0.66+E10*0.5</f>
        <v>243.28000000000003</v>
      </c>
      <c r="F12" s="462">
        <f>F6*0.98+F7*1.04+F8*0.29+F9*0.66+F10*0.5</f>
        <v>594.53</v>
      </c>
      <c r="G12" s="485">
        <f t="shared" si="0"/>
        <v>2305.9998000000005</v>
      </c>
      <c r="H12" s="455">
        <f t="shared" si="1"/>
        <v>0.1055</v>
      </c>
      <c r="I12" s="455">
        <f t="shared" si="2"/>
        <v>0.22370000000000001</v>
      </c>
      <c r="J12" s="456">
        <f t="shared" si="3"/>
        <v>351.24999999999955</v>
      </c>
      <c r="K12" s="455">
        <f t="shared" si="4"/>
        <v>0.9103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379.49679999999995</v>
      </c>
      <c r="R12" s="448"/>
    </row>
    <row r="13" spans="1:18">
      <c r="A13" s="453"/>
      <c r="B13" s="460" t="s">
        <v>373</v>
      </c>
      <c r="C13" s="459">
        <f>'PROPYLENE-A12'!K28/10</f>
        <v>1968</v>
      </c>
      <c r="D13" s="459">
        <f>'PROPYLENE-A12'!K57/10</f>
        <v>1476</v>
      </c>
      <c r="E13" s="458">
        <v>21</v>
      </c>
      <c r="F13" s="458">
        <v>57</v>
      </c>
      <c r="G13" s="459">
        <f t="shared" si="0"/>
        <v>1440</v>
      </c>
      <c r="H13" s="455">
        <f t="shared" si="1"/>
        <v>1.46E-2</v>
      </c>
      <c r="I13" s="455">
        <f t="shared" si="2"/>
        <v>3.8600000000000002E-2</v>
      </c>
      <c r="J13" s="456">
        <f t="shared" si="3"/>
        <v>36</v>
      </c>
      <c r="K13" s="455">
        <f t="shared" si="4"/>
        <v>0.75</v>
      </c>
      <c r="L13" s="454" t="s">
        <v>255</v>
      </c>
      <c r="M13" s="453"/>
      <c r="N13" s="460" t="s">
        <v>373</v>
      </c>
      <c r="O13" s="451">
        <f t="shared" si="5"/>
        <v>1476</v>
      </c>
      <c r="P13" s="450">
        <f>('PROPYLENE-A12'!K86)/10</f>
        <v>1471.1</v>
      </c>
      <c r="Q13" s="449">
        <f t="shared" si="6"/>
        <v>4.9000000000000909</v>
      </c>
      <c r="R13" s="448"/>
    </row>
    <row r="14" spans="1:18">
      <c r="A14" s="453"/>
      <c r="B14" s="460" t="s">
        <v>69</v>
      </c>
      <c r="C14" s="459">
        <f>'PP-A13'!K28/10</f>
        <v>834</v>
      </c>
      <c r="D14" s="459">
        <f>'PP-A13'!K57/10</f>
        <v>750.6</v>
      </c>
      <c r="E14" s="458">
        <v>22</v>
      </c>
      <c r="F14" s="458">
        <v>115</v>
      </c>
      <c r="G14" s="459">
        <f t="shared" si="0"/>
        <v>657.6</v>
      </c>
      <c r="H14" s="455">
        <f t="shared" si="1"/>
        <v>3.3500000000000002E-2</v>
      </c>
      <c r="I14" s="455">
        <f t="shared" si="2"/>
        <v>0.1532</v>
      </c>
      <c r="J14" s="456">
        <f t="shared" si="3"/>
        <v>93</v>
      </c>
      <c r="K14" s="455">
        <f t="shared" si="4"/>
        <v>0.9</v>
      </c>
      <c r="L14" s="454" t="s">
        <v>256</v>
      </c>
      <c r="M14" s="453"/>
      <c r="N14" s="452" t="s">
        <v>69</v>
      </c>
      <c r="O14" s="451">
        <f t="shared" si="5"/>
        <v>750.6</v>
      </c>
      <c r="P14" s="450">
        <f>('PP-A13'!K86)/10</f>
        <v>673.3</v>
      </c>
      <c r="Q14" s="449">
        <f t="shared" si="6"/>
        <v>77.300000000000068</v>
      </c>
      <c r="R14" s="448"/>
    </row>
    <row r="15" spans="1:18">
      <c r="A15" s="453"/>
      <c r="B15" s="460" t="s">
        <v>67</v>
      </c>
      <c r="C15" s="459">
        <f>'AN-A14'!K28/10</f>
        <v>157.5</v>
      </c>
      <c r="D15" s="459">
        <f>'AN-A14'!K57/10</f>
        <v>110.3</v>
      </c>
      <c r="E15" s="458">
        <v>1</v>
      </c>
      <c r="F15" s="458">
        <v>33</v>
      </c>
      <c r="G15" s="459">
        <f t="shared" si="0"/>
        <v>78.3</v>
      </c>
      <c r="H15" s="455">
        <f t="shared" si="1"/>
        <v>1.2800000000000001E-2</v>
      </c>
      <c r="I15" s="455">
        <f t="shared" si="2"/>
        <v>0.29920000000000002</v>
      </c>
      <c r="J15" s="456">
        <f t="shared" si="3"/>
        <v>32</v>
      </c>
      <c r="K15" s="455">
        <f t="shared" si="4"/>
        <v>0.70030000000000003</v>
      </c>
      <c r="L15" s="454" t="s">
        <v>257</v>
      </c>
      <c r="M15" s="453"/>
      <c r="N15" s="452" t="s">
        <v>67</v>
      </c>
      <c r="O15" s="451">
        <f t="shared" si="5"/>
        <v>110.3</v>
      </c>
      <c r="P15" s="450">
        <f>('AN-A14'!K86)/10</f>
        <v>50.9</v>
      </c>
      <c r="Q15" s="449">
        <f t="shared" si="6"/>
        <v>59.4</v>
      </c>
      <c r="R15" s="448"/>
    </row>
    <row r="16" spans="1:18">
      <c r="A16" s="453"/>
      <c r="B16" s="460" t="s">
        <v>371</v>
      </c>
      <c r="C16" s="459">
        <f>'OTHER(C3)-A15'!K28/10</f>
        <v>666.5</v>
      </c>
      <c r="D16" s="459">
        <f>'OTHER(C3)-A15'!K57/10</f>
        <v>540</v>
      </c>
      <c r="E16" s="458">
        <v>667</v>
      </c>
      <c r="F16" s="458">
        <v>600</v>
      </c>
      <c r="G16" s="459">
        <f t="shared" si="0"/>
        <v>607</v>
      </c>
      <c r="H16" s="455">
        <f t="shared" si="1"/>
        <v>1.0988</v>
      </c>
      <c r="I16" s="455">
        <f t="shared" si="2"/>
        <v>1.1111</v>
      </c>
      <c r="J16" s="456">
        <f t="shared" si="3"/>
        <v>-67</v>
      </c>
      <c r="K16" s="455">
        <f t="shared" si="4"/>
        <v>0.81020000000000003</v>
      </c>
      <c r="L16" s="454"/>
      <c r="M16" s="453"/>
      <c r="N16" s="460" t="s">
        <v>371</v>
      </c>
      <c r="O16" s="451">
        <f t="shared" si="5"/>
        <v>540</v>
      </c>
      <c r="P16" s="450">
        <f>('OTHER(C3)-A15'!K86)/10</f>
        <v>580.1</v>
      </c>
      <c r="Q16" s="449">
        <f t="shared" si="6"/>
        <v>-40.100000000000023</v>
      </c>
      <c r="R16" s="448"/>
    </row>
    <row r="17" spans="1:18">
      <c r="A17" s="453"/>
      <c r="B17" s="460" t="s">
        <v>374</v>
      </c>
      <c r="C17" s="486">
        <f>C14*1.03+C15*1.09+C16</f>
        <v>1697.1949999999999</v>
      </c>
      <c r="D17" s="486">
        <f>D14*1.03+D15*1.09+D16</f>
        <v>1433.345</v>
      </c>
      <c r="E17" s="459">
        <f>E14*1.03+E15*1.09</f>
        <v>23.75</v>
      </c>
      <c r="F17" s="459">
        <f>F14*1.03+F15*1.09</f>
        <v>154.42000000000002</v>
      </c>
      <c r="G17" s="485">
        <f t="shared" si="0"/>
        <v>1302.675</v>
      </c>
      <c r="H17" s="455">
        <f t="shared" si="1"/>
        <v>1.8200000000000001E-2</v>
      </c>
      <c r="I17" s="455">
        <f t="shared" si="2"/>
        <v>0.1077</v>
      </c>
      <c r="J17" s="456">
        <f t="shared" si="3"/>
        <v>130.67000000000007</v>
      </c>
      <c r="K17" s="455">
        <f t="shared" si="4"/>
        <v>0.84450000000000003</v>
      </c>
      <c r="L17" s="454"/>
      <c r="M17" s="453"/>
      <c r="N17" s="460" t="s">
        <v>374</v>
      </c>
      <c r="O17" s="451"/>
      <c r="P17" s="450"/>
      <c r="Q17" s="461">
        <f>Q14*1.03+Q15*1.09+Q16</f>
        <v>104.26500000000004</v>
      </c>
      <c r="R17" s="448"/>
    </row>
    <row r="18" spans="1:18">
      <c r="A18" s="453"/>
      <c r="B18" s="460" t="s">
        <v>375</v>
      </c>
      <c r="C18" s="459">
        <f>'BENZENE-A16'!K28/10</f>
        <v>838.5</v>
      </c>
      <c r="D18" s="459">
        <f>'BENZENE-A16'!K57/10</f>
        <v>519.87</v>
      </c>
      <c r="E18" s="458">
        <v>144</v>
      </c>
      <c r="F18" s="458">
        <v>17</v>
      </c>
      <c r="G18" s="459">
        <f t="shared" si="0"/>
        <v>646.87</v>
      </c>
      <c r="H18" s="455">
        <f t="shared" si="1"/>
        <v>0.22259999999999999</v>
      </c>
      <c r="I18" s="455">
        <f t="shared" si="2"/>
        <v>3.27E-2</v>
      </c>
      <c r="J18" s="456">
        <f t="shared" si="3"/>
        <v>-127</v>
      </c>
      <c r="K18" s="455">
        <f t="shared" si="4"/>
        <v>0.62</v>
      </c>
      <c r="L18" s="454" t="s">
        <v>258</v>
      </c>
      <c r="M18" s="453"/>
      <c r="N18" s="460" t="s">
        <v>375</v>
      </c>
      <c r="O18" s="451">
        <f t="shared" si="5"/>
        <v>519.87</v>
      </c>
      <c r="P18" s="450">
        <f>('BENZENE-A16'!K86)/10</f>
        <v>763.8</v>
      </c>
      <c r="Q18" s="449">
        <f t="shared" si="6"/>
        <v>-243.92999999999995</v>
      </c>
      <c r="R18" s="448"/>
    </row>
    <row r="19" spans="1:18">
      <c r="A19" s="453"/>
      <c r="B19" s="460" t="s">
        <v>376</v>
      </c>
      <c r="C19" s="459">
        <f>'TOLUENE-A17'!K28/10</f>
        <v>573.4</v>
      </c>
      <c r="D19" s="459">
        <f>'TOLUENE-A17'!K57/10</f>
        <v>269.49799999999999</v>
      </c>
      <c r="E19" s="458">
        <v>25</v>
      </c>
      <c r="F19" s="458">
        <v>28</v>
      </c>
      <c r="G19" s="459">
        <f t="shared" si="0"/>
        <v>266.49799999999999</v>
      </c>
      <c r="H19" s="455">
        <f t="shared" si="1"/>
        <v>9.3799999999999994E-2</v>
      </c>
      <c r="I19" s="455">
        <f t="shared" si="2"/>
        <v>0.10390000000000001</v>
      </c>
      <c r="J19" s="456">
        <f t="shared" si="3"/>
        <v>3</v>
      </c>
      <c r="K19" s="455">
        <f t="shared" si="4"/>
        <v>0.47</v>
      </c>
      <c r="L19" s="454" t="s">
        <v>259</v>
      </c>
      <c r="M19" s="453"/>
      <c r="N19" s="460" t="s">
        <v>376</v>
      </c>
      <c r="O19" s="451">
        <f t="shared" si="5"/>
        <v>269.49799999999999</v>
      </c>
      <c r="P19" s="450">
        <f>('TOLUENE-A17'!K86)/10</f>
        <v>281.39999999999998</v>
      </c>
      <c r="Q19" s="449">
        <f t="shared" si="6"/>
        <v>-11.901999999999987</v>
      </c>
      <c r="R19" s="448"/>
    </row>
    <row r="20" spans="1:18">
      <c r="A20" s="453"/>
      <c r="B20" s="460" t="s">
        <v>377</v>
      </c>
      <c r="C20" s="459">
        <f>'XYLENES-A18'!K28/10</f>
        <v>769.6</v>
      </c>
      <c r="D20" s="459">
        <f>'XYLENES-A18'!K57/10</f>
        <v>497.75999999999993</v>
      </c>
      <c r="E20" s="458">
        <v>5</v>
      </c>
      <c r="F20" s="458">
        <v>19</v>
      </c>
      <c r="G20" s="459">
        <f t="shared" si="0"/>
        <v>483.75999999999993</v>
      </c>
      <c r="H20" s="455">
        <f t="shared" si="1"/>
        <v>1.03E-2</v>
      </c>
      <c r="I20" s="455">
        <f t="shared" si="2"/>
        <v>3.8199999999999998E-2</v>
      </c>
      <c r="J20" s="456">
        <f t="shared" si="3"/>
        <v>14</v>
      </c>
      <c r="K20" s="455">
        <f t="shared" si="4"/>
        <v>0.64680000000000004</v>
      </c>
      <c r="L20" s="454" t="s">
        <v>260</v>
      </c>
      <c r="M20" s="453"/>
      <c r="N20" s="460" t="s">
        <v>377</v>
      </c>
      <c r="O20" s="451">
        <f t="shared" si="5"/>
        <v>497.75999999999993</v>
      </c>
      <c r="P20" s="450">
        <f>('XYLENES-A18'!K86)/10</f>
        <v>455.6</v>
      </c>
      <c r="Q20" s="449">
        <f t="shared" si="6"/>
        <v>42.159999999999911</v>
      </c>
      <c r="R20" s="448"/>
    </row>
    <row r="21" spans="1:18">
      <c r="A21" s="453"/>
      <c r="B21" s="460" t="s">
        <v>64</v>
      </c>
      <c r="C21" s="459">
        <f>'PX-A19'!K28/10</f>
        <v>368.5</v>
      </c>
      <c r="D21" s="459">
        <f>'PX-A19'!K57/10</f>
        <v>313.22500000000002</v>
      </c>
      <c r="E21" s="458">
        <v>38</v>
      </c>
      <c r="F21" s="458">
        <v>116</v>
      </c>
      <c r="G21" s="459">
        <f t="shared" si="0"/>
        <v>235.22500000000002</v>
      </c>
      <c r="H21" s="455">
        <f t="shared" si="1"/>
        <v>0.1615</v>
      </c>
      <c r="I21" s="455">
        <f t="shared" si="2"/>
        <v>0.37030000000000002</v>
      </c>
      <c r="J21" s="456">
        <f t="shared" si="3"/>
        <v>78</v>
      </c>
      <c r="K21" s="455">
        <f t="shared" si="4"/>
        <v>0.85</v>
      </c>
      <c r="L21" s="454" t="s">
        <v>261</v>
      </c>
      <c r="M21" s="453"/>
      <c r="N21" s="452" t="s">
        <v>64</v>
      </c>
      <c r="O21" s="451">
        <f t="shared" si="5"/>
        <v>313.22500000000002</v>
      </c>
      <c r="P21" s="450">
        <f>('PX-A19'!K86)/10</f>
        <v>283.7</v>
      </c>
      <c r="Q21" s="449">
        <f t="shared" si="6"/>
        <v>29.525000000000034</v>
      </c>
      <c r="R21" s="448"/>
    </row>
    <row r="22" spans="1:18">
      <c r="A22" s="453"/>
      <c r="B22" s="460" t="s">
        <v>62</v>
      </c>
      <c r="C22" s="459">
        <f>'PTA-A20'!K28/10</f>
        <v>352.5</v>
      </c>
      <c r="D22" s="459">
        <f>'PTA-A20'!K57/10</f>
        <v>317.25</v>
      </c>
      <c r="E22" s="458">
        <v>69</v>
      </c>
      <c r="F22" s="458">
        <v>5</v>
      </c>
      <c r="G22" s="459">
        <f t="shared" si="0"/>
        <v>381.25</v>
      </c>
      <c r="H22" s="455">
        <f t="shared" si="1"/>
        <v>0.18099999999999999</v>
      </c>
      <c r="I22" s="455">
        <f t="shared" si="2"/>
        <v>1.5800000000000002E-2</v>
      </c>
      <c r="J22" s="456">
        <f t="shared" si="3"/>
        <v>-64</v>
      </c>
      <c r="K22" s="455">
        <f t="shared" si="4"/>
        <v>0.9</v>
      </c>
      <c r="L22" s="454" t="s">
        <v>262</v>
      </c>
      <c r="M22" s="453"/>
      <c r="N22" s="452" t="s">
        <v>62</v>
      </c>
      <c r="O22" s="451">
        <f t="shared" si="5"/>
        <v>317.25</v>
      </c>
      <c r="P22" s="450">
        <f>('PTA-A20'!K86)/10</f>
        <v>370.9</v>
      </c>
      <c r="Q22" s="449">
        <f t="shared" si="6"/>
        <v>-53.649999999999977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48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37.8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410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'ETHYLENE-A1'!Q28/10</f>
        <v>4331.8999999999996</v>
      </c>
      <c r="D5" s="459">
        <f>'ETHYLENE-A1'!Q57/10</f>
        <v>3898.71</v>
      </c>
      <c r="E5" s="458">
        <v>1</v>
      </c>
      <c r="F5" s="458">
        <v>350</v>
      </c>
      <c r="G5" s="459">
        <f t="shared" ref="G5:G22" si="0">D5+E5-F5</f>
        <v>3549.71</v>
      </c>
      <c r="H5" s="455">
        <f t="shared" ref="H5:H22" si="1">IF(AND(E5=0,G5=0),"    -",IF(E5=0,"     0%",IF(G5=0,"     -",ROUND(E5/G5,4))))</f>
        <v>2.9999999999999997E-4</v>
      </c>
      <c r="I5" s="455">
        <f t="shared" ref="I5:I22" si="2">IF(AND(D5=0,F5=0),"    -",IF(F5=0,"     0%",IF(D5=0,"     -",ROUND(F5/D5,4))))</f>
        <v>8.9800000000000005E-2</v>
      </c>
      <c r="J5" s="456">
        <f t="shared" ref="J5:J22" si="3">D5-G5</f>
        <v>349</v>
      </c>
      <c r="K5" s="455">
        <f t="shared" ref="K5:K22" si="4">IF(AND(D5=0,C5=0),"    -",IF(C5=0,"     0%",IF(D5=0,"     -",ROUND(D5/C5,4))))</f>
        <v>0.9</v>
      </c>
      <c r="L5" s="454" t="s">
        <v>263</v>
      </c>
      <c r="M5" s="453"/>
      <c r="N5" s="452" t="s">
        <v>79</v>
      </c>
      <c r="O5" s="451">
        <f t="shared" ref="O5:O22" si="5">D5</f>
        <v>3898.71</v>
      </c>
      <c r="P5" s="450">
        <f>('ETHYLENE-A1'!Q86)/10</f>
        <v>3710.4</v>
      </c>
      <c r="Q5" s="449">
        <f>O5-P5</f>
        <v>188.30999999999995</v>
      </c>
      <c r="R5" s="448"/>
    </row>
    <row r="6" spans="1:18">
      <c r="A6" s="453"/>
      <c r="B6" s="460" t="s">
        <v>78</v>
      </c>
      <c r="C6" s="459">
        <f>'LDPE-A2'!Q28/10</f>
        <v>1307.2</v>
      </c>
      <c r="D6" s="459">
        <f>'LDPE-A2'!Q57/10</f>
        <v>1176.5</v>
      </c>
      <c r="E6" s="458">
        <v>45</v>
      </c>
      <c r="F6" s="458">
        <v>560</v>
      </c>
      <c r="G6" s="459">
        <f t="shared" si="0"/>
        <v>661.5</v>
      </c>
      <c r="H6" s="455">
        <f t="shared" si="1"/>
        <v>6.8000000000000005E-2</v>
      </c>
      <c r="I6" s="455">
        <f t="shared" si="2"/>
        <v>0.47599999999999998</v>
      </c>
      <c r="J6" s="456">
        <f t="shared" si="3"/>
        <v>515</v>
      </c>
      <c r="K6" s="455">
        <f t="shared" si="4"/>
        <v>0.9</v>
      </c>
      <c r="L6" s="454" t="s">
        <v>264</v>
      </c>
      <c r="M6" s="453"/>
      <c r="N6" s="452" t="s">
        <v>78</v>
      </c>
      <c r="O6" s="451">
        <f t="shared" si="5"/>
        <v>1176.5</v>
      </c>
      <c r="P6" s="450">
        <f>('LDPE-A2'!Q86)/10</f>
        <v>751.1</v>
      </c>
      <c r="Q6" s="449">
        <f t="shared" ref="Q6:Q22" si="6">O6-P6</f>
        <v>425.4</v>
      </c>
      <c r="R6" s="448"/>
    </row>
    <row r="7" spans="1:18">
      <c r="A7" s="453"/>
      <c r="B7" s="460" t="s">
        <v>76</v>
      </c>
      <c r="C7" s="459">
        <f>'HDPE-A3'!Q28/10</f>
        <v>1149.9000000000001</v>
      </c>
      <c r="D7" s="459">
        <f>'HDPE-A3'!Q57/10</f>
        <v>1034.9100000000001</v>
      </c>
      <c r="E7" s="458">
        <v>130</v>
      </c>
      <c r="F7" s="458">
        <v>450</v>
      </c>
      <c r="G7" s="459">
        <f t="shared" si="0"/>
        <v>714.91000000000008</v>
      </c>
      <c r="H7" s="455">
        <f t="shared" si="1"/>
        <v>0.18179999999999999</v>
      </c>
      <c r="I7" s="455">
        <f t="shared" si="2"/>
        <v>0.43480000000000002</v>
      </c>
      <c r="J7" s="456">
        <f t="shared" si="3"/>
        <v>320</v>
      </c>
      <c r="K7" s="455">
        <f t="shared" si="4"/>
        <v>0.9</v>
      </c>
      <c r="L7" s="454" t="s">
        <v>265</v>
      </c>
      <c r="M7" s="453"/>
      <c r="N7" s="452" t="s">
        <v>76</v>
      </c>
      <c r="O7" s="451">
        <f t="shared" si="5"/>
        <v>1034.9100000000001</v>
      </c>
      <c r="P7" s="450">
        <f>('HDPE-A3'!Q86)/10</f>
        <v>733.8</v>
      </c>
      <c r="Q7" s="449">
        <f t="shared" si="6"/>
        <v>301.11000000000013</v>
      </c>
      <c r="R7" s="448"/>
    </row>
    <row r="8" spans="1:18">
      <c r="A8" s="453"/>
      <c r="B8" s="460" t="s">
        <v>75</v>
      </c>
      <c r="C8" s="459">
        <f>'SM-A6'!Q28/10</f>
        <v>499.1</v>
      </c>
      <c r="D8" s="459">
        <f>'SM-A6'!Q57/10</f>
        <v>449.2</v>
      </c>
      <c r="E8" s="458">
        <v>50</v>
      </c>
      <c r="F8" s="458">
        <v>180</v>
      </c>
      <c r="G8" s="459">
        <f t="shared" si="0"/>
        <v>319.2</v>
      </c>
      <c r="H8" s="455">
        <f t="shared" si="1"/>
        <v>0.15659999999999999</v>
      </c>
      <c r="I8" s="455">
        <f t="shared" si="2"/>
        <v>0.4007</v>
      </c>
      <c r="J8" s="456">
        <f t="shared" si="3"/>
        <v>130</v>
      </c>
      <c r="K8" s="455">
        <f t="shared" si="4"/>
        <v>0.9</v>
      </c>
      <c r="L8" s="454" t="s">
        <v>196</v>
      </c>
      <c r="M8" s="453"/>
      <c r="N8" s="452" t="s">
        <v>75</v>
      </c>
      <c r="O8" s="451">
        <f t="shared" si="5"/>
        <v>449.2</v>
      </c>
      <c r="P8" s="450">
        <f>('SM-A6'!Q86)/10</f>
        <v>345.7</v>
      </c>
      <c r="Q8" s="449">
        <f t="shared" si="6"/>
        <v>103.5</v>
      </c>
      <c r="R8" s="448"/>
    </row>
    <row r="9" spans="1:18">
      <c r="A9" s="453"/>
      <c r="B9" s="460" t="s">
        <v>74</v>
      </c>
      <c r="C9" s="459">
        <f>'EG-A10'!Q28/10</f>
        <v>446</v>
      </c>
      <c r="D9" s="459">
        <f>'EG-A10'!Q57/10</f>
        <v>401.4</v>
      </c>
      <c r="E9" s="458">
        <v>100</v>
      </c>
      <c r="F9" s="458">
        <v>270</v>
      </c>
      <c r="G9" s="459">
        <f t="shared" si="0"/>
        <v>231.39999999999998</v>
      </c>
      <c r="H9" s="455">
        <f t="shared" si="1"/>
        <v>0.43219999999999997</v>
      </c>
      <c r="I9" s="455">
        <f t="shared" si="2"/>
        <v>0.67259999999999998</v>
      </c>
      <c r="J9" s="456">
        <f t="shared" si="3"/>
        <v>170</v>
      </c>
      <c r="K9" s="455">
        <f t="shared" si="4"/>
        <v>0.9</v>
      </c>
      <c r="L9" s="454" t="s">
        <v>195</v>
      </c>
      <c r="M9" s="453"/>
      <c r="N9" s="452" t="s">
        <v>74</v>
      </c>
      <c r="O9" s="451">
        <f t="shared" si="5"/>
        <v>401.4</v>
      </c>
      <c r="P9" s="450">
        <f>('EG-A10'!Q86)/10</f>
        <v>287.3</v>
      </c>
      <c r="Q9" s="449">
        <f t="shared" si="6"/>
        <v>114.09999999999997</v>
      </c>
      <c r="R9" s="448"/>
    </row>
    <row r="10" spans="1:18">
      <c r="A10" s="453"/>
      <c r="B10" s="460" t="s">
        <v>72</v>
      </c>
      <c r="C10" s="459">
        <f>'PVC-A7'!Q28/10</f>
        <v>925.9</v>
      </c>
      <c r="D10" s="459">
        <f>'PVC-A7'!Q57/10</f>
        <v>833.3</v>
      </c>
      <c r="E10" s="458">
        <v>25</v>
      </c>
      <c r="F10" s="458">
        <v>300</v>
      </c>
      <c r="G10" s="459">
        <f t="shared" si="0"/>
        <v>558.29999999999995</v>
      </c>
      <c r="H10" s="455">
        <f t="shared" si="1"/>
        <v>4.48E-2</v>
      </c>
      <c r="I10" s="455">
        <f t="shared" si="2"/>
        <v>0.36</v>
      </c>
      <c r="J10" s="456">
        <f t="shared" si="3"/>
        <v>275</v>
      </c>
      <c r="K10" s="455">
        <f t="shared" si="4"/>
        <v>0.9</v>
      </c>
      <c r="L10" s="454" t="s">
        <v>194</v>
      </c>
      <c r="M10" s="453"/>
      <c r="N10" s="452" t="s">
        <v>72</v>
      </c>
      <c r="O10" s="451">
        <f t="shared" si="5"/>
        <v>833.3</v>
      </c>
      <c r="P10" s="450">
        <f>('PVC-A7'!Q86)/10</f>
        <v>557.1</v>
      </c>
      <c r="Q10" s="449">
        <f t="shared" si="6"/>
        <v>276.19999999999993</v>
      </c>
      <c r="R10" s="448"/>
    </row>
    <row r="11" spans="1:18">
      <c r="A11" s="453"/>
      <c r="B11" s="460" t="s">
        <v>371</v>
      </c>
      <c r="C11" s="459">
        <f>'OTHER(C2)-A11'!Q28/10</f>
        <v>490</v>
      </c>
      <c r="D11" s="459">
        <f>'OTHER(C2)-A11'!Q57/10</f>
        <v>460</v>
      </c>
      <c r="E11" s="458">
        <v>10</v>
      </c>
      <c r="F11" s="458">
        <v>100</v>
      </c>
      <c r="G11" s="459">
        <f t="shared" si="0"/>
        <v>370</v>
      </c>
      <c r="H11" s="455">
        <f t="shared" si="1"/>
        <v>2.7E-2</v>
      </c>
      <c r="I11" s="455">
        <f t="shared" si="2"/>
        <v>0.21740000000000001</v>
      </c>
      <c r="J11" s="456">
        <f t="shared" si="3"/>
        <v>90</v>
      </c>
      <c r="K11" s="455">
        <f t="shared" si="4"/>
        <v>0.93879999999999997</v>
      </c>
      <c r="L11" s="454"/>
      <c r="M11" s="453"/>
      <c r="N11" s="460" t="s">
        <v>371</v>
      </c>
      <c r="O11" s="451">
        <f t="shared" si="5"/>
        <v>460</v>
      </c>
      <c r="P11" s="450">
        <f>('OTHER(C2)-A11'!Q86)/10</f>
        <v>496.5</v>
      </c>
      <c r="Q11" s="449">
        <f t="shared" si="6"/>
        <v>-36.5</v>
      </c>
      <c r="R11" s="448"/>
    </row>
    <row r="12" spans="1:18">
      <c r="A12" s="453"/>
      <c r="B12" s="460" t="s">
        <v>372</v>
      </c>
      <c r="C12" s="463">
        <f>C6*0.98+C7*1.04+C8*0.29+C9*0.66+C10*0.5+C11</f>
        <v>3869.0010000000002</v>
      </c>
      <c r="D12" s="463">
        <f>D6*0.98+D7*1.04+D8*0.29+D9*0.66+D10*0.5+D11</f>
        <v>3501.1184000000003</v>
      </c>
      <c r="E12" s="462">
        <f>E6*0.98+E7*1.04+E8*0.29+E9*0.66+E10*0.5</f>
        <v>272.3</v>
      </c>
      <c r="F12" s="462">
        <f>F6*0.98+F7*1.04+F8*0.29+F9*0.66+F10*0.5</f>
        <v>1397.2</v>
      </c>
      <c r="G12" s="459">
        <f t="shared" si="0"/>
        <v>2376.2184000000007</v>
      </c>
      <c r="H12" s="455">
        <f t="shared" si="1"/>
        <v>0.11459999999999999</v>
      </c>
      <c r="I12" s="455">
        <f t="shared" si="2"/>
        <v>0.39910000000000001</v>
      </c>
      <c r="J12" s="456">
        <f t="shared" si="3"/>
        <v>1124.8999999999996</v>
      </c>
      <c r="K12" s="455">
        <f t="shared" si="4"/>
        <v>0.90490000000000004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936.9674</v>
      </c>
      <c r="R12" s="448"/>
    </row>
    <row r="13" spans="1:18">
      <c r="A13" s="453"/>
      <c r="B13" s="460" t="s">
        <v>373</v>
      </c>
      <c r="C13" s="459">
        <f>'PROPYLENE-A12'!Q28/10</f>
        <v>2095.3000000000002</v>
      </c>
      <c r="D13" s="459">
        <f>'PROPYLENE-A12'!Q57/10</f>
        <v>1571.5</v>
      </c>
      <c r="E13" s="458">
        <v>50</v>
      </c>
      <c r="F13" s="458">
        <v>40</v>
      </c>
      <c r="G13" s="459">
        <f t="shared" si="0"/>
        <v>1581.5</v>
      </c>
      <c r="H13" s="455">
        <f t="shared" si="1"/>
        <v>3.1600000000000003E-2</v>
      </c>
      <c r="I13" s="455">
        <f t="shared" si="2"/>
        <v>2.5499999999999998E-2</v>
      </c>
      <c r="J13" s="456">
        <f t="shared" si="3"/>
        <v>-10</v>
      </c>
      <c r="K13" s="455">
        <f t="shared" si="4"/>
        <v>0.75</v>
      </c>
      <c r="L13" s="454" t="s">
        <v>266</v>
      </c>
      <c r="M13" s="453"/>
      <c r="N13" s="460" t="s">
        <v>373</v>
      </c>
      <c r="O13" s="451">
        <f t="shared" si="5"/>
        <v>1571.5</v>
      </c>
      <c r="P13" s="450">
        <f>('PROPYLENE-A12'!Q86)/10</f>
        <v>1670.7</v>
      </c>
      <c r="Q13" s="449">
        <f t="shared" si="6"/>
        <v>-99.200000000000045</v>
      </c>
      <c r="R13" s="448"/>
    </row>
    <row r="14" spans="1:18">
      <c r="A14" s="453"/>
      <c r="B14" s="460" t="s">
        <v>69</v>
      </c>
      <c r="C14" s="459">
        <f>'PP-A13'!Q28/10</f>
        <v>964.3</v>
      </c>
      <c r="D14" s="459">
        <f>'PP-A13'!Q57/10</f>
        <v>867.9</v>
      </c>
      <c r="E14" s="458">
        <v>30</v>
      </c>
      <c r="F14" s="458">
        <v>100</v>
      </c>
      <c r="G14" s="459">
        <f t="shared" si="0"/>
        <v>797.9</v>
      </c>
      <c r="H14" s="455">
        <f t="shared" si="1"/>
        <v>3.7600000000000001E-2</v>
      </c>
      <c r="I14" s="455">
        <f t="shared" si="2"/>
        <v>0.1152</v>
      </c>
      <c r="J14" s="456">
        <f t="shared" si="3"/>
        <v>70</v>
      </c>
      <c r="K14" s="455">
        <f t="shared" si="4"/>
        <v>0.9</v>
      </c>
      <c r="L14" s="454" t="s">
        <v>193</v>
      </c>
      <c r="M14" s="453"/>
      <c r="N14" s="452" t="s">
        <v>69</v>
      </c>
      <c r="O14" s="451">
        <f t="shared" si="5"/>
        <v>867.9</v>
      </c>
      <c r="P14" s="450">
        <f>('PP-A13'!Q86)/10</f>
        <v>756.9</v>
      </c>
      <c r="Q14" s="449">
        <f t="shared" si="6"/>
        <v>111</v>
      </c>
      <c r="R14" s="448"/>
    </row>
    <row r="15" spans="1:18">
      <c r="A15" s="453"/>
      <c r="B15" s="460" t="s">
        <v>67</v>
      </c>
      <c r="C15" s="459">
        <f>'AN-A14'!Q28/10</f>
        <v>157.5</v>
      </c>
      <c r="D15" s="459">
        <f>'AN-A14'!Q57/10</f>
        <v>110.3</v>
      </c>
      <c r="E15" s="458">
        <v>1</v>
      </c>
      <c r="F15" s="458">
        <v>25</v>
      </c>
      <c r="G15" s="459">
        <f t="shared" si="0"/>
        <v>86.3</v>
      </c>
      <c r="H15" s="455">
        <f t="shared" si="1"/>
        <v>1.1599999999999999E-2</v>
      </c>
      <c r="I15" s="455">
        <f t="shared" si="2"/>
        <v>0.22670000000000001</v>
      </c>
      <c r="J15" s="456">
        <f t="shared" si="3"/>
        <v>24</v>
      </c>
      <c r="K15" s="455">
        <f t="shared" si="4"/>
        <v>0.70030000000000003</v>
      </c>
      <c r="L15" s="454" t="s">
        <v>192</v>
      </c>
      <c r="M15" s="453"/>
      <c r="N15" s="452" t="s">
        <v>67</v>
      </c>
      <c r="O15" s="451">
        <f t="shared" si="5"/>
        <v>110.3</v>
      </c>
      <c r="P15" s="450">
        <f>('AN-A14'!Q86)/10</f>
        <v>57.2</v>
      </c>
      <c r="Q15" s="449">
        <f t="shared" si="6"/>
        <v>53.099999999999994</v>
      </c>
      <c r="R15" s="448"/>
    </row>
    <row r="16" spans="1:18">
      <c r="A16" s="453"/>
      <c r="B16" s="460" t="s">
        <v>371</v>
      </c>
      <c r="C16" s="459">
        <f>'OTHER(C3)-A15'!Q28/10</f>
        <v>666.5</v>
      </c>
      <c r="D16" s="459">
        <f>'OTHER(C3)-A15'!Q57/10</f>
        <v>540</v>
      </c>
      <c r="E16" s="458">
        <v>10</v>
      </c>
      <c r="F16" s="458">
        <v>100</v>
      </c>
      <c r="G16" s="459">
        <f t="shared" si="0"/>
        <v>450</v>
      </c>
      <c r="H16" s="455">
        <f t="shared" si="1"/>
        <v>2.2200000000000001E-2</v>
      </c>
      <c r="I16" s="455">
        <f t="shared" si="2"/>
        <v>0.1852</v>
      </c>
      <c r="J16" s="456">
        <f t="shared" si="3"/>
        <v>90</v>
      </c>
      <c r="K16" s="455">
        <f t="shared" si="4"/>
        <v>0.81020000000000003</v>
      </c>
      <c r="L16" s="454"/>
      <c r="M16" s="453"/>
      <c r="N16" s="460" t="s">
        <v>371</v>
      </c>
      <c r="O16" s="451">
        <f t="shared" si="5"/>
        <v>540</v>
      </c>
      <c r="P16" s="450">
        <f>('OTHER(C3)-A15'!Q86)/10</f>
        <v>611.29999999999995</v>
      </c>
      <c r="Q16" s="449">
        <f t="shared" si="6"/>
        <v>-71.299999999999955</v>
      </c>
      <c r="R16" s="448"/>
    </row>
    <row r="17" spans="1:18">
      <c r="A17" s="453"/>
      <c r="B17" s="460" t="s">
        <v>374</v>
      </c>
      <c r="C17" s="486">
        <f>C14*1.03+C15*1.09+C16</f>
        <v>1831.404</v>
      </c>
      <c r="D17" s="486">
        <f>D14*1.03+D15*1.09+D16</f>
        <v>1554.164</v>
      </c>
      <c r="E17" s="459">
        <f>E14*1.03+E15*1.09</f>
        <v>31.990000000000002</v>
      </c>
      <c r="F17" s="459">
        <f>F14*1.03+F15*1.09</f>
        <v>130.25</v>
      </c>
      <c r="G17" s="459">
        <f t="shared" si="0"/>
        <v>1455.904</v>
      </c>
      <c r="H17" s="455">
        <f t="shared" si="1"/>
        <v>2.1999999999999999E-2</v>
      </c>
      <c r="I17" s="455">
        <f t="shared" si="2"/>
        <v>8.3799999999999999E-2</v>
      </c>
      <c r="J17" s="456">
        <f t="shared" si="3"/>
        <v>98.259999999999991</v>
      </c>
      <c r="K17" s="455">
        <f t="shared" si="4"/>
        <v>0.84860000000000002</v>
      </c>
      <c r="L17" s="454"/>
      <c r="M17" s="453"/>
      <c r="N17" s="460" t="s">
        <v>374</v>
      </c>
      <c r="O17" s="451"/>
      <c r="P17" s="450"/>
      <c r="Q17" s="461">
        <f>Q14*1.03+Q15*1.09+Q16</f>
        <v>100.90900000000005</v>
      </c>
      <c r="R17" s="448"/>
    </row>
    <row r="18" spans="1:18">
      <c r="A18" s="453"/>
      <c r="B18" s="460" t="s">
        <v>375</v>
      </c>
      <c r="C18" s="459">
        <f>'BENZENE-A16'!Q28/10</f>
        <v>838.5</v>
      </c>
      <c r="D18" s="459">
        <f>'BENZENE-A16'!Q57/10</f>
        <v>519.9</v>
      </c>
      <c r="E18" s="458">
        <v>250</v>
      </c>
      <c r="F18" s="458">
        <v>0</v>
      </c>
      <c r="G18" s="459">
        <f t="shared" si="0"/>
        <v>769.9</v>
      </c>
      <c r="H18" s="455">
        <f t="shared" si="1"/>
        <v>0.32469999999999999</v>
      </c>
      <c r="I18" s="455" t="str">
        <f t="shared" si="2"/>
        <v xml:space="preserve">     0%</v>
      </c>
      <c r="J18" s="456">
        <f t="shared" si="3"/>
        <v>-250</v>
      </c>
      <c r="K18" s="455">
        <f t="shared" si="4"/>
        <v>0.62</v>
      </c>
      <c r="L18" s="454" t="s">
        <v>191</v>
      </c>
      <c r="M18" s="453"/>
      <c r="N18" s="460" t="s">
        <v>375</v>
      </c>
      <c r="O18" s="451">
        <f t="shared" si="5"/>
        <v>519.9</v>
      </c>
      <c r="P18" s="450">
        <f>('BENZENE-A16'!Q86)/10</f>
        <v>775.7</v>
      </c>
      <c r="Q18" s="449">
        <f t="shared" si="6"/>
        <v>-255.80000000000007</v>
      </c>
      <c r="R18" s="448"/>
    </row>
    <row r="19" spans="1:18">
      <c r="A19" s="453"/>
      <c r="B19" s="460" t="s">
        <v>376</v>
      </c>
      <c r="C19" s="459">
        <f>'TOLUENE-A17'!Q28/10</f>
        <v>573.4</v>
      </c>
      <c r="D19" s="459">
        <f>'TOLUENE-A17'!Q57/10</f>
        <v>269.5</v>
      </c>
      <c r="E19" s="458">
        <v>40</v>
      </c>
      <c r="F19" s="458">
        <v>0</v>
      </c>
      <c r="G19" s="459">
        <f t="shared" si="0"/>
        <v>309.5</v>
      </c>
      <c r="H19" s="455">
        <f t="shared" si="1"/>
        <v>0.12920000000000001</v>
      </c>
      <c r="I19" s="455" t="str">
        <f t="shared" si="2"/>
        <v xml:space="preserve">     0%</v>
      </c>
      <c r="J19" s="456">
        <f t="shared" si="3"/>
        <v>-40</v>
      </c>
      <c r="K19" s="455">
        <f t="shared" si="4"/>
        <v>0.47</v>
      </c>
      <c r="L19" s="454" t="s">
        <v>190</v>
      </c>
      <c r="M19" s="453"/>
      <c r="N19" s="460" t="s">
        <v>376</v>
      </c>
      <c r="O19" s="451">
        <f t="shared" si="5"/>
        <v>269.5</v>
      </c>
      <c r="P19" s="450">
        <f>('TOLUENE-A17'!Q86)/10</f>
        <v>335</v>
      </c>
      <c r="Q19" s="449">
        <f t="shared" si="6"/>
        <v>-65.5</v>
      </c>
      <c r="R19" s="448"/>
    </row>
    <row r="20" spans="1:18">
      <c r="A20" s="453"/>
      <c r="B20" s="460" t="s">
        <v>377</v>
      </c>
      <c r="C20" s="459">
        <f>'XYLENES-A18'!Q28/10</f>
        <v>904.6</v>
      </c>
      <c r="D20" s="459">
        <f>'XYLENES-A18'!Q57/10</f>
        <v>542.79999999999995</v>
      </c>
      <c r="E20" s="458">
        <v>15</v>
      </c>
      <c r="F20" s="458">
        <v>50</v>
      </c>
      <c r="G20" s="459">
        <f t="shared" si="0"/>
        <v>507.79999999999995</v>
      </c>
      <c r="H20" s="455">
        <f t="shared" si="1"/>
        <v>2.9499999999999998E-2</v>
      </c>
      <c r="I20" s="455">
        <f t="shared" si="2"/>
        <v>9.2100000000000001E-2</v>
      </c>
      <c r="J20" s="456">
        <f t="shared" si="3"/>
        <v>35</v>
      </c>
      <c r="K20" s="455">
        <f t="shared" si="4"/>
        <v>0.6</v>
      </c>
      <c r="L20" s="454" t="s">
        <v>189</v>
      </c>
      <c r="M20" s="453"/>
      <c r="N20" s="460" t="s">
        <v>377</v>
      </c>
      <c r="O20" s="451">
        <f t="shared" si="5"/>
        <v>542.79999999999995</v>
      </c>
      <c r="P20" s="450">
        <f>('XYLENES-A18'!Q86)/10</f>
        <v>512</v>
      </c>
      <c r="Q20" s="449">
        <f t="shared" si="6"/>
        <v>30.799999999999955</v>
      </c>
      <c r="R20" s="448"/>
    </row>
    <row r="21" spans="1:18">
      <c r="A21" s="453"/>
      <c r="B21" s="460" t="s">
        <v>64</v>
      </c>
      <c r="C21" s="459">
        <f>'PX-A19'!Q28/10</f>
        <v>368.5</v>
      </c>
      <c r="D21" s="459">
        <f>'PX-A19'!Q57/10</f>
        <v>313.2</v>
      </c>
      <c r="E21" s="458">
        <v>55</v>
      </c>
      <c r="F21" s="458">
        <v>100</v>
      </c>
      <c r="G21" s="459">
        <f t="shared" si="0"/>
        <v>268.2</v>
      </c>
      <c r="H21" s="455">
        <f t="shared" si="1"/>
        <v>0.2051</v>
      </c>
      <c r="I21" s="455">
        <f t="shared" si="2"/>
        <v>0.31929999999999997</v>
      </c>
      <c r="J21" s="456">
        <f t="shared" si="3"/>
        <v>45</v>
      </c>
      <c r="K21" s="455">
        <f t="shared" si="4"/>
        <v>0.84989999999999999</v>
      </c>
      <c r="L21" s="454" t="s">
        <v>188</v>
      </c>
      <c r="M21" s="453"/>
      <c r="N21" s="452" t="s">
        <v>64</v>
      </c>
      <c r="O21" s="451">
        <f t="shared" si="5"/>
        <v>313.2</v>
      </c>
      <c r="P21" s="450">
        <f>('PX-A19'!Q86)/10</f>
        <v>318.89999999999998</v>
      </c>
      <c r="Q21" s="449">
        <f t="shared" si="6"/>
        <v>-5.6999999999999886</v>
      </c>
      <c r="R21" s="448"/>
    </row>
    <row r="22" spans="1:18">
      <c r="A22" s="453"/>
      <c r="B22" s="460" t="s">
        <v>62</v>
      </c>
      <c r="C22" s="459">
        <f>'PTA-A20'!Q28/10</f>
        <v>450</v>
      </c>
      <c r="D22" s="459">
        <f>'PTA-A20'!Q57/10</f>
        <v>406</v>
      </c>
      <c r="E22" s="458">
        <v>80</v>
      </c>
      <c r="F22" s="458">
        <v>80</v>
      </c>
      <c r="G22" s="459">
        <f t="shared" si="0"/>
        <v>406</v>
      </c>
      <c r="H22" s="455">
        <f t="shared" si="1"/>
        <v>0.19700000000000001</v>
      </c>
      <c r="I22" s="455">
        <f t="shared" si="2"/>
        <v>0.19700000000000001</v>
      </c>
      <c r="J22" s="456">
        <f t="shared" si="3"/>
        <v>0</v>
      </c>
      <c r="K22" s="455">
        <f t="shared" si="4"/>
        <v>0.9022</v>
      </c>
      <c r="L22" s="454" t="s">
        <v>187</v>
      </c>
      <c r="M22" s="453"/>
      <c r="N22" s="452" t="s">
        <v>62</v>
      </c>
      <c r="O22" s="451">
        <f t="shared" si="5"/>
        <v>406</v>
      </c>
      <c r="P22" s="450">
        <f>('PTA-A20'!Q86)/10</f>
        <v>417</v>
      </c>
      <c r="Q22" s="449">
        <f t="shared" si="6"/>
        <v>-11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1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pageSetUpPr fitToPage="1"/>
  </sheetPr>
  <dimension ref="A1:R23"/>
  <sheetViews>
    <sheetView showGridLines="0" view="pageBreakPreview" zoomScale="60" zoomScaleNormal="100" workbookViewId="0">
      <selection activeCell="N51" sqref="N51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33.375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411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'ETHYLENE-A1'!K29/10</f>
        <v>534.5</v>
      </c>
      <c r="D5" s="459">
        <f>'ETHYLENE-A1'!K58/10</f>
        <v>481.1</v>
      </c>
      <c r="E5" s="458">
        <v>1</v>
      </c>
      <c r="F5" s="458">
        <v>1</v>
      </c>
      <c r="G5" s="459">
        <f t="shared" ref="G5:G22" si="0">D5+E5-F5</f>
        <v>481.1</v>
      </c>
      <c r="H5" s="455">
        <f t="shared" ref="H5:H22" si="1">IF(AND(E5=0,G5=0),"    -",IF(E5=0,"     0%",IF(G5=0,"     -",ROUND(E5/G5,4))))</f>
        <v>2.0999999999999999E-3</v>
      </c>
      <c r="I5" s="455">
        <f t="shared" ref="I5:I22" si="2">IF(AND(D5=0,F5=0),"    -",IF(F5=0,"     0%",IF(D5=0,"     -",ROUND(F5/D5,4))))</f>
        <v>2.0999999999999999E-3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0.90010000000000001</v>
      </c>
      <c r="L5" s="454" t="s">
        <v>267</v>
      </c>
      <c r="M5" s="453"/>
      <c r="N5" s="452" t="s">
        <v>79</v>
      </c>
      <c r="O5" s="451">
        <f t="shared" ref="O5:O22" si="5">D5</f>
        <v>481.1</v>
      </c>
      <c r="P5" s="450">
        <f>('ETHYLENE-A1'!K87)/10</f>
        <v>484.9</v>
      </c>
      <c r="Q5" s="449">
        <f>O5-P5</f>
        <v>-3.7999999999999545</v>
      </c>
      <c r="R5" s="448"/>
    </row>
    <row r="6" spans="1:18">
      <c r="A6" s="453"/>
      <c r="B6" s="460" t="s">
        <v>78</v>
      </c>
      <c r="C6" s="459">
        <f>'LDPE-A2'!K29/10</f>
        <v>272.5</v>
      </c>
      <c r="D6" s="459">
        <f>'LDPE-A2'!K58/10</f>
        <v>231.6</v>
      </c>
      <c r="E6" s="458">
        <v>28</v>
      </c>
      <c r="F6" s="458">
        <v>36</v>
      </c>
      <c r="G6" s="459">
        <f t="shared" si="0"/>
        <v>223.60000000000002</v>
      </c>
      <c r="H6" s="455">
        <f t="shared" si="1"/>
        <v>0.12520000000000001</v>
      </c>
      <c r="I6" s="455">
        <f t="shared" si="2"/>
        <v>0.15540000000000001</v>
      </c>
      <c r="J6" s="456">
        <f t="shared" si="3"/>
        <v>7.9999999999999716</v>
      </c>
      <c r="K6" s="455">
        <f t="shared" si="4"/>
        <v>0.84989999999999999</v>
      </c>
      <c r="L6" s="454" t="s">
        <v>267</v>
      </c>
      <c r="M6" s="453"/>
      <c r="N6" s="452" t="s">
        <v>78</v>
      </c>
      <c r="O6" s="451">
        <f t="shared" si="5"/>
        <v>231.6</v>
      </c>
      <c r="P6" s="450">
        <f>('LDPE-A2'!K87)/10</f>
        <v>210.4</v>
      </c>
      <c r="Q6" s="449">
        <f t="shared" ref="Q6:Q22" si="6">O6-P6</f>
        <v>21.199999999999989</v>
      </c>
      <c r="R6" s="448"/>
    </row>
    <row r="7" spans="1:18">
      <c r="A7" s="453"/>
      <c r="B7" s="460" t="s">
        <v>76</v>
      </c>
      <c r="C7" s="459">
        <f>'HDPE-A3'!K29/10</f>
        <v>163</v>
      </c>
      <c r="D7" s="459">
        <f>'HDPE-A3'!K58/10</f>
        <v>130.4</v>
      </c>
      <c r="E7" s="458">
        <v>38</v>
      </c>
      <c r="F7" s="458">
        <v>101</v>
      </c>
      <c r="G7" s="459">
        <f t="shared" si="0"/>
        <v>67.400000000000006</v>
      </c>
      <c r="H7" s="455">
        <f t="shared" si="1"/>
        <v>0.56379999999999997</v>
      </c>
      <c r="I7" s="455">
        <f t="shared" si="2"/>
        <v>0.77449999999999997</v>
      </c>
      <c r="J7" s="456">
        <f t="shared" si="3"/>
        <v>63</v>
      </c>
      <c r="K7" s="455">
        <f t="shared" si="4"/>
        <v>0.8</v>
      </c>
      <c r="L7" s="454" t="s">
        <v>267</v>
      </c>
      <c r="M7" s="453"/>
      <c r="N7" s="452" t="s">
        <v>76</v>
      </c>
      <c r="O7" s="451">
        <f t="shared" si="5"/>
        <v>130.4</v>
      </c>
      <c r="P7" s="450">
        <f>('HDPE-A3'!K87)/10</f>
        <v>45.8</v>
      </c>
      <c r="Q7" s="449">
        <f t="shared" si="6"/>
        <v>84.600000000000009</v>
      </c>
      <c r="R7" s="448"/>
    </row>
    <row r="8" spans="1:18">
      <c r="A8" s="453"/>
      <c r="B8" s="460" t="s">
        <v>75</v>
      </c>
      <c r="C8" s="459">
        <f>'SM-A6'!K29/10</f>
        <v>88.1</v>
      </c>
      <c r="D8" s="459">
        <f>'SM-A6'!K58/10</f>
        <v>79.3</v>
      </c>
      <c r="E8" s="458">
        <v>1</v>
      </c>
      <c r="F8" s="458">
        <v>59</v>
      </c>
      <c r="G8" s="459">
        <f t="shared" si="0"/>
        <v>21.299999999999997</v>
      </c>
      <c r="H8" s="455">
        <f t="shared" si="1"/>
        <v>4.6899999999999997E-2</v>
      </c>
      <c r="I8" s="455">
        <f t="shared" si="2"/>
        <v>0.74399999999999999</v>
      </c>
      <c r="J8" s="456">
        <f t="shared" si="3"/>
        <v>58</v>
      </c>
      <c r="K8" s="455">
        <f t="shared" si="4"/>
        <v>0.90010000000000001</v>
      </c>
      <c r="L8" s="454" t="s">
        <v>268</v>
      </c>
      <c r="M8" s="453"/>
      <c r="N8" s="452" t="s">
        <v>75</v>
      </c>
      <c r="O8" s="451">
        <f t="shared" si="5"/>
        <v>79.3</v>
      </c>
      <c r="P8" s="450">
        <f>('SM-A6'!K87)/10</f>
        <v>28.9</v>
      </c>
      <c r="Q8" s="449">
        <f t="shared" si="6"/>
        <v>50.4</v>
      </c>
      <c r="R8" s="448"/>
    </row>
    <row r="9" spans="1:18">
      <c r="A9" s="453"/>
      <c r="B9" s="460" t="s">
        <v>74</v>
      </c>
      <c r="C9" s="459">
        <f>'EG-A10'!K29/10</f>
        <v>177</v>
      </c>
      <c r="D9" s="459">
        <f>'EG-A10'!K58/10</f>
        <v>150.5</v>
      </c>
      <c r="E9" s="458">
        <v>1</v>
      </c>
      <c r="F9" s="458">
        <v>155</v>
      </c>
      <c r="G9" s="459">
        <f t="shared" si="0"/>
        <v>-3.5</v>
      </c>
      <c r="H9" s="455">
        <f t="shared" si="1"/>
        <v>-0.28570000000000001</v>
      </c>
      <c r="I9" s="455">
        <f t="shared" si="2"/>
        <v>1.0299</v>
      </c>
      <c r="J9" s="456">
        <f t="shared" si="3"/>
        <v>154</v>
      </c>
      <c r="K9" s="455">
        <f t="shared" si="4"/>
        <v>0.85029999999999994</v>
      </c>
      <c r="L9" s="454" t="s">
        <v>269</v>
      </c>
      <c r="M9" s="453"/>
      <c r="N9" s="452" t="s">
        <v>74</v>
      </c>
      <c r="O9" s="451">
        <f t="shared" si="5"/>
        <v>150.5</v>
      </c>
      <c r="P9" s="450">
        <f>('EG-A10'!K87)/10</f>
        <v>0</v>
      </c>
      <c r="Q9" s="449">
        <f t="shared" si="6"/>
        <v>150.5</v>
      </c>
      <c r="R9" s="448"/>
    </row>
    <row r="10" spans="1:18">
      <c r="A10" s="453"/>
      <c r="B10" s="460" t="s">
        <v>72</v>
      </c>
      <c r="C10" s="459">
        <f>'PVC-A7'!K29/10</f>
        <v>27.3</v>
      </c>
      <c r="D10" s="459">
        <f>'PVC-A7'!K58/10</f>
        <v>25.2</v>
      </c>
      <c r="E10" s="458">
        <v>49</v>
      </c>
      <c r="F10" s="458">
        <v>17</v>
      </c>
      <c r="G10" s="459">
        <f t="shared" si="0"/>
        <v>57.2</v>
      </c>
      <c r="H10" s="455">
        <f t="shared" si="1"/>
        <v>0.85660000000000003</v>
      </c>
      <c r="I10" s="455">
        <f t="shared" si="2"/>
        <v>0.67459999999999998</v>
      </c>
      <c r="J10" s="456">
        <f t="shared" si="3"/>
        <v>-32</v>
      </c>
      <c r="K10" s="455">
        <f t="shared" si="4"/>
        <v>0.92310000000000003</v>
      </c>
      <c r="L10" s="454" t="s">
        <v>203</v>
      </c>
      <c r="M10" s="453"/>
      <c r="N10" s="452" t="s">
        <v>72</v>
      </c>
      <c r="O10" s="451">
        <f t="shared" si="5"/>
        <v>25.2</v>
      </c>
      <c r="P10" s="450">
        <f>('PVC-A7'!K87)/10</f>
        <v>53.1</v>
      </c>
      <c r="Q10" s="449">
        <f t="shared" si="6"/>
        <v>-27.900000000000002</v>
      </c>
      <c r="R10" s="448"/>
    </row>
    <row r="11" spans="1:18">
      <c r="A11" s="453"/>
      <c r="B11" s="460" t="s">
        <v>371</v>
      </c>
      <c r="C11" s="459">
        <f>'OTHER(C2)-A11'!K29/10</f>
        <v>3.8</v>
      </c>
      <c r="D11" s="459">
        <f>'OTHER(C2)-A11'!K58/10</f>
        <v>3.4200000000000004</v>
      </c>
      <c r="E11" s="458">
        <v>4</v>
      </c>
      <c r="F11" s="458">
        <v>3</v>
      </c>
      <c r="G11" s="459">
        <f t="shared" si="0"/>
        <v>4.42</v>
      </c>
      <c r="H11" s="455">
        <f t="shared" si="1"/>
        <v>0.90500000000000003</v>
      </c>
      <c r="I11" s="455">
        <f t="shared" si="2"/>
        <v>0.87719999999999998</v>
      </c>
      <c r="J11" s="456">
        <f t="shared" si="3"/>
        <v>-0.99999999999999956</v>
      </c>
      <c r="K11" s="455">
        <f t="shared" si="4"/>
        <v>0.9</v>
      </c>
      <c r="L11" s="454"/>
      <c r="M11" s="453"/>
      <c r="N11" s="460" t="s">
        <v>371</v>
      </c>
      <c r="O11" s="451">
        <f t="shared" si="5"/>
        <v>3.4200000000000004</v>
      </c>
      <c r="P11" s="450">
        <f>('OTHER(C2)-A11'!K87)/10</f>
        <v>3.6</v>
      </c>
      <c r="Q11" s="449">
        <f t="shared" si="6"/>
        <v>-0.17999999999999972</v>
      </c>
      <c r="R11" s="448"/>
    </row>
    <row r="12" spans="1:18">
      <c r="A12" s="453"/>
      <c r="B12" s="460" t="s">
        <v>372</v>
      </c>
      <c r="C12" s="462">
        <f>C6*0.98+C7*1.04+C8*0.29+C9*0.66+C10*0.5+C11</f>
        <v>596.38900000000001</v>
      </c>
      <c r="D12" s="462">
        <f>D6*0.98+D7*1.04+D8*0.29+D9*0.66+D10*0.5+D11</f>
        <v>500.93100000000004</v>
      </c>
      <c r="E12" s="462">
        <f>E6*0.98+E7*1.04+E8*0.29+E9*0.66+E10*0.5</f>
        <v>92.410000000000011</v>
      </c>
      <c r="F12" s="462">
        <f>F6*0.98+F7*1.04+F8*0.29+F9*0.66+F10*0.5</f>
        <v>268.23</v>
      </c>
      <c r="G12" s="459">
        <f t="shared" si="0"/>
        <v>325.11099999999999</v>
      </c>
      <c r="H12" s="455">
        <f t="shared" si="1"/>
        <v>0.28420000000000001</v>
      </c>
      <c r="I12" s="455">
        <f t="shared" si="2"/>
        <v>0.53549999999999998</v>
      </c>
      <c r="J12" s="456">
        <f t="shared" si="3"/>
        <v>175.82000000000005</v>
      </c>
      <c r="K12" s="455">
        <f t="shared" si="4"/>
        <v>0.83989999999999998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208.57599999999999</v>
      </c>
      <c r="R12" s="448"/>
    </row>
    <row r="13" spans="1:18">
      <c r="A13" s="453"/>
      <c r="B13" s="460" t="s">
        <v>373</v>
      </c>
      <c r="C13" s="459">
        <f>'PROPYLENE-A12'!K29/10</f>
        <v>82.3</v>
      </c>
      <c r="D13" s="459">
        <f>'PROPYLENE-A12'!K58/10</f>
        <v>60.96</v>
      </c>
      <c r="E13" s="458">
        <v>1</v>
      </c>
      <c r="F13" s="458">
        <v>21</v>
      </c>
      <c r="G13" s="459">
        <f t="shared" si="0"/>
        <v>40.96</v>
      </c>
      <c r="H13" s="455">
        <f t="shared" si="1"/>
        <v>2.4400000000000002E-2</v>
      </c>
      <c r="I13" s="455">
        <f t="shared" si="2"/>
        <v>0.34449999999999997</v>
      </c>
      <c r="J13" s="456">
        <f t="shared" si="3"/>
        <v>20</v>
      </c>
      <c r="K13" s="455">
        <f t="shared" si="4"/>
        <v>0.74070000000000003</v>
      </c>
      <c r="L13" s="454" t="s">
        <v>270</v>
      </c>
      <c r="M13" s="453"/>
      <c r="N13" s="460" t="s">
        <v>373</v>
      </c>
      <c r="O13" s="451">
        <f t="shared" si="5"/>
        <v>60.96</v>
      </c>
      <c r="P13" s="450">
        <f>('PROPYLENE-A12'!K87)/10</f>
        <v>4.9000000000000004</v>
      </c>
      <c r="Q13" s="449">
        <f t="shared" si="6"/>
        <v>56.06</v>
      </c>
      <c r="R13" s="448"/>
    </row>
    <row r="14" spans="1:18">
      <c r="A14" s="453"/>
      <c r="B14" s="460" t="s">
        <v>69</v>
      </c>
      <c r="C14" s="459">
        <f>'PP-A13'!K29/10</f>
        <v>0</v>
      </c>
      <c r="D14" s="459">
        <f>'PP-A13'!K58/10</f>
        <v>0</v>
      </c>
      <c r="E14" s="458">
        <v>28</v>
      </c>
      <c r="F14" s="458">
        <v>3</v>
      </c>
      <c r="G14" s="459">
        <f t="shared" si="0"/>
        <v>25</v>
      </c>
      <c r="H14" s="455">
        <f t="shared" si="1"/>
        <v>1.1200000000000001</v>
      </c>
      <c r="I14" s="455" t="str">
        <f t="shared" si="2"/>
        <v xml:space="preserve">     -</v>
      </c>
      <c r="J14" s="482">
        <f t="shared" si="3"/>
        <v>-25</v>
      </c>
      <c r="K14" s="455" t="str">
        <f t="shared" si="4"/>
        <v xml:space="preserve">    -</v>
      </c>
      <c r="L14" s="454" t="s">
        <v>271</v>
      </c>
      <c r="M14" s="453"/>
      <c r="N14" s="452" t="s">
        <v>69</v>
      </c>
      <c r="O14" s="451">
        <f t="shared" si="5"/>
        <v>0</v>
      </c>
      <c r="P14" s="450">
        <f>('PP-A13'!K87)/10</f>
        <v>24</v>
      </c>
      <c r="Q14" s="449">
        <f t="shared" si="6"/>
        <v>-24</v>
      </c>
      <c r="R14" s="448"/>
    </row>
    <row r="15" spans="1:18">
      <c r="A15" s="453"/>
      <c r="B15" s="460" t="s">
        <v>67</v>
      </c>
      <c r="C15" s="459">
        <f>'AN-A14'!K29/10</f>
        <v>0</v>
      </c>
      <c r="D15" s="459">
        <f>'AN-A14'!K58/10</f>
        <v>0</v>
      </c>
      <c r="E15" s="458">
        <v>1</v>
      </c>
      <c r="F15" s="458">
        <v>0</v>
      </c>
      <c r="G15" s="459">
        <f t="shared" si="0"/>
        <v>1</v>
      </c>
      <c r="H15" s="455">
        <f t="shared" si="1"/>
        <v>1</v>
      </c>
      <c r="I15" s="455" t="str">
        <f t="shared" si="2"/>
        <v xml:space="preserve">    -</v>
      </c>
      <c r="J15" s="482">
        <f t="shared" si="3"/>
        <v>-1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('AN-A14'!K87)/10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'OTHER(C3)-A15'!K29/10</f>
        <v>44.2</v>
      </c>
      <c r="D16" s="459">
        <f>'OTHER(C3)-A15'!K58/10</f>
        <v>39.78</v>
      </c>
      <c r="E16" s="458">
        <v>44</v>
      </c>
      <c r="F16" s="458">
        <v>40</v>
      </c>
      <c r="G16" s="459">
        <f t="shared" si="0"/>
        <v>43.78</v>
      </c>
      <c r="H16" s="455">
        <f t="shared" si="1"/>
        <v>1.0049999999999999</v>
      </c>
      <c r="I16" s="455">
        <f t="shared" si="2"/>
        <v>1.0055000000000001</v>
      </c>
      <c r="J16" s="456">
        <f t="shared" si="3"/>
        <v>-4</v>
      </c>
      <c r="K16" s="455">
        <f t="shared" si="4"/>
        <v>0.9</v>
      </c>
      <c r="L16" s="454"/>
      <c r="M16" s="453"/>
      <c r="N16" s="460" t="s">
        <v>371</v>
      </c>
      <c r="O16" s="451">
        <f t="shared" si="5"/>
        <v>39.78</v>
      </c>
      <c r="P16" s="450">
        <f>('AN-A14'!K87)/10</f>
        <v>0</v>
      </c>
      <c r="Q16" s="449">
        <f t="shared" si="6"/>
        <v>39.78</v>
      </c>
      <c r="R16" s="448"/>
    </row>
    <row r="17" spans="1:18">
      <c r="A17" s="453"/>
      <c r="B17" s="460" t="s">
        <v>374</v>
      </c>
      <c r="C17" s="459">
        <f>C14*1.03+C15*1.09+C16</f>
        <v>44.2</v>
      </c>
      <c r="D17" s="459">
        <f>D14*1.03+D15*1.09+D16</f>
        <v>39.78</v>
      </c>
      <c r="E17" s="459">
        <f>E14*1.03+E15*1.09</f>
        <v>29.93</v>
      </c>
      <c r="F17" s="459">
        <f>F14*1.03+F15*1.09</f>
        <v>3.09</v>
      </c>
      <c r="G17" s="459">
        <f t="shared" si="0"/>
        <v>66.62</v>
      </c>
      <c r="H17" s="455">
        <f t="shared" si="1"/>
        <v>0.44929999999999998</v>
      </c>
      <c r="I17" s="455">
        <f t="shared" si="2"/>
        <v>7.7700000000000005E-2</v>
      </c>
      <c r="J17" s="456">
        <f t="shared" si="3"/>
        <v>-26.840000000000003</v>
      </c>
      <c r="K17" s="455">
        <f t="shared" si="4"/>
        <v>0.9</v>
      </c>
      <c r="L17" s="454"/>
      <c r="M17" s="453"/>
      <c r="N17" s="460" t="s">
        <v>374</v>
      </c>
      <c r="O17" s="451"/>
      <c r="P17" s="450"/>
      <c r="Q17" s="461">
        <f>Q14*1.03+Q15*1.09+Q16</f>
        <v>15.060000000000002</v>
      </c>
      <c r="R17" s="448"/>
    </row>
    <row r="18" spans="1:18">
      <c r="A18" s="453"/>
      <c r="B18" s="460" t="s">
        <v>375</v>
      </c>
      <c r="C18" s="459">
        <f>'BENZENE-A16'!K29/10</f>
        <v>112.4</v>
      </c>
      <c r="D18" s="459">
        <f>'BENZENE-A16'!K58/10</f>
        <v>67.44</v>
      </c>
      <c r="E18" s="458">
        <v>6</v>
      </c>
      <c r="F18" s="458">
        <v>12</v>
      </c>
      <c r="G18" s="459">
        <f t="shared" si="0"/>
        <v>61.44</v>
      </c>
      <c r="H18" s="455">
        <f t="shared" si="1"/>
        <v>9.7699999999999995E-2</v>
      </c>
      <c r="I18" s="455">
        <f t="shared" si="2"/>
        <v>0.1779</v>
      </c>
      <c r="J18" s="456">
        <f t="shared" si="3"/>
        <v>6</v>
      </c>
      <c r="K18" s="455">
        <f t="shared" si="4"/>
        <v>0.6</v>
      </c>
      <c r="L18" s="454" t="s">
        <v>201</v>
      </c>
      <c r="M18" s="453"/>
      <c r="N18" s="460" t="s">
        <v>375</v>
      </c>
      <c r="O18" s="451">
        <f t="shared" si="5"/>
        <v>67.44</v>
      </c>
      <c r="P18" s="450">
        <f>('BENZENE-A16'!K87)/10</f>
        <v>59.4</v>
      </c>
      <c r="Q18" s="449">
        <f t="shared" si="6"/>
        <v>8.0399999999999991</v>
      </c>
      <c r="R18" s="448"/>
    </row>
    <row r="19" spans="1:18">
      <c r="A19" s="453"/>
      <c r="B19" s="460" t="s">
        <v>376</v>
      </c>
      <c r="C19" s="459">
        <f>'TOLUENE-A17'!K29/10</f>
        <v>88.7</v>
      </c>
      <c r="D19" s="459">
        <f>'TOLUENE-A17'!K58/10</f>
        <v>79.830000000000013</v>
      </c>
      <c r="E19" s="458">
        <v>9</v>
      </c>
      <c r="F19" s="458">
        <v>1</v>
      </c>
      <c r="G19" s="459">
        <f t="shared" si="0"/>
        <v>87.830000000000013</v>
      </c>
      <c r="H19" s="455">
        <f t="shared" si="1"/>
        <v>0.10249999999999999</v>
      </c>
      <c r="I19" s="455">
        <f t="shared" si="2"/>
        <v>1.2500000000000001E-2</v>
      </c>
      <c r="J19" s="456">
        <f t="shared" si="3"/>
        <v>-8</v>
      </c>
      <c r="K19" s="455">
        <f t="shared" si="4"/>
        <v>0.9</v>
      </c>
      <c r="L19" s="454" t="s">
        <v>272</v>
      </c>
      <c r="M19" s="453"/>
      <c r="N19" s="460" t="s">
        <v>376</v>
      </c>
      <c r="O19" s="451">
        <f t="shared" si="5"/>
        <v>79.830000000000013</v>
      </c>
      <c r="P19" s="450">
        <f>('TOLUENE-A17'!K87)/10</f>
        <v>89.7</v>
      </c>
      <c r="Q19" s="449">
        <f t="shared" si="6"/>
        <v>-9.8699999999999903</v>
      </c>
      <c r="R19" s="448"/>
    </row>
    <row r="20" spans="1:18">
      <c r="A20" s="453"/>
      <c r="B20" s="460" t="s">
        <v>377</v>
      </c>
      <c r="C20" s="459">
        <f>'XYLENES-A18'!K29/10</f>
        <v>60.5</v>
      </c>
      <c r="D20" s="459">
        <f>'XYLENES-A18'!K58/10</f>
        <v>54.45</v>
      </c>
      <c r="E20" s="458">
        <v>13</v>
      </c>
      <c r="F20" s="458">
        <v>1</v>
      </c>
      <c r="G20" s="459">
        <f t="shared" si="0"/>
        <v>66.45</v>
      </c>
      <c r="H20" s="455">
        <f t="shared" si="1"/>
        <v>0.1956</v>
      </c>
      <c r="I20" s="455">
        <f t="shared" si="2"/>
        <v>1.84E-2</v>
      </c>
      <c r="J20" s="456">
        <f t="shared" si="3"/>
        <v>-12</v>
      </c>
      <c r="K20" s="455">
        <f t="shared" si="4"/>
        <v>0.9</v>
      </c>
      <c r="L20" s="454" t="s">
        <v>273</v>
      </c>
      <c r="M20" s="453"/>
      <c r="N20" s="460" t="s">
        <v>377</v>
      </c>
      <c r="O20" s="451">
        <f t="shared" si="5"/>
        <v>54.45</v>
      </c>
      <c r="P20" s="450">
        <f>('XYLENES-A18'!K87)/10</f>
        <v>68.8</v>
      </c>
      <c r="Q20" s="449">
        <f t="shared" si="6"/>
        <v>-14.349999999999994</v>
      </c>
      <c r="R20" s="448"/>
    </row>
    <row r="21" spans="1:18">
      <c r="A21" s="453"/>
      <c r="B21" s="460" t="s">
        <v>64</v>
      </c>
      <c r="C21" s="459">
        <f>'PX-A19'!K29/10</f>
        <v>35</v>
      </c>
      <c r="D21" s="459">
        <f>'PX-A19'!K58/10</f>
        <v>30.6</v>
      </c>
      <c r="E21" s="458">
        <v>0</v>
      </c>
      <c r="F21" s="458">
        <v>0</v>
      </c>
      <c r="G21" s="459">
        <f t="shared" si="0"/>
        <v>30.6</v>
      </c>
      <c r="H21" s="455" t="str">
        <f t="shared" si="1"/>
        <v xml:space="preserve">     0%</v>
      </c>
      <c r="I21" s="455" t="str">
        <f t="shared" si="2"/>
        <v xml:space="preserve">     0%</v>
      </c>
      <c r="J21" s="456">
        <f t="shared" si="3"/>
        <v>0</v>
      </c>
      <c r="K21" s="455">
        <f t="shared" si="4"/>
        <v>0.87429999999999997</v>
      </c>
      <c r="L21" s="454" t="s">
        <v>198</v>
      </c>
      <c r="M21" s="453"/>
      <c r="N21" s="452" t="s">
        <v>64</v>
      </c>
      <c r="O21" s="451">
        <f t="shared" si="5"/>
        <v>30.6</v>
      </c>
      <c r="P21" s="450">
        <f>('PX-A19'!K87)/10</f>
        <v>38.6</v>
      </c>
      <c r="Q21" s="449">
        <f t="shared" si="6"/>
        <v>-8</v>
      </c>
      <c r="R21" s="448"/>
    </row>
    <row r="22" spans="1:18">
      <c r="A22" s="453"/>
      <c r="B22" s="460" t="s">
        <v>62</v>
      </c>
      <c r="C22" s="459">
        <f>'PTA-A20'!K29/10</f>
        <v>65</v>
      </c>
      <c r="D22" s="459">
        <f>'PTA-A20'!K58/10</f>
        <v>55.25</v>
      </c>
      <c r="E22" s="458">
        <v>0</v>
      </c>
      <c r="F22" s="458">
        <v>0</v>
      </c>
      <c r="G22" s="459">
        <f t="shared" si="0"/>
        <v>55.25</v>
      </c>
      <c r="H22" s="455" t="str">
        <f t="shared" si="1"/>
        <v xml:space="preserve">     0%</v>
      </c>
      <c r="I22" s="455" t="str">
        <f t="shared" si="2"/>
        <v xml:space="preserve">     0%</v>
      </c>
      <c r="J22" s="456">
        <f t="shared" si="3"/>
        <v>0</v>
      </c>
      <c r="K22" s="455">
        <f t="shared" si="4"/>
        <v>0.85</v>
      </c>
      <c r="L22" s="454" t="s">
        <v>197</v>
      </c>
      <c r="M22" s="453"/>
      <c r="N22" s="452" t="s">
        <v>62</v>
      </c>
      <c r="O22" s="451">
        <f t="shared" si="5"/>
        <v>55.25</v>
      </c>
      <c r="P22" s="450">
        <f>('PTA-A20'!K87)/10</f>
        <v>57.9</v>
      </c>
      <c r="Q22" s="449">
        <f t="shared" si="6"/>
        <v>-2.6499999999999986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2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33" bestFit="1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412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'ETHYLENE-A1'!Q29/10</f>
        <v>575.29999999999995</v>
      </c>
      <c r="D5" s="459">
        <f>'ETHYLENE-A1'!Q58/10</f>
        <v>490</v>
      </c>
      <c r="E5" s="458">
        <v>5</v>
      </c>
      <c r="F5" s="458">
        <v>5</v>
      </c>
      <c r="G5" s="459">
        <f t="shared" ref="G5:G22" si="0">D5+E5-F5</f>
        <v>490</v>
      </c>
      <c r="H5" s="455">
        <f t="shared" ref="H5:H22" si="1">IF(AND(E5=0,G5=0),"    -",IF(E5=0,"     0%",IF(G5=0,"     -",ROUND(E5/G5,4))))</f>
        <v>1.0200000000000001E-2</v>
      </c>
      <c r="I5" s="455">
        <f t="shared" ref="I5:I22" si="2">IF(AND(D5=0,F5=0),"    -",IF(F5=0,"     0%",IF(D5=0,"     -",ROUND(F5/D5,4))))</f>
        <v>1.0200000000000001E-2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0.85170000000000001</v>
      </c>
      <c r="L5" s="454" t="s">
        <v>274</v>
      </c>
      <c r="M5" s="453"/>
      <c r="N5" s="452" t="s">
        <v>79</v>
      </c>
      <c r="O5" s="451">
        <f t="shared" ref="O5:O22" si="5">D5</f>
        <v>490</v>
      </c>
      <c r="P5" s="450">
        <f>('ETHYLENE-A1'!Q87)/10</f>
        <v>538.9</v>
      </c>
      <c r="Q5" s="449">
        <f>O5-P5</f>
        <v>-48.899999999999977</v>
      </c>
      <c r="R5" s="448"/>
    </row>
    <row r="6" spans="1:18">
      <c r="A6" s="453"/>
      <c r="B6" s="460" t="s">
        <v>78</v>
      </c>
      <c r="C6" s="459">
        <f>'LDPE-A2'!Q29/10</f>
        <v>317.5</v>
      </c>
      <c r="D6" s="459">
        <f>'LDPE-A2'!Q58/10</f>
        <v>269.89999999999998</v>
      </c>
      <c r="E6" s="458">
        <v>30</v>
      </c>
      <c r="F6" s="458">
        <v>30</v>
      </c>
      <c r="G6" s="459">
        <f t="shared" si="0"/>
        <v>269.89999999999998</v>
      </c>
      <c r="H6" s="455">
        <f t="shared" si="1"/>
        <v>0.11119999999999999</v>
      </c>
      <c r="I6" s="455">
        <f t="shared" si="2"/>
        <v>0.11119999999999999</v>
      </c>
      <c r="J6" s="456">
        <f t="shared" si="3"/>
        <v>0</v>
      </c>
      <c r="K6" s="455">
        <f t="shared" si="4"/>
        <v>0.85009999999999997</v>
      </c>
      <c r="L6" s="454" t="s">
        <v>274</v>
      </c>
      <c r="M6" s="453"/>
      <c r="N6" s="452" t="s">
        <v>78</v>
      </c>
      <c r="O6" s="451">
        <f t="shared" si="5"/>
        <v>269.89999999999998</v>
      </c>
      <c r="P6" s="450">
        <f>('LDPE-A2'!Q87)/10</f>
        <v>234.5</v>
      </c>
      <c r="Q6" s="449">
        <f t="shared" ref="Q6:Q22" si="6">O6-P6</f>
        <v>35.399999999999977</v>
      </c>
      <c r="R6" s="448"/>
    </row>
    <row r="7" spans="1:18">
      <c r="A7" s="453"/>
      <c r="B7" s="460" t="s">
        <v>76</v>
      </c>
      <c r="C7" s="459">
        <f>'HDPE-A3'!Q29/10</f>
        <v>163</v>
      </c>
      <c r="D7" s="459">
        <f>'HDPE-A3'!Q58/10</f>
        <v>130.4</v>
      </c>
      <c r="E7" s="458">
        <v>40</v>
      </c>
      <c r="F7" s="458">
        <v>135</v>
      </c>
      <c r="G7" s="459">
        <f t="shared" si="0"/>
        <v>35.400000000000006</v>
      </c>
      <c r="H7" s="455">
        <f t="shared" si="1"/>
        <v>1.1298999999999999</v>
      </c>
      <c r="I7" s="455">
        <f t="shared" si="2"/>
        <v>1.0353000000000001</v>
      </c>
      <c r="J7" s="456">
        <f t="shared" si="3"/>
        <v>95</v>
      </c>
      <c r="K7" s="455">
        <f t="shared" si="4"/>
        <v>0.8</v>
      </c>
      <c r="L7" s="454" t="s">
        <v>274</v>
      </c>
      <c r="M7" s="453"/>
      <c r="N7" s="452" t="s">
        <v>76</v>
      </c>
      <c r="O7" s="451">
        <f t="shared" si="5"/>
        <v>130.4</v>
      </c>
      <c r="P7" s="450">
        <f>('HDPE-A3'!Q87)/10</f>
        <v>51.1</v>
      </c>
      <c r="Q7" s="449">
        <f t="shared" si="6"/>
        <v>79.300000000000011</v>
      </c>
      <c r="R7" s="448"/>
    </row>
    <row r="8" spans="1:18">
      <c r="A8" s="453"/>
      <c r="B8" s="460" t="s">
        <v>75</v>
      </c>
      <c r="C8" s="459">
        <f>'SM-A6'!Q29/10</f>
        <v>88.1</v>
      </c>
      <c r="D8" s="459">
        <f>'SM-A6'!Q58/10</f>
        <v>79.3</v>
      </c>
      <c r="E8" s="458">
        <v>400</v>
      </c>
      <c r="F8" s="458">
        <v>0</v>
      </c>
      <c r="G8" s="459">
        <f t="shared" si="0"/>
        <v>479.3</v>
      </c>
      <c r="H8" s="455">
        <f t="shared" si="1"/>
        <v>0.83460000000000001</v>
      </c>
      <c r="I8" s="455" t="str">
        <f t="shared" si="2"/>
        <v xml:space="preserve">     0%</v>
      </c>
      <c r="J8" s="456">
        <f t="shared" si="3"/>
        <v>-400</v>
      </c>
      <c r="K8" s="455">
        <f t="shared" si="4"/>
        <v>0.90010000000000001</v>
      </c>
      <c r="L8" s="454" t="s">
        <v>205</v>
      </c>
      <c r="M8" s="453"/>
      <c r="N8" s="452" t="s">
        <v>75</v>
      </c>
      <c r="O8" s="451">
        <f t="shared" si="5"/>
        <v>79.3</v>
      </c>
      <c r="P8" s="450">
        <f>('SM-A6'!Q87)/10</f>
        <v>32.1</v>
      </c>
      <c r="Q8" s="449">
        <f t="shared" si="6"/>
        <v>47.199999999999996</v>
      </c>
      <c r="R8" s="448"/>
    </row>
    <row r="9" spans="1:18">
      <c r="A9" s="453"/>
      <c r="B9" s="460" t="s">
        <v>74</v>
      </c>
      <c r="C9" s="459">
        <f>'EG-A10'!Q29/10</f>
        <v>177</v>
      </c>
      <c r="D9" s="459">
        <f>'EG-A10'!Q58/10</f>
        <v>150.5</v>
      </c>
      <c r="E9" s="458">
        <v>1</v>
      </c>
      <c r="F9" s="458">
        <v>136</v>
      </c>
      <c r="G9" s="459">
        <f t="shared" si="0"/>
        <v>15.5</v>
      </c>
      <c r="H9" s="455">
        <f t="shared" si="1"/>
        <v>6.4500000000000002E-2</v>
      </c>
      <c r="I9" s="455">
        <f t="shared" si="2"/>
        <v>0.90369999999999995</v>
      </c>
      <c r="J9" s="456">
        <f t="shared" si="3"/>
        <v>135</v>
      </c>
      <c r="K9" s="455">
        <f t="shared" si="4"/>
        <v>0.85029999999999994</v>
      </c>
      <c r="L9" s="454" t="s">
        <v>204</v>
      </c>
      <c r="M9" s="453"/>
      <c r="N9" s="452" t="s">
        <v>74</v>
      </c>
      <c r="O9" s="451">
        <f t="shared" si="5"/>
        <v>150.5</v>
      </c>
      <c r="P9" s="450">
        <f>('EG-A10'!Q87)/10</f>
        <v>0</v>
      </c>
      <c r="Q9" s="449">
        <f t="shared" si="6"/>
        <v>150.5</v>
      </c>
      <c r="R9" s="448"/>
    </row>
    <row r="10" spans="1:18">
      <c r="A10" s="453"/>
      <c r="B10" s="460" t="s">
        <v>72</v>
      </c>
      <c r="C10" s="459">
        <f>'PVC-A7'!Q29/10</f>
        <v>27.3</v>
      </c>
      <c r="D10" s="459">
        <f>'PVC-A7'!Q58/10</f>
        <v>25.2</v>
      </c>
      <c r="E10" s="458">
        <v>45</v>
      </c>
      <c r="F10" s="458">
        <v>15</v>
      </c>
      <c r="G10" s="459">
        <f t="shared" si="0"/>
        <v>55.2</v>
      </c>
      <c r="H10" s="455">
        <f t="shared" si="1"/>
        <v>0.81520000000000004</v>
      </c>
      <c r="I10" s="455">
        <f t="shared" si="2"/>
        <v>0.59519999999999995</v>
      </c>
      <c r="J10" s="456">
        <f t="shared" si="3"/>
        <v>-30.000000000000004</v>
      </c>
      <c r="K10" s="455">
        <f t="shared" si="4"/>
        <v>0.92310000000000003</v>
      </c>
      <c r="L10" s="454" t="s">
        <v>203</v>
      </c>
      <c r="M10" s="453"/>
      <c r="N10" s="452" t="s">
        <v>72</v>
      </c>
      <c r="O10" s="451">
        <f t="shared" si="5"/>
        <v>25.2</v>
      </c>
      <c r="P10" s="450">
        <f>('PVC-A7'!Q87)/10</f>
        <v>59.1</v>
      </c>
      <c r="Q10" s="449">
        <f t="shared" si="6"/>
        <v>-33.900000000000006</v>
      </c>
      <c r="R10" s="448"/>
    </row>
    <row r="11" spans="1:18">
      <c r="A11" s="453"/>
      <c r="B11" s="460" t="s">
        <v>371</v>
      </c>
      <c r="C11" s="459">
        <f>'OTHER(C2)-A11'!Q29/10</f>
        <v>3.8</v>
      </c>
      <c r="D11" s="459">
        <f>'OTHER(C2)-A11'!Q58/10</f>
        <v>3.4</v>
      </c>
      <c r="E11" s="458">
        <v>0</v>
      </c>
      <c r="F11" s="458">
        <v>0</v>
      </c>
      <c r="G11" s="459">
        <f t="shared" si="0"/>
        <v>3.4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0.89470000000000005</v>
      </c>
      <c r="L11" s="454"/>
      <c r="M11" s="453"/>
      <c r="N11" s="460" t="s">
        <v>371</v>
      </c>
      <c r="O11" s="451">
        <f t="shared" si="5"/>
        <v>3.4</v>
      </c>
      <c r="P11" s="450">
        <f>('OTHER(C2)-A11'!Q87)/10</f>
        <v>4.2</v>
      </c>
      <c r="Q11" s="449">
        <f t="shared" si="6"/>
        <v>-0.80000000000000027</v>
      </c>
      <c r="R11" s="448"/>
    </row>
    <row r="12" spans="1:18">
      <c r="A12" s="453"/>
      <c r="B12" s="460" t="s">
        <v>372</v>
      </c>
      <c r="C12" s="462">
        <f>C6*0.98+C7*1.04+C8*0.29+C9*0.66+C10*0.5+C11</f>
        <v>640.48899999999992</v>
      </c>
      <c r="D12" s="462">
        <f>D6*0.98+D7*1.04+D8*0.29+D9*0.66+D10*0.5+D11</f>
        <v>538.44499999999994</v>
      </c>
      <c r="E12" s="462">
        <f>E6*0.98+E7*1.04+E8*0.29+E9*0.66+E10*0.5</f>
        <v>210.16</v>
      </c>
      <c r="F12" s="462">
        <f>F6*0.98+F7*1.04+F8*0.29+F9*0.66+F10*0.5</f>
        <v>267.06</v>
      </c>
      <c r="G12" s="459">
        <f t="shared" si="0"/>
        <v>481.5449999999999</v>
      </c>
      <c r="H12" s="455">
        <f t="shared" si="1"/>
        <v>0.43640000000000001</v>
      </c>
      <c r="I12" s="455">
        <f t="shared" si="2"/>
        <v>0.496</v>
      </c>
      <c r="J12" s="456">
        <f t="shared" si="3"/>
        <v>56.900000000000034</v>
      </c>
      <c r="K12" s="455">
        <f t="shared" si="4"/>
        <v>0.8407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212.43199999999996</v>
      </c>
      <c r="R12" s="448"/>
    </row>
    <row r="13" spans="1:18">
      <c r="A13" s="453"/>
      <c r="B13" s="460" t="s">
        <v>373</v>
      </c>
      <c r="C13" s="459">
        <f>'PROPYLENE-A12'!Q29/10</f>
        <v>187.3</v>
      </c>
      <c r="D13" s="459">
        <f>'PROPYLENE-A12'!Q58/10</f>
        <v>149.80000000000001</v>
      </c>
      <c r="E13" s="458">
        <v>1</v>
      </c>
      <c r="F13" s="458">
        <v>106</v>
      </c>
      <c r="G13" s="459">
        <f t="shared" si="0"/>
        <v>44.800000000000011</v>
      </c>
      <c r="H13" s="455">
        <f t="shared" si="1"/>
        <v>2.23E-2</v>
      </c>
      <c r="I13" s="455">
        <f t="shared" si="2"/>
        <v>0.70760000000000001</v>
      </c>
      <c r="J13" s="456">
        <f t="shared" si="3"/>
        <v>105</v>
      </c>
      <c r="K13" s="455">
        <f t="shared" si="4"/>
        <v>0.79979999999999996</v>
      </c>
      <c r="L13" s="454" t="s">
        <v>275</v>
      </c>
      <c r="M13" s="453"/>
      <c r="N13" s="460" t="s">
        <v>373</v>
      </c>
      <c r="O13" s="451">
        <f t="shared" si="5"/>
        <v>149.80000000000001</v>
      </c>
      <c r="P13" s="450">
        <f>('PROPYLENE-A12'!Q87)/10</f>
        <v>5.5</v>
      </c>
      <c r="Q13" s="449">
        <f t="shared" si="6"/>
        <v>144.30000000000001</v>
      </c>
      <c r="R13" s="448"/>
    </row>
    <row r="14" spans="1:18">
      <c r="A14" s="453"/>
      <c r="B14" s="460" t="s">
        <v>69</v>
      </c>
      <c r="C14" s="459">
        <f>'PP-A13'!Q29/10</f>
        <v>105</v>
      </c>
      <c r="D14" s="459">
        <f>'PP-A13'!Q58/10</f>
        <v>0</v>
      </c>
      <c r="E14" s="458">
        <v>30</v>
      </c>
      <c r="F14" s="458">
        <v>0</v>
      </c>
      <c r="G14" s="459">
        <f t="shared" si="0"/>
        <v>30</v>
      </c>
      <c r="H14" s="455">
        <f t="shared" si="1"/>
        <v>1</v>
      </c>
      <c r="I14" s="455" t="str">
        <f t="shared" si="2"/>
        <v xml:space="preserve">    -</v>
      </c>
      <c r="J14" s="456">
        <f t="shared" si="3"/>
        <v>-30</v>
      </c>
      <c r="K14" s="455" t="str">
        <f t="shared" si="4"/>
        <v xml:space="preserve">     -</v>
      </c>
      <c r="L14" s="454" t="s">
        <v>202</v>
      </c>
      <c r="M14" s="453"/>
      <c r="N14" s="452" t="s">
        <v>69</v>
      </c>
      <c r="O14" s="451">
        <f t="shared" si="5"/>
        <v>0</v>
      </c>
      <c r="P14" s="450">
        <f>('PP-A13'!Q87)/10</f>
        <v>26.8</v>
      </c>
      <c r="Q14" s="449">
        <f t="shared" si="6"/>
        <v>-26.8</v>
      </c>
      <c r="R14" s="448"/>
    </row>
    <row r="15" spans="1:18">
      <c r="A15" s="453"/>
      <c r="B15" s="460" t="s">
        <v>67</v>
      </c>
      <c r="C15" s="459">
        <f>'AN-A14'!Q29/10</f>
        <v>0</v>
      </c>
      <c r="D15" s="459">
        <f>'AN-A14'!Q58/10</f>
        <v>0</v>
      </c>
      <c r="E15" s="458">
        <v>1</v>
      </c>
      <c r="F15" s="458">
        <v>1</v>
      </c>
      <c r="G15" s="459">
        <f t="shared" si="0"/>
        <v>0</v>
      </c>
      <c r="H15" s="455" t="str">
        <f t="shared" si="1"/>
        <v xml:space="preserve">     -</v>
      </c>
      <c r="I15" s="455" t="str">
        <f t="shared" si="2"/>
        <v xml:space="preserve">     -</v>
      </c>
      <c r="J15" s="482">
        <f t="shared" si="3"/>
        <v>0</v>
      </c>
      <c r="K15" s="455" t="str">
        <f t="shared" si="4"/>
        <v xml:space="preserve">    -</v>
      </c>
      <c r="L15" s="454"/>
      <c r="M15" s="453"/>
      <c r="N15" s="452" t="s">
        <v>67</v>
      </c>
      <c r="O15" s="451">
        <f t="shared" si="5"/>
        <v>0</v>
      </c>
      <c r="P15" s="450">
        <f>('AN-A14'!Q87)/10</f>
        <v>0</v>
      </c>
      <c r="Q15" s="449">
        <f t="shared" si="6"/>
        <v>0</v>
      </c>
      <c r="R15" s="448"/>
    </row>
    <row r="16" spans="1:18">
      <c r="A16" s="453"/>
      <c r="B16" s="460" t="s">
        <v>371</v>
      </c>
      <c r="C16" s="459">
        <f>'OTHER(C3)-A15'!Q29/10</f>
        <v>44.2</v>
      </c>
      <c r="D16" s="459">
        <f>'OTHER(C3)-A15'!Q58/10</f>
        <v>39.799999999999997</v>
      </c>
      <c r="E16" s="458">
        <v>0</v>
      </c>
      <c r="F16" s="458">
        <v>0</v>
      </c>
      <c r="G16" s="459">
        <f t="shared" si="0"/>
        <v>39.799999999999997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0.90049999999999997</v>
      </c>
      <c r="L16" s="454"/>
      <c r="M16" s="453"/>
      <c r="N16" s="460" t="s">
        <v>371</v>
      </c>
      <c r="O16" s="451">
        <f t="shared" si="5"/>
        <v>39.799999999999997</v>
      </c>
      <c r="P16" s="450">
        <f>('OTHER(C3)-A15'!Q87)/10</f>
        <v>41.8</v>
      </c>
      <c r="Q16" s="449">
        <f t="shared" si="6"/>
        <v>-2</v>
      </c>
      <c r="R16" s="448"/>
    </row>
    <row r="17" spans="1:18">
      <c r="A17" s="453"/>
      <c r="B17" s="460" t="s">
        <v>374</v>
      </c>
      <c r="C17" s="459">
        <f>C14*1.03+C15*1.09+C16</f>
        <v>152.35000000000002</v>
      </c>
      <c r="D17" s="459">
        <f>D14*1.03+D15*1.09+D16</f>
        <v>39.799999999999997</v>
      </c>
      <c r="E17" s="459">
        <f>E14*1.03+E15*1.09</f>
        <v>31.990000000000002</v>
      </c>
      <c r="F17" s="459">
        <f>F14*1.03+F15*1.09</f>
        <v>1.0900000000000001</v>
      </c>
      <c r="G17" s="459">
        <f t="shared" si="0"/>
        <v>70.699999999999989</v>
      </c>
      <c r="H17" s="455">
        <f t="shared" si="1"/>
        <v>0.45250000000000001</v>
      </c>
      <c r="I17" s="455">
        <f t="shared" si="2"/>
        <v>2.7400000000000001E-2</v>
      </c>
      <c r="J17" s="456">
        <f t="shared" si="3"/>
        <v>-30.899999999999991</v>
      </c>
      <c r="K17" s="455">
        <f t="shared" si="4"/>
        <v>0.26119999999999999</v>
      </c>
      <c r="L17" s="454"/>
      <c r="M17" s="453"/>
      <c r="N17" s="460" t="s">
        <v>374</v>
      </c>
      <c r="O17" s="451"/>
      <c r="P17" s="450"/>
      <c r="Q17" s="461">
        <f>Q14*1.03+Q15*1.09+Q16</f>
        <v>-29.604000000000003</v>
      </c>
      <c r="R17" s="448"/>
    </row>
    <row r="18" spans="1:18">
      <c r="A18" s="453"/>
      <c r="B18" s="460" t="s">
        <v>375</v>
      </c>
      <c r="C18" s="459">
        <f>'BENZENE-A16'!Q29/10</f>
        <v>112.4</v>
      </c>
      <c r="D18" s="459">
        <f>'BENZENE-A16'!Q58/10</f>
        <v>67.400000000000006</v>
      </c>
      <c r="E18" s="458">
        <v>10</v>
      </c>
      <c r="F18" s="458">
        <v>2</v>
      </c>
      <c r="G18" s="459">
        <f t="shared" si="0"/>
        <v>75.400000000000006</v>
      </c>
      <c r="H18" s="455">
        <f t="shared" si="1"/>
        <v>0.1326</v>
      </c>
      <c r="I18" s="455">
        <f t="shared" si="2"/>
        <v>2.9700000000000001E-2</v>
      </c>
      <c r="J18" s="456">
        <f t="shared" si="3"/>
        <v>-8</v>
      </c>
      <c r="K18" s="455">
        <f t="shared" si="4"/>
        <v>0.59960000000000002</v>
      </c>
      <c r="L18" s="454" t="s">
        <v>201</v>
      </c>
      <c r="M18" s="453"/>
      <c r="N18" s="460" t="s">
        <v>375</v>
      </c>
      <c r="O18" s="451">
        <f t="shared" si="5"/>
        <v>67.400000000000006</v>
      </c>
      <c r="P18" s="450">
        <f>('BENZENE-A16'!Q87)/10</f>
        <v>64.099999999999994</v>
      </c>
      <c r="Q18" s="449">
        <f t="shared" si="6"/>
        <v>3.3000000000000114</v>
      </c>
      <c r="R18" s="448"/>
    </row>
    <row r="19" spans="1:18">
      <c r="A19" s="453"/>
      <c r="B19" s="460" t="s">
        <v>376</v>
      </c>
      <c r="C19" s="459">
        <f>'TOLUENE-A17'!Q29/10</f>
        <v>88.7</v>
      </c>
      <c r="D19" s="459">
        <f>'TOLUENE-A17'!Q58/10</f>
        <v>79.8</v>
      </c>
      <c r="E19" s="458">
        <v>15</v>
      </c>
      <c r="F19" s="458">
        <v>0</v>
      </c>
      <c r="G19" s="459">
        <f t="shared" si="0"/>
        <v>94.8</v>
      </c>
      <c r="H19" s="455">
        <f t="shared" si="1"/>
        <v>0.15820000000000001</v>
      </c>
      <c r="I19" s="455" t="str">
        <f t="shared" si="2"/>
        <v xml:space="preserve">     0%</v>
      </c>
      <c r="J19" s="456">
        <f t="shared" si="3"/>
        <v>-15</v>
      </c>
      <c r="K19" s="455">
        <f t="shared" si="4"/>
        <v>0.89970000000000006</v>
      </c>
      <c r="L19" s="454" t="s">
        <v>200</v>
      </c>
      <c r="M19" s="453"/>
      <c r="N19" s="460" t="s">
        <v>376</v>
      </c>
      <c r="O19" s="451">
        <f t="shared" si="5"/>
        <v>79.8</v>
      </c>
      <c r="P19" s="450">
        <f>('TOLUENE-A17'!Q87)/10</f>
        <v>100.1</v>
      </c>
      <c r="Q19" s="449">
        <f t="shared" si="6"/>
        <v>-20.299999999999997</v>
      </c>
      <c r="R19" s="448"/>
    </row>
    <row r="20" spans="1:18">
      <c r="A20" s="453"/>
      <c r="B20" s="460" t="s">
        <v>377</v>
      </c>
      <c r="C20" s="459">
        <f>'XYLENES-A18'!Q29/10</f>
        <v>60.5</v>
      </c>
      <c r="D20" s="459">
        <f>'XYLENES-A18'!Q58/10</f>
        <v>54.5</v>
      </c>
      <c r="E20" s="458">
        <v>25</v>
      </c>
      <c r="F20" s="458">
        <v>0</v>
      </c>
      <c r="G20" s="459">
        <f t="shared" si="0"/>
        <v>79.5</v>
      </c>
      <c r="H20" s="455">
        <f t="shared" si="1"/>
        <v>0.3145</v>
      </c>
      <c r="I20" s="455" t="str">
        <f t="shared" si="2"/>
        <v xml:space="preserve">     0%</v>
      </c>
      <c r="J20" s="456">
        <f t="shared" si="3"/>
        <v>-25</v>
      </c>
      <c r="K20" s="455">
        <f t="shared" si="4"/>
        <v>0.90080000000000005</v>
      </c>
      <c r="L20" s="454" t="s">
        <v>199</v>
      </c>
      <c r="M20" s="453"/>
      <c r="N20" s="460" t="s">
        <v>377</v>
      </c>
      <c r="O20" s="451">
        <f t="shared" si="5"/>
        <v>54.5</v>
      </c>
      <c r="P20" s="450">
        <f>('XYLENES-A18'!Q87)/10</f>
        <v>76.599999999999994</v>
      </c>
      <c r="Q20" s="449">
        <f t="shared" si="6"/>
        <v>-22.099999999999994</v>
      </c>
      <c r="R20" s="448"/>
    </row>
    <row r="21" spans="1:18">
      <c r="A21" s="453"/>
      <c r="B21" s="460" t="s">
        <v>64</v>
      </c>
      <c r="C21" s="459">
        <f>'PX-A19'!Q29/10</f>
        <v>35</v>
      </c>
      <c r="D21" s="459">
        <f>'PX-A19'!Q58/10</f>
        <v>30.6</v>
      </c>
      <c r="E21" s="458">
        <v>5</v>
      </c>
      <c r="F21" s="458">
        <v>0</v>
      </c>
      <c r="G21" s="459">
        <f t="shared" si="0"/>
        <v>35.6</v>
      </c>
      <c r="H21" s="455">
        <f t="shared" si="1"/>
        <v>0.1404</v>
      </c>
      <c r="I21" s="455" t="str">
        <f t="shared" si="2"/>
        <v xml:space="preserve">     0%</v>
      </c>
      <c r="J21" s="456">
        <f t="shared" si="3"/>
        <v>-5</v>
      </c>
      <c r="K21" s="455">
        <f t="shared" si="4"/>
        <v>0.87429999999999997</v>
      </c>
      <c r="L21" s="454" t="s">
        <v>198</v>
      </c>
      <c r="M21" s="453"/>
      <c r="N21" s="452" t="s">
        <v>64</v>
      </c>
      <c r="O21" s="451">
        <f t="shared" si="5"/>
        <v>30.6</v>
      </c>
      <c r="P21" s="450">
        <f>('PX-A19'!Q87)/10</f>
        <v>43</v>
      </c>
      <c r="Q21" s="449">
        <f t="shared" si="6"/>
        <v>-12.399999999999999</v>
      </c>
      <c r="R21" s="448"/>
    </row>
    <row r="22" spans="1:18">
      <c r="A22" s="453"/>
      <c r="B22" s="460" t="s">
        <v>62</v>
      </c>
      <c r="C22" s="459">
        <f>'PTA-A20'!Q29/10</f>
        <v>65</v>
      </c>
      <c r="D22" s="459">
        <f>'PTA-A20'!Q58/10</f>
        <v>55.3</v>
      </c>
      <c r="E22" s="458">
        <v>10</v>
      </c>
      <c r="F22" s="458">
        <v>0</v>
      </c>
      <c r="G22" s="459">
        <f t="shared" si="0"/>
        <v>65.3</v>
      </c>
      <c r="H22" s="455">
        <f t="shared" si="1"/>
        <v>0.15310000000000001</v>
      </c>
      <c r="I22" s="455" t="str">
        <f t="shared" si="2"/>
        <v xml:space="preserve">     0%</v>
      </c>
      <c r="J22" s="456">
        <f t="shared" si="3"/>
        <v>-10</v>
      </c>
      <c r="K22" s="455">
        <f t="shared" si="4"/>
        <v>0.8508</v>
      </c>
      <c r="L22" s="454" t="s">
        <v>197</v>
      </c>
      <c r="M22" s="453"/>
      <c r="N22" s="452" t="s">
        <v>62</v>
      </c>
      <c r="O22" s="451">
        <f t="shared" si="5"/>
        <v>55.3</v>
      </c>
      <c r="P22" s="450">
        <f>('PTA-A20'!Q87)/10</f>
        <v>64.5</v>
      </c>
      <c r="Q22" s="449">
        <f t="shared" si="6"/>
        <v>-9.2000000000000028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2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30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413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'ETHYLENE-A1'!K31/10</f>
        <v>225</v>
      </c>
      <c r="D5" s="459">
        <f>'ETHYLENE-A1'!K60/10</f>
        <v>202.5</v>
      </c>
      <c r="E5" s="458">
        <v>1</v>
      </c>
      <c r="F5" s="458">
        <v>0</v>
      </c>
      <c r="G5" s="459">
        <f t="shared" ref="G5:G22" si="0">D5+E5-F5</f>
        <v>203.5</v>
      </c>
      <c r="H5" s="455">
        <f t="shared" ref="H5:H22" si="1">IF(AND(E5=0,G5=0),"    -",IF(E5=0,"     0%",IF(G5=0,"     -",ROUND(E5/G5,4))))</f>
        <v>4.8999999999999998E-3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-1</v>
      </c>
      <c r="K5" s="455">
        <f t="shared" ref="K5:K22" si="4">IF(AND(D5=0,C5=0),"    -",IF(C5=0,"     0%",IF(D5=0,"     -",ROUND(D5/C5,4))))</f>
        <v>0.9</v>
      </c>
      <c r="L5" s="454" t="s">
        <v>206</v>
      </c>
      <c r="M5" s="453"/>
      <c r="N5" s="452" t="s">
        <v>79</v>
      </c>
      <c r="O5" s="451">
        <f t="shared" ref="O5:O22" si="5">D5</f>
        <v>202.5</v>
      </c>
      <c r="P5" s="450">
        <f>('ETHYLENE-A1'!K89)/10</f>
        <v>144.69999999999999</v>
      </c>
      <c r="Q5" s="449">
        <f>O5-P5</f>
        <v>57.800000000000011</v>
      </c>
      <c r="R5" s="448"/>
    </row>
    <row r="6" spans="1:18">
      <c r="A6" s="453"/>
      <c r="B6" s="460" t="s">
        <v>78</v>
      </c>
      <c r="C6" s="459">
        <f>'LDPE-A2'!K31/10</f>
        <v>86.5</v>
      </c>
      <c r="D6" s="459">
        <f>'LDPE-A2'!K60/10</f>
        <v>69.2</v>
      </c>
      <c r="E6" s="458">
        <v>40</v>
      </c>
      <c r="F6" s="458">
        <v>20</v>
      </c>
      <c r="G6" s="459">
        <f t="shared" si="0"/>
        <v>89.2</v>
      </c>
      <c r="H6" s="455">
        <f t="shared" si="1"/>
        <v>0.44840000000000002</v>
      </c>
      <c r="I6" s="455">
        <f t="shared" si="2"/>
        <v>0.28899999999999998</v>
      </c>
      <c r="J6" s="456">
        <f t="shared" si="3"/>
        <v>-20</v>
      </c>
      <c r="K6" s="455">
        <f t="shared" si="4"/>
        <v>0.8</v>
      </c>
      <c r="L6" s="454" t="s">
        <v>214</v>
      </c>
      <c r="M6" s="453"/>
      <c r="N6" s="452" t="s">
        <v>78</v>
      </c>
      <c r="O6" s="451">
        <f t="shared" si="5"/>
        <v>69.2</v>
      </c>
      <c r="P6" s="450">
        <f>('LDPE-A2'!K89)/10</f>
        <v>85.2</v>
      </c>
      <c r="Q6" s="449">
        <f t="shared" ref="Q6:Q22" si="6">O6-P6</f>
        <v>-16</v>
      </c>
      <c r="R6" s="448"/>
    </row>
    <row r="7" spans="1:18">
      <c r="A7" s="453"/>
      <c r="B7" s="460" t="s">
        <v>76</v>
      </c>
      <c r="C7" s="459">
        <f>'HDPE-A3'!K31/10</f>
        <v>98</v>
      </c>
      <c r="D7" s="459">
        <f>'HDPE-A3'!K60/10</f>
        <v>78.400000000000006</v>
      </c>
      <c r="E7" s="458">
        <v>61</v>
      </c>
      <c r="F7" s="458">
        <v>35</v>
      </c>
      <c r="G7" s="459">
        <f t="shared" si="0"/>
        <v>104.4</v>
      </c>
      <c r="H7" s="455">
        <f t="shared" si="1"/>
        <v>0.58430000000000004</v>
      </c>
      <c r="I7" s="455">
        <f t="shared" si="2"/>
        <v>0.44640000000000002</v>
      </c>
      <c r="J7" s="456">
        <f t="shared" si="3"/>
        <v>-26</v>
      </c>
      <c r="K7" s="455">
        <f t="shared" si="4"/>
        <v>0.8</v>
      </c>
      <c r="L7" s="454" t="s">
        <v>214</v>
      </c>
      <c r="M7" s="453"/>
      <c r="N7" s="452" t="s">
        <v>76</v>
      </c>
      <c r="O7" s="451">
        <f t="shared" si="5"/>
        <v>78.400000000000006</v>
      </c>
      <c r="P7" s="450">
        <f>('HDPE-A3'!K89)/10</f>
        <v>90.6</v>
      </c>
      <c r="Q7" s="449">
        <f t="shared" si="6"/>
        <v>-12.199999999999989</v>
      </c>
      <c r="R7" s="448"/>
    </row>
    <row r="8" spans="1:18">
      <c r="A8" s="453"/>
      <c r="B8" s="460" t="s">
        <v>75</v>
      </c>
      <c r="C8" s="459">
        <f>'SM-A6'!K31/10</f>
        <v>0</v>
      </c>
      <c r="D8" s="459">
        <f>'SM-A6'!K60/10</f>
        <v>0</v>
      </c>
      <c r="E8" s="458">
        <v>70</v>
      </c>
      <c r="F8" s="458">
        <v>0</v>
      </c>
      <c r="G8" s="459">
        <f t="shared" si="0"/>
        <v>70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-70</v>
      </c>
      <c r="K8" s="455" t="str">
        <f t="shared" si="4"/>
        <v xml:space="preserve">    -</v>
      </c>
      <c r="L8" s="454" t="s">
        <v>208</v>
      </c>
      <c r="M8" s="453"/>
      <c r="N8" s="452" t="s">
        <v>75</v>
      </c>
      <c r="O8" s="451">
        <f t="shared" si="5"/>
        <v>0</v>
      </c>
      <c r="P8" s="450">
        <f>('SM-A6'!K89)/10</f>
        <v>73.2</v>
      </c>
      <c r="Q8" s="449">
        <f t="shared" si="6"/>
        <v>-73.2</v>
      </c>
      <c r="R8" s="448"/>
    </row>
    <row r="9" spans="1:18">
      <c r="A9" s="453"/>
      <c r="B9" s="460" t="s">
        <v>74</v>
      </c>
      <c r="C9" s="459">
        <f>'EG-A10'!K31/10</f>
        <v>49.5</v>
      </c>
      <c r="D9" s="459">
        <f>'EG-A10'!K60/10</f>
        <v>31.9</v>
      </c>
      <c r="E9" s="458">
        <v>29</v>
      </c>
      <c r="F9" s="458">
        <v>0</v>
      </c>
      <c r="G9" s="459">
        <f t="shared" si="0"/>
        <v>60.9</v>
      </c>
      <c r="H9" s="455">
        <f t="shared" si="1"/>
        <v>0.47620000000000001</v>
      </c>
      <c r="I9" s="455" t="str">
        <f t="shared" si="2"/>
        <v xml:space="preserve">     0%</v>
      </c>
      <c r="J9" s="456">
        <f t="shared" si="3"/>
        <v>-29</v>
      </c>
      <c r="K9" s="455">
        <f t="shared" si="4"/>
        <v>0.64439999999999997</v>
      </c>
      <c r="L9" s="454" t="s">
        <v>213</v>
      </c>
      <c r="M9" s="453"/>
      <c r="N9" s="452" t="s">
        <v>74</v>
      </c>
      <c r="O9" s="451">
        <f t="shared" si="5"/>
        <v>31.9</v>
      </c>
      <c r="P9" s="450">
        <f>('EG-A10'!K89)/10</f>
        <v>51</v>
      </c>
      <c r="Q9" s="449">
        <f t="shared" si="6"/>
        <v>-19.100000000000001</v>
      </c>
      <c r="R9" s="448"/>
    </row>
    <row r="10" spans="1:18">
      <c r="A10" s="453"/>
      <c r="B10" s="460" t="s">
        <v>72</v>
      </c>
      <c r="C10" s="459">
        <f>'PVC-A7'!K31/10</f>
        <v>82</v>
      </c>
      <c r="D10" s="459">
        <f>'PVC-A7'!K60/10</f>
        <v>70.47</v>
      </c>
      <c r="E10" s="458">
        <v>26</v>
      </c>
      <c r="F10" s="458">
        <v>35</v>
      </c>
      <c r="G10" s="459">
        <f t="shared" si="0"/>
        <v>61.47</v>
      </c>
      <c r="H10" s="455">
        <f t="shared" si="1"/>
        <v>0.42299999999999999</v>
      </c>
      <c r="I10" s="455">
        <f t="shared" si="2"/>
        <v>0.49669999999999997</v>
      </c>
      <c r="J10" s="456">
        <f t="shared" si="3"/>
        <v>9</v>
      </c>
      <c r="K10" s="455">
        <f t="shared" si="4"/>
        <v>0.85940000000000005</v>
      </c>
      <c r="L10" s="454" t="s">
        <v>212</v>
      </c>
      <c r="M10" s="453"/>
      <c r="N10" s="452" t="s">
        <v>72</v>
      </c>
      <c r="O10" s="451">
        <f t="shared" si="5"/>
        <v>70.47</v>
      </c>
      <c r="P10" s="450">
        <f>('PVC-A7'!K89)/10</f>
        <v>71.8</v>
      </c>
      <c r="Q10" s="449">
        <f t="shared" si="6"/>
        <v>-1.3299999999999983</v>
      </c>
      <c r="R10" s="448"/>
    </row>
    <row r="11" spans="1:18">
      <c r="A11" s="453"/>
      <c r="B11" s="460" t="s">
        <v>371</v>
      </c>
      <c r="C11" s="459">
        <f>'OTHER(C2)-A11'!K31/10</f>
        <v>39</v>
      </c>
      <c r="D11" s="459">
        <f>'OTHER(C2)-A11'!K60/10</f>
        <v>10</v>
      </c>
      <c r="E11" s="458">
        <v>39</v>
      </c>
      <c r="F11" s="458">
        <v>35</v>
      </c>
      <c r="G11" s="459">
        <f t="shared" si="0"/>
        <v>14</v>
      </c>
      <c r="H11" s="455">
        <f t="shared" si="1"/>
        <v>2.7856999999999998</v>
      </c>
      <c r="I11" s="455">
        <f t="shared" si="2"/>
        <v>3.5</v>
      </c>
      <c r="J11" s="456">
        <f t="shared" si="3"/>
        <v>-4</v>
      </c>
      <c r="K11" s="455">
        <f t="shared" si="4"/>
        <v>0.25640000000000002</v>
      </c>
      <c r="L11" s="454"/>
      <c r="M11" s="453"/>
      <c r="N11" s="460" t="s">
        <v>371</v>
      </c>
      <c r="O11" s="451">
        <f t="shared" si="5"/>
        <v>10</v>
      </c>
      <c r="P11" s="450">
        <f>('OTHER(C2)-A11'!K89)/10</f>
        <v>10.1</v>
      </c>
      <c r="Q11" s="449">
        <f t="shared" si="6"/>
        <v>-9.9999999999999645E-2</v>
      </c>
      <c r="R11" s="448"/>
    </row>
    <row r="12" spans="1:18">
      <c r="A12" s="453"/>
      <c r="B12" s="460" t="s">
        <v>372</v>
      </c>
      <c r="C12" s="462">
        <f>C6*0.98+C7*1.04+C8*0.29+C9*0.66+C10*0.5+C11</f>
        <v>299.36</v>
      </c>
      <c r="D12" s="462">
        <f>D6*0.98+D7*1.04+D8*0.29+D9*0.66+D10*0.5+D11</f>
        <v>215.64100000000002</v>
      </c>
      <c r="E12" s="462">
        <f>E6*0.98+E7*1.04+E8*0.29+E9*0.66+E10*0.5</f>
        <v>155.08000000000001</v>
      </c>
      <c r="F12" s="462">
        <f>F6*0.98+F7*1.04+F8*0.29+F9*0.66+F10*0.5</f>
        <v>73.5</v>
      </c>
      <c r="G12" s="459">
        <f t="shared" si="0"/>
        <v>297.221</v>
      </c>
      <c r="H12" s="455">
        <f t="shared" si="1"/>
        <v>0.52180000000000004</v>
      </c>
      <c r="I12" s="455">
        <f t="shared" si="2"/>
        <v>0.34079999999999999</v>
      </c>
      <c r="J12" s="456">
        <f t="shared" si="3"/>
        <v>-81.579999999999984</v>
      </c>
      <c r="K12" s="455">
        <f t="shared" si="4"/>
        <v>0.72030000000000005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-62.966999999999992</v>
      </c>
      <c r="R12" s="448"/>
    </row>
    <row r="13" spans="1:18">
      <c r="A13" s="453"/>
      <c r="B13" s="460" t="s">
        <v>373</v>
      </c>
      <c r="C13" s="459">
        <f>'PROPYLENE-A12'!K31/10</f>
        <v>144.30000000000001</v>
      </c>
      <c r="D13" s="459">
        <f>'PROPYLENE-A12'!K60/10</f>
        <v>60</v>
      </c>
      <c r="E13" s="458">
        <v>27</v>
      </c>
      <c r="F13" s="458">
        <v>0</v>
      </c>
      <c r="G13" s="459">
        <f t="shared" si="0"/>
        <v>87</v>
      </c>
      <c r="H13" s="455">
        <f t="shared" si="1"/>
        <v>0.31030000000000002</v>
      </c>
      <c r="I13" s="455" t="str">
        <f t="shared" si="2"/>
        <v xml:space="preserve">     0%</v>
      </c>
      <c r="J13" s="456">
        <f t="shared" si="3"/>
        <v>-27</v>
      </c>
      <c r="K13" s="455">
        <f t="shared" si="4"/>
        <v>0.4158</v>
      </c>
      <c r="L13" s="454" t="s">
        <v>276</v>
      </c>
      <c r="M13" s="453"/>
      <c r="N13" s="460" t="s">
        <v>373</v>
      </c>
      <c r="O13" s="451">
        <f t="shared" si="5"/>
        <v>60</v>
      </c>
      <c r="P13" s="450">
        <f>('PROPYLENE-A12'!K89)/10</f>
        <v>51.7</v>
      </c>
      <c r="Q13" s="449">
        <f t="shared" si="6"/>
        <v>8.2999999999999972</v>
      </c>
      <c r="R13" s="448"/>
    </row>
    <row r="14" spans="1:18">
      <c r="A14" s="453"/>
      <c r="B14" s="460" t="s">
        <v>69</v>
      </c>
      <c r="C14" s="459">
        <f>'PP-A13'!K31/10</f>
        <v>59</v>
      </c>
      <c r="D14" s="459">
        <f>'PP-A13'!K60/10</f>
        <v>50.15</v>
      </c>
      <c r="E14" s="458">
        <v>57</v>
      </c>
      <c r="F14" s="458">
        <v>3</v>
      </c>
      <c r="G14" s="459">
        <f t="shared" si="0"/>
        <v>104.15</v>
      </c>
      <c r="H14" s="455">
        <f t="shared" si="1"/>
        <v>0.54730000000000001</v>
      </c>
      <c r="I14" s="455">
        <f t="shared" si="2"/>
        <v>5.9799999999999999E-2</v>
      </c>
      <c r="J14" s="456">
        <f t="shared" si="3"/>
        <v>-54.000000000000007</v>
      </c>
      <c r="K14" s="455">
        <f t="shared" si="4"/>
        <v>0.85</v>
      </c>
      <c r="L14" s="454" t="s">
        <v>210</v>
      </c>
      <c r="M14" s="453"/>
      <c r="N14" s="452" t="s">
        <v>69</v>
      </c>
      <c r="O14" s="451">
        <f t="shared" si="5"/>
        <v>50.15</v>
      </c>
      <c r="P14" s="450">
        <f>('PP-A13'!K89)/10</f>
        <v>100</v>
      </c>
      <c r="Q14" s="449">
        <f t="shared" si="6"/>
        <v>-49.85</v>
      </c>
      <c r="R14" s="448"/>
    </row>
    <row r="15" spans="1:18">
      <c r="A15" s="453"/>
      <c r="B15" s="460" t="s">
        <v>67</v>
      </c>
      <c r="C15" s="459">
        <f>'AN-A14'!K31/10</f>
        <v>0</v>
      </c>
      <c r="D15" s="459">
        <f>'AN-A14'!K60/10</f>
        <v>0</v>
      </c>
      <c r="E15" s="458">
        <v>8</v>
      </c>
      <c r="F15" s="458">
        <v>0</v>
      </c>
      <c r="G15" s="459">
        <f t="shared" si="0"/>
        <v>8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-8</v>
      </c>
      <c r="K15" s="455" t="str">
        <f t="shared" si="4"/>
        <v xml:space="preserve">    -</v>
      </c>
      <c r="L15" s="454" t="s">
        <v>209</v>
      </c>
      <c r="M15" s="453"/>
      <c r="N15" s="452" t="s">
        <v>67</v>
      </c>
      <c r="O15" s="451">
        <f t="shared" si="5"/>
        <v>0</v>
      </c>
      <c r="P15" s="450">
        <f>('AN-A14'!K89)/10</f>
        <v>9.4</v>
      </c>
      <c r="Q15" s="449">
        <f t="shared" si="6"/>
        <v>-9.4</v>
      </c>
      <c r="R15" s="448"/>
    </row>
    <row r="16" spans="1:18">
      <c r="A16" s="453"/>
      <c r="B16" s="460" t="s">
        <v>371</v>
      </c>
      <c r="C16" s="459">
        <f>'OTHER(C3)-A15'!K31/10</f>
        <v>35</v>
      </c>
      <c r="D16" s="459">
        <f>'OTHER(C3)-A15'!K60/10</f>
        <v>31.5</v>
      </c>
      <c r="E16" s="458">
        <v>35</v>
      </c>
      <c r="F16" s="458">
        <v>32</v>
      </c>
      <c r="G16" s="459">
        <f t="shared" si="0"/>
        <v>34.5</v>
      </c>
      <c r="H16" s="455">
        <f t="shared" si="1"/>
        <v>1.0145</v>
      </c>
      <c r="I16" s="455">
        <f t="shared" si="2"/>
        <v>1.0159</v>
      </c>
      <c r="J16" s="456">
        <f t="shared" si="3"/>
        <v>-3</v>
      </c>
      <c r="K16" s="455">
        <f t="shared" si="4"/>
        <v>0.9</v>
      </c>
      <c r="L16" s="454"/>
      <c r="M16" s="453"/>
      <c r="N16" s="460" t="s">
        <v>371</v>
      </c>
      <c r="O16" s="451">
        <f t="shared" si="5"/>
        <v>31.5</v>
      </c>
      <c r="P16" s="450">
        <f>('OTHER(C3)-A15'!K89)/10</f>
        <v>32</v>
      </c>
      <c r="Q16" s="449">
        <f t="shared" si="6"/>
        <v>-0.5</v>
      </c>
      <c r="R16" s="448"/>
    </row>
    <row r="17" spans="1:18">
      <c r="A17" s="453"/>
      <c r="B17" s="460" t="s">
        <v>374</v>
      </c>
      <c r="C17" s="459">
        <f>C14*1.03+C15*1.09+C16</f>
        <v>95.77000000000001</v>
      </c>
      <c r="D17" s="459">
        <f>D14*1.03+D15*1.09+D16</f>
        <v>83.154499999999999</v>
      </c>
      <c r="E17" s="459">
        <f>E14*1.03+E15*1.09</f>
        <v>67.430000000000007</v>
      </c>
      <c r="F17" s="459">
        <f>F14*1.03+F15*1.09</f>
        <v>3.09</v>
      </c>
      <c r="G17" s="459">
        <f t="shared" si="0"/>
        <v>147.49449999999999</v>
      </c>
      <c r="H17" s="455">
        <f t="shared" si="1"/>
        <v>0.4572</v>
      </c>
      <c r="I17" s="455">
        <f t="shared" si="2"/>
        <v>3.7199999999999997E-2</v>
      </c>
      <c r="J17" s="456">
        <f t="shared" si="3"/>
        <v>-64.339999999999989</v>
      </c>
      <c r="K17" s="455">
        <f t="shared" si="4"/>
        <v>0.86829999999999996</v>
      </c>
      <c r="L17" s="454"/>
      <c r="M17" s="453"/>
      <c r="N17" s="460" t="s">
        <v>374</v>
      </c>
      <c r="O17" s="451"/>
      <c r="P17" s="450"/>
      <c r="Q17" s="461">
        <f>Q14*1.03+Q15*1.09+Q16</f>
        <v>-62.091500000000003</v>
      </c>
      <c r="R17" s="448"/>
    </row>
    <row r="18" spans="1:18">
      <c r="A18" s="453"/>
      <c r="B18" s="460" t="s">
        <v>375</v>
      </c>
      <c r="C18" s="459">
        <f>'BENZENE-A16'!K31/10</f>
        <v>16.399999999999999</v>
      </c>
      <c r="D18" s="459">
        <f>'BENZENE-A16'!K60/10</f>
        <v>8.1999999999999993</v>
      </c>
      <c r="E18" s="458">
        <v>1</v>
      </c>
      <c r="F18" s="458">
        <v>2</v>
      </c>
      <c r="G18" s="459">
        <f t="shared" si="0"/>
        <v>7.1999999999999993</v>
      </c>
      <c r="H18" s="455">
        <f t="shared" si="1"/>
        <v>0.1389</v>
      </c>
      <c r="I18" s="455">
        <f t="shared" si="2"/>
        <v>0.24390000000000001</v>
      </c>
      <c r="J18" s="456">
        <f t="shared" si="3"/>
        <v>1</v>
      </c>
      <c r="K18" s="455">
        <f t="shared" si="4"/>
        <v>0.5</v>
      </c>
      <c r="L18" s="454" t="s">
        <v>208</v>
      </c>
      <c r="M18" s="453"/>
      <c r="N18" s="460" t="s">
        <v>375</v>
      </c>
      <c r="O18" s="451">
        <f t="shared" si="5"/>
        <v>8.1999999999999993</v>
      </c>
      <c r="P18" s="450">
        <f>('BENZENE-A16'!K89)/10</f>
        <v>8.4</v>
      </c>
      <c r="Q18" s="449">
        <f t="shared" si="6"/>
        <v>-0.20000000000000107</v>
      </c>
      <c r="R18" s="448"/>
    </row>
    <row r="19" spans="1:18">
      <c r="A19" s="453"/>
      <c r="B19" s="460" t="s">
        <v>376</v>
      </c>
      <c r="C19" s="459">
        <f>'TOLUENE-A17'!K31/10</f>
        <v>37.5</v>
      </c>
      <c r="D19" s="459">
        <f>'TOLUENE-A17'!K60/10</f>
        <v>31.875</v>
      </c>
      <c r="E19" s="458">
        <v>5</v>
      </c>
      <c r="F19" s="458">
        <v>1</v>
      </c>
      <c r="G19" s="459">
        <f t="shared" si="0"/>
        <v>35.875</v>
      </c>
      <c r="H19" s="455">
        <f t="shared" si="1"/>
        <v>0.1394</v>
      </c>
      <c r="I19" s="455">
        <f t="shared" si="2"/>
        <v>3.1399999999999997E-2</v>
      </c>
      <c r="J19" s="456">
        <f t="shared" si="3"/>
        <v>-4</v>
      </c>
      <c r="K19" s="455">
        <f t="shared" si="4"/>
        <v>0.85</v>
      </c>
      <c r="L19" s="454" t="s">
        <v>208</v>
      </c>
      <c r="M19" s="453"/>
      <c r="N19" s="460" t="s">
        <v>376</v>
      </c>
      <c r="O19" s="451">
        <f t="shared" si="5"/>
        <v>31.875</v>
      </c>
      <c r="P19" s="450">
        <f>('TOLUENE-A17'!K89)/10</f>
        <v>43.4</v>
      </c>
      <c r="Q19" s="449">
        <f t="shared" si="6"/>
        <v>-11.524999999999999</v>
      </c>
      <c r="R19" s="448"/>
    </row>
    <row r="20" spans="1:18">
      <c r="A20" s="453"/>
      <c r="B20" s="460" t="s">
        <v>377</v>
      </c>
      <c r="C20" s="459">
        <f>'XYLENES-A18'!K31/10</f>
        <v>48</v>
      </c>
      <c r="D20" s="459">
        <f>'XYLENES-A18'!K60/10</f>
        <v>34.11</v>
      </c>
      <c r="E20" s="458">
        <v>1</v>
      </c>
      <c r="F20" s="458">
        <v>1</v>
      </c>
      <c r="G20" s="459">
        <f t="shared" si="0"/>
        <v>34.11</v>
      </c>
      <c r="H20" s="455">
        <f t="shared" si="1"/>
        <v>2.93E-2</v>
      </c>
      <c r="I20" s="455">
        <f t="shared" si="2"/>
        <v>2.93E-2</v>
      </c>
      <c r="J20" s="456">
        <f t="shared" si="3"/>
        <v>0</v>
      </c>
      <c r="K20" s="455">
        <f t="shared" si="4"/>
        <v>0.71060000000000001</v>
      </c>
      <c r="L20" s="454" t="s">
        <v>208</v>
      </c>
      <c r="M20" s="453"/>
      <c r="N20" s="460" t="s">
        <v>377</v>
      </c>
      <c r="O20" s="451">
        <f t="shared" si="5"/>
        <v>34.11</v>
      </c>
      <c r="P20" s="450">
        <f>('XYLENES-A18'!K89)/10</f>
        <v>39.200000000000003</v>
      </c>
      <c r="Q20" s="449">
        <f t="shared" si="6"/>
        <v>-5.0900000000000034</v>
      </c>
      <c r="R20" s="448"/>
    </row>
    <row r="21" spans="1:18">
      <c r="A21" s="453"/>
      <c r="B21" s="460" t="s">
        <v>64</v>
      </c>
      <c r="C21" s="459">
        <f>'PX-A19'!K31/10</f>
        <v>0</v>
      </c>
      <c r="D21" s="459">
        <f>'PX-A19'!K60/10</f>
        <v>0</v>
      </c>
      <c r="E21" s="458">
        <v>94</v>
      </c>
      <c r="F21" s="458">
        <v>0</v>
      </c>
      <c r="G21" s="459">
        <f t="shared" si="0"/>
        <v>94</v>
      </c>
      <c r="H21" s="455">
        <f t="shared" si="1"/>
        <v>1</v>
      </c>
      <c r="I21" s="455" t="str">
        <f t="shared" si="2"/>
        <v xml:space="preserve">    -</v>
      </c>
      <c r="J21" s="456">
        <f t="shared" si="3"/>
        <v>-94</v>
      </c>
      <c r="K21" s="455" t="str">
        <f t="shared" si="4"/>
        <v xml:space="preserve">    -</v>
      </c>
      <c r="L21" s="454"/>
      <c r="M21" s="453"/>
      <c r="N21" s="452" t="s">
        <v>64</v>
      </c>
      <c r="O21" s="451">
        <f t="shared" si="5"/>
        <v>0</v>
      </c>
      <c r="P21" s="450">
        <f>('PX-A19'!K89)/10</f>
        <v>95.5</v>
      </c>
      <c r="Q21" s="449">
        <f t="shared" si="6"/>
        <v>-95.5</v>
      </c>
      <c r="R21" s="448"/>
    </row>
    <row r="22" spans="1:18">
      <c r="A22" s="453"/>
      <c r="B22" s="460" t="s">
        <v>62</v>
      </c>
      <c r="C22" s="459">
        <f>'PTA-A20'!K31/10</f>
        <v>153</v>
      </c>
      <c r="D22" s="459">
        <f>'PTA-A20'!K60/10</f>
        <v>138</v>
      </c>
      <c r="E22" s="458">
        <v>0</v>
      </c>
      <c r="F22" s="458">
        <v>62</v>
      </c>
      <c r="G22" s="459">
        <f t="shared" si="0"/>
        <v>76</v>
      </c>
      <c r="H22" s="455" t="str">
        <f t="shared" si="1"/>
        <v xml:space="preserve">     0%</v>
      </c>
      <c r="I22" s="455">
        <f t="shared" si="2"/>
        <v>0.44929999999999998</v>
      </c>
      <c r="J22" s="456">
        <f t="shared" si="3"/>
        <v>62</v>
      </c>
      <c r="K22" s="455">
        <f t="shared" si="4"/>
        <v>0.90200000000000002</v>
      </c>
      <c r="L22" s="454" t="s">
        <v>207</v>
      </c>
      <c r="M22" s="453"/>
      <c r="N22" s="452" t="s">
        <v>62</v>
      </c>
      <c r="O22" s="451">
        <f t="shared" si="5"/>
        <v>138</v>
      </c>
      <c r="P22" s="450">
        <f>('PTA-A20'!K89)/10</f>
        <v>83.3</v>
      </c>
      <c r="Q22" s="449">
        <f t="shared" si="6"/>
        <v>54.7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2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1048575" man="1"/>
  </col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415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'ETHYLENE-A1'!Q31/10</f>
        <v>225</v>
      </c>
      <c r="D5" s="459">
        <f>'ETHYLENE-A1'!Q60/10</f>
        <v>202.5</v>
      </c>
      <c r="E5" s="458">
        <v>70</v>
      </c>
      <c r="F5" s="458">
        <v>0</v>
      </c>
      <c r="G5" s="459">
        <f t="shared" ref="G5:G22" si="0">D5+E5-F5</f>
        <v>272.5</v>
      </c>
      <c r="H5" s="455">
        <f t="shared" ref="H5:H22" si="1">IF(AND(E5=0,G5=0),"    -",IF(E5=0,"     0%",IF(G5=0,"     -",ROUND(E5/G5,4))))</f>
        <v>0.25690000000000002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-70</v>
      </c>
      <c r="K5" s="455">
        <f t="shared" ref="K5:K22" si="4">IF(AND(D5=0,C5=0),"    -",IF(C5=0,"     0%",IF(D5=0,"     -",ROUND(D5/C5,4))))</f>
        <v>0.9</v>
      </c>
      <c r="L5" s="454" t="s">
        <v>206</v>
      </c>
      <c r="M5" s="453"/>
      <c r="N5" s="452" t="s">
        <v>79</v>
      </c>
      <c r="O5" s="451">
        <f t="shared" ref="O5:O22" si="5">D5</f>
        <v>202.5</v>
      </c>
      <c r="P5" s="450">
        <f>('ETHYLENE-A1'!Q89)/10</f>
        <v>169.8</v>
      </c>
      <c r="Q5" s="449">
        <f>O5-P5</f>
        <v>32.699999999999989</v>
      </c>
      <c r="R5" s="448"/>
    </row>
    <row r="6" spans="1:18">
      <c r="A6" s="453"/>
      <c r="B6" s="460" t="s">
        <v>78</v>
      </c>
      <c r="C6" s="459">
        <f>'LDPE-A2'!Q31/10</f>
        <v>86.5</v>
      </c>
      <c r="D6" s="459">
        <f>'LDPE-A2'!Q60/10</f>
        <v>69.2</v>
      </c>
      <c r="E6" s="458">
        <v>60</v>
      </c>
      <c r="F6" s="458">
        <v>10</v>
      </c>
      <c r="G6" s="459">
        <f t="shared" si="0"/>
        <v>119.19999999999999</v>
      </c>
      <c r="H6" s="455">
        <f t="shared" si="1"/>
        <v>0.50339999999999996</v>
      </c>
      <c r="I6" s="455">
        <f t="shared" si="2"/>
        <v>0.14449999999999999</v>
      </c>
      <c r="J6" s="456">
        <f t="shared" si="3"/>
        <v>-49.999999999999986</v>
      </c>
      <c r="K6" s="455">
        <f t="shared" si="4"/>
        <v>0.8</v>
      </c>
      <c r="L6" s="454" t="s">
        <v>214</v>
      </c>
      <c r="M6" s="453"/>
      <c r="N6" s="452" t="s">
        <v>78</v>
      </c>
      <c r="O6" s="451">
        <f t="shared" si="5"/>
        <v>69.2</v>
      </c>
      <c r="P6" s="450">
        <f>('LDPE-A2'!Q89)/10</f>
        <v>100</v>
      </c>
      <c r="Q6" s="449">
        <f t="shared" ref="Q6:Q22" si="6">O6-P6</f>
        <v>-30.799999999999997</v>
      </c>
      <c r="R6" s="448"/>
    </row>
    <row r="7" spans="1:18">
      <c r="A7" s="453"/>
      <c r="B7" s="460" t="s">
        <v>76</v>
      </c>
      <c r="C7" s="459">
        <f>'HDPE-A3'!Q31/10</f>
        <v>98</v>
      </c>
      <c r="D7" s="459">
        <f>'HDPE-A3'!Q60/10</f>
        <v>78.400000000000006</v>
      </c>
      <c r="E7" s="458">
        <v>90</v>
      </c>
      <c r="F7" s="458">
        <v>60</v>
      </c>
      <c r="G7" s="459">
        <f t="shared" si="0"/>
        <v>108.4</v>
      </c>
      <c r="H7" s="455">
        <f t="shared" si="1"/>
        <v>0.83030000000000004</v>
      </c>
      <c r="I7" s="455">
        <f t="shared" si="2"/>
        <v>0.76529999999999998</v>
      </c>
      <c r="J7" s="456">
        <f t="shared" si="3"/>
        <v>-30</v>
      </c>
      <c r="K7" s="455">
        <f t="shared" si="4"/>
        <v>0.8</v>
      </c>
      <c r="L7" s="454" t="s">
        <v>214</v>
      </c>
      <c r="M7" s="453"/>
      <c r="N7" s="452" t="s">
        <v>76</v>
      </c>
      <c r="O7" s="451">
        <f t="shared" si="5"/>
        <v>78.400000000000006</v>
      </c>
      <c r="P7" s="450">
        <f>('HDPE-A3'!Q89)/10</f>
        <v>106.4</v>
      </c>
      <c r="Q7" s="449">
        <f t="shared" si="6"/>
        <v>-28</v>
      </c>
      <c r="R7" s="448"/>
    </row>
    <row r="8" spans="1:18">
      <c r="A8" s="453"/>
      <c r="B8" s="460" t="s">
        <v>75</v>
      </c>
      <c r="C8" s="459">
        <f>'SM-A6'!Q31/10</f>
        <v>0</v>
      </c>
      <c r="D8" s="459">
        <f>'SM-A6'!Q60/10</f>
        <v>0</v>
      </c>
      <c r="E8" s="458">
        <v>100</v>
      </c>
      <c r="F8" s="458">
        <v>0</v>
      </c>
      <c r="G8" s="459">
        <f t="shared" si="0"/>
        <v>100</v>
      </c>
      <c r="H8" s="455">
        <f t="shared" si="1"/>
        <v>1</v>
      </c>
      <c r="I8" s="455" t="str">
        <f t="shared" si="2"/>
        <v xml:space="preserve">    -</v>
      </c>
      <c r="J8" s="456">
        <f t="shared" si="3"/>
        <v>-100</v>
      </c>
      <c r="K8" s="455" t="str">
        <f t="shared" si="4"/>
        <v xml:space="preserve">    -</v>
      </c>
      <c r="L8" s="454" t="s">
        <v>208</v>
      </c>
      <c r="M8" s="453"/>
      <c r="N8" s="452" t="s">
        <v>75</v>
      </c>
      <c r="O8" s="451">
        <f t="shared" si="5"/>
        <v>0</v>
      </c>
      <c r="P8" s="450">
        <f>('SM-A6'!Q89)/10</f>
        <v>86</v>
      </c>
      <c r="Q8" s="449">
        <f t="shared" si="6"/>
        <v>-86</v>
      </c>
      <c r="R8" s="448"/>
    </row>
    <row r="9" spans="1:18">
      <c r="A9" s="453"/>
      <c r="B9" s="460" t="s">
        <v>74</v>
      </c>
      <c r="C9" s="459">
        <f>'EG-A10'!Q31/10</f>
        <v>49.5</v>
      </c>
      <c r="D9" s="459">
        <f>'EG-A10'!Q60/10</f>
        <v>31.9</v>
      </c>
      <c r="E9" s="458">
        <v>35</v>
      </c>
      <c r="F9" s="458">
        <v>0</v>
      </c>
      <c r="G9" s="459">
        <f t="shared" si="0"/>
        <v>66.900000000000006</v>
      </c>
      <c r="H9" s="455">
        <f t="shared" si="1"/>
        <v>0.5232</v>
      </c>
      <c r="I9" s="455" t="str">
        <f t="shared" si="2"/>
        <v xml:space="preserve">     0%</v>
      </c>
      <c r="J9" s="456">
        <f t="shared" si="3"/>
        <v>-35.000000000000007</v>
      </c>
      <c r="K9" s="455">
        <f t="shared" si="4"/>
        <v>0.64439999999999997</v>
      </c>
      <c r="L9" s="454" t="s">
        <v>213</v>
      </c>
      <c r="M9" s="453"/>
      <c r="N9" s="452" t="s">
        <v>74</v>
      </c>
      <c r="O9" s="451">
        <f t="shared" si="5"/>
        <v>31.9</v>
      </c>
      <c r="P9" s="450">
        <f>('EG-A10'!Q89)/10</f>
        <v>59.9</v>
      </c>
      <c r="Q9" s="449">
        <f t="shared" si="6"/>
        <v>-28</v>
      </c>
      <c r="R9" s="448"/>
    </row>
    <row r="10" spans="1:18">
      <c r="A10" s="453"/>
      <c r="B10" s="460" t="s">
        <v>72</v>
      </c>
      <c r="C10" s="459">
        <f>'PVC-A7'!Q31/10</f>
        <v>82</v>
      </c>
      <c r="D10" s="459">
        <f>'PVC-A7'!Q60/10</f>
        <v>70.5</v>
      </c>
      <c r="E10" s="458">
        <v>30</v>
      </c>
      <c r="F10" s="458">
        <v>30</v>
      </c>
      <c r="G10" s="459">
        <f t="shared" si="0"/>
        <v>70.5</v>
      </c>
      <c r="H10" s="455">
        <f t="shared" si="1"/>
        <v>0.42549999999999999</v>
      </c>
      <c r="I10" s="455">
        <f t="shared" si="2"/>
        <v>0.42549999999999999</v>
      </c>
      <c r="J10" s="456">
        <f t="shared" si="3"/>
        <v>0</v>
      </c>
      <c r="K10" s="455">
        <f t="shared" si="4"/>
        <v>0.85980000000000001</v>
      </c>
      <c r="L10" s="454" t="s">
        <v>212</v>
      </c>
      <c r="M10" s="453"/>
      <c r="N10" s="452" t="s">
        <v>72</v>
      </c>
      <c r="O10" s="451">
        <f t="shared" si="5"/>
        <v>70.5</v>
      </c>
      <c r="P10" s="450">
        <f>('PVC-A7'!Q89)/10</f>
        <v>84.4</v>
      </c>
      <c r="Q10" s="449">
        <f t="shared" si="6"/>
        <v>-13.900000000000006</v>
      </c>
      <c r="R10" s="448"/>
    </row>
    <row r="11" spans="1:18">
      <c r="A11" s="453"/>
      <c r="B11" s="460" t="s">
        <v>371</v>
      </c>
      <c r="C11" s="459">
        <f>'OTHER(C2)-A11'!Q31/10</f>
        <v>39</v>
      </c>
      <c r="D11" s="459">
        <f>'OTHER(C2)-A11'!Q60/10</f>
        <v>10</v>
      </c>
      <c r="E11" s="458">
        <v>0</v>
      </c>
      <c r="F11" s="458">
        <v>0</v>
      </c>
      <c r="G11" s="459">
        <f t="shared" si="0"/>
        <v>10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0.25640000000000002</v>
      </c>
      <c r="L11" s="454"/>
      <c r="M11" s="453"/>
      <c r="N11" s="460" t="s">
        <v>371</v>
      </c>
      <c r="O11" s="451">
        <f t="shared" si="5"/>
        <v>10</v>
      </c>
      <c r="P11" s="450">
        <f>('OTHER(C2)-A11'!Q89)/10</f>
        <v>11.4</v>
      </c>
      <c r="Q11" s="449">
        <f t="shared" si="6"/>
        <v>-1.4000000000000004</v>
      </c>
      <c r="R11" s="448"/>
    </row>
    <row r="12" spans="1:18">
      <c r="A12" s="453"/>
      <c r="B12" s="460" t="s">
        <v>372</v>
      </c>
      <c r="C12" s="462">
        <f>C6*0.98+C7*1.04+C8*0.29+C9*0.66+C10*0.5+C11</f>
        <v>299.36</v>
      </c>
      <c r="D12" s="462">
        <f>D6*0.98+D7*1.04+D8*0.29+D9*0.66+D10*0.5+D11</f>
        <v>215.65600000000003</v>
      </c>
      <c r="E12" s="462">
        <f>E6*0.98+E7*1.04+E8*0.29+E9*0.66+E10*0.5</f>
        <v>219.5</v>
      </c>
      <c r="F12" s="462">
        <f>F6*0.98+F7*1.04+F8*0.29+F9*0.66+F10*0.5</f>
        <v>87.2</v>
      </c>
      <c r="G12" s="459">
        <f t="shared" si="0"/>
        <v>347.95600000000007</v>
      </c>
      <c r="H12" s="455">
        <f t="shared" si="1"/>
        <v>0.63080000000000003</v>
      </c>
      <c r="I12" s="455">
        <f t="shared" si="2"/>
        <v>0.40429999999999999</v>
      </c>
      <c r="J12" s="456">
        <f t="shared" si="3"/>
        <v>-132.30000000000004</v>
      </c>
      <c r="K12" s="455">
        <f t="shared" si="4"/>
        <v>0.72040000000000004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-111.07400000000001</v>
      </c>
      <c r="R12" s="448"/>
    </row>
    <row r="13" spans="1:18">
      <c r="A13" s="453"/>
      <c r="B13" s="460" t="s">
        <v>373</v>
      </c>
      <c r="C13" s="459">
        <f>'PROPYLENE-A12'!Q31/10</f>
        <v>144.30000000000001</v>
      </c>
      <c r="D13" s="459">
        <f>'PROPYLENE-A12'!Q60/10</f>
        <v>60</v>
      </c>
      <c r="E13" s="458">
        <v>30</v>
      </c>
      <c r="F13" s="458">
        <v>0</v>
      </c>
      <c r="G13" s="459">
        <f t="shared" si="0"/>
        <v>90</v>
      </c>
      <c r="H13" s="455">
        <f t="shared" si="1"/>
        <v>0.33329999999999999</v>
      </c>
      <c r="I13" s="455" t="str">
        <f t="shared" si="2"/>
        <v xml:space="preserve">     0%</v>
      </c>
      <c r="J13" s="456">
        <f t="shared" si="3"/>
        <v>-30</v>
      </c>
      <c r="K13" s="455">
        <f t="shared" si="4"/>
        <v>0.4158</v>
      </c>
      <c r="L13" s="454" t="s">
        <v>211</v>
      </c>
      <c r="M13" s="453"/>
      <c r="N13" s="460" t="s">
        <v>373</v>
      </c>
      <c r="O13" s="451">
        <f t="shared" si="5"/>
        <v>60</v>
      </c>
      <c r="P13" s="450">
        <f>('PROPYLENE-A12'!Q89)/10</f>
        <v>60.5</v>
      </c>
      <c r="Q13" s="449">
        <f t="shared" si="6"/>
        <v>-0.5</v>
      </c>
      <c r="R13" s="448"/>
    </row>
    <row r="14" spans="1:18">
      <c r="A14" s="453"/>
      <c r="B14" s="460" t="s">
        <v>69</v>
      </c>
      <c r="C14" s="459">
        <f>'PP-A13'!Q31/10</f>
        <v>69</v>
      </c>
      <c r="D14" s="459">
        <f>'PP-A13'!Q60/10</f>
        <v>58.65</v>
      </c>
      <c r="E14" s="458">
        <v>60</v>
      </c>
      <c r="F14" s="458">
        <v>0</v>
      </c>
      <c r="G14" s="459">
        <f t="shared" si="0"/>
        <v>118.65</v>
      </c>
      <c r="H14" s="455">
        <f t="shared" si="1"/>
        <v>0.50570000000000004</v>
      </c>
      <c r="I14" s="455" t="str">
        <f t="shared" si="2"/>
        <v xml:space="preserve">     0%</v>
      </c>
      <c r="J14" s="456">
        <f t="shared" si="3"/>
        <v>-60.000000000000007</v>
      </c>
      <c r="K14" s="455">
        <f t="shared" si="4"/>
        <v>0.85</v>
      </c>
      <c r="L14" s="454" t="s">
        <v>210</v>
      </c>
      <c r="M14" s="453"/>
      <c r="N14" s="452" t="s">
        <v>69</v>
      </c>
      <c r="O14" s="451">
        <f t="shared" si="5"/>
        <v>58.65</v>
      </c>
      <c r="P14" s="450">
        <f>('PP-A13'!Q89)/10</f>
        <v>117.5</v>
      </c>
      <c r="Q14" s="449">
        <f t="shared" si="6"/>
        <v>-58.85</v>
      </c>
      <c r="R14" s="448"/>
    </row>
    <row r="15" spans="1:18">
      <c r="A15" s="453"/>
      <c r="B15" s="460" t="s">
        <v>67</v>
      </c>
      <c r="C15" s="459">
        <f>'AN-A14'!Q31/10</f>
        <v>0</v>
      </c>
      <c r="D15" s="459">
        <f>'AN-A14'!Q60/10</f>
        <v>0</v>
      </c>
      <c r="E15" s="458">
        <v>10</v>
      </c>
      <c r="F15" s="458">
        <v>0</v>
      </c>
      <c r="G15" s="459">
        <f t="shared" si="0"/>
        <v>10</v>
      </c>
      <c r="H15" s="455">
        <f t="shared" si="1"/>
        <v>1</v>
      </c>
      <c r="I15" s="455" t="str">
        <f t="shared" si="2"/>
        <v xml:space="preserve">    -</v>
      </c>
      <c r="J15" s="456">
        <f t="shared" si="3"/>
        <v>-10</v>
      </c>
      <c r="K15" s="455" t="str">
        <f t="shared" si="4"/>
        <v xml:space="preserve">    -</v>
      </c>
      <c r="L15" s="454" t="s">
        <v>209</v>
      </c>
      <c r="M15" s="453"/>
      <c r="N15" s="452" t="s">
        <v>67</v>
      </c>
      <c r="O15" s="451">
        <f t="shared" si="5"/>
        <v>0</v>
      </c>
      <c r="P15" s="450">
        <f>('AN-A14'!Q89)/10</f>
        <v>11</v>
      </c>
      <c r="Q15" s="449">
        <f t="shared" si="6"/>
        <v>-11</v>
      </c>
      <c r="R15" s="448"/>
    </row>
    <row r="16" spans="1:18">
      <c r="A16" s="453"/>
      <c r="B16" s="460" t="s">
        <v>371</v>
      </c>
      <c r="C16" s="459">
        <f>'OTHER(C3)-A15'!Q31/10</f>
        <v>35</v>
      </c>
      <c r="D16" s="459">
        <f>'OTHER(C3)-A15'!Q60/10</f>
        <v>32</v>
      </c>
      <c r="E16" s="458">
        <v>0</v>
      </c>
      <c r="F16" s="458">
        <v>0</v>
      </c>
      <c r="G16" s="459">
        <f t="shared" si="0"/>
        <v>32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0.9143</v>
      </c>
      <c r="L16" s="454"/>
      <c r="M16" s="453"/>
      <c r="N16" s="460" t="s">
        <v>371</v>
      </c>
      <c r="O16" s="451">
        <f t="shared" si="5"/>
        <v>32</v>
      </c>
      <c r="P16" s="450">
        <f>('OTHER(C3)-A15'!Q89)/10</f>
        <v>32</v>
      </c>
      <c r="Q16" s="449">
        <f t="shared" si="6"/>
        <v>0</v>
      </c>
      <c r="R16" s="448"/>
    </row>
    <row r="17" spans="1:18">
      <c r="A17" s="453"/>
      <c r="B17" s="460" t="s">
        <v>374</v>
      </c>
      <c r="C17" s="459">
        <f>C14*1.03+C15*1.09+C16</f>
        <v>106.07000000000001</v>
      </c>
      <c r="D17" s="459">
        <f>D14*1.03+D15*1.09+D16</f>
        <v>92.409500000000008</v>
      </c>
      <c r="E17" s="459">
        <f>E14*1.03+E15*1.09</f>
        <v>72.7</v>
      </c>
      <c r="F17" s="459">
        <f>F14*1.03+F15*1.09</f>
        <v>0</v>
      </c>
      <c r="G17" s="459">
        <f t="shared" si="0"/>
        <v>165.10950000000003</v>
      </c>
      <c r="H17" s="455">
        <f t="shared" si="1"/>
        <v>0.44030000000000002</v>
      </c>
      <c r="I17" s="455" t="str">
        <f t="shared" si="2"/>
        <v xml:space="preserve">     0%</v>
      </c>
      <c r="J17" s="456">
        <f t="shared" si="3"/>
        <v>-72.700000000000017</v>
      </c>
      <c r="K17" s="455">
        <f t="shared" si="4"/>
        <v>0.87119999999999997</v>
      </c>
      <c r="L17" s="454"/>
      <c r="M17" s="453"/>
      <c r="N17" s="460" t="s">
        <v>374</v>
      </c>
      <c r="O17" s="451"/>
      <c r="P17" s="450"/>
      <c r="Q17" s="461">
        <f>Q14*1.03+Q15*1.09+Q16</f>
        <v>-72.605500000000006</v>
      </c>
      <c r="R17" s="448"/>
    </row>
    <row r="18" spans="1:18">
      <c r="A18" s="453"/>
      <c r="B18" s="460" t="s">
        <v>375</v>
      </c>
      <c r="C18" s="459">
        <f>'BENZENE-A16'!Q31/10</f>
        <v>16.399999999999999</v>
      </c>
      <c r="D18" s="459">
        <f>'BENZENE-A16'!Q60/10</f>
        <v>8.1999999999999993</v>
      </c>
      <c r="E18" s="458">
        <v>3</v>
      </c>
      <c r="F18" s="458">
        <v>0</v>
      </c>
      <c r="G18" s="459">
        <f t="shared" si="0"/>
        <v>11.2</v>
      </c>
      <c r="H18" s="455">
        <f t="shared" si="1"/>
        <v>0.26790000000000003</v>
      </c>
      <c r="I18" s="455" t="str">
        <f t="shared" si="2"/>
        <v xml:space="preserve">     0%</v>
      </c>
      <c r="J18" s="456">
        <f t="shared" si="3"/>
        <v>-3</v>
      </c>
      <c r="K18" s="455">
        <f t="shared" si="4"/>
        <v>0.5</v>
      </c>
      <c r="L18" s="454" t="s">
        <v>208</v>
      </c>
      <c r="M18" s="453"/>
      <c r="N18" s="460" t="s">
        <v>375</v>
      </c>
      <c r="O18" s="451">
        <f t="shared" si="5"/>
        <v>8.1999999999999993</v>
      </c>
      <c r="P18" s="450">
        <f>('BENZENE-A16'!Q89)/10</f>
        <v>9.9</v>
      </c>
      <c r="Q18" s="449">
        <f t="shared" si="6"/>
        <v>-1.7000000000000011</v>
      </c>
      <c r="R18" s="448"/>
    </row>
    <row r="19" spans="1:18">
      <c r="A19" s="453"/>
      <c r="B19" s="460" t="s">
        <v>376</v>
      </c>
      <c r="C19" s="459">
        <f>'TOLUENE-A17'!Q31/10</f>
        <v>37.5</v>
      </c>
      <c r="D19" s="459">
        <f>'TOLUENE-A17'!Q60/10</f>
        <v>31.9</v>
      </c>
      <c r="E19" s="458">
        <v>10</v>
      </c>
      <c r="F19" s="458">
        <v>0</v>
      </c>
      <c r="G19" s="459">
        <f t="shared" si="0"/>
        <v>41.9</v>
      </c>
      <c r="H19" s="455">
        <f t="shared" si="1"/>
        <v>0.2387</v>
      </c>
      <c r="I19" s="455" t="str">
        <f t="shared" si="2"/>
        <v xml:space="preserve">     0%</v>
      </c>
      <c r="J19" s="456">
        <f t="shared" si="3"/>
        <v>-10</v>
      </c>
      <c r="K19" s="455">
        <f t="shared" si="4"/>
        <v>0.85070000000000001</v>
      </c>
      <c r="L19" s="454" t="s">
        <v>208</v>
      </c>
      <c r="M19" s="453"/>
      <c r="N19" s="460" t="s">
        <v>376</v>
      </c>
      <c r="O19" s="451">
        <f t="shared" si="5"/>
        <v>31.9</v>
      </c>
      <c r="P19" s="450">
        <f>('TOLUENE-A17'!Q89)/10</f>
        <v>50.9</v>
      </c>
      <c r="Q19" s="449">
        <f t="shared" si="6"/>
        <v>-19</v>
      </c>
      <c r="R19" s="448"/>
    </row>
    <row r="20" spans="1:18">
      <c r="A20" s="453"/>
      <c r="B20" s="460" t="s">
        <v>377</v>
      </c>
      <c r="C20" s="459">
        <f>'XYLENES-A18'!Q31/10</f>
        <v>48</v>
      </c>
      <c r="D20" s="459">
        <f>'XYLENES-A18'!Q60/10</f>
        <v>34.1</v>
      </c>
      <c r="E20" s="458">
        <v>6</v>
      </c>
      <c r="F20" s="458">
        <v>0</v>
      </c>
      <c r="G20" s="459">
        <f t="shared" si="0"/>
        <v>40.1</v>
      </c>
      <c r="H20" s="455">
        <f t="shared" si="1"/>
        <v>0.14960000000000001</v>
      </c>
      <c r="I20" s="455" t="str">
        <f t="shared" si="2"/>
        <v xml:space="preserve">     0%</v>
      </c>
      <c r="J20" s="456">
        <f t="shared" si="3"/>
        <v>-6</v>
      </c>
      <c r="K20" s="455">
        <f t="shared" si="4"/>
        <v>0.71040000000000003</v>
      </c>
      <c r="L20" s="454" t="s">
        <v>208</v>
      </c>
      <c r="M20" s="453"/>
      <c r="N20" s="460" t="s">
        <v>377</v>
      </c>
      <c r="O20" s="451">
        <f t="shared" si="5"/>
        <v>34.1</v>
      </c>
      <c r="P20" s="450">
        <f>('XYLENES-A18'!Q89)/10</f>
        <v>46</v>
      </c>
      <c r="Q20" s="449">
        <f t="shared" si="6"/>
        <v>-11.899999999999999</v>
      </c>
      <c r="R20" s="448"/>
    </row>
    <row r="21" spans="1:18">
      <c r="A21" s="453"/>
      <c r="B21" s="460" t="s">
        <v>64</v>
      </c>
      <c r="C21" s="459">
        <f>'PX-A19'!Q31/10</f>
        <v>0</v>
      </c>
      <c r="D21" s="459">
        <f>'PX-A19'!Q60/10</f>
        <v>0</v>
      </c>
      <c r="E21" s="458">
        <v>120</v>
      </c>
      <c r="F21" s="458">
        <v>0</v>
      </c>
      <c r="G21" s="459">
        <f t="shared" si="0"/>
        <v>120</v>
      </c>
      <c r="H21" s="455">
        <f t="shared" si="1"/>
        <v>1</v>
      </c>
      <c r="I21" s="455" t="str">
        <f t="shared" si="2"/>
        <v xml:space="preserve">    -</v>
      </c>
      <c r="J21" s="456">
        <f t="shared" si="3"/>
        <v>-120</v>
      </c>
      <c r="K21" s="455" t="str">
        <f t="shared" si="4"/>
        <v xml:space="preserve">    -</v>
      </c>
      <c r="L21" s="454" t="s">
        <v>208</v>
      </c>
      <c r="M21" s="453"/>
      <c r="N21" s="452" t="s">
        <v>64</v>
      </c>
      <c r="O21" s="451">
        <f t="shared" si="5"/>
        <v>0</v>
      </c>
      <c r="P21" s="450">
        <f>('PX-A19'!Q89)/10</f>
        <v>112</v>
      </c>
      <c r="Q21" s="449">
        <f t="shared" si="6"/>
        <v>-112</v>
      </c>
      <c r="R21" s="448"/>
    </row>
    <row r="22" spans="1:18">
      <c r="A22" s="453"/>
      <c r="B22" s="460" t="s">
        <v>62</v>
      </c>
      <c r="C22" s="459">
        <f>'PTA-A20'!Q31/10</f>
        <v>153</v>
      </c>
      <c r="D22" s="459">
        <f>'PTA-A20'!Q60/10</f>
        <v>138</v>
      </c>
      <c r="E22" s="458">
        <v>1</v>
      </c>
      <c r="F22" s="458">
        <v>45</v>
      </c>
      <c r="G22" s="459">
        <f t="shared" si="0"/>
        <v>94</v>
      </c>
      <c r="H22" s="455">
        <f t="shared" si="1"/>
        <v>1.06E-2</v>
      </c>
      <c r="I22" s="455">
        <f t="shared" si="2"/>
        <v>0.3261</v>
      </c>
      <c r="J22" s="456">
        <f t="shared" si="3"/>
        <v>44</v>
      </c>
      <c r="K22" s="455">
        <f t="shared" si="4"/>
        <v>0.90200000000000002</v>
      </c>
      <c r="L22" s="454" t="s">
        <v>207</v>
      </c>
      <c r="M22" s="453"/>
      <c r="N22" s="452" t="s">
        <v>62</v>
      </c>
      <c r="O22" s="451">
        <f t="shared" si="5"/>
        <v>138</v>
      </c>
      <c r="P22" s="450">
        <f>('PTA-A20'!Q89)/10</f>
        <v>97.7</v>
      </c>
      <c r="Q22" s="449">
        <f t="shared" si="6"/>
        <v>40.299999999999997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R23"/>
  <sheetViews>
    <sheetView showGridLines="0" view="pageBreakPreview" zoomScale="60" zoomScaleNormal="100" workbookViewId="0"/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414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'ETHYLENE-A1'!K32/10</f>
        <v>395.2</v>
      </c>
      <c r="D5" s="459">
        <f>'ETHYLENE-A1'!K61/10</f>
        <v>335.91999999999996</v>
      </c>
      <c r="E5" s="458">
        <v>0</v>
      </c>
      <c r="F5" s="458">
        <v>9</v>
      </c>
      <c r="G5" s="459">
        <f t="shared" ref="G5:G22" si="0">D5+E5-F5</f>
        <v>326.91999999999996</v>
      </c>
      <c r="H5" s="455" t="str">
        <f t="shared" ref="H5:H22" si="1">IF(AND(E5=0,G5=0),"    -",IF(E5=0,"     0%",IF(G5=0,"     -",ROUND(E5/G5,4))))</f>
        <v xml:space="preserve">     0%</v>
      </c>
      <c r="I5" s="455">
        <f t="shared" ref="I5:I22" si="2">IF(AND(D5=0,F5=0),"    -",IF(F5=0,"     0%",IF(D5=0,"     -",ROUND(F5/D5,4))))</f>
        <v>2.6800000000000001E-2</v>
      </c>
      <c r="J5" s="456">
        <f t="shared" ref="J5:J22" si="3">D5-G5</f>
        <v>9</v>
      </c>
      <c r="K5" s="455">
        <f t="shared" ref="K5:K22" si="4">IF(AND(D5=0,C5=0),"    -",IF(C5=0,"     0%",IF(D5=0,"     -",ROUND(D5/C5,4))))</f>
        <v>0.85</v>
      </c>
      <c r="L5" s="454" t="s">
        <v>216</v>
      </c>
      <c r="M5" s="453"/>
      <c r="N5" s="452" t="s">
        <v>79</v>
      </c>
      <c r="O5" s="451">
        <f t="shared" ref="O5:O22" si="5">D5</f>
        <v>335.91999999999996</v>
      </c>
      <c r="P5" s="450">
        <f>('ETHYLENE-A1'!K90)/10</f>
        <v>341.3</v>
      </c>
      <c r="Q5" s="449">
        <f>O5-P5</f>
        <v>-5.3800000000000523</v>
      </c>
      <c r="R5" s="448"/>
    </row>
    <row r="6" spans="1:18">
      <c r="A6" s="453"/>
      <c r="B6" s="460" t="s">
        <v>78</v>
      </c>
      <c r="C6" s="459">
        <f>'LDPE-A2'!K32/10</f>
        <v>172.5</v>
      </c>
      <c r="D6" s="459">
        <f>'LDPE-A2'!K61/10</f>
        <v>146.625</v>
      </c>
      <c r="E6" s="458">
        <v>28</v>
      </c>
      <c r="F6" s="458">
        <v>57</v>
      </c>
      <c r="G6" s="459">
        <f t="shared" si="0"/>
        <v>117.625</v>
      </c>
      <c r="H6" s="455">
        <f t="shared" si="1"/>
        <v>0.23799999999999999</v>
      </c>
      <c r="I6" s="455">
        <f t="shared" si="2"/>
        <v>0.38869999999999999</v>
      </c>
      <c r="J6" s="456">
        <f t="shared" si="3"/>
        <v>29</v>
      </c>
      <c r="K6" s="455">
        <f t="shared" si="4"/>
        <v>0.85</v>
      </c>
      <c r="L6" s="454" t="s">
        <v>216</v>
      </c>
      <c r="M6" s="453"/>
      <c r="N6" s="452" t="s">
        <v>78</v>
      </c>
      <c r="O6" s="451">
        <f t="shared" si="5"/>
        <v>146.625</v>
      </c>
      <c r="P6" s="450">
        <f>('LDPE-A2'!K90)/10</f>
        <v>121.6</v>
      </c>
      <c r="Q6" s="449">
        <f t="shared" ref="Q6:Q22" si="6">O6-P6</f>
        <v>25.025000000000006</v>
      </c>
      <c r="R6" s="448"/>
    </row>
    <row r="7" spans="1:18">
      <c r="A7" s="453"/>
      <c r="B7" s="460" t="s">
        <v>76</v>
      </c>
      <c r="C7" s="459">
        <f>'HDPE-A3'!K32/10</f>
        <v>133</v>
      </c>
      <c r="D7" s="459">
        <f>'HDPE-A3'!K61/10</f>
        <v>113.05</v>
      </c>
      <c r="E7" s="458">
        <v>24</v>
      </c>
      <c r="F7" s="458">
        <v>38</v>
      </c>
      <c r="G7" s="459">
        <f t="shared" si="0"/>
        <v>99.050000000000011</v>
      </c>
      <c r="H7" s="455">
        <f t="shared" si="1"/>
        <v>0.24229999999999999</v>
      </c>
      <c r="I7" s="455">
        <f t="shared" si="2"/>
        <v>0.33610000000000001</v>
      </c>
      <c r="J7" s="456">
        <f t="shared" si="3"/>
        <v>13.999999999999986</v>
      </c>
      <c r="K7" s="455">
        <f t="shared" si="4"/>
        <v>0.85</v>
      </c>
      <c r="L7" s="454" t="s">
        <v>216</v>
      </c>
      <c r="M7" s="453"/>
      <c r="N7" s="452" t="s">
        <v>76</v>
      </c>
      <c r="O7" s="451">
        <f t="shared" si="5"/>
        <v>113.05</v>
      </c>
      <c r="P7" s="450">
        <f>('HDPE-A3'!K90)/10</f>
        <v>98.8</v>
      </c>
      <c r="Q7" s="449">
        <f t="shared" si="6"/>
        <v>14.25</v>
      </c>
      <c r="R7" s="448"/>
    </row>
    <row r="8" spans="1:18">
      <c r="A8" s="453"/>
      <c r="B8" s="460" t="s">
        <v>75</v>
      </c>
      <c r="C8" s="459">
        <f>'SM-A6'!K32/10</f>
        <v>53.6</v>
      </c>
      <c r="D8" s="459">
        <f>'SM-A6'!K61/10</f>
        <v>45.6</v>
      </c>
      <c r="E8" s="458">
        <v>11</v>
      </c>
      <c r="F8" s="458">
        <v>1</v>
      </c>
      <c r="G8" s="459">
        <f t="shared" si="0"/>
        <v>55.6</v>
      </c>
      <c r="H8" s="455">
        <f t="shared" si="1"/>
        <v>0.1978</v>
      </c>
      <c r="I8" s="455">
        <f t="shared" si="2"/>
        <v>2.1899999999999999E-2</v>
      </c>
      <c r="J8" s="456">
        <f t="shared" si="3"/>
        <v>-10</v>
      </c>
      <c r="K8" s="455">
        <f t="shared" si="4"/>
        <v>0.85070000000000001</v>
      </c>
      <c r="L8" s="454" t="s">
        <v>277</v>
      </c>
      <c r="M8" s="453"/>
      <c r="N8" s="452" t="s">
        <v>75</v>
      </c>
      <c r="O8" s="451">
        <f t="shared" si="5"/>
        <v>45.6</v>
      </c>
      <c r="P8" s="450">
        <f>('SM-A6'!K90)/10</f>
        <v>60.3</v>
      </c>
      <c r="Q8" s="449">
        <f t="shared" si="6"/>
        <v>-14.699999999999996</v>
      </c>
      <c r="R8" s="448"/>
    </row>
    <row r="9" spans="1:18">
      <c r="A9" s="453"/>
      <c r="B9" s="460" t="s">
        <v>74</v>
      </c>
      <c r="C9" s="459">
        <f>'EG-A10'!K32/10</f>
        <v>29.5</v>
      </c>
      <c r="D9" s="459">
        <f>'EG-A10'!K61/10</f>
        <v>30.6</v>
      </c>
      <c r="E9" s="458">
        <v>15</v>
      </c>
      <c r="F9" s="458">
        <v>1</v>
      </c>
      <c r="G9" s="459">
        <f t="shared" si="0"/>
        <v>44.6</v>
      </c>
      <c r="H9" s="455">
        <f t="shared" si="1"/>
        <v>0.33629999999999999</v>
      </c>
      <c r="I9" s="455">
        <f t="shared" si="2"/>
        <v>3.27E-2</v>
      </c>
      <c r="J9" s="456">
        <f t="shared" si="3"/>
        <v>-14</v>
      </c>
      <c r="K9" s="455">
        <f t="shared" si="4"/>
        <v>1.0373000000000001</v>
      </c>
      <c r="L9" s="454" t="s">
        <v>220</v>
      </c>
      <c r="M9" s="453"/>
      <c r="N9" s="452" t="s">
        <v>74</v>
      </c>
      <c r="O9" s="451">
        <f t="shared" si="5"/>
        <v>30.6</v>
      </c>
      <c r="P9" s="450">
        <f>('EG-A10'!K90)/10</f>
        <v>43.1</v>
      </c>
      <c r="Q9" s="449">
        <f t="shared" si="6"/>
        <v>-12.5</v>
      </c>
      <c r="R9" s="448"/>
    </row>
    <row r="10" spans="1:18">
      <c r="A10" s="453"/>
      <c r="B10" s="460" t="s">
        <v>72</v>
      </c>
      <c r="C10" s="459">
        <f>'PVC-A7'!K32/10</f>
        <v>101</v>
      </c>
      <c r="D10" s="459">
        <f>'PVC-A7'!K32/10</f>
        <v>101</v>
      </c>
      <c r="E10" s="458">
        <v>30</v>
      </c>
      <c r="F10" s="458">
        <v>13</v>
      </c>
      <c r="G10" s="459">
        <f t="shared" si="0"/>
        <v>118</v>
      </c>
      <c r="H10" s="455">
        <f t="shared" si="1"/>
        <v>0.25419999999999998</v>
      </c>
      <c r="I10" s="455">
        <f t="shared" si="2"/>
        <v>0.12870000000000001</v>
      </c>
      <c r="J10" s="456">
        <f t="shared" si="3"/>
        <v>-17</v>
      </c>
      <c r="K10" s="455">
        <f t="shared" si="4"/>
        <v>1</v>
      </c>
      <c r="L10" s="454" t="s">
        <v>278</v>
      </c>
      <c r="M10" s="453"/>
      <c r="N10" s="452" t="s">
        <v>72</v>
      </c>
      <c r="O10" s="451">
        <f t="shared" si="5"/>
        <v>101</v>
      </c>
      <c r="P10" s="450">
        <f>('PVC-A7'!K90)/10</f>
        <v>99.8</v>
      </c>
      <c r="Q10" s="449">
        <f t="shared" si="6"/>
        <v>1.2000000000000028</v>
      </c>
      <c r="R10" s="448"/>
    </row>
    <row r="11" spans="1:18">
      <c r="A11" s="453"/>
      <c r="B11" s="460" t="s">
        <v>371</v>
      </c>
      <c r="C11" s="459">
        <f>'OTHER(C2)-A11'!K32/10</f>
        <v>10</v>
      </c>
      <c r="D11" s="459">
        <f>'OTHER(C2)-A11'!K32/10</f>
        <v>10</v>
      </c>
      <c r="E11" s="458">
        <v>10</v>
      </c>
      <c r="F11" s="458">
        <v>10</v>
      </c>
      <c r="G11" s="459">
        <f t="shared" si="0"/>
        <v>10</v>
      </c>
      <c r="H11" s="455">
        <f t="shared" si="1"/>
        <v>1</v>
      </c>
      <c r="I11" s="455">
        <f t="shared" si="2"/>
        <v>1</v>
      </c>
      <c r="J11" s="456">
        <f t="shared" si="3"/>
        <v>0</v>
      </c>
      <c r="K11" s="455">
        <f t="shared" si="4"/>
        <v>1</v>
      </c>
      <c r="L11" s="454"/>
      <c r="M11" s="453"/>
      <c r="N11" s="460" t="s">
        <v>371</v>
      </c>
      <c r="O11" s="451">
        <f t="shared" si="5"/>
        <v>10</v>
      </c>
      <c r="P11" s="450">
        <f>('OTHER(C2)-A11'!K90)/10</f>
        <v>8.6</v>
      </c>
      <c r="Q11" s="449">
        <f t="shared" si="6"/>
        <v>1.4000000000000004</v>
      </c>
      <c r="R11" s="448"/>
    </row>
    <row r="12" spans="1:18">
      <c r="A12" s="453"/>
      <c r="B12" s="460" t="s">
        <v>372</v>
      </c>
      <c r="C12" s="462">
        <f>C6*0.98+C7*1.04+C8*0.29+C9*0.66+C10*0.5+C11</f>
        <v>402.88400000000001</v>
      </c>
      <c r="D12" s="462">
        <f>D6*0.98+D7*1.04+D8*0.29+D9*0.66+D10*0.5+D11</f>
        <v>355.18450000000001</v>
      </c>
      <c r="E12" s="462">
        <f>E6*0.98+E7*1.04+E8*0.29+E9*0.66+E10*0.5</f>
        <v>80.489999999999995</v>
      </c>
      <c r="F12" s="462">
        <f>F6*0.98+F7*1.04+F8*0.29+F9*0.66+F10*0.5</f>
        <v>102.83</v>
      </c>
      <c r="G12" s="459">
        <f t="shared" si="0"/>
        <v>332.84450000000004</v>
      </c>
      <c r="H12" s="455">
        <f t="shared" si="1"/>
        <v>0.24179999999999999</v>
      </c>
      <c r="I12" s="455">
        <f t="shared" si="2"/>
        <v>0.28949999999999998</v>
      </c>
      <c r="J12" s="456">
        <f t="shared" si="3"/>
        <v>22.339999999999975</v>
      </c>
      <c r="K12" s="455">
        <f t="shared" si="4"/>
        <v>0.88160000000000005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28.831500000000013</v>
      </c>
      <c r="R12" s="448"/>
    </row>
    <row r="13" spans="1:18">
      <c r="A13" s="453"/>
      <c r="B13" s="460" t="s">
        <v>373</v>
      </c>
      <c r="C13" s="459">
        <f>'PROPYLENE-A12'!K32/10</f>
        <v>279.2</v>
      </c>
      <c r="D13" s="459">
        <f>'PROPYLENE-A12'!K61/10</f>
        <v>223.35999999999999</v>
      </c>
      <c r="E13" s="458">
        <v>0</v>
      </c>
      <c r="F13" s="458">
        <v>7</v>
      </c>
      <c r="G13" s="459">
        <f t="shared" si="0"/>
        <v>216.35999999999999</v>
      </c>
      <c r="H13" s="455" t="str">
        <f t="shared" si="1"/>
        <v xml:space="preserve">     0%</v>
      </c>
      <c r="I13" s="455">
        <f t="shared" si="2"/>
        <v>3.1300000000000001E-2</v>
      </c>
      <c r="J13" s="456">
        <f t="shared" si="3"/>
        <v>7</v>
      </c>
      <c r="K13" s="455">
        <f t="shared" si="4"/>
        <v>0.8</v>
      </c>
      <c r="L13" s="454" t="s">
        <v>217</v>
      </c>
      <c r="M13" s="453"/>
      <c r="N13" s="460" t="s">
        <v>373</v>
      </c>
      <c r="O13" s="451">
        <f t="shared" si="5"/>
        <v>223.35999999999999</v>
      </c>
      <c r="P13" s="450">
        <f>('PROPYLENE-A12'!K90)/10</f>
        <v>170.8</v>
      </c>
      <c r="Q13" s="449">
        <f t="shared" si="6"/>
        <v>52.559999999999974</v>
      </c>
      <c r="R13" s="448"/>
    </row>
    <row r="14" spans="1:18">
      <c r="A14" s="453"/>
      <c r="B14" s="460" t="s">
        <v>69</v>
      </c>
      <c r="C14" s="459">
        <f>'PP-A13'!K32/10</f>
        <v>185</v>
      </c>
      <c r="D14" s="459">
        <f>'PP-A13'!K61/10</f>
        <v>157.25</v>
      </c>
      <c r="E14" s="458">
        <v>21</v>
      </c>
      <c r="F14" s="458">
        <v>35</v>
      </c>
      <c r="G14" s="459">
        <f t="shared" si="0"/>
        <v>143.25</v>
      </c>
      <c r="H14" s="455">
        <f t="shared" si="1"/>
        <v>0.14660000000000001</v>
      </c>
      <c r="I14" s="455">
        <f t="shared" si="2"/>
        <v>0.22259999999999999</v>
      </c>
      <c r="J14" s="456">
        <f t="shared" si="3"/>
        <v>14</v>
      </c>
      <c r="K14" s="455">
        <f t="shared" si="4"/>
        <v>0.85</v>
      </c>
      <c r="L14" s="454" t="s">
        <v>216</v>
      </c>
      <c r="M14" s="453"/>
      <c r="N14" s="452" t="s">
        <v>69</v>
      </c>
      <c r="O14" s="451">
        <f t="shared" si="5"/>
        <v>157.25</v>
      </c>
      <c r="P14" s="450">
        <f>('PP-A13'!K90)/10</f>
        <v>134.5</v>
      </c>
      <c r="Q14" s="449">
        <f t="shared" si="6"/>
        <v>22.75</v>
      </c>
      <c r="R14" s="448"/>
    </row>
    <row r="15" spans="1:18">
      <c r="A15" s="453"/>
      <c r="B15" s="460" t="s">
        <v>67</v>
      </c>
      <c r="C15" s="459">
        <f>'AN-A14'!K32/10</f>
        <v>10</v>
      </c>
      <c r="D15" s="459">
        <f>'AN-A14'!K61/10</f>
        <v>8.5</v>
      </c>
      <c r="E15" s="458">
        <v>0</v>
      </c>
      <c r="F15" s="458">
        <v>8</v>
      </c>
      <c r="G15" s="459">
        <f t="shared" si="0"/>
        <v>0.5</v>
      </c>
      <c r="H15" s="455" t="str">
        <f t="shared" si="1"/>
        <v xml:space="preserve">     0%</v>
      </c>
      <c r="I15" s="455">
        <f t="shared" si="2"/>
        <v>0.94120000000000004</v>
      </c>
      <c r="J15" s="456">
        <f t="shared" si="3"/>
        <v>8</v>
      </c>
      <c r="K15" s="455">
        <f t="shared" si="4"/>
        <v>0.85</v>
      </c>
      <c r="L15" s="454" t="s">
        <v>218</v>
      </c>
      <c r="M15" s="453"/>
      <c r="N15" s="452" t="s">
        <v>67</v>
      </c>
      <c r="O15" s="451">
        <f t="shared" si="5"/>
        <v>8.5</v>
      </c>
      <c r="P15" s="450">
        <f>('AN-A14'!K90)/10</f>
        <v>1</v>
      </c>
      <c r="Q15" s="449">
        <f t="shared" si="6"/>
        <v>7.5</v>
      </c>
      <c r="R15" s="448"/>
    </row>
    <row r="16" spans="1:18">
      <c r="A16" s="453"/>
      <c r="B16" s="460" t="s">
        <v>371</v>
      </c>
      <c r="C16" s="459">
        <f>'OTHER(C3)-A15'!K32/10</f>
        <v>57</v>
      </c>
      <c r="D16" s="459">
        <f>'OTHER(C3)-A15'!K61/10</f>
        <v>51.3</v>
      </c>
      <c r="E16" s="458">
        <v>57</v>
      </c>
      <c r="F16" s="458">
        <v>51</v>
      </c>
      <c r="G16" s="459">
        <f t="shared" si="0"/>
        <v>57.3</v>
      </c>
      <c r="H16" s="455">
        <f t="shared" si="1"/>
        <v>0.99480000000000002</v>
      </c>
      <c r="I16" s="455">
        <f t="shared" si="2"/>
        <v>0.99419999999999997</v>
      </c>
      <c r="J16" s="456">
        <f t="shared" si="3"/>
        <v>-6</v>
      </c>
      <c r="K16" s="455">
        <f t="shared" si="4"/>
        <v>0.9</v>
      </c>
      <c r="L16" s="454"/>
      <c r="M16" s="453"/>
      <c r="N16" s="460" t="s">
        <v>371</v>
      </c>
      <c r="O16" s="451">
        <f t="shared" si="5"/>
        <v>51.3</v>
      </c>
      <c r="P16" s="450">
        <f>('OTHER(C3)-A15'!K90)/10</f>
        <v>46</v>
      </c>
      <c r="Q16" s="449">
        <f t="shared" si="6"/>
        <v>5.2999999999999972</v>
      </c>
      <c r="R16" s="448"/>
    </row>
    <row r="17" spans="1:18">
      <c r="A17" s="453"/>
      <c r="B17" s="460" t="s">
        <v>374</v>
      </c>
      <c r="C17" s="459">
        <f>C14*1.03+C15*1.09+C16</f>
        <v>258.45000000000005</v>
      </c>
      <c r="D17" s="459">
        <f>D14*1.03+D15*1.09+D16</f>
        <v>222.53250000000003</v>
      </c>
      <c r="E17" s="459">
        <f>E14*1.03+E15*1.09</f>
        <v>21.63</v>
      </c>
      <c r="F17" s="459">
        <f>F14*1.03+F15*1.09</f>
        <v>44.77</v>
      </c>
      <c r="G17" s="459">
        <f t="shared" si="0"/>
        <v>199.39250000000001</v>
      </c>
      <c r="H17" s="455">
        <f t="shared" si="1"/>
        <v>0.1085</v>
      </c>
      <c r="I17" s="455">
        <f t="shared" si="2"/>
        <v>0.20119999999999999</v>
      </c>
      <c r="J17" s="456">
        <f t="shared" si="3"/>
        <v>23.140000000000015</v>
      </c>
      <c r="K17" s="455">
        <f t="shared" si="4"/>
        <v>0.86099999999999999</v>
      </c>
      <c r="L17" s="454"/>
      <c r="M17" s="453"/>
      <c r="N17" s="460" t="s">
        <v>374</v>
      </c>
      <c r="O17" s="451"/>
      <c r="P17" s="450"/>
      <c r="Q17" s="461">
        <f>Q14*1.03+Q15*1.09+Q16</f>
        <v>36.907499999999999</v>
      </c>
      <c r="R17" s="448"/>
    </row>
    <row r="18" spans="1:18">
      <c r="A18" s="453"/>
      <c r="B18" s="460" t="s">
        <v>375</v>
      </c>
      <c r="C18" s="459">
        <f>'BENZENE-A16'!K32/10</f>
        <v>104.5</v>
      </c>
      <c r="D18" s="459">
        <f>'BENZENE-A16'!K61/10</f>
        <v>83.6</v>
      </c>
      <c r="E18" s="458">
        <v>0</v>
      </c>
      <c r="F18" s="458">
        <v>26</v>
      </c>
      <c r="G18" s="459">
        <f t="shared" si="0"/>
        <v>57.599999999999994</v>
      </c>
      <c r="H18" s="455" t="str">
        <f t="shared" si="1"/>
        <v xml:space="preserve">     0%</v>
      </c>
      <c r="I18" s="455">
        <f t="shared" si="2"/>
        <v>0.311</v>
      </c>
      <c r="J18" s="456">
        <f t="shared" si="3"/>
        <v>26</v>
      </c>
      <c r="K18" s="455">
        <f t="shared" si="4"/>
        <v>0.8</v>
      </c>
      <c r="L18" s="454" t="s">
        <v>217</v>
      </c>
      <c r="M18" s="453"/>
      <c r="N18" s="460" t="s">
        <v>375</v>
      </c>
      <c r="O18" s="451">
        <f t="shared" si="5"/>
        <v>83.6</v>
      </c>
      <c r="P18" s="450">
        <f>('BENZENE-A16'!K90)/10</f>
        <v>63.6</v>
      </c>
      <c r="Q18" s="449">
        <f t="shared" si="6"/>
        <v>19.999999999999993</v>
      </c>
      <c r="R18" s="448"/>
    </row>
    <row r="19" spans="1:18">
      <c r="A19" s="453"/>
      <c r="B19" s="460" t="s">
        <v>376</v>
      </c>
      <c r="C19" s="459">
        <f>'TOLUENE-A17'!K32/10</f>
        <v>60.9</v>
      </c>
      <c r="D19" s="459">
        <f>'TOLUENE-A17'!K61/10</f>
        <v>54.81</v>
      </c>
      <c r="E19" s="458">
        <v>0</v>
      </c>
      <c r="F19" s="458">
        <v>4</v>
      </c>
      <c r="G19" s="459">
        <f t="shared" si="0"/>
        <v>50.81</v>
      </c>
      <c r="H19" s="455" t="str">
        <f t="shared" si="1"/>
        <v xml:space="preserve">     0%</v>
      </c>
      <c r="I19" s="455">
        <f t="shared" si="2"/>
        <v>7.2999999999999995E-2</v>
      </c>
      <c r="J19" s="456">
        <f t="shared" si="3"/>
        <v>4</v>
      </c>
      <c r="K19" s="455">
        <f t="shared" si="4"/>
        <v>0.9</v>
      </c>
      <c r="L19" s="454" t="s">
        <v>217</v>
      </c>
      <c r="M19" s="453"/>
      <c r="N19" s="460" t="s">
        <v>376</v>
      </c>
      <c r="O19" s="451">
        <f t="shared" si="5"/>
        <v>54.81</v>
      </c>
      <c r="P19" s="450">
        <f>('TOLUENE-A17'!K90)/10</f>
        <v>43.7</v>
      </c>
      <c r="Q19" s="449">
        <f t="shared" si="6"/>
        <v>11.11</v>
      </c>
      <c r="R19" s="448"/>
    </row>
    <row r="20" spans="1:18">
      <c r="A20" s="453"/>
      <c r="B20" s="460" t="s">
        <v>377</v>
      </c>
      <c r="C20" s="459">
        <f>'XYLENES-A18'!K32/10</f>
        <v>64.8</v>
      </c>
      <c r="D20" s="459">
        <f>'XYLENES-A18'!K61/10</f>
        <v>61.56</v>
      </c>
      <c r="E20" s="458">
        <v>0</v>
      </c>
      <c r="F20" s="458">
        <v>1</v>
      </c>
      <c r="G20" s="459">
        <f t="shared" si="0"/>
        <v>60.56</v>
      </c>
      <c r="H20" s="455" t="str">
        <f t="shared" si="1"/>
        <v xml:space="preserve">     0%</v>
      </c>
      <c r="I20" s="455">
        <f t="shared" si="2"/>
        <v>1.6199999999999999E-2</v>
      </c>
      <c r="J20" s="456">
        <f t="shared" si="3"/>
        <v>1</v>
      </c>
      <c r="K20" s="455">
        <f t="shared" si="4"/>
        <v>0.95</v>
      </c>
      <c r="L20" s="454" t="s">
        <v>279</v>
      </c>
      <c r="M20" s="453"/>
      <c r="N20" s="460" t="s">
        <v>377</v>
      </c>
      <c r="O20" s="451">
        <f t="shared" si="5"/>
        <v>61.56</v>
      </c>
      <c r="P20" s="450">
        <f>('XYLENES-A18'!K90)/10</f>
        <v>57.7</v>
      </c>
      <c r="Q20" s="449">
        <f t="shared" si="6"/>
        <v>3.8599999999999994</v>
      </c>
      <c r="R20" s="448"/>
    </row>
    <row r="21" spans="1:18">
      <c r="A21" s="453"/>
      <c r="B21" s="460" t="s">
        <v>64</v>
      </c>
      <c r="C21" s="459">
        <f>'PX-A19'!K32/10</f>
        <v>20.5</v>
      </c>
      <c r="D21" s="459">
        <f>'PX-A19'!K61/10</f>
        <v>18.3</v>
      </c>
      <c r="E21" s="458">
        <v>9</v>
      </c>
      <c r="F21" s="458">
        <v>1</v>
      </c>
      <c r="G21" s="459">
        <f t="shared" si="0"/>
        <v>26.3</v>
      </c>
      <c r="H21" s="455">
        <f t="shared" si="1"/>
        <v>0.3422</v>
      </c>
      <c r="I21" s="455">
        <f t="shared" si="2"/>
        <v>5.4600000000000003E-2</v>
      </c>
      <c r="J21" s="456">
        <f t="shared" si="3"/>
        <v>-8</v>
      </c>
      <c r="K21" s="455">
        <f t="shared" si="4"/>
        <v>0.89270000000000005</v>
      </c>
      <c r="L21" s="454" t="s">
        <v>216</v>
      </c>
      <c r="M21" s="453"/>
      <c r="N21" s="452" t="s">
        <v>64</v>
      </c>
      <c r="O21" s="451">
        <f t="shared" si="5"/>
        <v>18.3</v>
      </c>
      <c r="P21" s="450">
        <f>('PX-A19'!K90)/10</f>
        <v>25.4</v>
      </c>
      <c r="Q21" s="449">
        <f t="shared" si="6"/>
        <v>-7.0999999999999979</v>
      </c>
      <c r="R21" s="448"/>
    </row>
    <row r="22" spans="1:18">
      <c r="A22" s="453"/>
      <c r="B22" s="460" t="s">
        <v>62</v>
      </c>
      <c r="C22" s="459">
        <f>'PTA-A20'!K32/10</f>
        <v>70</v>
      </c>
      <c r="D22" s="459">
        <f>'PTA-A20'!K61/10</f>
        <v>59.5</v>
      </c>
      <c r="E22" s="458">
        <v>26</v>
      </c>
      <c r="F22" s="458">
        <v>1</v>
      </c>
      <c r="G22" s="459">
        <f t="shared" si="0"/>
        <v>84.5</v>
      </c>
      <c r="H22" s="455">
        <f t="shared" si="1"/>
        <v>0.30769999999999997</v>
      </c>
      <c r="I22" s="455">
        <f t="shared" si="2"/>
        <v>1.6799999999999999E-2</v>
      </c>
      <c r="J22" s="456">
        <f t="shared" si="3"/>
        <v>-25</v>
      </c>
      <c r="K22" s="455">
        <f t="shared" si="4"/>
        <v>0.85</v>
      </c>
      <c r="L22" s="454" t="s">
        <v>215</v>
      </c>
      <c r="M22" s="453"/>
      <c r="N22" s="452" t="s">
        <v>62</v>
      </c>
      <c r="O22" s="451">
        <f t="shared" si="5"/>
        <v>59.5</v>
      </c>
      <c r="P22" s="450">
        <f>('PTA-A20'!K90)/10</f>
        <v>74.3</v>
      </c>
      <c r="Q22" s="449">
        <f t="shared" si="6"/>
        <v>-14.799999999999997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R28"/>
  <sheetViews>
    <sheetView showGridLines="0" view="pageBreakPreview" zoomScale="60" zoomScaleNormal="100" workbookViewId="0">
      <selection activeCell="R41" sqref="R41"/>
    </sheetView>
  </sheetViews>
  <sheetFormatPr defaultRowHeight="13.5"/>
  <cols>
    <col min="1" max="1" width="14.75" customWidth="1"/>
    <col min="2" max="2" width="21.125" customWidth="1"/>
    <col min="3" max="11" width="12.875" customWidth="1"/>
    <col min="12" max="12" width="22.625" customWidth="1"/>
    <col min="13" max="13" width="2.75" customWidth="1"/>
    <col min="14" max="14" width="20.625" customWidth="1"/>
    <col min="15" max="16" width="12.875" customWidth="1"/>
    <col min="17" max="17" width="21.5" customWidth="1"/>
    <col min="18" max="18" width="22.375" customWidth="1"/>
  </cols>
  <sheetData>
    <row r="1" spans="1:18" ht="39" customHeight="1">
      <c r="A1" s="641" t="s">
        <v>416</v>
      </c>
      <c r="B1" s="475"/>
      <c r="C1" s="453"/>
      <c r="D1" s="453"/>
      <c r="E1" s="453"/>
      <c r="F1" s="453"/>
      <c r="G1" s="453"/>
      <c r="H1" s="453"/>
      <c r="I1" s="453"/>
      <c r="J1" s="706" t="s">
        <v>357</v>
      </c>
      <c r="K1" s="706"/>
      <c r="L1" s="453"/>
      <c r="M1" s="453"/>
    </row>
    <row r="2" spans="1:18" ht="40.5" customHeight="1">
      <c r="A2" s="453"/>
      <c r="B2" s="474"/>
      <c r="C2" s="630" t="s">
        <v>358</v>
      </c>
      <c r="D2" s="630" t="s">
        <v>359</v>
      </c>
      <c r="E2" s="630" t="s">
        <v>360</v>
      </c>
      <c r="F2" s="630" t="s">
        <v>361</v>
      </c>
      <c r="G2" s="630" t="s">
        <v>362</v>
      </c>
      <c r="H2" s="630" t="s">
        <v>360</v>
      </c>
      <c r="I2" s="630" t="s">
        <v>363</v>
      </c>
      <c r="J2" s="630" t="s">
        <v>364</v>
      </c>
      <c r="K2" s="630" t="s">
        <v>365</v>
      </c>
      <c r="L2" s="630" t="s">
        <v>366</v>
      </c>
      <c r="M2" s="453"/>
      <c r="N2" s="632"/>
      <c r="O2" s="632"/>
      <c r="P2" s="633"/>
      <c r="Q2" s="638" t="s">
        <v>364</v>
      </c>
      <c r="R2" s="468"/>
    </row>
    <row r="3" spans="1:18" ht="25.5" customHeight="1">
      <c r="A3" s="453"/>
      <c r="B3" s="472"/>
      <c r="C3" s="470" t="s">
        <v>90</v>
      </c>
      <c r="D3" s="470" t="s">
        <v>89</v>
      </c>
      <c r="E3" s="470" t="s">
        <v>88</v>
      </c>
      <c r="F3" s="470" t="s">
        <v>87</v>
      </c>
      <c r="G3" s="471" t="s">
        <v>86</v>
      </c>
      <c r="H3" s="631" t="s">
        <v>367</v>
      </c>
      <c r="I3" s="631" t="s">
        <v>367</v>
      </c>
      <c r="J3" s="470" t="s">
        <v>85</v>
      </c>
      <c r="K3" s="470" t="s">
        <v>84</v>
      </c>
      <c r="L3" s="470"/>
      <c r="M3" s="453"/>
      <c r="N3" s="634"/>
      <c r="O3" s="635" t="s">
        <v>368</v>
      </c>
      <c r="P3" s="635" t="s">
        <v>369</v>
      </c>
      <c r="Q3" s="639" t="s">
        <v>83</v>
      </c>
      <c r="R3" s="468"/>
    </row>
    <row r="4" spans="1:18">
      <c r="A4" s="453"/>
      <c r="B4" s="467"/>
      <c r="C4" s="466"/>
      <c r="D4" s="466"/>
      <c r="E4" s="466"/>
      <c r="F4" s="466"/>
      <c r="G4" s="466"/>
      <c r="H4" s="466" t="s">
        <v>82</v>
      </c>
      <c r="I4" s="466" t="s">
        <v>81</v>
      </c>
      <c r="J4" s="466"/>
      <c r="K4" s="466"/>
      <c r="L4" s="466"/>
      <c r="M4" s="453"/>
      <c r="N4" s="636"/>
      <c r="O4" s="636"/>
      <c r="P4" s="637"/>
      <c r="Q4" s="640" t="s">
        <v>370</v>
      </c>
    </row>
    <row r="5" spans="1:18">
      <c r="A5" s="453"/>
      <c r="B5" s="460" t="s">
        <v>79</v>
      </c>
      <c r="C5" s="459">
        <f>'ETHYLENE-A1'!Q32/10</f>
        <v>395.2</v>
      </c>
      <c r="D5" s="459">
        <f>'ETHYLENE-A1'!Q61/10</f>
        <v>335.9</v>
      </c>
      <c r="E5" s="458">
        <v>0</v>
      </c>
      <c r="F5" s="458">
        <v>0</v>
      </c>
      <c r="G5" s="459">
        <f t="shared" ref="G5:G22" si="0">D5+E5-F5</f>
        <v>335.9</v>
      </c>
      <c r="H5" s="455" t="str">
        <f t="shared" ref="H5:H22" si="1">IF(AND(E5=0,G5=0),"    -",IF(E5=0,"     0%",IF(G5=0,"     -",ROUND(E5/G5,4))))</f>
        <v xml:space="preserve">     0%</v>
      </c>
      <c r="I5" s="455" t="str">
        <f t="shared" ref="I5:I22" si="2">IF(AND(D5=0,F5=0),"    -",IF(F5=0,"     0%",IF(D5=0,"     -",ROUND(F5/D5,4))))</f>
        <v xml:space="preserve">     0%</v>
      </c>
      <c r="J5" s="456">
        <f t="shared" ref="J5:J22" si="3">D5-G5</f>
        <v>0</v>
      </c>
      <c r="K5" s="455">
        <f t="shared" ref="K5:K22" si="4">IF(AND(D5=0,C5=0),"    -",IF(C5=0,"     0%",IF(D5=0,"     -",ROUND(D5/C5,4))))</f>
        <v>0.84989999999999999</v>
      </c>
      <c r="L5" s="454" t="s">
        <v>216</v>
      </c>
      <c r="M5" s="453"/>
      <c r="N5" s="452" t="s">
        <v>79</v>
      </c>
      <c r="O5" s="451">
        <f t="shared" ref="O5:O22" si="5">D5</f>
        <v>335.9</v>
      </c>
      <c r="P5" s="450">
        <f>('ETHYLENE-A1'!Q90)/10</f>
        <v>387</v>
      </c>
      <c r="Q5" s="449">
        <f>O5-P5</f>
        <v>-51.100000000000023</v>
      </c>
      <c r="R5" s="448"/>
    </row>
    <row r="6" spans="1:18">
      <c r="A6" s="453"/>
      <c r="B6" s="460" t="s">
        <v>78</v>
      </c>
      <c r="C6" s="459">
        <f>'LDPE-A2'!Q32/10</f>
        <v>172.5</v>
      </c>
      <c r="D6" s="459">
        <f>'LDPE-A2'!Q61/10</f>
        <v>146.6</v>
      </c>
      <c r="E6" s="458">
        <v>25</v>
      </c>
      <c r="F6" s="458">
        <v>50</v>
      </c>
      <c r="G6" s="459">
        <f t="shared" si="0"/>
        <v>121.6</v>
      </c>
      <c r="H6" s="455">
        <f t="shared" si="1"/>
        <v>0.2056</v>
      </c>
      <c r="I6" s="455">
        <f t="shared" si="2"/>
        <v>0.34110000000000001</v>
      </c>
      <c r="J6" s="456">
        <f t="shared" si="3"/>
        <v>25</v>
      </c>
      <c r="K6" s="455">
        <f t="shared" si="4"/>
        <v>0.84989999999999999</v>
      </c>
      <c r="L6" s="454" t="s">
        <v>216</v>
      </c>
      <c r="M6" s="453"/>
      <c r="N6" s="452" t="s">
        <v>78</v>
      </c>
      <c r="O6" s="451">
        <f t="shared" si="5"/>
        <v>146.6</v>
      </c>
      <c r="P6" s="450">
        <f>('LDPE-A2'!Q90)/10</f>
        <v>137.9</v>
      </c>
      <c r="Q6" s="449">
        <f t="shared" ref="Q6:Q22" si="6">O6-P6</f>
        <v>8.6999999999999886</v>
      </c>
      <c r="R6" s="448"/>
    </row>
    <row r="7" spans="1:18">
      <c r="A7" s="453"/>
      <c r="B7" s="460" t="s">
        <v>76</v>
      </c>
      <c r="C7" s="459">
        <f>'HDPE-A3'!Q32/10</f>
        <v>133</v>
      </c>
      <c r="D7" s="459">
        <f>'HDPE-A3'!Q61/10</f>
        <v>113.1</v>
      </c>
      <c r="E7" s="458">
        <v>40</v>
      </c>
      <c r="F7" s="458">
        <v>20</v>
      </c>
      <c r="G7" s="459">
        <f t="shared" si="0"/>
        <v>133.1</v>
      </c>
      <c r="H7" s="455">
        <f t="shared" si="1"/>
        <v>0.30049999999999999</v>
      </c>
      <c r="I7" s="455">
        <f t="shared" si="2"/>
        <v>0.17680000000000001</v>
      </c>
      <c r="J7" s="456">
        <f t="shared" si="3"/>
        <v>-20</v>
      </c>
      <c r="K7" s="455">
        <f t="shared" si="4"/>
        <v>0.85040000000000004</v>
      </c>
      <c r="L7" s="454" t="s">
        <v>216</v>
      </c>
      <c r="M7" s="453"/>
      <c r="N7" s="452" t="s">
        <v>76</v>
      </c>
      <c r="O7" s="451">
        <f t="shared" si="5"/>
        <v>113.1</v>
      </c>
      <c r="P7" s="450">
        <f>('HDPE-A3'!Q90)/10</f>
        <v>112</v>
      </c>
      <c r="Q7" s="449">
        <f t="shared" si="6"/>
        <v>1.0999999999999943</v>
      </c>
      <c r="R7" s="448"/>
    </row>
    <row r="8" spans="1:18">
      <c r="A8" s="453"/>
      <c r="B8" s="460" t="s">
        <v>75</v>
      </c>
      <c r="C8" s="459">
        <f>'SM-A6'!Q32/10</f>
        <v>69.599999999999994</v>
      </c>
      <c r="D8" s="459">
        <f>'SM-A6'!Q61/10</f>
        <v>59.2</v>
      </c>
      <c r="E8" s="458">
        <v>20</v>
      </c>
      <c r="F8" s="458">
        <v>0</v>
      </c>
      <c r="G8" s="459">
        <f t="shared" si="0"/>
        <v>79.2</v>
      </c>
      <c r="H8" s="455">
        <f t="shared" si="1"/>
        <v>0.2525</v>
      </c>
      <c r="I8" s="455" t="str">
        <f t="shared" si="2"/>
        <v xml:space="preserve">     0%</v>
      </c>
      <c r="J8" s="456">
        <f t="shared" si="3"/>
        <v>-20</v>
      </c>
      <c r="K8" s="455">
        <f t="shared" si="4"/>
        <v>0.85060000000000002</v>
      </c>
      <c r="L8" s="454" t="s">
        <v>221</v>
      </c>
      <c r="M8" s="453"/>
      <c r="N8" s="452" t="s">
        <v>75</v>
      </c>
      <c r="O8" s="451">
        <f t="shared" si="5"/>
        <v>59.2</v>
      </c>
      <c r="P8" s="450">
        <f>('SM-A6'!Q90)/10</f>
        <v>68.5</v>
      </c>
      <c r="Q8" s="449">
        <f t="shared" si="6"/>
        <v>-9.2999999999999972</v>
      </c>
      <c r="R8" s="448"/>
    </row>
    <row r="9" spans="1:18">
      <c r="A9" s="453"/>
      <c r="B9" s="460" t="s">
        <v>74</v>
      </c>
      <c r="C9" s="459">
        <f>'EG-A10'!Q32/10</f>
        <v>29.5</v>
      </c>
      <c r="D9" s="459">
        <f>'EG-A10'!Q61/10</f>
        <v>30.6</v>
      </c>
      <c r="E9" s="458">
        <v>20</v>
      </c>
      <c r="F9" s="458">
        <v>0</v>
      </c>
      <c r="G9" s="459">
        <f t="shared" si="0"/>
        <v>50.6</v>
      </c>
      <c r="H9" s="455">
        <f t="shared" si="1"/>
        <v>0.39529999999999998</v>
      </c>
      <c r="I9" s="455" t="str">
        <f t="shared" si="2"/>
        <v xml:space="preserve">     0%</v>
      </c>
      <c r="J9" s="456">
        <f t="shared" si="3"/>
        <v>-20</v>
      </c>
      <c r="K9" s="455">
        <f t="shared" si="4"/>
        <v>1.0373000000000001</v>
      </c>
      <c r="L9" s="454" t="s">
        <v>220</v>
      </c>
      <c r="M9" s="453"/>
      <c r="N9" s="452" t="s">
        <v>74</v>
      </c>
      <c r="O9" s="451">
        <f t="shared" si="5"/>
        <v>30.6</v>
      </c>
      <c r="P9" s="450">
        <f>('EG-A10'!Q90)/10</f>
        <v>48.7</v>
      </c>
      <c r="Q9" s="449">
        <f t="shared" si="6"/>
        <v>-18.100000000000001</v>
      </c>
      <c r="R9" s="448"/>
    </row>
    <row r="10" spans="1:18">
      <c r="A10" s="453"/>
      <c r="B10" s="460" t="s">
        <v>72</v>
      </c>
      <c r="C10" s="459">
        <f>'PVC-A7'!Q32/10</f>
        <v>101</v>
      </c>
      <c r="D10" s="459">
        <f>'PVC-A7'!Q61/10</f>
        <v>71.400000000000006</v>
      </c>
      <c r="E10" s="458">
        <v>65</v>
      </c>
      <c r="F10" s="458">
        <v>0</v>
      </c>
      <c r="G10" s="459">
        <f t="shared" si="0"/>
        <v>136.4</v>
      </c>
      <c r="H10" s="455">
        <f t="shared" si="1"/>
        <v>0.47649999999999998</v>
      </c>
      <c r="I10" s="455" t="str">
        <f t="shared" si="2"/>
        <v xml:space="preserve">     0%</v>
      </c>
      <c r="J10" s="456">
        <f t="shared" si="3"/>
        <v>-65</v>
      </c>
      <c r="K10" s="455">
        <f t="shared" si="4"/>
        <v>0.70689999999999997</v>
      </c>
      <c r="L10" s="454" t="s">
        <v>219</v>
      </c>
      <c r="M10" s="453"/>
      <c r="N10" s="452" t="s">
        <v>72</v>
      </c>
      <c r="O10" s="451">
        <f t="shared" si="5"/>
        <v>71.400000000000006</v>
      </c>
      <c r="P10" s="450">
        <f>('PVC-A7'!Q90)/10</f>
        <v>113.3</v>
      </c>
      <c r="Q10" s="449">
        <f t="shared" si="6"/>
        <v>-41.899999999999991</v>
      </c>
      <c r="R10" s="448"/>
    </row>
    <row r="11" spans="1:18">
      <c r="A11" s="453"/>
      <c r="B11" s="460" t="s">
        <v>371</v>
      </c>
      <c r="C11" s="459">
        <f>'OTHER(C2)-A11'!Q32/10</f>
        <v>11</v>
      </c>
      <c r="D11" s="459">
        <f>'OTHER(C2)-A11'!Q61/10</f>
        <v>8.5</v>
      </c>
      <c r="E11" s="458">
        <v>0</v>
      </c>
      <c r="F11" s="458">
        <v>0</v>
      </c>
      <c r="G11" s="459">
        <f t="shared" si="0"/>
        <v>8.5</v>
      </c>
      <c r="H11" s="455" t="str">
        <f t="shared" si="1"/>
        <v xml:space="preserve">     0%</v>
      </c>
      <c r="I11" s="455" t="str">
        <f t="shared" si="2"/>
        <v xml:space="preserve">     0%</v>
      </c>
      <c r="J11" s="456">
        <f t="shared" si="3"/>
        <v>0</v>
      </c>
      <c r="K11" s="455">
        <f t="shared" si="4"/>
        <v>0.77270000000000005</v>
      </c>
      <c r="L11" s="454"/>
      <c r="M11" s="453"/>
      <c r="N11" s="460" t="s">
        <v>371</v>
      </c>
      <c r="O11" s="451">
        <f t="shared" si="5"/>
        <v>8.5</v>
      </c>
      <c r="P11" s="450">
        <f>('OTHER(C2)-A11'!Q90)/10</f>
        <v>9.8000000000000007</v>
      </c>
      <c r="Q11" s="449">
        <f t="shared" si="6"/>
        <v>-1.3000000000000007</v>
      </c>
      <c r="R11" s="448"/>
    </row>
    <row r="12" spans="1:18">
      <c r="A12" s="453"/>
      <c r="B12" s="460" t="s">
        <v>372</v>
      </c>
      <c r="C12" s="462">
        <f>C6*0.98+C7*1.04+C8*0.29+C9*0.66+C10*0.5+C11</f>
        <v>408.524</v>
      </c>
      <c r="D12" s="462">
        <f>D6*0.98+D7*1.04+D8*0.29+D9*0.66+D10*0.5+D11</f>
        <v>342.85599999999999</v>
      </c>
      <c r="E12" s="462">
        <f>E6*0.98+E7*1.04+E8*0.29+E9*0.66+E10*0.5</f>
        <v>117.6</v>
      </c>
      <c r="F12" s="462">
        <f>F6*0.98+F7*1.04+F8*0.29+F9*0.66+F10*0.5</f>
        <v>69.8</v>
      </c>
      <c r="G12" s="459">
        <f t="shared" si="0"/>
        <v>390.65600000000001</v>
      </c>
      <c r="H12" s="455">
        <f t="shared" si="1"/>
        <v>0.30099999999999999</v>
      </c>
      <c r="I12" s="455">
        <f t="shared" si="2"/>
        <v>0.2036</v>
      </c>
      <c r="J12" s="456">
        <f t="shared" si="3"/>
        <v>-47.800000000000011</v>
      </c>
      <c r="K12" s="455">
        <f t="shared" si="4"/>
        <v>0.83930000000000005</v>
      </c>
      <c r="L12" s="454"/>
      <c r="M12" s="453"/>
      <c r="N12" s="460" t="s">
        <v>372</v>
      </c>
      <c r="O12" s="451"/>
      <c r="P12" s="450"/>
      <c r="Q12" s="461">
        <f>Q6*0.98+Q7*1.04+Q8*0.29+Q9*0.66+Q10*0.5+Q11</f>
        <v>-27.223000000000013</v>
      </c>
      <c r="R12" s="448"/>
    </row>
    <row r="13" spans="1:18">
      <c r="A13" s="453"/>
      <c r="B13" s="460" t="s">
        <v>373</v>
      </c>
      <c r="C13" s="459">
        <f>'PROPYLENE-A12'!Q32/10</f>
        <v>279.2</v>
      </c>
      <c r="D13" s="459">
        <f>'PROPYLENE-A12'!Q61/10</f>
        <v>223.4</v>
      </c>
      <c r="E13" s="458">
        <v>0</v>
      </c>
      <c r="F13" s="458">
        <v>0</v>
      </c>
      <c r="G13" s="459">
        <f t="shared" si="0"/>
        <v>223.4</v>
      </c>
      <c r="H13" s="455" t="str">
        <f t="shared" si="1"/>
        <v xml:space="preserve">     0%</v>
      </c>
      <c r="I13" s="455" t="str">
        <f t="shared" si="2"/>
        <v xml:space="preserve">     0%</v>
      </c>
      <c r="J13" s="456">
        <f t="shared" si="3"/>
        <v>0</v>
      </c>
      <c r="K13" s="455">
        <f t="shared" si="4"/>
        <v>0.80010000000000003</v>
      </c>
      <c r="L13" s="454" t="s">
        <v>217</v>
      </c>
      <c r="M13" s="453"/>
      <c r="N13" s="460" t="s">
        <v>373</v>
      </c>
      <c r="O13" s="451">
        <f t="shared" si="5"/>
        <v>223.4</v>
      </c>
      <c r="P13" s="450">
        <f>('PROPYLENE-A12'!Q90)/10</f>
        <v>170.8</v>
      </c>
      <c r="Q13" s="449">
        <f t="shared" si="6"/>
        <v>52.599999999999994</v>
      </c>
      <c r="R13" s="448"/>
    </row>
    <row r="14" spans="1:18">
      <c r="A14" s="453"/>
      <c r="B14" s="460" t="s">
        <v>69</v>
      </c>
      <c r="C14" s="459">
        <f>'PP-A13'!Q32/10</f>
        <v>185</v>
      </c>
      <c r="D14" s="459">
        <f>'PP-A13'!Q61/10</f>
        <v>157.25</v>
      </c>
      <c r="E14" s="458">
        <v>20</v>
      </c>
      <c r="F14" s="458">
        <v>20</v>
      </c>
      <c r="G14" s="459">
        <f t="shared" si="0"/>
        <v>157.25</v>
      </c>
      <c r="H14" s="455">
        <f t="shared" si="1"/>
        <v>0.12720000000000001</v>
      </c>
      <c r="I14" s="455">
        <f t="shared" si="2"/>
        <v>0.12720000000000001</v>
      </c>
      <c r="J14" s="456">
        <f t="shared" si="3"/>
        <v>0</v>
      </c>
      <c r="K14" s="455">
        <f t="shared" si="4"/>
        <v>0.85</v>
      </c>
      <c r="L14" s="454" t="s">
        <v>216</v>
      </c>
      <c r="M14" s="453"/>
      <c r="N14" s="452" t="s">
        <v>69</v>
      </c>
      <c r="O14" s="451">
        <f t="shared" si="5"/>
        <v>157.25</v>
      </c>
      <c r="P14" s="450">
        <f>('PP-A13'!Q90)/10</f>
        <v>152.5</v>
      </c>
      <c r="Q14" s="449">
        <f t="shared" si="6"/>
        <v>4.75</v>
      </c>
      <c r="R14" s="448"/>
    </row>
    <row r="15" spans="1:18">
      <c r="A15" s="453"/>
      <c r="B15" s="460" t="s">
        <v>67</v>
      </c>
      <c r="C15" s="459">
        <f>'AN-A14'!Q32/10</f>
        <v>10</v>
      </c>
      <c r="D15" s="459">
        <f>'AN-A14'!Q61/10</f>
        <v>8.5</v>
      </c>
      <c r="E15" s="458">
        <v>1</v>
      </c>
      <c r="F15" s="458">
        <v>8</v>
      </c>
      <c r="G15" s="459">
        <f t="shared" si="0"/>
        <v>1.5</v>
      </c>
      <c r="H15" s="455">
        <f t="shared" si="1"/>
        <v>0.66669999999999996</v>
      </c>
      <c r="I15" s="455">
        <f t="shared" si="2"/>
        <v>0.94120000000000004</v>
      </c>
      <c r="J15" s="456">
        <f t="shared" si="3"/>
        <v>7</v>
      </c>
      <c r="K15" s="455">
        <f t="shared" si="4"/>
        <v>0.85</v>
      </c>
      <c r="L15" s="454" t="s">
        <v>218</v>
      </c>
      <c r="M15" s="453"/>
      <c r="N15" s="452" t="s">
        <v>67</v>
      </c>
      <c r="O15" s="451">
        <f t="shared" si="5"/>
        <v>8.5</v>
      </c>
      <c r="P15" s="450">
        <f>('AN-A14'!Q90)/10</f>
        <v>1</v>
      </c>
      <c r="Q15" s="449">
        <f t="shared" si="6"/>
        <v>7.5</v>
      </c>
      <c r="R15" s="448"/>
    </row>
    <row r="16" spans="1:18">
      <c r="A16" s="453"/>
      <c r="B16" s="460" t="s">
        <v>371</v>
      </c>
      <c r="C16" s="459">
        <f>'OTHER(C3)-A15'!Q32/10</f>
        <v>57</v>
      </c>
      <c r="D16" s="459">
        <f>'OTHER(C3)-A15'!Q61/10</f>
        <v>51</v>
      </c>
      <c r="E16" s="458">
        <v>0</v>
      </c>
      <c r="F16" s="458">
        <v>0</v>
      </c>
      <c r="G16" s="459">
        <f t="shared" si="0"/>
        <v>51</v>
      </c>
      <c r="H16" s="455" t="str">
        <f t="shared" si="1"/>
        <v xml:space="preserve">     0%</v>
      </c>
      <c r="I16" s="455" t="str">
        <f t="shared" si="2"/>
        <v xml:space="preserve">     0%</v>
      </c>
      <c r="J16" s="456">
        <f t="shared" si="3"/>
        <v>0</v>
      </c>
      <c r="K16" s="455">
        <f t="shared" si="4"/>
        <v>0.89470000000000005</v>
      </c>
      <c r="L16" s="454"/>
      <c r="M16" s="453"/>
      <c r="N16" s="460" t="s">
        <v>371</v>
      </c>
      <c r="O16" s="451">
        <f t="shared" si="5"/>
        <v>51</v>
      </c>
      <c r="P16" s="450">
        <f>('OTHER(C3)-A15'!Q90)/10</f>
        <v>48.8</v>
      </c>
      <c r="Q16" s="449">
        <f t="shared" si="6"/>
        <v>2.2000000000000028</v>
      </c>
      <c r="R16" s="448"/>
    </row>
    <row r="17" spans="1:18">
      <c r="A17" s="453"/>
      <c r="B17" s="460" t="s">
        <v>374</v>
      </c>
      <c r="C17" s="459">
        <f>C14*1.03+C15*1.09+C16</f>
        <v>258.45000000000005</v>
      </c>
      <c r="D17" s="459">
        <f>D14*1.03+D15*1.09+D16</f>
        <v>222.23250000000002</v>
      </c>
      <c r="E17" s="459">
        <f>E14*1.03+E15*1.09</f>
        <v>21.69</v>
      </c>
      <c r="F17" s="459">
        <f>F14*1.03+F15*1.09</f>
        <v>29.32</v>
      </c>
      <c r="G17" s="459">
        <f t="shared" si="0"/>
        <v>214.60250000000002</v>
      </c>
      <c r="H17" s="455">
        <f t="shared" si="1"/>
        <v>0.1011</v>
      </c>
      <c r="I17" s="455">
        <f t="shared" si="2"/>
        <v>0.13189999999999999</v>
      </c>
      <c r="J17" s="456">
        <f t="shared" si="3"/>
        <v>7.6299999999999955</v>
      </c>
      <c r="K17" s="455">
        <f t="shared" si="4"/>
        <v>0.8599</v>
      </c>
      <c r="L17" s="454"/>
      <c r="M17" s="453"/>
      <c r="N17" s="460" t="s">
        <v>374</v>
      </c>
      <c r="O17" s="451"/>
      <c r="P17" s="450"/>
      <c r="Q17" s="461">
        <f>Q14*1.03+Q15*1.09+Q16</f>
        <v>15.267500000000004</v>
      </c>
      <c r="R17" s="448"/>
    </row>
    <row r="18" spans="1:18">
      <c r="A18" s="453"/>
      <c r="B18" s="460" t="s">
        <v>375</v>
      </c>
      <c r="C18" s="459">
        <f>'BENZENE-A16'!Q32/10</f>
        <v>104.5</v>
      </c>
      <c r="D18" s="459">
        <f>'BENZENE-A16'!Q61/10</f>
        <v>83.6</v>
      </c>
      <c r="E18" s="458">
        <v>0</v>
      </c>
      <c r="F18" s="458">
        <v>20</v>
      </c>
      <c r="G18" s="459">
        <f t="shared" si="0"/>
        <v>63.599999999999994</v>
      </c>
      <c r="H18" s="455" t="str">
        <f t="shared" si="1"/>
        <v xml:space="preserve">     0%</v>
      </c>
      <c r="I18" s="455">
        <f t="shared" si="2"/>
        <v>0.2392</v>
      </c>
      <c r="J18" s="456">
        <f t="shared" si="3"/>
        <v>20</v>
      </c>
      <c r="K18" s="455">
        <f t="shared" si="4"/>
        <v>0.8</v>
      </c>
      <c r="L18" s="454" t="s">
        <v>217</v>
      </c>
      <c r="M18" s="453"/>
      <c r="N18" s="460" t="s">
        <v>375</v>
      </c>
      <c r="O18" s="451">
        <f t="shared" si="5"/>
        <v>83.6</v>
      </c>
      <c r="P18" s="450">
        <f>('BENZENE-A16'!Q90)/10</f>
        <v>71.3</v>
      </c>
      <c r="Q18" s="449">
        <f t="shared" si="6"/>
        <v>12.299999999999997</v>
      </c>
      <c r="R18" s="448"/>
    </row>
    <row r="19" spans="1:18">
      <c r="A19" s="453"/>
      <c r="B19" s="460" t="s">
        <v>376</v>
      </c>
      <c r="C19" s="459">
        <f>'TOLUENE-A17'!Q32/10</f>
        <v>60.9</v>
      </c>
      <c r="D19" s="459">
        <f>'TOLUENE-A17'!Q61/10</f>
        <v>54.8</v>
      </c>
      <c r="E19" s="458">
        <v>1</v>
      </c>
      <c r="F19" s="458">
        <v>1</v>
      </c>
      <c r="G19" s="459">
        <f t="shared" si="0"/>
        <v>54.8</v>
      </c>
      <c r="H19" s="455">
        <f t="shared" si="1"/>
        <v>1.8200000000000001E-2</v>
      </c>
      <c r="I19" s="455">
        <f t="shared" si="2"/>
        <v>1.8200000000000001E-2</v>
      </c>
      <c r="J19" s="456">
        <f t="shared" si="3"/>
        <v>0</v>
      </c>
      <c r="K19" s="455">
        <f t="shared" si="4"/>
        <v>0.89980000000000004</v>
      </c>
      <c r="L19" s="454" t="s">
        <v>217</v>
      </c>
      <c r="M19" s="453"/>
      <c r="N19" s="460" t="s">
        <v>376</v>
      </c>
      <c r="O19" s="451">
        <f t="shared" si="5"/>
        <v>54.8</v>
      </c>
      <c r="P19" s="450">
        <f>('TOLUENE-A17'!Q90)/10</f>
        <v>49.6</v>
      </c>
      <c r="Q19" s="449">
        <f t="shared" si="6"/>
        <v>5.1999999999999957</v>
      </c>
      <c r="R19" s="448"/>
    </row>
    <row r="20" spans="1:18">
      <c r="A20" s="453"/>
      <c r="B20" s="460" t="s">
        <v>377</v>
      </c>
      <c r="C20" s="459">
        <f>'XYLENES-A18'!Q32/10</f>
        <v>64.8</v>
      </c>
      <c r="D20" s="459">
        <f>'XYLENES-A18'!Q61/10</f>
        <v>61.6</v>
      </c>
      <c r="E20" s="458">
        <v>6</v>
      </c>
      <c r="F20" s="458">
        <v>0</v>
      </c>
      <c r="G20" s="459">
        <f t="shared" si="0"/>
        <v>67.599999999999994</v>
      </c>
      <c r="H20" s="455">
        <f t="shared" si="1"/>
        <v>8.8800000000000004E-2</v>
      </c>
      <c r="I20" s="455" t="str">
        <f t="shared" si="2"/>
        <v xml:space="preserve">     0%</v>
      </c>
      <c r="J20" s="456">
        <f t="shared" si="3"/>
        <v>-5.9999999999999929</v>
      </c>
      <c r="K20" s="455">
        <f t="shared" si="4"/>
        <v>0.9506</v>
      </c>
      <c r="L20" s="454" t="s">
        <v>217</v>
      </c>
      <c r="M20" s="453"/>
      <c r="N20" s="460" t="s">
        <v>377</v>
      </c>
      <c r="O20" s="451">
        <f t="shared" si="5"/>
        <v>61.6</v>
      </c>
      <c r="P20" s="450">
        <f>('XYLENES-A18'!Q90)/10</f>
        <v>65.5</v>
      </c>
      <c r="Q20" s="449">
        <f t="shared" si="6"/>
        <v>-3.8999999999999986</v>
      </c>
      <c r="R20" s="448"/>
    </row>
    <row r="21" spans="1:18">
      <c r="A21" s="453"/>
      <c r="B21" s="460" t="s">
        <v>64</v>
      </c>
      <c r="C21" s="459">
        <f>'PX-A19'!Q32/10</f>
        <v>20.5</v>
      </c>
      <c r="D21" s="459">
        <f>'PX-A19'!Q61/10</f>
        <v>18.3</v>
      </c>
      <c r="E21" s="458">
        <v>15</v>
      </c>
      <c r="F21" s="458">
        <v>2</v>
      </c>
      <c r="G21" s="459">
        <f t="shared" si="0"/>
        <v>31.299999999999997</v>
      </c>
      <c r="H21" s="455">
        <f t="shared" si="1"/>
        <v>0.47920000000000001</v>
      </c>
      <c r="I21" s="455">
        <f t="shared" si="2"/>
        <v>0.10929999999999999</v>
      </c>
      <c r="J21" s="456">
        <f t="shared" si="3"/>
        <v>-12.999999999999996</v>
      </c>
      <c r="K21" s="455">
        <f t="shared" si="4"/>
        <v>0.89270000000000005</v>
      </c>
      <c r="L21" s="454" t="s">
        <v>216</v>
      </c>
      <c r="M21" s="453"/>
      <c r="N21" s="452" t="s">
        <v>64</v>
      </c>
      <c r="O21" s="451">
        <f t="shared" si="5"/>
        <v>18.3</v>
      </c>
      <c r="P21" s="450">
        <f>('PX-A19'!Q90)/10</f>
        <v>28.8</v>
      </c>
      <c r="Q21" s="449">
        <f t="shared" si="6"/>
        <v>-10.5</v>
      </c>
      <c r="R21" s="448"/>
    </row>
    <row r="22" spans="1:18">
      <c r="A22" s="453"/>
      <c r="B22" s="460" t="s">
        <v>62</v>
      </c>
      <c r="C22" s="459">
        <f>'PTA-A20'!Q32/10</f>
        <v>70</v>
      </c>
      <c r="D22" s="459">
        <f>'PTA-A20'!Q61/10</f>
        <v>59.5</v>
      </c>
      <c r="E22" s="458">
        <v>40</v>
      </c>
      <c r="F22" s="458">
        <v>0</v>
      </c>
      <c r="G22" s="459">
        <f t="shared" si="0"/>
        <v>99.5</v>
      </c>
      <c r="H22" s="455">
        <f t="shared" si="1"/>
        <v>0.40200000000000002</v>
      </c>
      <c r="I22" s="455" t="str">
        <f t="shared" si="2"/>
        <v xml:space="preserve">     0%</v>
      </c>
      <c r="J22" s="456">
        <f t="shared" si="3"/>
        <v>-40</v>
      </c>
      <c r="K22" s="455">
        <f t="shared" si="4"/>
        <v>0.85</v>
      </c>
      <c r="L22" s="454" t="s">
        <v>215</v>
      </c>
      <c r="M22" s="453"/>
      <c r="N22" s="452" t="s">
        <v>62</v>
      </c>
      <c r="O22" s="451">
        <f t="shared" si="5"/>
        <v>59.5</v>
      </c>
      <c r="P22" s="450">
        <f>('PTA-A20'!Q90)/10</f>
        <v>84.4</v>
      </c>
      <c r="Q22" s="449">
        <f t="shared" si="6"/>
        <v>-24.900000000000006</v>
      </c>
      <c r="R22" s="448"/>
    </row>
    <row r="23" spans="1:18">
      <c r="A23" s="453"/>
      <c r="B23" s="453"/>
      <c r="C23" s="453"/>
      <c r="D23" s="453"/>
      <c r="E23" s="453"/>
      <c r="F23" s="453"/>
      <c r="G23" s="453"/>
      <c r="H23" s="453"/>
      <c r="I23" s="453"/>
      <c r="J23" s="453"/>
      <c r="K23" s="453"/>
      <c r="L23" s="453"/>
      <c r="M23" s="453"/>
    </row>
    <row r="28" spans="1:18" ht="14.25" customHeight="1"/>
  </sheetData>
  <mergeCells count="1">
    <mergeCell ref="J1:K1"/>
  </mergeCells>
  <phoneticPr fontId="6"/>
  <pageMargins left="0.70866141732283472" right="0.70866141732283472" top="1.1417322834645669" bottom="0.74803149606299213" header="0.31496062992125984" footer="0.31496062992125984"/>
  <pageSetup paperSize="9" scale="54" orientation="landscape" r:id="rId1"/>
  <headerFooter differentFirst="1">
    <firstHeader>&amp;R&amp;7&amp;U作成課：○○課
保存期間：平成○○年○○月○○日まで保存
（セット後は保存期間〇〇年）
性質/日付： 機密性○、平成○○年○○月○○日
未定稿　備考：個人文書</firstHeader>
  </headerFooter>
  <colBreaks count="1" manualBreakCount="1">
    <brk id="17" max="21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103</vt:i4>
      </vt:variant>
      <vt:variant>
        <vt:lpstr>名前付き一覧</vt:lpstr>
      </vt:variant>
      <vt:variant>
        <vt:i4>103</vt:i4>
      </vt:variant>
    </vt:vector>
  </HeadingPairs>
  <TitlesOfParts>
    <vt:vector size="206" baseType="lpstr">
      <vt:lpstr>能力・生産・需給</vt:lpstr>
      <vt:lpstr>ETHYLENE-A1</vt:lpstr>
      <vt:lpstr>LDPE-A2</vt:lpstr>
      <vt:lpstr>HDPE-A3</vt:lpstr>
      <vt:lpstr>PE-A4</vt:lpstr>
      <vt:lpstr>PS-A5</vt:lpstr>
      <vt:lpstr>SM-A6</vt:lpstr>
      <vt:lpstr>PVC-A7</vt:lpstr>
      <vt:lpstr>VCM-A8</vt:lpstr>
      <vt:lpstr>EDC-A9</vt:lpstr>
      <vt:lpstr>EG-A10</vt:lpstr>
      <vt:lpstr>OTHER(C2)-A11</vt:lpstr>
      <vt:lpstr>PROPYLENE-A12</vt:lpstr>
      <vt:lpstr>PP-A13</vt:lpstr>
      <vt:lpstr>AN-A14</vt:lpstr>
      <vt:lpstr>OTHER(C3)-A15</vt:lpstr>
      <vt:lpstr>BENZENE-A16</vt:lpstr>
      <vt:lpstr>TOLUENE-A17</vt:lpstr>
      <vt:lpstr>XYLENES-A18</vt:lpstr>
      <vt:lpstr>PX-A19</vt:lpstr>
      <vt:lpstr>PTA-A20</vt:lpstr>
      <vt:lpstr>バランス</vt:lpstr>
      <vt:lpstr>ETHYLENE-B1</vt:lpstr>
      <vt:lpstr>LDPE-B2</vt:lpstr>
      <vt:lpstr>HDPE-B3</vt:lpstr>
      <vt:lpstr>PE-B4</vt:lpstr>
      <vt:lpstr>PS-B5</vt:lpstr>
      <vt:lpstr>SM-B6</vt:lpstr>
      <vt:lpstr>PVC-B7</vt:lpstr>
      <vt:lpstr>VCM-B8</vt:lpstr>
      <vt:lpstr>EDC-B9</vt:lpstr>
      <vt:lpstr>EG-B10</vt:lpstr>
      <vt:lpstr>OTHER(C2)-B11</vt:lpstr>
      <vt:lpstr>PROPYLENE-B12</vt:lpstr>
      <vt:lpstr>PP-B13</vt:lpstr>
      <vt:lpstr>AN-B14</vt:lpstr>
      <vt:lpstr>OTHER(C3)-B15</vt:lpstr>
      <vt:lpstr>BENZENE-B16</vt:lpstr>
      <vt:lpstr>TOLUENE-B17</vt:lpstr>
      <vt:lpstr>XYLENES-B18</vt:lpstr>
      <vt:lpstr>PX-B19</vt:lpstr>
      <vt:lpstr>PTA-B20</vt:lpstr>
      <vt:lpstr>エチレン・プロピレン換算</vt:lpstr>
      <vt:lpstr>ETHYLENE-C1</vt:lpstr>
      <vt:lpstr>LDPE-C2</vt:lpstr>
      <vt:lpstr>HDPE-C3</vt:lpstr>
      <vt:lpstr>SM-C4</vt:lpstr>
      <vt:lpstr>PVC-C5</vt:lpstr>
      <vt:lpstr>EG-C6</vt:lpstr>
      <vt:lpstr>PROPYLENE-C7</vt:lpstr>
      <vt:lpstr>PP-C8</vt:lpstr>
      <vt:lpstr>AN-C9</vt:lpstr>
      <vt:lpstr>換算バランス予想</vt:lpstr>
      <vt:lpstr>ETHYLENE-D1</vt:lpstr>
      <vt:lpstr>LDPE-D2</vt:lpstr>
      <vt:lpstr>HDPE-D3</vt:lpstr>
      <vt:lpstr>SM-D4</vt:lpstr>
      <vt:lpstr>PVC-D5</vt:lpstr>
      <vt:lpstr>EG-D6</vt:lpstr>
      <vt:lpstr>PROPYLENE-D7</vt:lpstr>
      <vt:lpstr>PP-D8</vt:lpstr>
      <vt:lpstr>AN-D9</vt:lpstr>
      <vt:lpstr>稼働率-E</vt:lpstr>
      <vt:lpstr>日本17</vt:lpstr>
      <vt:lpstr>日本23</vt:lpstr>
      <vt:lpstr>中国17</vt:lpstr>
      <vt:lpstr>中国23</vt:lpstr>
      <vt:lpstr>韓国17</vt:lpstr>
      <vt:lpstr>韓国23</vt:lpstr>
      <vt:lpstr>台湾17</vt:lpstr>
      <vt:lpstr>台湾23</vt:lpstr>
      <vt:lpstr>タイ17</vt:lpstr>
      <vt:lpstr>タイ23</vt:lpstr>
      <vt:lpstr>マレーシア17</vt:lpstr>
      <vt:lpstr>マレーシア23</vt:lpstr>
      <vt:lpstr>インド17</vt:lpstr>
      <vt:lpstr>インド23</vt:lpstr>
      <vt:lpstr>フィリピン17</vt:lpstr>
      <vt:lpstr>フィリピン23</vt:lpstr>
      <vt:lpstr>ベトナム17</vt:lpstr>
      <vt:lpstr>ベトナム23</vt:lpstr>
      <vt:lpstr>オーストラリア17</vt:lpstr>
      <vt:lpstr>オーストラリア23</vt:lpstr>
      <vt:lpstr>シンガポール17</vt:lpstr>
      <vt:lpstr>シンガポール23</vt:lpstr>
      <vt:lpstr>インドネシア17</vt:lpstr>
      <vt:lpstr>インドネシア23</vt:lpstr>
      <vt:lpstr>欧州17</vt:lpstr>
      <vt:lpstr>欧州23</vt:lpstr>
      <vt:lpstr>中東17</vt:lpstr>
      <vt:lpstr>中東23</vt:lpstr>
      <vt:lpstr>アフリカ17</vt:lpstr>
      <vt:lpstr>アフリカ23</vt:lpstr>
      <vt:lpstr>CIS17</vt:lpstr>
      <vt:lpstr>CIS23</vt:lpstr>
      <vt:lpstr>米国17</vt:lpstr>
      <vt:lpstr>米国23</vt:lpstr>
      <vt:lpstr>カナダ17</vt:lpstr>
      <vt:lpstr>カナダ23</vt:lpstr>
      <vt:lpstr>メキシコ17</vt:lpstr>
      <vt:lpstr>メキシコ23</vt:lpstr>
      <vt:lpstr>ブラジル17</vt:lpstr>
      <vt:lpstr>ブラジル23</vt:lpstr>
      <vt:lpstr>'AN-A14'!Print_Area</vt:lpstr>
      <vt:lpstr>'AN-B14'!Print_Area</vt:lpstr>
      <vt:lpstr>'AN-C9'!Print_Area</vt:lpstr>
      <vt:lpstr>'AN-D9'!Print_Area</vt:lpstr>
      <vt:lpstr>'BENZENE-A16'!Print_Area</vt:lpstr>
      <vt:lpstr>'BENZENE-B16'!Print_Area</vt:lpstr>
      <vt:lpstr>'CIS17'!Print_Area</vt:lpstr>
      <vt:lpstr>'CIS23'!Print_Area</vt:lpstr>
      <vt:lpstr>'EDC-A9'!Print_Area</vt:lpstr>
      <vt:lpstr>'EDC-B9'!Print_Area</vt:lpstr>
      <vt:lpstr>'EG-A10'!Print_Area</vt:lpstr>
      <vt:lpstr>'EG-B10'!Print_Area</vt:lpstr>
      <vt:lpstr>'EG-C6'!Print_Area</vt:lpstr>
      <vt:lpstr>'EG-D6'!Print_Area</vt:lpstr>
      <vt:lpstr>'ETHYLENE-A1'!Print_Area</vt:lpstr>
      <vt:lpstr>'ETHYLENE-B1'!Print_Area</vt:lpstr>
      <vt:lpstr>'ETHYLENE-C1'!Print_Area</vt:lpstr>
      <vt:lpstr>'ETHYLENE-D1'!Print_Area</vt:lpstr>
      <vt:lpstr>'HDPE-A3'!Print_Area</vt:lpstr>
      <vt:lpstr>'HDPE-B3'!Print_Area</vt:lpstr>
      <vt:lpstr>'HDPE-C3'!Print_Area</vt:lpstr>
      <vt:lpstr>'HDPE-D3'!Print_Area</vt:lpstr>
      <vt:lpstr>'LDPE-A2'!Print_Area</vt:lpstr>
      <vt:lpstr>'LDPE-B2'!Print_Area</vt:lpstr>
      <vt:lpstr>'LDPE-C2'!Print_Area</vt:lpstr>
      <vt:lpstr>'LDPE-D2'!Print_Area</vt:lpstr>
      <vt:lpstr>'OTHER(C2)-A11'!Print_Area</vt:lpstr>
      <vt:lpstr>'OTHER(C2)-B11'!Print_Area</vt:lpstr>
      <vt:lpstr>'OTHER(C3)-A15'!Print_Area</vt:lpstr>
      <vt:lpstr>'OTHER(C3)-B15'!Print_Area</vt:lpstr>
      <vt:lpstr>'PE-A4'!Print_Area</vt:lpstr>
      <vt:lpstr>'PE-B4'!Print_Area</vt:lpstr>
      <vt:lpstr>'PP-A13'!Print_Area</vt:lpstr>
      <vt:lpstr>'PP-B13'!Print_Area</vt:lpstr>
      <vt:lpstr>'PP-C8'!Print_Area</vt:lpstr>
      <vt:lpstr>'PP-D8'!Print_Area</vt:lpstr>
      <vt:lpstr>'PROPYLENE-A12'!Print_Area</vt:lpstr>
      <vt:lpstr>'PROPYLENE-B12'!Print_Area</vt:lpstr>
      <vt:lpstr>'PROPYLENE-C7'!Print_Area</vt:lpstr>
      <vt:lpstr>'PROPYLENE-D7'!Print_Area</vt:lpstr>
      <vt:lpstr>'PS-A5'!Print_Area</vt:lpstr>
      <vt:lpstr>'PS-B5'!Print_Area</vt:lpstr>
      <vt:lpstr>'PTA-A20'!Print_Area</vt:lpstr>
      <vt:lpstr>'PTA-B20'!Print_Area</vt:lpstr>
      <vt:lpstr>'PVC-A7'!Print_Area</vt:lpstr>
      <vt:lpstr>'PVC-B7'!Print_Area</vt:lpstr>
      <vt:lpstr>'PVC-C5'!Print_Area</vt:lpstr>
      <vt:lpstr>'PVC-D5'!Print_Area</vt:lpstr>
      <vt:lpstr>'PX-A19'!Print_Area</vt:lpstr>
      <vt:lpstr>'PX-B19'!Print_Area</vt:lpstr>
      <vt:lpstr>'SM-A6'!Print_Area</vt:lpstr>
      <vt:lpstr>'SM-B6'!Print_Area</vt:lpstr>
      <vt:lpstr>'SM-C4'!Print_Area</vt:lpstr>
      <vt:lpstr>'SM-D4'!Print_Area</vt:lpstr>
      <vt:lpstr>'TOLUENE-A17'!Print_Area</vt:lpstr>
      <vt:lpstr>'TOLUENE-B17'!Print_Area</vt:lpstr>
      <vt:lpstr>'VCM-A8'!Print_Area</vt:lpstr>
      <vt:lpstr>'VCM-B8'!Print_Area</vt:lpstr>
      <vt:lpstr>'XYLENES-A18'!Print_Area</vt:lpstr>
      <vt:lpstr>'XYLENES-B18'!Print_Area</vt:lpstr>
      <vt:lpstr>アフリカ17!Print_Area</vt:lpstr>
      <vt:lpstr>アフリカ23!Print_Area</vt:lpstr>
      <vt:lpstr>インド17!Print_Area</vt:lpstr>
      <vt:lpstr>インド23!Print_Area</vt:lpstr>
      <vt:lpstr>インドネシア17!Print_Area</vt:lpstr>
      <vt:lpstr>インドネシア23!Print_Area</vt:lpstr>
      <vt:lpstr>エチレン・プロピレン換算!Print_Area</vt:lpstr>
      <vt:lpstr>オーストラリア17!Print_Area</vt:lpstr>
      <vt:lpstr>オーストラリア23!Print_Area</vt:lpstr>
      <vt:lpstr>カナダ17!Print_Area</vt:lpstr>
      <vt:lpstr>カナダ23!Print_Area</vt:lpstr>
      <vt:lpstr>シンガポール17!Print_Area</vt:lpstr>
      <vt:lpstr>シンガポール23!Print_Area</vt:lpstr>
      <vt:lpstr>タイ17!Print_Area</vt:lpstr>
      <vt:lpstr>タイ23!Print_Area</vt:lpstr>
      <vt:lpstr>バランス!Print_Area</vt:lpstr>
      <vt:lpstr>フィリピン17!Print_Area</vt:lpstr>
      <vt:lpstr>フィリピン23!Print_Area</vt:lpstr>
      <vt:lpstr>ブラジル17!Print_Area</vt:lpstr>
      <vt:lpstr>ブラジル23!Print_Area</vt:lpstr>
      <vt:lpstr>ベトナム17!Print_Area</vt:lpstr>
      <vt:lpstr>ベトナム23!Print_Area</vt:lpstr>
      <vt:lpstr>マレーシア17!Print_Area</vt:lpstr>
      <vt:lpstr>マレーシア23!Print_Area</vt:lpstr>
      <vt:lpstr>メキシコ17!Print_Area</vt:lpstr>
      <vt:lpstr>メキシコ23!Print_Area</vt:lpstr>
      <vt:lpstr>欧州17!Print_Area</vt:lpstr>
      <vt:lpstr>欧州23!Print_Area</vt:lpstr>
      <vt:lpstr>'稼働率-E'!Print_Area</vt:lpstr>
      <vt:lpstr>換算バランス予想!Print_Area</vt:lpstr>
      <vt:lpstr>韓国17!Print_Area</vt:lpstr>
      <vt:lpstr>韓国23!Print_Area</vt:lpstr>
      <vt:lpstr>台湾17!Print_Area</vt:lpstr>
      <vt:lpstr>台湾23!Print_Area</vt:lpstr>
      <vt:lpstr>中国17!Print_Area</vt:lpstr>
      <vt:lpstr>中国23!Print_Area</vt:lpstr>
      <vt:lpstr>中東17!Print_Area</vt:lpstr>
      <vt:lpstr>中東23!Print_Area</vt:lpstr>
      <vt:lpstr>日本17!Print_Area</vt:lpstr>
      <vt:lpstr>日本23!Print_Area</vt:lpstr>
      <vt:lpstr>能力・生産・需給!Print_Area</vt:lpstr>
      <vt:lpstr>米国17!Print_Area</vt:lpstr>
      <vt:lpstr>米国23!Print_Area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2015-03-19T09:42:44Z</dcterms:created>
  <dcterms:modified xsi:type="dcterms:W3CDTF">2023-03-01T09:10:15Z</dcterms:modified>
</cp:coreProperties>
</file>