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\CuaHangNongDuoc\"/>
    </mc:Choice>
  </mc:AlternateContent>
  <bookViews>
    <workbookView xWindow="0" yWindow="0" windowWidth="19200" windowHeight="7050" activeTab="1"/>
  </bookViews>
  <sheets>
    <sheet name="base" sheetId="1" r:id="rId1"/>
    <sheet name="UFP+COCOMO II" sheetId="6" r:id="rId2"/>
    <sheet name="Database" sheetId="9" r:id="rId3"/>
    <sheet name="COCOMO II" sheetId="7" state="hidden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" i="6" l="1"/>
  <c r="I104" i="6"/>
  <c r="G5" i="9"/>
  <c r="B13" i="9"/>
  <c r="A13" i="9"/>
  <c r="B7" i="9"/>
  <c r="I14" i="6"/>
  <c r="C5" i="9"/>
  <c r="B8" i="9" s="1"/>
  <c r="C13" i="9" s="1"/>
  <c r="B15" i="9" s="1"/>
  <c r="C2" i="9"/>
  <c r="I91" i="6"/>
  <c r="I88" i="6"/>
  <c r="I96" i="6"/>
  <c r="H96" i="6"/>
  <c r="I65" i="6"/>
  <c r="I39" i="6"/>
  <c r="I62" i="6"/>
  <c r="I36" i="6"/>
  <c r="I70" i="6"/>
  <c r="H70" i="6"/>
  <c r="I11" i="6"/>
  <c r="I44" i="6"/>
  <c r="H44" i="6"/>
  <c r="I19" i="6"/>
  <c r="B11" i="7"/>
  <c r="H19" i="6"/>
  <c r="B6" i="7"/>
  <c r="B3" i="7"/>
  <c r="B17" i="9" l="1"/>
  <c r="A11" i="7" l="1"/>
  <c r="E100" i="6" l="1"/>
  <c r="E99" i="6"/>
  <c r="E98" i="6"/>
  <c r="E97" i="6"/>
  <c r="D92" i="6"/>
  <c r="E92" i="6" s="1"/>
  <c r="D91" i="6"/>
  <c r="E91" i="6" s="1"/>
  <c r="D90" i="6"/>
  <c r="E90" i="6" s="1"/>
  <c r="D89" i="6"/>
  <c r="E89" i="6" s="1"/>
  <c r="E84" i="6"/>
  <c r="E83" i="6"/>
  <c r="E82" i="6"/>
  <c r="E81" i="6"/>
  <c r="E74" i="6"/>
  <c r="E73" i="6"/>
  <c r="E72" i="6"/>
  <c r="E71" i="6"/>
  <c r="D66" i="6"/>
  <c r="E66" i="6" s="1"/>
  <c r="D65" i="6"/>
  <c r="E65" i="6" s="1"/>
  <c r="D64" i="6"/>
  <c r="E64" i="6" s="1"/>
  <c r="D63" i="6"/>
  <c r="E63" i="6" s="1"/>
  <c r="D58" i="6"/>
  <c r="E58" i="6" s="1"/>
  <c r="D57" i="6"/>
  <c r="E57" i="6" s="1"/>
  <c r="D56" i="6"/>
  <c r="E56" i="6" s="1"/>
  <c r="D55" i="6"/>
  <c r="E55" i="6" s="1"/>
  <c r="E76" i="6" l="1"/>
  <c r="J56" i="6" s="1"/>
  <c r="E102" i="6"/>
  <c r="J82" i="6" s="1"/>
  <c r="E68" i="6"/>
  <c r="E94" i="6"/>
  <c r="J81" i="6" s="1"/>
  <c r="E86" i="6"/>
  <c r="E60" i="6"/>
  <c r="E49" i="6"/>
  <c r="E48" i="6"/>
  <c r="E47" i="6"/>
  <c r="E46" i="6"/>
  <c r="E45" i="6"/>
  <c r="E40" i="6"/>
  <c r="D39" i="6"/>
  <c r="E39" i="6" s="1"/>
  <c r="D38" i="6"/>
  <c r="E38" i="6" s="1"/>
  <c r="D37" i="6"/>
  <c r="E37" i="6" s="1"/>
  <c r="D32" i="6"/>
  <c r="E32" i="6" s="1"/>
  <c r="D31" i="6"/>
  <c r="E31" i="6" s="1"/>
  <c r="D30" i="6"/>
  <c r="E30" i="6" s="1"/>
  <c r="D29" i="6"/>
  <c r="E29" i="6" s="1"/>
  <c r="E23" i="6"/>
  <c r="E22" i="6"/>
  <c r="E21" i="6"/>
  <c r="E20" i="6"/>
  <c r="D15" i="6"/>
  <c r="E15" i="6" s="1"/>
  <c r="D14" i="6"/>
  <c r="E14" i="6" s="1"/>
  <c r="D13" i="6"/>
  <c r="E13" i="6" s="1"/>
  <c r="D12" i="6"/>
  <c r="E12" i="6" s="1"/>
  <c r="H16" i="1"/>
  <c r="D4" i="6"/>
  <c r="E4" i="6" s="1"/>
  <c r="D5" i="6"/>
  <c r="E5" i="6" s="1"/>
  <c r="D6" i="6"/>
  <c r="E6" i="6" s="1"/>
  <c r="D7" i="6"/>
  <c r="E7" i="6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E34" i="6" l="1"/>
  <c r="H85" i="6"/>
  <c r="I85" i="6" s="1"/>
  <c r="J55" i="6"/>
  <c r="H59" i="6" s="1"/>
  <c r="I59" i="6" s="1"/>
  <c r="I63" i="6" s="1"/>
  <c r="I64" i="6" s="1"/>
  <c r="I66" i="6" s="1"/>
  <c r="J70" i="6" s="1"/>
  <c r="I72" i="6" s="1"/>
  <c r="I74" i="6" s="1"/>
  <c r="E9" i="6"/>
  <c r="E50" i="6"/>
  <c r="J30" i="6" s="1"/>
  <c r="E42" i="6"/>
  <c r="J29" i="6" s="1"/>
  <c r="H33" i="6" s="1"/>
  <c r="E25" i="6"/>
  <c r="J5" i="6" s="1"/>
  <c r="E17" i="6"/>
  <c r="J4" i="6" s="1"/>
  <c r="H8" i="6" l="1"/>
  <c r="I8" i="6" s="1"/>
  <c r="I12" i="6" s="1"/>
  <c r="I13" i="6" s="1"/>
  <c r="I15" i="6" s="1"/>
  <c r="J19" i="6" s="1"/>
  <c r="I21" i="6" s="1"/>
  <c r="I23" i="6" s="1"/>
  <c r="I89" i="6"/>
  <c r="I90" i="6" s="1"/>
  <c r="I92" i="6" s="1"/>
  <c r="J96" i="6" s="1"/>
  <c r="I98" i="6" s="1"/>
  <c r="I100" i="6" s="1"/>
  <c r="I33" i="6"/>
  <c r="I37" i="6" s="1"/>
  <c r="I38" i="6" s="1"/>
  <c r="I40" i="6" s="1"/>
  <c r="J44" i="6" s="1"/>
  <c r="I46" i="6" s="1"/>
  <c r="I48" i="6" s="1"/>
  <c r="I105" i="6" l="1"/>
  <c r="I106" i="6" s="1"/>
  <c r="I110" i="6" s="1"/>
  <c r="B4" i="7"/>
  <c r="B5" i="7" l="1"/>
  <c r="B7" i="7" s="1"/>
  <c r="C11" i="7" s="1"/>
  <c r="B13" i="7" s="1"/>
  <c r="B15" i="7" s="1"/>
</calcChain>
</file>

<file path=xl/sharedStrings.xml><?xml version="1.0" encoding="utf-8"?>
<sst xmlns="http://schemas.openxmlformats.org/spreadsheetml/2006/main" count="409" uniqueCount="118">
  <si>
    <t>Loại chức năng</t>
  </si>
  <si>
    <t>EI</t>
  </si>
  <si>
    <t>EO</t>
  </si>
  <si>
    <t>EQ</t>
  </si>
  <si>
    <t>ILF</t>
  </si>
  <si>
    <t>EIF</t>
  </si>
  <si>
    <t>Giá trị</t>
  </si>
  <si>
    <t>Mức độ ảnh hưởng</t>
  </si>
  <si>
    <t>Loại</t>
  </si>
  <si>
    <t>Số lượng</t>
  </si>
  <si>
    <t>Độ phức tạp</t>
  </si>
  <si>
    <t>TB</t>
  </si>
  <si>
    <t>PT</t>
  </si>
  <si>
    <t>UFP(thêm mới)</t>
  </si>
  <si>
    <t>KDSI</t>
  </si>
  <si>
    <t>C#</t>
  </si>
  <si>
    <t>SQL</t>
  </si>
  <si>
    <t>Dễ cài đặt</t>
  </si>
  <si>
    <t>Dễ vận hành</t>
  </si>
  <si>
    <t>Trung bình</t>
  </si>
  <si>
    <t>Sự hiểu biết không đáng kể</t>
  </si>
  <si>
    <t>Hệ số tỉ lệ SF</t>
  </si>
  <si>
    <t>Kinh nghiệm</t>
  </si>
  <si>
    <t>Tính linh hoạt trong phát triển</t>
  </si>
  <si>
    <t>Giải quyết rủi ro</t>
  </si>
  <si>
    <t>Gắn kết nhóm</t>
  </si>
  <si>
    <t>Tính trưởng thành của quy trình</t>
  </si>
  <si>
    <t>Độ tin cậy của phần mềm</t>
  </si>
  <si>
    <t>Kích thước cơ sở dữ liệu</t>
  </si>
  <si>
    <t>Độ phức tạp của sản phẩm</t>
  </si>
  <si>
    <t>DG</t>
  </si>
  <si>
    <t>Tổng</t>
  </si>
  <si>
    <t>Ngôn ngữ</t>
  </si>
  <si>
    <t>Giao tiếp dữ liệu</t>
  </si>
  <si>
    <t>Chức năng phân tán</t>
  </si>
  <si>
    <t>Sự thực thi</t>
  </si>
  <si>
    <t>Cấu hình phụ thuộc</t>
  </si>
  <si>
    <t>Tỷ lệ giao dịch</t>
  </si>
  <si>
    <t>Nhập dữ liệu trực tuyến</t>
  </si>
  <si>
    <t>Hiệu suất của người sử dụng cuối</t>
  </si>
  <si>
    <t>Cập nhật trực tuyến</t>
  </si>
  <si>
    <t>Xử lý phức tạp</t>
  </si>
  <si>
    <t>Có thể tái sử dụng</t>
  </si>
  <si>
    <t>Đa nơi</t>
  </si>
  <si>
    <t>Thay đổi thuận tiện</t>
  </si>
  <si>
    <t>Không quan trọng</t>
  </si>
  <si>
    <t>Ít quan trọng</t>
  </si>
  <si>
    <t>Hơi quan trọng</t>
  </si>
  <si>
    <t>Quan trọng</t>
  </si>
  <si>
    <t>Rất quan trọng</t>
  </si>
  <si>
    <t>Cực kì quan trọng</t>
  </si>
  <si>
    <t>Ada 83</t>
  </si>
  <si>
    <t>Ada 95</t>
  </si>
  <si>
    <t>C</t>
  </si>
  <si>
    <t>C++</t>
  </si>
  <si>
    <t>Cobol</t>
  </si>
  <si>
    <t>Fortran 90</t>
  </si>
  <si>
    <t>Fortran 95</t>
  </si>
  <si>
    <t>Java</t>
  </si>
  <si>
    <t>Macro Assembly</t>
  </si>
  <si>
    <t>Peri</t>
  </si>
  <si>
    <t>(Pascal, Fortran 77,...)</t>
  </si>
  <si>
    <t>Smalltalk</t>
  </si>
  <si>
    <t>VB</t>
  </si>
  <si>
    <t>Giá trị phổ biến nhất</t>
  </si>
  <si>
    <t>LOC (hệ thống)</t>
  </si>
  <si>
    <t>Sự hiểu biết của phần mềm SU</t>
  </si>
  <si>
    <t>Sự hiểu biết của lập trình viên UNFM</t>
  </si>
  <si>
    <t>Ước lượng nổ lực</t>
  </si>
  <si>
    <t>E</t>
  </si>
  <si>
    <t>EM</t>
  </si>
  <si>
    <t>PM(M)</t>
  </si>
  <si>
    <t>Tài liệu phù hợp với nhu cầu của chu kỳ sống</t>
  </si>
  <si>
    <t>Ràng buộc về thời gian thực thi</t>
  </si>
  <si>
    <t>Ràng buộc về bộ nhớ chính</t>
  </si>
  <si>
    <t>Tính không ổn định của phần cứng và phần mềm</t>
  </si>
  <si>
    <t>Khả năng của nhà phân tích</t>
  </si>
  <si>
    <t>Khả năng của lập trình viên</t>
  </si>
  <si>
    <t>Tốc độ thay thế nhân công hàng năm của dự án</t>
  </si>
  <si>
    <t>Kinh nghiệm về ứng dụng</t>
  </si>
  <si>
    <t>Kinh nghiệm về phần cứng, phần mềm</t>
  </si>
  <si>
    <t>Kinh nghiệm về công cụ và ngôn ngữ</t>
  </si>
  <si>
    <t>Sử dụng các công cụ phần mềm</t>
  </si>
  <si>
    <t>Phát triển đa nơi</t>
  </si>
  <si>
    <t>Số người/ tháng</t>
  </si>
  <si>
    <t>Thành tiền</t>
  </si>
  <si>
    <t>Lương/ tháng</t>
  </si>
  <si>
    <t>Hierarchy</t>
  </si>
  <si>
    <t>Maintainability index</t>
  </si>
  <si>
    <t>Cyclomatic Complexity</t>
  </si>
  <si>
    <t>Deptof Inheritance</t>
  </si>
  <si>
    <t>Class coupling</t>
  </si>
  <si>
    <t>Line of source code</t>
  </si>
  <si>
    <t>Line of executable code</t>
  </si>
  <si>
    <t>CuahangNongduoc(Debug)</t>
  </si>
  <si>
    <t>Base code size</t>
  </si>
  <si>
    <t>UFP thô(chưa được điều chỉnh)</t>
  </si>
  <si>
    <t>UFP(Được điều chỉnh)</t>
  </si>
  <si>
    <t>UFP thô(thêm mới)</t>
  </si>
  <si>
    <t>UFP thô(hiệu chỉnh)</t>
  </si>
  <si>
    <t>UFP(hiệu chỉnh)</t>
  </si>
  <si>
    <t>Khi lập hóa đơn bán hàng cho phép nhập các dịch vụ phát sinh và chi phí vận chuyển nếu có.</t>
  </si>
  <si>
    <t>Khi lập hóa đơn bán hàng có thể nhập chiết khấu, giảm giá trên hóa đơn.</t>
  </si>
  <si>
    <t>COCOMO II</t>
  </si>
  <si>
    <t>MAF=</t>
  </si>
  <si>
    <t>SizeM=</t>
  </si>
  <si>
    <t>Base code size =</t>
  </si>
  <si>
    <t>KSDI</t>
  </si>
  <si>
    <t>size added +size modified=</t>
  </si>
  <si>
    <t>Base code size default =</t>
  </si>
  <si>
    <t>A=</t>
  </si>
  <si>
    <t>Thống kê tồn kho hàng hóa, chi phí vận chuyển, dịch vụ phụ, giảm giá, khuyến mãi, cho người dùng chọn từ</t>
  </si>
  <si>
    <t>ngày đến ngày để in thống kê báo cáo.</t>
  </si>
  <si>
    <t>Thống kê những hóa đơn bán giảm giá và khuyến mãi theo từng nhân viên đăng nhập, từ ngày đến ngày</t>
  </si>
  <si>
    <t>UFP</t>
  </si>
  <si>
    <t>KDSI(thêm mới)</t>
  </si>
  <si>
    <t>KDSI(chỉnh sửa)</t>
  </si>
  <si>
    <t>Tổng kết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</si>
</sst>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TimesNewRomanPSMT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4" fillId="0" borderId="1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0" borderId="0" xfId="0" applyFont="1"/>
    <xf numFmtId="0" fontId="4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33</xdr:row>
      <xdr:rowOff>38100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664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39</xdr:row>
      <xdr:rowOff>66675</xdr:rowOff>
    </xdr:from>
    <xdr:ext cx="65" cy="172227"/>
    <xdr:sp macro="" textlink="">
      <xdr:nvSpPr>
        <xdr:cNvPr id="3" name="TextBox 2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19</xdr:row>
      <xdr:rowOff>66675</xdr:rowOff>
    </xdr:from>
    <xdr:ext cx="65" cy="172227"/>
    <xdr:sp macro="" textlink="">
      <xdr:nvSpPr>
        <xdr:cNvPr id="2" name="TextBox 1"/>
        <xdr:cNvSpPr txBox="1"/>
      </xdr:nvSpPr>
      <xdr:spPr>
        <a:xfrm>
          <a:off x="381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38100</xdr:colOff>
      <xdr:row>44</xdr:row>
      <xdr:rowOff>66675</xdr:rowOff>
    </xdr:from>
    <xdr:ext cx="65" cy="172227"/>
    <xdr:sp macro="" textlink="">
      <xdr:nvSpPr>
        <xdr:cNvPr id="3" name="TextBox 2"/>
        <xdr:cNvSpPr txBox="1"/>
      </xdr:nvSpPr>
      <xdr:spPr>
        <a:xfrm>
          <a:off x="5334000" y="383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38100</xdr:colOff>
      <xdr:row>70</xdr:row>
      <xdr:rowOff>66675</xdr:rowOff>
    </xdr:from>
    <xdr:ext cx="65" cy="172227"/>
    <xdr:sp macro="" textlink="">
      <xdr:nvSpPr>
        <xdr:cNvPr id="4" name="TextBox 3"/>
        <xdr:cNvSpPr txBox="1"/>
      </xdr:nvSpPr>
      <xdr:spPr>
        <a:xfrm>
          <a:off x="5334000" y="8810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38100</xdr:colOff>
      <xdr:row>96</xdr:row>
      <xdr:rowOff>66675</xdr:rowOff>
    </xdr:from>
    <xdr:ext cx="65" cy="172227"/>
    <xdr:sp macro="" textlink="">
      <xdr:nvSpPr>
        <xdr:cNvPr id="7" name="TextBox 6"/>
        <xdr:cNvSpPr txBox="1"/>
      </xdr:nvSpPr>
      <xdr:spPr>
        <a:xfrm>
          <a:off x="5334000" y="1400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38100</xdr:colOff>
      <xdr:row>106</xdr:row>
      <xdr:rowOff>66675</xdr:rowOff>
    </xdr:from>
    <xdr:ext cx="65" cy="172227"/>
    <xdr:sp macro="" textlink="">
      <xdr:nvSpPr>
        <xdr:cNvPr id="9" name="TextBox 8"/>
        <xdr:cNvSpPr txBox="1"/>
      </xdr:nvSpPr>
      <xdr:spPr>
        <a:xfrm>
          <a:off x="5334000" y="1916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13</xdr:row>
      <xdr:rowOff>66675</xdr:rowOff>
    </xdr:from>
    <xdr:ext cx="65" cy="172227"/>
    <xdr:sp macro="" textlink="">
      <xdr:nvSpPr>
        <xdr:cNvPr id="3" name="TextBox 2"/>
        <xdr:cNvSpPr txBox="1"/>
      </xdr:nvSpPr>
      <xdr:spPr>
        <a:xfrm>
          <a:off x="5334000" y="383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11</xdr:row>
      <xdr:rowOff>66675</xdr:rowOff>
    </xdr:from>
    <xdr:ext cx="65" cy="172227"/>
    <xdr:sp macro="" textlink="">
      <xdr:nvSpPr>
        <xdr:cNvPr id="2" name="TextBox 1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/5.%20K&#7870;%20TO&#19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út"/>
      <sheetName val="F1"/>
      <sheetName val="F2"/>
      <sheetName val="F3"/>
      <sheetName val="CSDL"/>
    </sheetNames>
    <sheetDataSet>
      <sheetData sheetId="0">
        <row r="4">
          <cell r="H4" t="str">
            <v>EI</v>
          </cell>
          <cell r="I4">
            <v>3</v>
          </cell>
          <cell r="J4">
            <v>4</v>
          </cell>
          <cell r="K4">
            <v>6</v>
          </cell>
        </row>
        <row r="5">
          <cell r="H5" t="str">
            <v>EO</v>
          </cell>
          <cell r="I5">
            <v>4</v>
          </cell>
          <cell r="J5">
            <v>5</v>
          </cell>
          <cell r="K5">
            <v>7</v>
          </cell>
        </row>
        <row r="6">
          <cell r="H6" t="str">
            <v>EQ</v>
          </cell>
          <cell r="I6">
            <v>3</v>
          </cell>
          <cell r="J6">
            <v>4</v>
          </cell>
          <cell r="K6">
            <v>6</v>
          </cell>
        </row>
        <row r="7">
          <cell r="H7" t="str">
            <v>ILF</v>
          </cell>
          <cell r="I7">
            <v>7</v>
          </cell>
          <cell r="J7">
            <v>10</v>
          </cell>
          <cell r="K7">
            <v>15</v>
          </cell>
        </row>
        <row r="8">
          <cell r="H8" t="str">
            <v>EIF</v>
          </cell>
          <cell r="I8">
            <v>5</v>
          </cell>
          <cell r="J8">
            <v>7</v>
          </cell>
          <cell r="K8">
            <v>10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B5" zoomScale="94" workbookViewId="0">
      <selection activeCell="D34" sqref="D34"/>
    </sheetView>
  </sheetViews>
  <sheetFormatPr defaultColWidth="9.140625" defaultRowHeight="15.75"/>
  <cols>
    <col min="1" max="1" width="28.140625" style="1" customWidth="1"/>
    <col min="2" max="2" width="21.7109375" style="1" customWidth="1"/>
    <col min="3" max="4" width="28.42578125" style="1" customWidth="1"/>
    <col min="5" max="5" width="27.42578125" style="1" customWidth="1"/>
    <col min="6" max="6" width="34.42578125" style="1" bestFit="1" customWidth="1"/>
    <col min="7" max="7" width="25.140625" style="1" customWidth="1"/>
    <col min="8" max="8" width="23.5703125" style="1" customWidth="1"/>
    <col min="9" max="9" width="10" style="1" customWidth="1"/>
    <col min="10" max="10" width="43.7109375" style="1" customWidth="1"/>
    <col min="11" max="11" width="11.140625" style="1" customWidth="1"/>
    <col min="12" max="12" width="46.140625" style="1" customWidth="1"/>
    <col min="13" max="13" width="19.140625" style="1" customWidth="1"/>
    <col min="14" max="14" width="9.140625" style="1"/>
    <col min="15" max="15" width="15.85546875" style="1" customWidth="1"/>
    <col min="16" max="17" width="9.140625" style="1"/>
    <col min="18" max="18" width="12.85546875" style="1" customWidth="1"/>
    <col min="19" max="20" width="9.140625" style="1"/>
    <col min="21" max="21" width="13" style="1" customWidth="1"/>
    <col min="22" max="16384" width="9.140625" style="1"/>
  </cols>
  <sheetData>
    <row r="1" spans="1:11">
      <c r="A1" s="37" t="s">
        <v>0</v>
      </c>
      <c r="B1" s="39" t="s">
        <v>6</v>
      </c>
      <c r="C1" s="40"/>
      <c r="D1" s="41"/>
      <c r="F1" s="19" t="s">
        <v>7</v>
      </c>
      <c r="G1" s="20"/>
      <c r="H1" s="17" t="s">
        <v>6</v>
      </c>
      <c r="J1" s="9"/>
      <c r="K1" s="17" t="s">
        <v>6</v>
      </c>
    </row>
    <row r="2" spans="1:11">
      <c r="A2" s="38"/>
      <c r="B2" s="33" t="s">
        <v>30</v>
      </c>
      <c r="C2" s="33" t="s">
        <v>11</v>
      </c>
      <c r="D2" s="33" t="s">
        <v>12</v>
      </c>
      <c r="F2" s="2" t="s">
        <v>33</v>
      </c>
      <c r="G2" s="2" t="str">
        <f t="shared" ref="G2:G15" si="0">VLOOKUP(H2,$A$13:$B$18,2,0)</f>
        <v>Không quan trọng</v>
      </c>
      <c r="H2" s="3">
        <v>0</v>
      </c>
      <c r="J2" s="9" t="s">
        <v>27</v>
      </c>
      <c r="K2" s="18">
        <v>0.99</v>
      </c>
    </row>
    <row r="3" spans="1:11">
      <c r="A3" s="2" t="s">
        <v>1</v>
      </c>
      <c r="B3" s="3">
        <v>3</v>
      </c>
      <c r="C3" s="3">
        <v>4</v>
      </c>
      <c r="D3" s="3">
        <v>6</v>
      </c>
      <c r="F3" s="2" t="s">
        <v>34</v>
      </c>
      <c r="G3" s="2" t="str">
        <f t="shared" si="0"/>
        <v>Không quan trọng</v>
      </c>
      <c r="H3" s="3">
        <v>0</v>
      </c>
      <c r="J3" s="9" t="s">
        <v>28</v>
      </c>
      <c r="K3" s="18">
        <v>1.1399999999999999</v>
      </c>
    </row>
    <row r="4" spans="1:11">
      <c r="A4" s="2" t="s">
        <v>2</v>
      </c>
      <c r="B4" s="3">
        <v>4</v>
      </c>
      <c r="C4" s="3">
        <v>5</v>
      </c>
      <c r="D4" s="3">
        <v>7</v>
      </c>
      <c r="F4" s="2" t="s">
        <v>35</v>
      </c>
      <c r="G4" s="2" t="str">
        <f t="shared" si="0"/>
        <v>Không quan trọng</v>
      </c>
      <c r="H4" s="3">
        <v>0</v>
      </c>
      <c r="J4" s="9" t="s">
        <v>29</v>
      </c>
      <c r="K4" s="18">
        <v>1.74</v>
      </c>
    </row>
    <row r="5" spans="1:11">
      <c r="A5" s="2" t="s">
        <v>3</v>
      </c>
      <c r="B5" s="3">
        <v>3</v>
      </c>
      <c r="C5" s="3">
        <v>4</v>
      </c>
      <c r="D5" s="3">
        <v>6</v>
      </c>
      <c r="F5" s="2" t="s">
        <v>36</v>
      </c>
      <c r="G5" s="2" t="str">
        <f t="shared" si="0"/>
        <v>Không quan trọng</v>
      </c>
      <c r="H5" s="3">
        <v>0</v>
      </c>
      <c r="J5" s="9" t="s">
        <v>72</v>
      </c>
      <c r="K5" s="18">
        <v>1</v>
      </c>
    </row>
    <row r="6" spans="1:11">
      <c r="A6" s="2" t="s">
        <v>4</v>
      </c>
      <c r="B6" s="3">
        <v>7</v>
      </c>
      <c r="C6" s="3">
        <v>10</v>
      </c>
      <c r="D6" s="3">
        <v>15</v>
      </c>
      <c r="F6" s="2" t="s">
        <v>37</v>
      </c>
      <c r="G6" s="2" t="str">
        <f t="shared" si="0"/>
        <v>Không quan trọng</v>
      </c>
      <c r="H6" s="3">
        <v>0</v>
      </c>
      <c r="J6" s="9" t="s">
        <v>73</v>
      </c>
      <c r="K6" s="18">
        <v>1</v>
      </c>
    </row>
    <row r="7" spans="1:11">
      <c r="A7" s="2" t="s">
        <v>5</v>
      </c>
      <c r="B7" s="3">
        <v>5</v>
      </c>
      <c r="C7" s="3">
        <v>7</v>
      </c>
      <c r="D7" s="3">
        <v>10</v>
      </c>
      <c r="F7" s="2" t="s">
        <v>38</v>
      </c>
      <c r="G7" s="2" t="str">
        <f t="shared" si="0"/>
        <v>Không quan trọng</v>
      </c>
      <c r="H7" s="3">
        <v>0</v>
      </c>
      <c r="J7" s="9" t="s">
        <v>74</v>
      </c>
      <c r="K7" s="18">
        <v>1</v>
      </c>
    </row>
    <row r="8" spans="1:11">
      <c r="F8" s="2" t="s">
        <v>39</v>
      </c>
      <c r="G8" s="2" t="str">
        <f t="shared" si="0"/>
        <v>Không quan trọng</v>
      </c>
      <c r="H8" s="3">
        <v>0</v>
      </c>
      <c r="J8" s="9" t="s">
        <v>75</v>
      </c>
      <c r="K8" s="18">
        <v>1</v>
      </c>
    </row>
    <row r="9" spans="1:11">
      <c r="F9" s="7" t="s">
        <v>40</v>
      </c>
      <c r="G9" s="2" t="str">
        <f t="shared" si="0"/>
        <v>Không quan trọng</v>
      </c>
      <c r="H9" s="3">
        <v>0</v>
      </c>
      <c r="J9" s="9" t="s">
        <v>76</v>
      </c>
      <c r="K9" s="18">
        <v>1</v>
      </c>
    </row>
    <row r="10" spans="1:11">
      <c r="F10" s="2" t="s">
        <v>41</v>
      </c>
      <c r="G10" s="2" t="str">
        <f t="shared" si="0"/>
        <v>Không quan trọng</v>
      </c>
      <c r="H10" s="3">
        <v>0</v>
      </c>
      <c r="J10" s="9" t="s">
        <v>77</v>
      </c>
      <c r="K10" s="18">
        <v>1</v>
      </c>
    </row>
    <row r="11" spans="1:11">
      <c r="A11" s="39" t="s">
        <v>7</v>
      </c>
      <c r="B11" s="40"/>
      <c r="C11" s="41"/>
      <c r="F11" s="2" t="s">
        <v>42</v>
      </c>
      <c r="G11" s="2" t="str">
        <f t="shared" si="0"/>
        <v>Không quan trọng</v>
      </c>
      <c r="H11" s="3">
        <v>0</v>
      </c>
      <c r="J11" s="9" t="s">
        <v>78</v>
      </c>
      <c r="K11" s="18">
        <v>1</v>
      </c>
    </row>
    <row r="12" spans="1:11">
      <c r="A12" s="17" t="s">
        <v>6</v>
      </c>
      <c r="B12" s="42"/>
      <c r="C12" s="43"/>
      <c r="F12" s="6" t="s">
        <v>17</v>
      </c>
      <c r="G12" s="2" t="str">
        <f t="shared" si="0"/>
        <v>Rất quan trọng</v>
      </c>
      <c r="H12" s="18">
        <v>4</v>
      </c>
      <c r="J12" s="9" t="s">
        <v>79</v>
      </c>
      <c r="K12" s="18">
        <v>1</v>
      </c>
    </row>
    <row r="13" spans="1:11">
      <c r="A13" s="3">
        <v>0</v>
      </c>
      <c r="B13" s="35" t="s">
        <v>45</v>
      </c>
      <c r="C13" s="36"/>
      <c r="F13" s="6" t="s">
        <v>18</v>
      </c>
      <c r="G13" s="2" t="str">
        <f t="shared" si="0"/>
        <v>Rất quan trọng</v>
      </c>
      <c r="H13" s="18">
        <v>4</v>
      </c>
      <c r="J13" s="9" t="s">
        <v>80</v>
      </c>
      <c r="K13" s="18">
        <v>1</v>
      </c>
    </row>
    <row r="14" spans="1:11">
      <c r="A14" s="3">
        <v>1</v>
      </c>
      <c r="B14" s="35" t="s">
        <v>46</v>
      </c>
      <c r="C14" s="36"/>
      <c r="F14" s="2" t="s">
        <v>43</v>
      </c>
      <c r="G14" s="2" t="str">
        <f t="shared" si="0"/>
        <v>Không quan trọng</v>
      </c>
      <c r="H14" s="3">
        <v>0</v>
      </c>
      <c r="J14" s="9" t="s">
        <v>81</v>
      </c>
      <c r="K14" s="18">
        <v>1</v>
      </c>
    </row>
    <row r="15" spans="1:11">
      <c r="A15" s="3">
        <v>2</v>
      </c>
      <c r="B15" s="35" t="s">
        <v>47</v>
      </c>
      <c r="C15" s="36"/>
      <c r="F15" s="2" t="s">
        <v>44</v>
      </c>
      <c r="G15" s="2" t="str">
        <f t="shared" si="0"/>
        <v>Không quan trọng</v>
      </c>
      <c r="H15" s="3">
        <v>0</v>
      </c>
      <c r="J15" s="9" t="s">
        <v>82</v>
      </c>
      <c r="K15" s="18">
        <v>1</v>
      </c>
    </row>
    <row r="16" spans="1:11">
      <c r="A16" s="3">
        <v>3</v>
      </c>
      <c r="B16" s="35" t="s">
        <v>48</v>
      </c>
      <c r="C16" s="36"/>
      <c r="F16" s="35" t="s">
        <v>31</v>
      </c>
      <c r="G16" s="36"/>
      <c r="H16" s="2">
        <f>SUM(H2:H15)</f>
        <v>8</v>
      </c>
      <c r="J16" s="9" t="s">
        <v>83</v>
      </c>
      <c r="K16" s="18">
        <v>1</v>
      </c>
    </row>
    <row r="17" spans="1:10">
      <c r="A17" s="3">
        <v>4</v>
      </c>
      <c r="B17" s="35" t="s">
        <v>49</v>
      </c>
      <c r="C17" s="36"/>
    </row>
    <row r="18" spans="1:10" ht="16.5" customHeight="1">
      <c r="A18" s="3">
        <v>5</v>
      </c>
      <c r="B18" s="35" t="s">
        <v>50</v>
      </c>
      <c r="C18" s="36"/>
    </row>
    <row r="19" spans="1:10">
      <c r="A19" s="4"/>
      <c r="B19" s="4"/>
      <c r="C19" s="4"/>
    </row>
    <row r="20" spans="1:10">
      <c r="A20" s="16" t="s">
        <v>32</v>
      </c>
      <c r="B20" s="23" t="s">
        <v>64</v>
      </c>
      <c r="C20" s="21"/>
    </row>
    <row r="21" spans="1:10">
      <c r="A21" s="9" t="s">
        <v>51</v>
      </c>
      <c r="B21" s="24">
        <v>80</v>
      </c>
      <c r="C21" s="22"/>
      <c r="E21" s="58" t="s">
        <v>67</v>
      </c>
      <c r="F21" s="59"/>
      <c r="G21" s="60"/>
      <c r="I21" s="58" t="s">
        <v>66</v>
      </c>
      <c r="J21" s="60"/>
    </row>
    <row r="22" spans="1:10">
      <c r="A22" s="9" t="s">
        <v>52</v>
      </c>
      <c r="B22" s="24">
        <v>50</v>
      </c>
      <c r="C22" s="22"/>
      <c r="E22" s="42"/>
      <c r="F22" s="43"/>
      <c r="G22" s="17" t="s">
        <v>6</v>
      </c>
      <c r="I22" s="6"/>
      <c r="J22" s="17" t="s">
        <v>6</v>
      </c>
    </row>
    <row r="23" spans="1:10">
      <c r="A23" s="9" t="s">
        <v>53</v>
      </c>
      <c r="B23" s="24">
        <v>128</v>
      </c>
      <c r="C23" s="22"/>
      <c r="E23" s="61" t="s">
        <v>20</v>
      </c>
      <c r="F23" s="62"/>
      <c r="G23" s="18">
        <v>0.6</v>
      </c>
      <c r="I23" s="18" t="s">
        <v>19</v>
      </c>
      <c r="J23" s="18">
        <v>30</v>
      </c>
    </row>
    <row r="24" spans="1:10">
      <c r="A24" s="25" t="s">
        <v>15</v>
      </c>
      <c r="B24" s="23">
        <v>55</v>
      </c>
      <c r="C24" s="22"/>
    </row>
    <row r="25" spans="1:10">
      <c r="A25" s="9" t="s">
        <v>54</v>
      </c>
      <c r="B25" s="24">
        <v>55</v>
      </c>
      <c r="C25" s="22"/>
    </row>
    <row r="26" spans="1:10">
      <c r="A26" s="9" t="s">
        <v>55</v>
      </c>
      <c r="B26" s="24">
        <v>107</v>
      </c>
      <c r="C26" s="22"/>
      <c r="E26" s="58" t="s">
        <v>21</v>
      </c>
      <c r="F26" s="59"/>
      <c r="G26" s="60"/>
    </row>
    <row r="27" spans="1:10">
      <c r="A27" s="9" t="s">
        <v>56</v>
      </c>
      <c r="B27" s="24">
        <v>80</v>
      </c>
      <c r="C27" s="22"/>
      <c r="E27" s="42"/>
      <c r="F27" s="43"/>
      <c r="G27" s="17" t="s">
        <v>6</v>
      </c>
    </row>
    <row r="28" spans="1:10">
      <c r="A28" s="9" t="s">
        <v>57</v>
      </c>
      <c r="B28" s="24">
        <v>71</v>
      </c>
      <c r="C28" s="22"/>
      <c r="E28" s="61" t="s">
        <v>22</v>
      </c>
      <c r="F28" s="62"/>
      <c r="G28" s="18">
        <v>3.72</v>
      </c>
    </row>
    <row r="29" spans="1:10">
      <c r="A29" s="9" t="s">
        <v>58</v>
      </c>
      <c r="B29" s="24">
        <v>55</v>
      </c>
      <c r="C29" s="22"/>
      <c r="E29" s="61" t="s">
        <v>23</v>
      </c>
      <c r="F29" s="62"/>
      <c r="G29" s="18">
        <v>3.04</v>
      </c>
    </row>
    <row r="30" spans="1:10">
      <c r="A30" s="9" t="s">
        <v>59</v>
      </c>
      <c r="B30" s="24">
        <v>213</v>
      </c>
      <c r="C30" s="22"/>
      <c r="E30" s="61" t="s">
        <v>24</v>
      </c>
      <c r="F30" s="62"/>
      <c r="G30" s="18">
        <v>4.24</v>
      </c>
    </row>
    <row r="31" spans="1:10">
      <c r="A31" s="9" t="s">
        <v>60</v>
      </c>
      <c r="B31" s="24">
        <v>20</v>
      </c>
      <c r="C31" s="22"/>
      <c r="E31" s="61" t="s">
        <v>25</v>
      </c>
      <c r="F31" s="62"/>
      <c r="G31" s="18">
        <v>2.19</v>
      </c>
    </row>
    <row r="32" spans="1:10">
      <c r="A32" s="9" t="s">
        <v>61</v>
      </c>
      <c r="B32" s="24">
        <v>107</v>
      </c>
      <c r="C32" s="22"/>
      <c r="E32" s="61" t="s">
        <v>26</v>
      </c>
      <c r="F32" s="62"/>
      <c r="G32" s="18">
        <v>4.68</v>
      </c>
    </row>
    <row r="33" spans="1:16">
      <c r="A33" s="9" t="s">
        <v>62</v>
      </c>
      <c r="B33" s="24">
        <v>20</v>
      </c>
      <c r="C33" s="22"/>
    </row>
    <row r="34" spans="1:16">
      <c r="A34" s="9" t="s">
        <v>16</v>
      </c>
      <c r="B34" s="24">
        <v>13</v>
      </c>
      <c r="C34" s="22"/>
    </row>
    <row r="35" spans="1:16">
      <c r="A35" s="9" t="s">
        <v>63</v>
      </c>
      <c r="B35" s="24">
        <v>32</v>
      </c>
      <c r="C35" s="22"/>
    </row>
    <row r="36" spans="1:16">
      <c r="J36" s="12"/>
      <c r="K36" s="10"/>
      <c r="L36" s="10"/>
      <c r="M36" s="10"/>
      <c r="N36" s="10"/>
      <c r="O36" s="10"/>
      <c r="P36" s="10"/>
    </row>
    <row r="37" spans="1:16">
      <c r="I37" s="10"/>
      <c r="L37" s="10"/>
      <c r="M37" s="10"/>
    </row>
    <row r="38" spans="1:16">
      <c r="A38" s="34" t="s">
        <v>95</v>
      </c>
      <c r="B38" s="34"/>
      <c r="C38" s="34"/>
      <c r="D38" s="34"/>
      <c r="E38" s="34"/>
      <c r="F38" s="34"/>
      <c r="G38" s="34"/>
      <c r="I38" s="4"/>
      <c r="L38" s="11"/>
      <c r="M38" s="11"/>
    </row>
    <row r="39" spans="1:16" ht="33">
      <c r="A39" s="26" t="s">
        <v>87</v>
      </c>
      <c r="B39" s="27" t="s">
        <v>88</v>
      </c>
      <c r="C39" s="27" t="s">
        <v>89</v>
      </c>
      <c r="D39" s="27" t="s">
        <v>90</v>
      </c>
      <c r="E39" s="27" t="s">
        <v>91</v>
      </c>
      <c r="F39" s="27" t="s">
        <v>92</v>
      </c>
      <c r="G39" s="27" t="s">
        <v>93</v>
      </c>
      <c r="I39" s="4"/>
      <c r="L39" s="11"/>
      <c r="M39" s="11"/>
    </row>
    <row r="40" spans="1:16" ht="16.5">
      <c r="A40" s="27" t="s">
        <v>94</v>
      </c>
      <c r="B40" s="28">
        <v>68</v>
      </c>
      <c r="C40" s="27">
        <v>1022</v>
      </c>
      <c r="D40" s="27">
        <v>7</v>
      </c>
      <c r="E40" s="27">
        <v>227</v>
      </c>
      <c r="F40" s="29">
        <v>16564</v>
      </c>
      <c r="G40" s="27">
        <v>8051</v>
      </c>
      <c r="I40" s="11"/>
      <c r="L40" s="11"/>
      <c r="M40" s="4"/>
    </row>
    <row r="41" spans="1:16">
      <c r="I41" s="11"/>
      <c r="L41" s="11"/>
      <c r="M41" s="11"/>
    </row>
    <row r="42" spans="1:16">
      <c r="I42" s="11"/>
      <c r="L42" s="11"/>
      <c r="M42" s="11"/>
    </row>
    <row r="43" spans="1:16">
      <c r="I43" s="11"/>
      <c r="L43" s="11"/>
      <c r="M43" s="11"/>
    </row>
    <row r="44" spans="1:16">
      <c r="I44" s="11"/>
      <c r="L44" s="11"/>
      <c r="M44" s="11"/>
    </row>
    <row r="45" spans="1:16">
      <c r="I45" s="11"/>
      <c r="L45" s="11"/>
      <c r="M45" s="11"/>
    </row>
    <row r="46" spans="1:16">
      <c r="I46" s="11"/>
      <c r="L46" s="11"/>
      <c r="M46" s="11"/>
    </row>
    <row r="47" spans="1:16">
      <c r="I47" s="11"/>
      <c r="L47" s="11"/>
      <c r="M47" s="11"/>
    </row>
    <row r="48" spans="1:16">
      <c r="I48" s="11"/>
      <c r="L48" s="11"/>
      <c r="M48" s="11"/>
    </row>
    <row r="49" spans="9:13">
      <c r="I49" s="11"/>
      <c r="L49" s="11"/>
      <c r="M49" s="11"/>
    </row>
    <row r="50" spans="9:13">
      <c r="I50" s="11"/>
      <c r="L50" s="11"/>
      <c r="M50" s="11"/>
    </row>
    <row r="51" spans="9:13">
      <c r="I51" s="11"/>
      <c r="L51" s="11"/>
      <c r="M51" s="11"/>
    </row>
    <row r="52" spans="9:13">
      <c r="I52" s="11"/>
      <c r="L52" s="11"/>
      <c r="M52" s="11"/>
    </row>
  </sheetData>
  <mergeCells count="17">
    <mergeCell ref="A1:A2"/>
    <mergeCell ref="A11:C11"/>
    <mergeCell ref="B12:C12"/>
    <mergeCell ref="B13:C13"/>
    <mergeCell ref="I21:J21"/>
    <mergeCell ref="B14:C14"/>
    <mergeCell ref="B15:C15"/>
    <mergeCell ref="B16:C16"/>
    <mergeCell ref="B17:C17"/>
    <mergeCell ref="B1:D1"/>
    <mergeCell ref="A38:G38"/>
    <mergeCell ref="F16:G16"/>
    <mergeCell ref="B18:C18"/>
    <mergeCell ref="E22:F22"/>
    <mergeCell ref="E21:G21"/>
    <mergeCell ref="E27:F27"/>
    <mergeCell ref="E26:G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97" workbookViewId="0">
      <selection activeCell="I111" sqref="I111"/>
    </sheetView>
  </sheetViews>
  <sheetFormatPr defaultRowHeight="15"/>
  <cols>
    <col min="1" max="1" width="10.42578125" style="50" bestFit="1" customWidth="1"/>
    <col min="2" max="2" width="18.85546875" style="50" customWidth="1"/>
    <col min="3" max="3" width="12.7109375" style="50" bestFit="1" customWidth="1"/>
    <col min="4" max="4" width="7.140625" style="50" bestFit="1" customWidth="1"/>
    <col min="5" max="5" width="5.85546875" style="50" bestFit="1" customWidth="1"/>
    <col min="6" max="6" width="9.140625" style="50"/>
    <col min="7" max="7" width="15.28515625" style="50" customWidth="1"/>
    <col min="8" max="8" width="26" style="50" customWidth="1"/>
    <col min="9" max="9" width="12.140625" style="50" customWidth="1"/>
    <col min="10" max="16384" width="9.140625" style="50"/>
  </cols>
  <sheetData>
    <row r="1" spans="1:11">
      <c r="A1" s="52" t="s">
        <v>114</v>
      </c>
      <c r="B1" s="52"/>
      <c r="C1" s="52"/>
      <c r="D1" s="52"/>
      <c r="E1" s="52"/>
    </row>
    <row r="2" spans="1:11">
      <c r="A2" s="53" t="s">
        <v>101</v>
      </c>
    </row>
    <row r="3" spans="1:11" ht="15.75">
      <c r="A3" s="46" t="s">
        <v>8</v>
      </c>
      <c r="B3" s="46" t="s">
        <v>9</v>
      </c>
      <c r="C3" s="46" t="s">
        <v>10</v>
      </c>
      <c r="D3" s="46" t="s">
        <v>6</v>
      </c>
      <c r="E3" s="46" t="s">
        <v>31</v>
      </c>
      <c r="G3" s="63" t="s">
        <v>97</v>
      </c>
      <c r="H3" s="64"/>
      <c r="I3" s="64"/>
      <c r="J3" s="64"/>
      <c r="K3" s="65"/>
    </row>
    <row r="4" spans="1:11" ht="15.75">
      <c r="A4" s="47" t="s">
        <v>1</v>
      </c>
      <c r="B4" s="3">
        <v>11</v>
      </c>
      <c r="C4" s="3" t="s">
        <v>30</v>
      </c>
      <c r="D4" s="3">
        <f>IF(C4="DG",VLOOKUP(A4,[1]nút!$H$4:$K$8,2,0),IF(C4="TB",VLOOKUP(A4,[1]nút!$H$4:$K$8,3,0),VLOOKUP(A4,[1]nút!$H$4:$K$8,4,0)))</f>
        <v>3</v>
      </c>
      <c r="E4" s="3">
        <f>B4*D4</f>
        <v>33</v>
      </c>
      <c r="G4" s="66" t="s">
        <v>13</v>
      </c>
      <c r="H4" s="66"/>
      <c r="I4" s="66"/>
      <c r="J4" s="55">
        <f>E17*(0.65+0.01*base!H16)</f>
        <v>13.14</v>
      </c>
      <c r="K4" s="56"/>
    </row>
    <row r="5" spans="1:11" ht="15.75">
      <c r="A5" s="47" t="s">
        <v>2</v>
      </c>
      <c r="B5" s="3">
        <v>6</v>
      </c>
      <c r="C5" s="3" t="s">
        <v>30</v>
      </c>
      <c r="D5" s="3">
        <f>IF(C5="DG",VLOOKUP(A5,[1]nút!$H$4:$K$8,2,0),IF(C5="TB",VLOOKUP(A5,[1]nút!$H$4:$K$8,3,0),VLOOKUP(A5,[1]nút!$H$4:$K$8,4,0)))</f>
        <v>4</v>
      </c>
      <c r="E5" s="3">
        <f t="shared" ref="E5:E6" si="0">B5*D5</f>
        <v>24</v>
      </c>
      <c r="G5" s="66" t="s">
        <v>100</v>
      </c>
      <c r="H5" s="66"/>
      <c r="I5" s="66"/>
      <c r="J5" s="54">
        <f>E25*(0.65+0.01*base!H16)</f>
        <v>0</v>
      </c>
      <c r="K5" s="54"/>
    </row>
    <row r="6" spans="1:11" ht="15.75">
      <c r="A6" s="47" t="s">
        <v>3</v>
      </c>
      <c r="B6" s="3">
        <v>5</v>
      </c>
      <c r="C6" s="3" t="s">
        <v>30</v>
      </c>
      <c r="D6" s="3">
        <f>IF(C6="DG",VLOOKUP(A6,[1]nút!$H$4:$K$8,2,0),IF(C6="TB",VLOOKUP(A6,[1]nút!$H$4:$K$8,3,0),VLOOKUP(A6,[1]nút!$H$4:$K$8,4,0)))</f>
        <v>3</v>
      </c>
      <c r="E6" s="3">
        <f t="shared" si="0"/>
        <v>15</v>
      </c>
    </row>
    <row r="7" spans="1:11" ht="15.75">
      <c r="A7" s="47" t="s">
        <v>4</v>
      </c>
      <c r="B7" s="3">
        <v>1</v>
      </c>
      <c r="C7" s="3" t="s">
        <v>30</v>
      </c>
      <c r="D7" s="3">
        <f>IF(C7="DG",VLOOKUP(A7,[1]nút!$H$4:$K$8,2,0),IF(C7="TB",VLOOKUP(A7,[1]nút!$H$4:$K$8,3,0),VLOOKUP(A7,[1]nút!$H$4:$K$8,4,0)))</f>
        <v>7</v>
      </c>
      <c r="E7" s="3">
        <f>B7*D7</f>
        <v>7</v>
      </c>
      <c r="G7" s="33" t="s">
        <v>32</v>
      </c>
      <c r="H7" s="31" t="s">
        <v>65</v>
      </c>
      <c r="I7" s="33" t="s">
        <v>14</v>
      </c>
    </row>
    <row r="8" spans="1:11" ht="15.75">
      <c r="A8" s="47" t="s">
        <v>5</v>
      </c>
      <c r="B8" s="3">
        <v>0</v>
      </c>
      <c r="C8" s="3"/>
      <c r="D8" s="3"/>
      <c r="E8" s="3">
        <v>0</v>
      </c>
      <c r="G8" s="8" t="s">
        <v>15</v>
      </c>
      <c r="H8" s="3">
        <f>SUM(J4:K5)*55</f>
        <v>722.7</v>
      </c>
      <c r="I8" s="32">
        <f>H8/1000</f>
        <v>0.72270000000000001</v>
      </c>
    </row>
    <row r="9" spans="1:11" ht="15.75">
      <c r="A9" s="39" t="s">
        <v>96</v>
      </c>
      <c r="B9" s="40"/>
      <c r="C9" s="40"/>
      <c r="D9" s="41"/>
      <c r="E9" s="3">
        <f>SUM(E4:E8)</f>
        <v>79</v>
      </c>
    </row>
    <row r="11" spans="1:11" ht="15.75">
      <c r="A11" s="46" t="s">
        <v>8</v>
      </c>
      <c r="B11" s="46" t="s">
        <v>9</v>
      </c>
      <c r="C11" s="46" t="s">
        <v>10</v>
      </c>
      <c r="D11" s="46" t="s">
        <v>6</v>
      </c>
      <c r="E11" s="46" t="s">
        <v>31</v>
      </c>
      <c r="G11" s="45" t="s">
        <v>103</v>
      </c>
      <c r="H11" s="50" t="s">
        <v>109</v>
      </c>
      <c r="I11" s="50">
        <f>base!F40/1000</f>
        <v>16.564</v>
      </c>
      <c r="J11" s="50" t="s">
        <v>107</v>
      </c>
    </row>
    <row r="12" spans="1:11" ht="15.75">
      <c r="A12" s="47" t="s">
        <v>1</v>
      </c>
      <c r="B12" s="3">
        <v>0</v>
      </c>
      <c r="C12" s="3" t="s">
        <v>30</v>
      </c>
      <c r="D12" s="3">
        <f>IF(C12="DG",VLOOKUP(A12,[1]nút!$H$4:$K$8,2,0),IF(C12="TB",VLOOKUP(A12,[1]nút!$H$4:$K$8,3,0),VLOOKUP(A12,[1]nút!$H$4:$K$8,4,0)))</f>
        <v>3</v>
      </c>
      <c r="E12" s="3">
        <f>B12*D12</f>
        <v>0</v>
      </c>
      <c r="H12" s="50" t="s">
        <v>106</v>
      </c>
      <c r="I12" s="50">
        <f>I11+I8</f>
        <v>17.2867</v>
      </c>
      <c r="J12" s="50" t="s">
        <v>107</v>
      </c>
    </row>
    <row r="13" spans="1:11" ht="15.75">
      <c r="A13" s="47" t="s">
        <v>2</v>
      </c>
      <c r="B13" s="3">
        <v>2</v>
      </c>
      <c r="C13" s="3" t="s">
        <v>30</v>
      </c>
      <c r="D13" s="3">
        <f>IF(C13="DG",VLOOKUP(A13,[1]nút!$H$4:$K$8,2,0),IF(C13="TB",VLOOKUP(A13,[1]nút!$H$4:$K$8,3,0),VLOOKUP(A13,[1]nút!$H$4:$K$8,4,0)))</f>
        <v>4</v>
      </c>
      <c r="E13" s="3">
        <f t="shared" ref="E13:E14" si="1">B13*D13</f>
        <v>8</v>
      </c>
      <c r="H13" s="50" t="s">
        <v>108</v>
      </c>
      <c r="I13" s="50">
        <f>I12-I11</f>
        <v>0.72269999999999968</v>
      </c>
      <c r="J13" s="50" t="s">
        <v>107</v>
      </c>
    </row>
    <row r="14" spans="1:11" ht="15.75">
      <c r="A14" s="47" t="s">
        <v>3</v>
      </c>
      <c r="B14" s="3">
        <v>1</v>
      </c>
      <c r="C14" s="3" t="s">
        <v>30</v>
      </c>
      <c r="D14" s="3">
        <f>IF(C14="DG",VLOOKUP(A14,[1]nút!$H$4:$K$8,2,0),IF(C14="TB",VLOOKUP(A14,[1]nút!$H$4:$K$8,3,0),VLOOKUP(A14,[1]nút!$H$4:$K$8,4,0)))</f>
        <v>3</v>
      </c>
      <c r="E14" s="3">
        <f t="shared" si="1"/>
        <v>3</v>
      </c>
      <c r="H14" s="50" t="s">
        <v>104</v>
      </c>
      <c r="I14" s="50">
        <f>1+(base!J23/100*base!G23)</f>
        <v>1.18</v>
      </c>
    </row>
    <row r="15" spans="1:11" ht="15.75">
      <c r="A15" s="47" t="s">
        <v>4</v>
      </c>
      <c r="B15" s="3">
        <v>1</v>
      </c>
      <c r="C15" s="3" t="s">
        <v>30</v>
      </c>
      <c r="D15" s="3">
        <f>IF(C15="DG",VLOOKUP(A15,[1]nút!$H$4:$K$8,2,0),IF(C15="TB",VLOOKUP(A15,[1]nút!$H$4:$K$8,3,0),VLOOKUP(A15,[1]nút!$H$4:$K$8,4,0)))</f>
        <v>7</v>
      </c>
      <c r="E15" s="3">
        <f>B15*D15</f>
        <v>7</v>
      </c>
      <c r="H15" s="50" t="s">
        <v>105</v>
      </c>
      <c r="I15" s="50">
        <f>I11*(I13/I11)*I14</f>
        <v>0.8527859999999996</v>
      </c>
      <c r="J15" s="50" t="s">
        <v>107</v>
      </c>
    </row>
    <row r="16" spans="1:11" ht="15.75">
      <c r="A16" s="47" t="s">
        <v>5</v>
      </c>
      <c r="B16" s="3">
        <v>0</v>
      </c>
      <c r="C16" s="3"/>
      <c r="D16" s="3"/>
      <c r="E16" s="3">
        <v>0</v>
      </c>
      <c r="H16" s="50" t="s">
        <v>110</v>
      </c>
      <c r="I16" s="50">
        <v>2.94</v>
      </c>
    </row>
    <row r="17" spans="1:11" ht="15.75">
      <c r="A17" s="39" t="s">
        <v>98</v>
      </c>
      <c r="B17" s="40"/>
      <c r="C17" s="40"/>
      <c r="D17" s="41"/>
      <c r="E17" s="3">
        <f>SUM(E12:E16)</f>
        <v>18</v>
      </c>
      <c r="H17" s="67" t="s">
        <v>68</v>
      </c>
      <c r="I17" s="67"/>
      <c r="J17" s="67"/>
    </row>
    <row r="18" spans="1:11" ht="15.75">
      <c r="H18" s="46" t="s">
        <v>69</v>
      </c>
      <c r="I18" s="46" t="s">
        <v>70</v>
      </c>
      <c r="J18" s="46" t="s">
        <v>71</v>
      </c>
    </row>
    <row r="19" spans="1:11" ht="15.75">
      <c r="A19" s="46" t="s">
        <v>8</v>
      </c>
      <c r="B19" s="46" t="s">
        <v>9</v>
      </c>
      <c r="C19" s="46" t="s">
        <v>10</v>
      </c>
      <c r="D19" s="46" t="s">
        <v>6</v>
      </c>
      <c r="E19" s="46" t="s">
        <v>31</v>
      </c>
      <c r="H19" s="3">
        <f>0.91+0.01*SUM(base!$G$28:$G$32)</f>
        <v>1.0887</v>
      </c>
      <c r="I19" s="3">
        <f>PRODUCT(base!$K$2:$K$16)</f>
        <v>1.9637639999999996</v>
      </c>
      <c r="J19" s="3">
        <f>I16*POWER(I15,H19)*I19</f>
        <v>4.8544742320023442</v>
      </c>
    </row>
    <row r="20" spans="1:11" ht="15.75">
      <c r="A20" s="47" t="s">
        <v>1</v>
      </c>
      <c r="B20" s="3">
        <v>0</v>
      </c>
      <c r="C20" s="3"/>
      <c r="D20" s="3"/>
      <c r="E20" s="3">
        <f>B20*D20</f>
        <v>0</v>
      </c>
    </row>
    <row r="21" spans="1:11" ht="15.75">
      <c r="A21" s="47" t="s">
        <v>2</v>
      </c>
      <c r="B21" s="3">
        <v>0</v>
      </c>
      <c r="C21" s="3"/>
      <c r="D21" s="3"/>
      <c r="E21" s="3">
        <f t="shared" ref="E21:E22" si="2">B21*D21</f>
        <v>0</v>
      </c>
      <c r="H21" s="68" t="s">
        <v>84</v>
      </c>
      <c r="I21" s="2">
        <f>ROUND(J19,0)</f>
        <v>5</v>
      </c>
    </row>
    <row r="22" spans="1:11" ht="15.75">
      <c r="A22" s="47" t="s">
        <v>3</v>
      </c>
      <c r="B22" s="3">
        <v>0</v>
      </c>
      <c r="C22" s="3"/>
      <c r="D22" s="3"/>
      <c r="E22" s="3">
        <f t="shared" si="2"/>
        <v>0</v>
      </c>
      <c r="H22" s="68" t="s">
        <v>86</v>
      </c>
      <c r="I22" s="14">
        <v>6000000</v>
      </c>
    </row>
    <row r="23" spans="1:11" ht="15.75">
      <c r="A23" s="47" t="s">
        <v>4</v>
      </c>
      <c r="B23" s="3">
        <v>0</v>
      </c>
      <c r="C23" s="3"/>
      <c r="D23" s="3"/>
      <c r="E23" s="3">
        <f>B23*D23</f>
        <v>0</v>
      </c>
      <c r="H23" s="68" t="s">
        <v>85</v>
      </c>
      <c r="I23" s="14">
        <f>I21*I22</f>
        <v>30000000</v>
      </c>
    </row>
    <row r="24" spans="1:11" ht="15.75">
      <c r="A24" s="47" t="s">
        <v>5</v>
      </c>
      <c r="B24" s="3">
        <v>0</v>
      </c>
      <c r="C24" s="3"/>
      <c r="D24" s="3"/>
      <c r="E24" s="3">
        <v>0</v>
      </c>
    </row>
    <row r="25" spans="1:11" ht="15.75">
      <c r="A25" s="39" t="s">
        <v>99</v>
      </c>
      <c r="B25" s="40"/>
      <c r="C25" s="40"/>
      <c r="D25" s="41"/>
      <c r="E25" s="3">
        <f>SUM(E20:E24)</f>
        <v>0</v>
      </c>
    </row>
    <row r="26" spans="1:11">
      <c r="A26" s="52" t="s">
        <v>114</v>
      </c>
      <c r="B26" s="52"/>
      <c r="C26" s="52"/>
      <c r="D26" s="52"/>
      <c r="E26" s="52"/>
    </row>
    <row r="27" spans="1:11">
      <c r="A27" s="53" t="s">
        <v>102</v>
      </c>
    </row>
    <row r="28" spans="1:11" ht="15.75">
      <c r="A28" s="46" t="s">
        <v>8</v>
      </c>
      <c r="B28" s="46" t="s">
        <v>9</v>
      </c>
      <c r="C28" s="46" t="s">
        <v>10</v>
      </c>
      <c r="D28" s="46" t="s">
        <v>6</v>
      </c>
      <c r="E28" s="46" t="s">
        <v>31</v>
      </c>
      <c r="G28" s="63" t="s">
        <v>97</v>
      </c>
      <c r="H28" s="64"/>
      <c r="I28" s="64"/>
      <c r="J28" s="64"/>
      <c r="K28" s="65"/>
    </row>
    <row r="29" spans="1:11" ht="15.75">
      <c r="A29" s="47" t="s">
        <v>1</v>
      </c>
      <c r="B29" s="3">
        <v>11</v>
      </c>
      <c r="C29" s="3" t="s">
        <v>30</v>
      </c>
      <c r="D29" s="3">
        <f>IF(C29="DG",VLOOKUP(A29,[1]nút!$H$4:$K$8,2,0),IF(C29="TB",VLOOKUP(A29,[1]nút!$H$4:$K$8,3,0),VLOOKUP(A29,[1]nút!$H$4:$K$8,4,0)))</f>
        <v>3</v>
      </c>
      <c r="E29" s="3">
        <f>B29*D29</f>
        <v>33</v>
      </c>
      <c r="G29" s="66" t="s">
        <v>13</v>
      </c>
      <c r="H29" s="66"/>
      <c r="I29" s="66"/>
      <c r="J29" s="55">
        <f>E42*(0.65+0.01*base!H16)</f>
        <v>6.57</v>
      </c>
      <c r="K29" s="56"/>
    </row>
    <row r="30" spans="1:11" ht="15.75">
      <c r="A30" s="47" t="s">
        <v>2</v>
      </c>
      <c r="B30" s="3">
        <v>6</v>
      </c>
      <c r="C30" s="3" t="s">
        <v>30</v>
      </c>
      <c r="D30" s="3">
        <f>IF(C30="DG",VLOOKUP(A30,[1]nút!$H$4:$K$8,2,0),IF(C30="TB",VLOOKUP(A30,[1]nút!$H$4:$K$8,3,0),VLOOKUP(A30,[1]nút!$H$4:$K$8,4,0)))</f>
        <v>4</v>
      </c>
      <c r="E30" s="3">
        <f t="shared" ref="E30:E31" si="3">B30*D30</f>
        <v>24</v>
      </c>
      <c r="G30" s="66" t="s">
        <v>100</v>
      </c>
      <c r="H30" s="66"/>
      <c r="I30" s="66"/>
      <c r="J30" s="54">
        <f>E50*(0.65+0.01*base!H16)</f>
        <v>5.1099999999999994</v>
      </c>
      <c r="K30" s="54"/>
    </row>
    <row r="31" spans="1:11" ht="15.75">
      <c r="A31" s="47" t="s">
        <v>3</v>
      </c>
      <c r="B31" s="3">
        <v>5</v>
      </c>
      <c r="C31" s="3" t="s">
        <v>30</v>
      </c>
      <c r="D31" s="3">
        <f>IF(C31="DG",VLOOKUP(A31,[1]nút!$H$4:$K$8,2,0),IF(C31="TB",VLOOKUP(A31,[1]nút!$H$4:$K$8,3,0),VLOOKUP(A31,[1]nút!$H$4:$K$8,4,0)))</f>
        <v>3</v>
      </c>
      <c r="E31" s="3">
        <f t="shared" si="3"/>
        <v>15</v>
      </c>
    </row>
    <row r="32" spans="1:11" ht="15.75">
      <c r="A32" s="47" t="s">
        <v>4</v>
      </c>
      <c r="B32" s="3">
        <v>1</v>
      </c>
      <c r="C32" s="3" t="s">
        <v>30</v>
      </c>
      <c r="D32" s="3">
        <f>IF(C32="DG",VLOOKUP(A32,[1]nút!$H$4:$K$8,2,0),IF(C32="TB",VLOOKUP(A32,[1]nút!$H$4:$K$8,3,0),VLOOKUP(A32,[1]nút!$H$4:$K$8,4,0)))</f>
        <v>7</v>
      </c>
      <c r="E32" s="3">
        <f>B32*D32</f>
        <v>7</v>
      </c>
      <c r="G32" s="46" t="s">
        <v>32</v>
      </c>
      <c r="H32" s="48" t="s">
        <v>65</v>
      </c>
      <c r="I32" s="46" t="s">
        <v>14</v>
      </c>
    </row>
    <row r="33" spans="1:10" ht="15.75">
      <c r="A33" s="47" t="s">
        <v>5</v>
      </c>
      <c r="B33" s="3">
        <v>0</v>
      </c>
      <c r="C33" s="3"/>
      <c r="D33" s="3"/>
      <c r="E33" s="3">
        <v>0</v>
      </c>
      <c r="G33" s="8" t="s">
        <v>15</v>
      </c>
      <c r="H33" s="3">
        <f>SUM(J29:K30)*55</f>
        <v>642.4</v>
      </c>
      <c r="I33" s="32">
        <f>H33/1000</f>
        <v>0.64239999999999997</v>
      </c>
    </row>
    <row r="34" spans="1:10" ht="15.75">
      <c r="A34" s="39" t="s">
        <v>96</v>
      </c>
      <c r="B34" s="40"/>
      <c r="C34" s="40"/>
      <c r="D34" s="41"/>
      <c r="E34" s="3">
        <f>SUM(E29:E33)</f>
        <v>79</v>
      </c>
    </row>
    <row r="36" spans="1:10" ht="15.75">
      <c r="A36" s="46" t="s">
        <v>8</v>
      </c>
      <c r="B36" s="46" t="s">
        <v>9</v>
      </c>
      <c r="C36" s="46" t="s">
        <v>10</v>
      </c>
      <c r="D36" s="46" t="s">
        <v>6</v>
      </c>
      <c r="E36" s="46" t="s">
        <v>31</v>
      </c>
      <c r="G36" s="45" t="s">
        <v>103</v>
      </c>
      <c r="H36" s="50" t="s">
        <v>109</v>
      </c>
      <c r="I36" s="50">
        <f>base!F40/1000</f>
        <v>16.564</v>
      </c>
      <c r="J36" s="50" t="s">
        <v>107</v>
      </c>
    </row>
    <row r="37" spans="1:10" ht="15.75">
      <c r="A37" s="47" t="s">
        <v>1</v>
      </c>
      <c r="B37" s="3">
        <v>2</v>
      </c>
      <c r="C37" s="3" t="s">
        <v>30</v>
      </c>
      <c r="D37" s="3">
        <f>IF(C37="DG",VLOOKUP(A37,[1]nút!$H$4:$K$8,2,0),IF(C37="TB",VLOOKUP(A37,[1]nút!$H$4:$K$8,3,0),VLOOKUP(A37,[1]nút!$H$4:$K$8,4,0)))</f>
        <v>3</v>
      </c>
      <c r="E37" s="3">
        <f>B37*D37</f>
        <v>6</v>
      </c>
      <c r="H37" s="50" t="s">
        <v>106</v>
      </c>
      <c r="I37" s="50">
        <f>I36+I33</f>
        <v>17.206399999999999</v>
      </c>
      <c r="J37" s="50" t="s">
        <v>107</v>
      </c>
    </row>
    <row r="38" spans="1:10" ht="15.75">
      <c r="A38" s="47" t="s">
        <v>2</v>
      </c>
      <c r="B38" s="3">
        <v>0</v>
      </c>
      <c r="C38" s="3" t="s">
        <v>30</v>
      </c>
      <c r="D38" s="3">
        <f>IF(C38="DG",VLOOKUP(A38,[1]nút!$H$4:$K$8,2,0),IF(C38="TB",VLOOKUP(A38,[1]nút!$H$4:$K$8,3,0),VLOOKUP(A38,[1]nút!$H$4:$K$8,4,0)))</f>
        <v>4</v>
      </c>
      <c r="E38" s="3">
        <f t="shared" ref="E38:E39" si="4">B38*D38</f>
        <v>0</v>
      </c>
      <c r="H38" s="50" t="s">
        <v>108</v>
      </c>
      <c r="I38" s="50">
        <f>I37-I36</f>
        <v>0.64239999999999853</v>
      </c>
      <c r="J38" s="50" t="s">
        <v>107</v>
      </c>
    </row>
    <row r="39" spans="1:10" ht="15.75">
      <c r="A39" s="47" t="s">
        <v>3</v>
      </c>
      <c r="B39" s="3">
        <v>1</v>
      </c>
      <c r="C39" s="3" t="s">
        <v>30</v>
      </c>
      <c r="D39" s="3">
        <f>IF(C39="DG",VLOOKUP(A39,[1]nút!$H$4:$K$8,2,0),IF(C39="TB",VLOOKUP(A39,[1]nút!$H$4:$K$8,3,0),VLOOKUP(A39,[1]nút!$H$4:$K$8,4,0)))</f>
        <v>3</v>
      </c>
      <c r="E39" s="3">
        <f t="shared" si="4"/>
        <v>3</v>
      </c>
      <c r="H39" s="50" t="s">
        <v>104</v>
      </c>
      <c r="I39" s="50">
        <f>1+(base!J23/100*base!G23)</f>
        <v>1.18</v>
      </c>
    </row>
    <row r="40" spans="1:10" ht="15.75">
      <c r="A40" s="47" t="s">
        <v>4</v>
      </c>
      <c r="B40" s="3">
        <v>0</v>
      </c>
      <c r="C40" s="3"/>
      <c r="D40" s="3"/>
      <c r="E40" s="3">
        <f>B40*D40</f>
        <v>0</v>
      </c>
      <c r="H40" s="50" t="s">
        <v>105</v>
      </c>
      <c r="I40" s="50">
        <f>I36*(I38/I36)*I39</f>
        <v>0.75803199999999826</v>
      </c>
      <c r="J40" s="50" t="s">
        <v>107</v>
      </c>
    </row>
    <row r="41" spans="1:10" ht="15.75">
      <c r="A41" s="47" t="s">
        <v>5</v>
      </c>
      <c r="B41" s="3">
        <v>0</v>
      </c>
      <c r="C41" s="3"/>
      <c r="D41" s="3"/>
      <c r="E41" s="3">
        <v>0</v>
      </c>
      <c r="H41" s="50" t="s">
        <v>110</v>
      </c>
      <c r="I41" s="50">
        <v>2.94</v>
      </c>
    </row>
    <row r="42" spans="1:10" ht="15.75">
      <c r="A42" s="39" t="s">
        <v>98</v>
      </c>
      <c r="B42" s="40"/>
      <c r="C42" s="40"/>
      <c r="D42" s="41"/>
      <c r="E42" s="3">
        <f>SUM(E37:E41)</f>
        <v>9</v>
      </c>
      <c r="H42" s="67" t="s">
        <v>68</v>
      </c>
      <c r="I42" s="67"/>
      <c r="J42" s="67"/>
    </row>
    <row r="43" spans="1:10" ht="15.75">
      <c r="H43" s="46" t="s">
        <v>69</v>
      </c>
      <c r="I43" s="46" t="s">
        <v>70</v>
      </c>
      <c r="J43" s="46" t="s">
        <v>71</v>
      </c>
    </row>
    <row r="44" spans="1:10" ht="15.75">
      <c r="A44" s="46" t="s">
        <v>8</v>
      </c>
      <c r="B44" s="46" t="s">
        <v>9</v>
      </c>
      <c r="C44" s="46" t="s">
        <v>10</v>
      </c>
      <c r="D44" s="46" t="s">
        <v>6</v>
      </c>
      <c r="E44" s="46" t="s">
        <v>31</v>
      </c>
      <c r="H44" s="3">
        <f>0.91+0.01*SUM(base!$G$28:$G$32)</f>
        <v>1.0887</v>
      </c>
      <c r="I44" s="3">
        <f>PRODUCT(base!$K$2:$K$16)</f>
        <v>1.9637639999999996</v>
      </c>
      <c r="J44" s="3">
        <f>I41*POWER(I40,H44)*I44</f>
        <v>4.2702416187656427</v>
      </c>
    </row>
    <row r="45" spans="1:10" ht="15.75">
      <c r="A45" s="47" t="s">
        <v>1</v>
      </c>
      <c r="B45" s="3">
        <v>0</v>
      </c>
      <c r="C45" s="3"/>
      <c r="D45" s="3"/>
      <c r="E45" s="3">
        <f>B45*D45</f>
        <v>0</v>
      </c>
    </row>
    <row r="46" spans="1:10" ht="15.75">
      <c r="A46" s="47" t="s">
        <v>2</v>
      </c>
      <c r="B46" s="3">
        <v>0</v>
      </c>
      <c r="C46" s="3"/>
      <c r="D46" s="3"/>
      <c r="E46" s="3">
        <f t="shared" ref="E46:E47" si="5">B46*D46</f>
        <v>0</v>
      </c>
      <c r="H46" s="68" t="s">
        <v>84</v>
      </c>
      <c r="I46" s="2">
        <f>ROUND(J44,0)</f>
        <v>4</v>
      </c>
    </row>
    <row r="47" spans="1:10" ht="15.75">
      <c r="A47" s="47" t="s">
        <v>3</v>
      </c>
      <c r="B47" s="3">
        <v>0</v>
      </c>
      <c r="C47" s="3"/>
      <c r="D47" s="3"/>
      <c r="E47" s="3">
        <f t="shared" si="5"/>
        <v>0</v>
      </c>
      <c r="H47" s="68" t="s">
        <v>86</v>
      </c>
      <c r="I47" s="14">
        <v>6000000</v>
      </c>
    </row>
    <row r="48" spans="1:10" ht="15.75">
      <c r="A48" s="47" t="s">
        <v>4</v>
      </c>
      <c r="B48" s="3">
        <v>0</v>
      </c>
      <c r="C48" s="3"/>
      <c r="D48" s="3"/>
      <c r="E48" s="3">
        <f>B48*D48</f>
        <v>0</v>
      </c>
      <c r="H48" s="68" t="s">
        <v>85</v>
      </c>
      <c r="I48" s="14">
        <f>I46*I47</f>
        <v>24000000</v>
      </c>
    </row>
    <row r="49" spans="1:11" ht="15.75">
      <c r="A49" s="47" t="s">
        <v>5</v>
      </c>
      <c r="B49" s="3">
        <v>1</v>
      </c>
      <c r="C49" s="3" t="s">
        <v>30</v>
      </c>
      <c r="D49" s="3">
        <v>7</v>
      </c>
      <c r="E49" s="3">
        <f>B49*D49</f>
        <v>7</v>
      </c>
    </row>
    <row r="50" spans="1:11" ht="15.75">
      <c r="A50" s="39" t="s">
        <v>99</v>
      </c>
      <c r="B50" s="40"/>
      <c r="C50" s="40"/>
      <c r="D50" s="41"/>
      <c r="E50" s="3">
        <f>SUM(E45:E49)</f>
        <v>7</v>
      </c>
    </row>
    <row r="51" spans="1:11">
      <c r="A51" s="52" t="s">
        <v>114</v>
      </c>
      <c r="B51" s="52"/>
      <c r="C51" s="52"/>
      <c r="D51" s="52"/>
      <c r="E51" s="52"/>
    </row>
    <row r="52" spans="1:11">
      <c r="A52" s="53" t="s">
        <v>111</v>
      </c>
    </row>
    <row r="53" spans="1:11" ht="17.25" customHeight="1">
      <c r="A53" s="53" t="s">
        <v>112</v>
      </c>
    </row>
    <row r="54" spans="1:11" ht="15.75">
      <c r="A54" s="46" t="s">
        <v>8</v>
      </c>
      <c r="B54" s="46" t="s">
        <v>9</v>
      </c>
      <c r="C54" s="46" t="s">
        <v>10</v>
      </c>
      <c r="D54" s="46" t="s">
        <v>6</v>
      </c>
      <c r="E54" s="46" t="s">
        <v>31</v>
      </c>
      <c r="G54" s="63" t="s">
        <v>97</v>
      </c>
      <c r="H54" s="64"/>
      <c r="I54" s="64"/>
      <c r="J54" s="64"/>
      <c r="K54" s="65"/>
    </row>
    <row r="55" spans="1:11" ht="15.75">
      <c r="A55" s="47" t="s">
        <v>1</v>
      </c>
      <c r="B55" s="3">
        <v>1</v>
      </c>
      <c r="C55" s="3" t="s">
        <v>30</v>
      </c>
      <c r="D55" s="3">
        <f>IF(C55="DG",VLOOKUP(A55,[1]nút!$H$4:$K$8,2,0),IF(C55="TB",VLOOKUP(A55,[1]nút!$H$4:$K$8,3,0),VLOOKUP(A55,[1]nút!$H$4:$K$8,4,0)))</f>
        <v>3</v>
      </c>
      <c r="E55" s="3">
        <f>B55*D55</f>
        <v>3</v>
      </c>
      <c r="G55" s="66" t="s">
        <v>13</v>
      </c>
      <c r="H55" s="66"/>
      <c r="I55" s="66"/>
      <c r="J55" s="55">
        <f>E68*(0.65+0.01*base!H16)</f>
        <v>41.61</v>
      </c>
      <c r="K55" s="56"/>
    </row>
    <row r="56" spans="1:11" ht="15.75">
      <c r="A56" s="47" t="s">
        <v>2</v>
      </c>
      <c r="B56" s="3">
        <v>0</v>
      </c>
      <c r="C56" s="3" t="s">
        <v>30</v>
      </c>
      <c r="D56" s="3">
        <f>IF(C56="DG",VLOOKUP(A56,[1]nút!$H$4:$K$8,2,0),IF(C56="TB",VLOOKUP(A56,[1]nút!$H$4:$K$8,3,0),VLOOKUP(A56,[1]nút!$H$4:$K$8,4,0)))</f>
        <v>4</v>
      </c>
      <c r="E56" s="3">
        <f t="shared" ref="E56:E57" si="6">B56*D56</f>
        <v>0</v>
      </c>
      <c r="G56" s="66" t="s">
        <v>100</v>
      </c>
      <c r="H56" s="66"/>
      <c r="I56" s="66"/>
      <c r="J56" s="54">
        <f>E76*(0.65+0.01*base!H16)</f>
        <v>0</v>
      </c>
      <c r="K56" s="54"/>
    </row>
    <row r="57" spans="1:11" ht="15.75">
      <c r="A57" s="47" t="s">
        <v>3</v>
      </c>
      <c r="B57" s="3">
        <v>1</v>
      </c>
      <c r="C57" s="3" t="s">
        <v>30</v>
      </c>
      <c r="D57" s="3">
        <f>IF(C57="DG",VLOOKUP(A57,[1]nút!$H$4:$K$8,2,0),IF(C57="TB",VLOOKUP(A57,[1]nút!$H$4:$K$8,3,0),VLOOKUP(A57,[1]nút!$H$4:$K$8,4,0)))</f>
        <v>3</v>
      </c>
      <c r="E57" s="3">
        <f t="shared" si="6"/>
        <v>3</v>
      </c>
    </row>
    <row r="58" spans="1:11" ht="15.75">
      <c r="A58" s="47" t="s">
        <v>4</v>
      </c>
      <c r="B58" s="3">
        <v>1</v>
      </c>
      <c r="C58" s="3" t="s">
        <v>30</v>
      </c>
      <c r="D58" s="3">
        <f>IF(C58="DG",VLOOKUP(A58,[1]nút!$H$4:$K$8,2,0),IF(C58="TB",VLOOKUP(A58,[1]nút!$H$4:$K$8,3,0),VLOOKUP(A58,[1]nút!$H$4:$K$8,4,0)))</f>
        <v>7</v>
      </c>
      <c r="E58" s="3">
        <f>B58*D58</f>
        <v>7</v>
      </c>
      <c r="G58" s="46" t="s">
        <v>32</v>
      </c>
      <c r="H58" s="48" t="s">
        <v>65</v>
      </c>
      <c r="I58" s="46" t="s">
        <v>14</v>
      </c>
    </row>
    <row r="59" spans="1:11" ht="15.75">
      <c r="A59" s="47" t="s">
        <v>5</v>
      </c>
      <c r="B59" s="3">
        <v>0</v>
      </c>
      <c r="C59" s="3"/>
      <c r="D59" s="3"/>
      <c r="E59" s="3">
        <v>0</v>
      </c>
      <c r="G59" s="8" t="s">
        <v>15</v>
      </c>
      <c r="H59" s="3">
        <f>SUM(J55:K56)*55</f>
        <v>2288.5500000000002</v>
      </c>
      <c r="I59" s="32">
        <f>H59/1000</f>
        <v>2.2885500000000003</v>
      </c>
    </row>
    <row r="60" spans="1:11" ht="15.75">
      <c r="A60" s="39" t="s">
        <v>96</v>
      </c>
      <c r="B60" s="40"/>
      <c r="C60" s="40"/>
      <c r="D60" s="41"/>
      <c r="E60" s="3">
        <f>SUM(E55:E59)</f>
        <v>13</v>
      </c>
    </row>
    <row r="62" spans="1:11" ht="15.75">
      <c r="A62" s="46" t="s">
        <v>8</v>
      </c>
      <c r="B62" s="46" t="s">
        <v>9</v>
      </c>
      <c r="C62" s="46" t="s">
        <v>10</v>
      </c>
      <c r="D62" s="46" t="s">
        <v>6</v>
      </c>
      <c r="E62" s="46" t="s">
        <v>31</v>
      </c>
      <c r="G62" s="45" t="s">
        <v>103</v>
      </c>
      <c r="H62" s="50" t="s">
        <v>109</v>
      </c>
      <c r="I62" s="50">
        <f>base!F40/1000</f>
        <v>16.564</v>
      </c>
      <c r="J62" s="50" t="s">
        <v>107</v>
      </c>
    </row>
    <row r="63" spans="1:11" ht="15.75">
      <c r="A63" s="47" t="s">
        <v>1</v>
      </c>
      <c r="B63" s="3">
        <v>5</v>
      </c>
      <c r="C63" s="3" t="s">
        <v>30</v>
      </c>
      <c r="D63" s="3">
        <f>IF(C63="DG",VLOOKUP(A63,[1]nút!$H$4:$K$8,2,0),IF(C63="TB",VLOOKUP(A63,[1]nút!$H$4:$K$8,3,0),VLOOKUP(A63,[1]nút!$H$4:$K$8,4,0)))</f>
        <v>3</v>
      </c>
      <c r="E63" s="3">
        <f>B63*D63</f>
        <v>15</v>
      </c>
      <c r="H63" s="50" t="s">
        <v>106</v>
      </c>
      <c r="I63" s="50">
        <f>I62+I59</f>
        <v>18.852550000000001</v>
      </c>
      <c r="J63" s="50" t="s">
        <v>107</v>
      </c>
    </row>
    <row r="64" spans="1:11" ht="15.75">
      <c r="A64" s="47" t="s">
        <v>2</v>
      </c>
      <c r="B64" s="3">
        <v>8</v>
      </c>
      <c r="C64" s="3" t="s">
        <v>30</v>
      </c>
      <c r="D64" s="3">
        <f>IF(C64="DG",VLOOKUP(A64,[1]nút!$H$4:$K$8,2,0),IF(C64="TB",VLOOKUP(A64,[1]nút!$H$4:$K$8,3,0),VLOOKUP(A64,[1]nút!$H$4:$K$8,4,0)))</f>
        <v>4</v>
      </c>
      <c r="E64" s="3">
        <f t="shared" ref="E64:E65" si="7">B64*D64</f>
        <v>32</v>
      </c>
      <c r="H64" s="50" t="s">
        <v>108</v>
      </c>
      <c r="I64" s="50">
        <f>I63-I62</f>
        <v>2.2885500000000008</v>
      </c>
      <c r="J64" s="50" t="s">
        <v>107</v>
      </c>
    </row>
    <row r="65" spans="1:11" ht="15.75">
      <c r="A65" s="47" t="s">
        <v>3</v>
      </c>
      <c r="B65" s="3">
        <v>1</v>
      </c>
      <c r="C65" s="3" t="s">
        <v>30</v>
      </c>
      <c r="D65" s="3">
        <f>IF(C65="DG",VLOOKUP(A65,[1]nút!$H$4:$K$8,2,0),IF(C65="TB",VLOOKUP(A65,[1]nút!$H$4:$K$8,3,0),VLOOKUP(A65,[1]nút!$H$4:$K$8,4,0)))</f>
        <v>3</v>
      </c>
      <c r="E65" s="3">
        <f t="shared" si="7"/>
        <v>3</v>
      </c>
      <c r="H65" s="50" t="s">
        <v>104</v>
      </c>
      <c r="I65" s="50">
        <f>1+(base!J23/100*base!G23)</f>
        <v>1.18</v>
      </c>
    </row>
    <row r="66" spans="1:11" ht="15.75">
      <c r="A66" s="47" t="s">
        <v>4</v>
      </c>
      <c r="B66" s="3">
        <v>1</v>
      </c>
      <c r="C66" s="3" t="s">
        <v>30</v>
      </c>
      <c r="D66" s="3">
        <f>IF(C66="DG",VLOOKUP(A66,[1]nút!$H$4:$K$8,2,0),IF(C66="TB",VLOOKUP(A66,[1]nút!$H$4:$K$8,3,0),VLOOKUP(A66,[1]nút!$H$4:$K$8,4,0)))</f>
        <v>7</v>
      </c>
      <c r="E66" s="3">
        <f>B66*D66</f>
        <v>7</v>
      </c>
      <c r="H66" s="50" t="s">
        <v>105</v>
      </c>
      <c r="I66" s="50">
        <f>I62*(I64/I62)*I65</f>
        <v>2.7004890000000006</v>
      </c>
      <c r="J66" s="50" t="s">
        <v>107</v>
      </c>
    </row>
    <row r="67" spans="1:11" ht="15.75">
      <c r="A67" s="47" t="s">
        <v>5</v>
      </c>
      <c r="B67" s="3">
        <v>0</v>
      </c>
      <c r="C67" s="3"/>
      <c r="D67" s="3"/>
      <c r="E67" s="3">
        <v>0</v>
      </c>
      <c r="H67" s="50" t="s">
        <v>110</v>
      </c>
      <c r="I67" s="50">
        <v>2.94</v>
      </c>
    </row>
    <row r="68" spans="1:11" ht="15.75">
      <c r="A68" s="39" t="s">
        <v>98</v>
      </c>
      <c r="B68" s="40"/>
      <c r="C68" s="40"/>
      <c r="D68" s="41"/>
      <c r="E68" s="3">
        <f>SUM(E63:E67)</f>
        <v>57</v>
      </c>
      <c r="H68" s="67" t="s">
        <v>68</v>
      </c>
      <c r="I68" s="67"/>
      <c r="J68" s="67"/>
    </row>
    <row r="69" spans="1:11" ht="15.75">
      <c r="H69" s="46" t="s">
        <v>69</v>
      </c>
      <c r="I69" s="46" t="s">
        <v>70</v>
      </c>
      <c r="J69" s="46" t="s">
        <v>71</v>
      </c>
    </row>
    <row r="70" spans="1:11" ht="15.75">
      <c r="A70" s="46" t="s">
        <v>8</v>
      </c>
      <c r="B70" s="46" t="s">
        <v>9</v>
      </c>
      <c r="C70" s="46" t="s">
        <v>10</v>
      </c>
      <c r="D70" s="46" t="s">
        <v>6</v>
      </c>
      <c r="E70" s="46" t="s">
        <v>31</v>
      </c>
      <c r="H70" s="3">
        <f>0.91+0.01*SUM(base!$G$28:$G$32)</f>
        <v>1.0887</v>
      </c>
      <c r="I70" s="3">
        <f>PRODUCT(base!$K$2:$K$16)</f>
        <v>1.9637639999999996</v>
      </c>
      <c r="J70" s="3">
        <f>I67*POWER(I66,H70)*I70</f>
        <v>17.027385917602668</v>
      </c>
    </row>
    <row r="71" spans="1:11" ht="15.75">
      <c r="A71" s="47" t="s">
        <v>1</v>
      </c>
      <c r="B71" s="3">
        <v>0</v>
      </c>
      <c r="C71" s="3"/>
      <c r="D71" s="3"/>
      <c r="E71" s="3">
        <f>B71*D71</f>
        <v>0</v>
      </c>
    </row>
    <row r="72" spans="1:11" ht="15.75">
      <c r="A72" s="47" t="s">
        <v>2</v>
      </c>
      <c r="B72" s="3">
        <v>0</v>
      </c>
      <c r="C72" s="3"/>
      <c r="D72" s="3"/>
      <c r="E72" s="3">
        <f t="shared" ref="E72:E73" si="8">B72*D72</f>
        <v>0</v>
      </c>
      <c r="H72" s="68" t="s">
        <v>84</v>
      </c>
      <c r="I72" s="2">
        <f>ROUND(J70,0)</f>
        <v>17</v>
      </c>
    </row>
    <row r="73" spans="1:11" ht="15.75">
      <c r="A73" s="47" t="s">
        <v>3</v>
      </c>
      <c r="B73" s="3">
        <v>0</v>
      </c>
      <c r="C73" s="3"/>
      <c r="D73" s="3"/>
      <c r="E73" s="3">
        <f t="shared" si="8"/>
        <v>0</v>
      </c>
      <c r="H73" s="68" t="s">
        <v>86</v>
      </c>
      <c r="I73" s="14">
        <v>6000000</v>
      </c>
    </row>
    <row r="74" spans="1:11" ht="15.75">
      <c r="A74" s="47" t="s">
        <v>4</v>
      </c>
      <c r="B74" s="3">
        <v>0</v>
      </c>
      <c r="C74" s="3"/>
      <c r="D74" s="3"/>
      <c r="E74" s="3">
        <f>B74*D74</f>
        <v>0</v>
      </c>
      <c r="H74" s="68" t="s">
        <v>85</v>
      </c>
      <c r="I74" s="14">
        <f>I72*I73</f>
        <v>102000000</v>
      </c>
    </row>
    <row r="75" spans="1:11" ht="15.75">
      <c r="A75" s="47" t="s">
        <v>5</v>
      </c>
      <c r="B75" s="3">
        <v>0</v>
      </c>
      <c r="C75" s="3"/>
      <c r="D75" s="3"/>
      <c r="E75" s="3">
        <v>0</v>
      </c>
    </row>
    <row r="76" spans="1:11" ht="15.75">
      <c r="A76" s="39" t="s">
        <v>99</v>
      </c>
      <c r="B76" s="40"/>
      <c r="C76" s="40"/>
      <c r="D76" s="41"/>
      <c r="E76" s="3">
        <f>SUM(E71:E75)</f>
        <v>0</v>
      </c>
    </row>
    <row r="77" spans="1:11">
      <c r="A77" s="52" t="s">
        <v>114</v>
      </c>
      <c r="B77" s="52"/>
      <c r="C77" s="52"/>
      <c r="D77" s="52"/>
      <c r="E77" s="52"/>
    </row>
    <row r="78" spans="1:11">
      <c r="A78" s="53" t="s">
        <v>113</v>
      </c>
    </row>
    <row r="80" spans="1:11" ht="15.75">
      <c r="A80" s="46" t="s">
        <v>8</v>
      </c>
      <c r="B80" s="46" t="s">
        <v>9</v>
      </c>
      <c r="C80" s="46" t="s">
        <v>10</v>
      </c>
      <c r="D80" s="46" t="s">
        <v>6</v>
      </c>
      <c r="E80" s="46" t="s">
        <v>31</v>
      </c>
      <c r="G80" s="63" t="s">
        <v>97</v>
      </c>
      <c r="H80" s="64"/>
      <c r="I80" s="64"/>
      <c r="J80" s="64"/>
      <c r="K80" s="65"/>
    </row>
    <row r="81" spans="1:11" ht="15.75">
      <c r="A81" s="47" t="s">
        <v>1</v>
      </c>
      <c r="B81" s="3">
        <v>0</v>
      </c>
      <c r="C81" s="3"/>
      <c r="D81" s="3"/>
      <c r="E81" s="3">
        <f>B81*D81</f>
        <v>0</v>
      </c>
      <c r="G81" s="66" t="s">
        <v>13</v>
      </c>
      <c r="H81" s="66"/>
      <c r="I81" s="66"/>
      <c r="J81" s="55">
        <f>E94*(0.65+0.01*base!H93)</f>
        <v>51.35</v>
      </c>
      <c r="K81" s="56"/>
    </row>
    <row r="82" spans="1:11" ht="15.75">
      <c r="A82" s="47" t="s">
        <v>2</v>
      </c>
      <c r="B82" s="3">
        <v>0</v>
      </c>
      <c r="C82" s="3"/>
      <c r="D82" s="3"/>
      <c r="E82" s="3">
        <f t="shared" ref="E82:E83" si="9">B82*D82</f>
        <v>0</v>
      </c>
      <c r="G82" s="66" t="s">
        <v>100</v>
      </c>
      <c r="H82" s="66"/>
      <c r="I82" s="66"/>
      <c r="J82" s="54">
        <f>E102*(0.65+0.01*base!H93)</f>
        <v>0</v>
      </c>
      <c r="K82" s="54"/>
    </row>
    <row r="83" spans="1:11" ht="15.75">
      <c r="A83" s="47" t="s">
        <v>3</v>
      </c>
      <c r="B83" s="3">
        <v>0</v>
      </c>
      <c r="C83" s="3"/>
      <c r="D83" s="3"/>
      <c r="E83" s="3">
        <f t="shared" si="9"/>
        <v>0</v>
      </c>
    </row>
    <row r="84" spans="1:11" ht="15.75">
      <c r="A84" s="47" t="s">
        <v>4</v>
      </c>
      <c r="B84" s="3">
        <v>0</v>
      </c>
      <c r="C84" s="3"/>
      <c r="D84" s="3"/>
      <c r="E84" s="3">
        <f>B84*D84</f>
        <v>0</v>
      </c>
      <c r="G84" s="46" t="s">
        <v>32</v>
      </c>
      <c r="H84" s="48" t="s">
        <v>65</v>
      </c>
      <c r="I84" s="46" t="s">
        <v>14</v>
      </c>
    </row>
    <row r="85" spans="1:11" ht="15.75">
      <c r="A85" s="47" t="s">
        <v>5</v>
      </c>
      <c r="B85" s="3">
        <v>0</v>
      </c>
      <c r="C85" s="3"/>
      <c r="D85" s="3"/>
      <c r="E85" s="3">
        <v>0</v>
      </c>
      <c r="G85" s="8" t="s">
        <v>15</v>
      </c>
      <c r="H85" s="3">
        <f>SUM(J81:K82)*55</f>
        <v>2824.25</v>
      </c>
      <c r="I85" s="32">
        <f>H85/1000</f>
        <v>2.8242500000000001</v>
      </c>
    </row>
    <row r="86" spans="1:11" ht="15.75">
      <c r="A86" s="39" t="s">
        <v>96</v>
      </c>
      <c r="B86" s="40"/>
      <c r="C86" s="40"/>
      <c r="D86" s="41"/>
      <c r="E86" s="3">
        <f>SUM(E81:E85)</f>
        <v>0</v>
      </c>
    </row>
    <row r="88" spans="1:11" ht="15.75">
      <c r="A88" s="46" t="s">
        <v>8</v>
      </c>
      <c r="B88" s="46" t="s">
        <v>9</v>
      </c>
      <c r="C88" s="46" t="s">
        <v>10</v>
      </c>
      <c r="D88" s="46" t="s">
        <v>6</v>
      </c>
      <c r="E88" s="46" t="s">
        <v>31</v>
      </c>
      <c r="G88" s="45" t="s">
        <v>103</v>
      </c>
      <c r="H88" s="50" t="s">
        <v>109</v>
      </c>
      <c r="I88" s="50">
        <f>base!F40/1000</f>
        <v>16.564</v>
      </c>
      <c r="J88" s="50" t="s">
        <v>107</v>
      </c>
    </row>
    <row r="89" spans="1:11" ht="15.75">
      <c r="A89" s="47" t="s">
        <v>1</v>
      </c>
      <c r="B89" s="3">
        <v>4</v>
      </c>
      <c r="C89" s="3" t="s">
        <v>30</v>
      </c>
      <c r="D89" s="3">
        <f>IF(C89="DG",VLOOKUP(A89,[1]nút!$H$4:$K$8,2,0),IF(C89="TB",VLOOKUP(A89,[1]nút!$H$4:$K$8,3,0),VLOOKUP(A89,[1]nút!$H$4:$K$8,4,0)))</f>
        <v>3</v>
      </c>
      <c r="E89" s="3">
        <f>B89*D89</f>
        <v>12</v>
      </c>
      <c r="H89" s="50" t="s">
        <v>106</v>
      </c>
      <c r="I89" s="50">
        <f>I88+I85</f>
        <v>19.388249999999999</v>
      </c>
      <c r="J89" s="50" t="s">
        <v>107</v>
      </c>
    </row>
    <row r="90" spans="1:11" ht="15.75">
      <c r="A90" s="47" t="s">
        <v>2</v>
      </c>
      <c r="B90" s="3">
        <v>10</v>
      </c>
      <c r="C90" s="3" t="s">
        <v>30</v>
      </c>
      <c r="D90" s="3">
        <f>IF(C90="DG",VLOOKUP(A90,[1]nút!$H$4:$K$8,2,0),IF(C90="TB",VLOOKUP(A90,[1]nút!$H$4:$K$8,3,0),VLOOKUP(A90,[1]nút!$H$4:$K$8,4,0)))</f>
        <v>4</v>
      </c>
      <c r="E90" s="3">
        <f t="shared" ref="E90:E91" si="10">B90*D90</f>
        <v>40</v>
      </c>
      <c r="H90" s="50" t="s">
        <v>108</v>
      </c>
      <c r="I90" s="50">
        <f>I89-I88</f>
        <v>2.8242499999999993</v>
      </c>
      <c r="J90" s="50" t="s">
        <v>107</v>
      </c>
    </row>
    <row r="91" spans="1:11" ht="15.75">
      <c r="A91" s="47" t="s">
        <v>3</v>
      </c>
      <c r="B91" s="3">
        <v>2</v>
      </c>
      <c r="C91" s="3" t="s">
        <v>30</v>
      </c>
      <c r="D91" s="3">
        <f>IF(C91="DG",VLOOKUP(A91,[1]nút!$H$4:$K$8,2,0),IF(C91="TB",VLOOKUP(A91,[1]nút!$H$4:$K$8,3,0),VLOOKUP(A91,[1]nút!$H$4:$K$8,4,0)))</f>
        <v>3</v>
      </c>
      <c r="E91" s="3">
        <f t="shared" si="10"/>
        <v>6</v>
      </c>
      <c r="H91" s="50" t="s">
        <v>104</v>
      </c>
      <c r="I91" s="50">
        <f>1+(base!J23/100*base!G23)</f>
        <v>1.18</v>
      </c>
    </row>
    <row r="92" spans="1:11" ht="15.75">
      <c r="A92" s="47" t="s">
        <v>4</v>
      </c>
      <c r="B92" s="3">
        <v>3</v>
      </c>
      <c r="C92" s="3" t="s">
        <v>30</v>
      </c>
      <c r="D92" s="3">
        <f>IF(C92="DG",VLOOKUP(A92,[1]nút!$H$4:$K$8,2,0),IF(C92="TB",VLOOKUP(A92,[1]nút!$H$4:$K$8,3,0),VLOOKUP(A92,[1]nút!$H$4:$K$8,4,0)))</f>
        <v>7</v>
      </c>
      <c r="E92" s="3">
        <f>B92*D92</f>
        <v>21</v>
      </c>
      <c r="H92" s="50" t="s">
        <v>105</v>
      </c>
      <c r="I92" s="50">
        <f>I88*(I90/I88)*I91</f>
        <v>3.3326149999999988</v>
      </c>
      <c r="J92" s="50" t="s">
        <v>107</v>
      </c>
    </row>
    <row r="93" spans="1:11" ht="15.75">
      <c r="A93" s="47" t="s">
        <v>5</v>
      </c>
      <c r="B93" s="3">
        <v>0</v>
      </c>
      <c r="C93" s="3"/>
      <c r="D93" s="3"/>
      <c r="E93" s="3">
        <v>0</v>
      </c>
      <c r="H93" s="50" t="s">
        <v>110</v>
      </c>
      <c r="I93" s="50">
        <v>2.94</v>
      </c>
    </row>
    <row r="94" spans="1:11" ht="15.75">
      <c r="A94" s="39" t="s">
        <v>98</v>
      </c>
      <c r="B94" s="40"/>
      <c r="C94" s="40"/>
      <c r="D94" s="41"/>
      <c r="E94" s="3">
        <f>SUM(E89:E93)</f>
        <v>79</v>
      </c>
      <c r="H94" s="67" t="s">
        <v>68</v>
      </c>
      <c r="I94" s="67"/>
      <c r="J94" s="67"/>
    </row>
    <row r="95" spans="1:11" ht="15.75">
      <c r="H95" s="46" t="s">
        <v>69</v>
      </c>
      <c r="I95" s="46" t="s">
        <v>70</v>
      </c>
      <c r="J95" s="46" t="s">
        <v>71</v>
      </c>
    </row>
    <row r="96" spans="1:11" ht="15.75">
      <c r="A96" s="46" t="s">
        <v>8</v>
      </c>
      <c r="B96" s="46" t="s">
        <v>9</v>
      </c>
      <c r="C96" s="46" t="s">
        <v>10</v>
      </c>
      <c r="D96" s="46" t="s">
        <v>6</v>
      </c>
      <c r="E96" s="46" t="s">
        <v>31</v>
      </c>
      <c r="H96" s="3">
        <f>0.91+0.01*SUM(base!$G$28:$G$32)</f>
        <v>1.0887</v>
      </c>
      <c r="I96" s="3">
        <f>PRODUCT(base!$K$2:$K$16)</f>
        <v>1.9637639999999996</v>
      </c>
      <c r="J96" s="3">
        <f>I93*POWER(I92,H96)*I96</f>
        <v>21.408823990946253</v>
      </c>
    </row>
    <row r="97" spans="1:10" ht="15.75">
      <c r="A97" s="47" t="s">
        <v>1</v>
      </c>
      <c r="B97" s="3">
        <v>0</v>
      </c>
      <c r="C97" s="3"/>
      <c r="D97" s="3"/>
      <c r="E97" s="3">
        <f>B97*D97</f>
        <v>0</v>
      </c>
    </row>
    <row r="98" spans="1:10" ht="15.75">
      <c r="A98" s="47" t="s">
        <v>2</v>
      </c>
      <c r="B98" s="3">
        <v>0</v>
      </c>
      <c r="C98" s="3"/>
      <c r="D98" s="3"/>
      <c r="E98" s="3">
        <f t="shared" ref="E98:E99" si="11">B98*D98</f>
        <v>0</v>
      </c>
      <c r="H98" s="5" t="s">
        <v>84</v>
      </c>
      <c r="I98" s="2">
        <f>ROUND(J96,0)</f>
        <v>21</v>
      </c>
    </row>
    <row r="99" spans="1:10" ht="15.75">
      <c r="A99" s="47" t="s">
        <v>3</v>
      </c>
      <c r="B99" s="3">
        <v>0</v>
      </c>
      <c r="C99" s="3"/>
      <c r="D99" s="3"/>
      <c r="E99" s="3">
        <f t="shared" si="11"/>
        <v>0</v>
      </c>
      <c r="H99" s="5" t="s">
        <v>86</v>
      </c>
      <c r="I99" s="14">
        <v>6000000</v>
      </c>
    </row>
    <row r="100" spans="1:10" ht="15.75">
      <c r="A100" s="47" t="s">
        <v>4</v>
      </c>
      <c r="B100" s="3">
        <v>0</v>
      </c>
      <c r="C100" s="3"/>
      <c r="D100" s="3"/>
      <c r="E100" s="3">
        <f>B100*D100</f>
        <v>0</v>
      </c>
      <c r="H100" s="5" t="s">
        <v>85</v>
      </c>
      <c r="I100" s="14">
        <f>I98*I99</f>
        <v>126000000</v>
      </c>
    </row>
    <row r="101" spans="1:10" ht="15.75">
      <c r="A101" s="47" t="s">
        <v>5</v>
      </c>
      <c r="B101" s="3">
        <v>0</v>
      </c>
      <c r="C101" s="3"/>
      <c r="D101" s="3"/>
      <c r="E101" s="3">
        <v>0</v>
      </c>
    </row>
    <row r="102" spans="1:10" ht="15.75">
      <c r="A102" s="39" t="s">
        <v>99</v>
      </c>
      <c r="B102" s="40"/>
      <c r="C102" s="40"/>
      <c r="D102" s="41"/>
      <c r="E102" s="3">
        <f>SUM(E97:E101)</f>
        <v>0</v>
      </c>
      <c r="G102" s="57"/>
    </row>
    <row r="103" spans="1:10" ht="15.75">
      <c r="G103" s="69" t="s">
        <v>117</v>
      </c>
      <c r="H103" s="69"/>
      <c r="I103" s="69"/>
      <c r="J103" s="69"/>
    </row>
    <row r="104" spans="1:10">
      <c r="H104" s="50" t="s">
        <v>109</v>
      </c>
      <c r="I104" s="50">
        <f>base!F40/1000</f>
        <v>16.564</v>
      </c>
      <c r="J104" s="50" t="s">
        <v>107</v>
      </c>
    </row>
    <row r="105" spans="1:10">
      <c r="H105" s="50" t="s">
        <v>106</v>
      </c>
      <c r="I105" s="50">
        <f>I104+SUM(I85,I59,I33,I8)</f>
        <v>23.041899999999998</v>
      </c>
      <c r="J105" s="50" t="s">
        <v>107</v>
      </c>
    </row>
    <row r="106" spans="1:10">
      <c r="H106" s="50" t="s">
        <v>108</v>
      </c>
      <c r="I106" s="50">
        <f>I105-I104</f>
        <v>6.4778999999999982</v>
      </c>
      <c r="J106" s="50" t="s">
        <v>107</v>
      </c>
    </row>
    <row r="108" spans="1:10" ht="15.75">
      <c r="H108" s="68" t="s">
        <v>84</v>
      </c>
      <c r="I108" s="2">
        <f>SUM(I98,I72,I46,I21)</f>
        <v>47</v>
      </c>
    </row>
    <row r="109" spans="1:10" ht="15.75">
      <c r="H109" s="68" t="s">
        <v>86</v>
      </c>
      <c r="I109" s="14">
        <v>6000000</v>
      </c>
    </row>
    <row r="110" spans="1:10" ht="15.75">
      <c r="H110" s="68" t="s">
        <v>85</v>
      </c>
      <c r="I110" s="14">
        <f>I108*I109</f>
        <v>282000000</v>
      </c>
    </row>
  </sheetData>
  <mergeCells count="41">
    <mergeCell ref="G103:J103"/>
    <mergeCell ref="A26:E26"/>
    <mergeCell ref="A51:E51"/>
    <mergeCell ref="A77:E77"/>
    <mergeCell ref="A1:E1"/>
    <mergeCell ref="A9:D9"/>
    <mergeCell ref="A17:D17"/>
    <mergeCell ref="A25:D25"/>
    <mergeCell ref="G3:K3"/>
    <mergeCell ref="G4:I4"/>
    <mergeCell ref="J4:K4"/>
    <mergeCell ref="G5:I5"/>
    <mergeCell ref="J5:K5"/>
    <mergeCell ref="H17:J17"/>
    <mergeCell ref="A42:D42"/>
    <mergeCell ref="A50:D50"/>
    <mergeCell ref="G28:K28"/>
    <mergeCell ref="G29:I29"/>
    <mergeCell ref="J29:K29"/>
    <mergeCell ref="G30:I30"/>
    <mergeCell ref="J30:K30"/>
    <mergeCell ref="A34:D34"/>
    <mergeCell ref="H42:J42"/>
    <mergeCell ref="G54:K54"/>
    <mergeCell ref="G55:I55"/>
    <mergeCell ref="J55:K55"/>
    <mergeCell ref="G56:I56"/>
    <mergeCell ref="J56:K56"/>
    <mergeCell ref="A60:D60"/>
    <mergeCell ref="A68:D68"/>
    <mergeCell ref="A76:D76"/>
    <mergeCell ref="G80:K80"/>
    <mergeCell ref="G81:I81"/>
    <mergeCell ref="J81:K81"/>
    <mergeCell ref="H68:J68"/>
    <mergeCell ref="G82:I82"/>
    <mergeCell ref="J82:K82"/>
    <mergeCell ref="A86:D86"/>
    <mergeCell ref="A94:D94"/>
    <mergeCell ref="A102:D102"/>
    <mergeCell ref="H94:J9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3" sqref="D13:D14"/>
    </sheetView>
  </sheetViews>
  <sheetFormatPr defaultRowHeight="15"/>
  <cols>
    <col min="1" max="1" width="16.140625" style="50" bestFit="1" customWidth="1"/>
    <col min="2" max="2" width="16" style="50" bestFit="1" customWidth="1"/>
    <col min="3" max="3" width="17" style="50" bestFit="1" customWidth="1"/>
    <col min="4" max="4" width="9.140625" style="50"/>
    <col min="5" max="5" width="10.42578125" style="50" bestFit="1" customWidth="1"/>
    <col min="6" max="6" width="14.5703125" style="50" bestFit="1" customWidth="1"/>
    <col min="7" max="7" width="17" style="50" bestFit="1" customWidth="1"/>
    <col min="8" max="16384" width="9.140625" style="50"/>
  </cols>
  <sheetData>
    <row r="1" spans="1:7" ht="15.75">
      <c r="A1" s="46" t="s">
        <v>32</v>
      </c>
      <c r="B1" s="48" t="s">
        <v>65</v>
      </c>
      <c r="C1" s="46" t="s">
        <v>14</v>
      </c>
    </row>
    <row r="2" spans="1:7" ht="15.75">
      <c r="A2" s="49" t="s">
        <v>16</v>
      </c>
      <c r="B2" s="3">
        <v>2850</v>
      </c>
      <c r="C2" s="32">
        <f>B2/1000</f>
        <v>2.85</v>
      </c>
    </row>
    <row r="4" spans="1:7" ht="15.75">
      <c r="A4" s="70" t="s">
        <v>32</v>
      </c>
      <c r="B4" s="68" t="s">
        <v>65</v>
      </c>
      <c r="C4" s="46" t="s">
        <v>115</v>
      </c>
      <c r="E4" s="70" t="s">
        <v>32</v>
      </c>
      <c r="F4" s="68" t="s">
        <v>65</v>
      </c>
      <c r="G4" s="46" t="s">
        <v>116</v>
      </c>
    </row>
    <row r="5" spans="1:7" ht="15.75">
      <c r="A5" s="8" t="s">
        <v>16</v>
      </c>
      <c r="B5" s="6">
        <v>50</v>
      </c>
      <c r="C5" s="3">
        <f>B5/1000</f>
        <v>0.05</v>
      </c>
      <c r="E5" s="8" t="s">
        <v>16</v>
      </c>
      <c r="F5" s="6">
        <v>10</v>
      </c>
      <c r="G5" s="3">
        <f>F5/1000</f>
        <v>0.01</v>
      </c>
    </row>
    <row r="7" spans="1:7">
      <c r="A7" s="50" t="s">
        <v>104</v>
      </c>
      <c r="B7" s="50">
        <f>1+(base!J23/100*base!G23)</f>
        <v>1.18</v>
      </c>
    </row>
    <row r="8" spans="1:7">
      <c r="A8" s="50" t="s">
        <v>105</v>
      </c>
      <c r="B8" s="51">
        <f>C2*(C5+G5)/C2*B7</f>
        <v>7.0800000000000002E-2</v>
      </c>
    </row>
    <row r="10" spans="1:7">
      <c r="A10" s="50" t="s">
        <v>110</v>
      </c>
      <c r="B10" s="50">
        <v>2.94</v>
      </c>
    </row>
    <row r="11" spans="1:7" ht="15.75">
      <c r="A11" s="63" t="s">
        <v>68</v>
      </c>
      <c r="B11" s="64"/>
      <c r="C11" s="65"/>
    </row>
    <row r="12" spans="1:7" ht="15.75">
      <c r="A12" s="46" t="s">
        <v>69</v>
      </c>
      <c r="B12" s="46" t="s">
        <v>70</v>
      </c>
      <c r="C12" s="46" t="s">
        <v>71</v>
      </c>
    </row>
    <row r="13" spans="1:7" ht="15.75">
      <c r="A13" s="3">
        <f>0.91+0.01*SUM(base!$G$28:$G$32)</f>
        <v>1.0887</v>
      </c>
      <c r="B13" s="3">
        <f>PRODUCT(base!$K$2:$K$16)</f>
        <v>1.9637639999999996</v>
      </c>
      <c r="C13" s="3">
        <f>B10*POWER(B8,A13)*B13</f>
        <v>0.32319738057125474</v>
      </c>
    </row>
    <row r="15" spans="1:7" ht="15.75">
      <c r="A15" s="68" t="s">
        <v>84</v>
      </c>
      <c r="B15" s="2">
        <f>ROUNDUP(C13,0)</f>
        <v>1</v>
      </c>
    </row>
    <row r="16" spans="1:7" ht="15.75">
      <c r="A16" s="68" t="s">
        <v>86</v>
      </c>
      <c r="B16" s="14">
        <v>6000000</v>
      </c>
    </row>
    <row r="17" spans="1:2" ht="15.75">
      <c r="A17" s="68" t="s">
        <v>85</v>
      </c>
      <c r="B17" s="14">
        <f>B15*B16</f>
        <v>6000000</v>
      </c>
    </row>
  </sheetData>
  <mergeCells count="1">
    <mergeCell ref="A11:C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2" sqref="C12"/>
    </sheetView>
  </sheetViews>
  <sheetFormatPr defaultRowHeight="15"/>
  <cols>
    <col min="1" max="1" width="24.85546875" customWidth="1"/>
    <col min="2" max="2" width="13.42578125" customWidth="1"/>
  </cols>
  <sheetData>
    <row r="1" spans="1:3">
      <c r="A1" t="s">
        <v>103</v>
      </c>
    </row>
    <row r="2" spans="1:3">
      <c r="A2" s="30"/>
    </row>
    <row r="3" spans="1:3">
      <c r="A3" t="s">
        <v>109</v>
      </c>
      <c r="B3">
        <f>base!F40/1000</f>
        <v>16.564</v>
      </c>
      <c r="C3" t="s">
        <v>107</v>
      </c>
    </row>
    <row r="4" spans="1:3">
      <c r="A4" t="s">
        <v>106</v>
      </c>
      <c r="B4">
        <f>B3+('UFP+COCOMO II'!I8+'UFP+COCOMO II'!I33+'UFP+COCOMO II'!I59+'UFP+COCOMO II'!I85)</f>
        <v>23.041899999999998</v>
      </c>
      <c r="C4" t="s">
        <v>107</v>
      </c>
    </row>
    <row r="5" spans="1:3">
      <c r="A5" t="s">
        <v>108</v>
      </c>
      <c r="B5">
        <f>B4-B3</f>
        <v>6.4778999999999982</v>
      </c>
      <c r="C5" t="s">
        <v>107</v>
      </c>
    </row>
    <row r="6" spans="1:3">
      <c r="A6" t="s">
        <v>104</v>
      </c>
      <c r="B6">
        <f>1+(base!J23/100*base!G23)</f>
        <v>1.18</v>
      </c>
    </row>
    <row r="7" spans="1:3">
      <c r="A7" t="s">
        <v>105</v>
      </c>
      <c r="B7">
        <f>B3*(B5/B3)*B6</f>
        <v>7.6439219999999972</v>
      </c>
      <c r="C7" t="s">
        <v>107</v>
      </c>
    </row>
    <row r="8" spans="1:3">
      <c r="A8" t="s">
        <v>110</v>
      </c>
      <c r="B8">
        <v>2.94</v>
      </c>
    </row>
    <row r="9" spans="1:3" ht="15.75">
      <c r="A9" s="44" t="s">
        <v>68</v>
      </c>
      <c r="B9" s="44"/>
      <c r="C9" s="44"/>
    </row>
    <row r="10" spans="1:3" ht="15.75">
      <c r="A10" s="15" t="s">
        <v>69</v>
      </c>
      <c r="B10" s="15" t="s">
        <v>70</v>
      </c>
      <c r="C10" s="15" t="s">
        <v>71</v>
      </c>
    </row>
    <row r="11" spans="1:3" ht="15.75">
      <c r="A11" s="3">
        <f>0.91+0.01*SUM(base!$G$28:$G$32)</f>
        <v>1.0887</v>
      </c>
      <c r="B11" s="3">
        <f>PRODUCT(base!$K$2:$K$16)</f>
        <v>1.9637639999999996</v>
      </c>
      <c r="C11" s="3">
        <f>B8*POWER(B7,A11)*B11</f>
        <v>52.857062341206976</v>
      </c>
    </row>
    <row r="13" spans="1:3" ht="15.75">
      <c r="A13" s="5" t="s">
        <v>84</v>
      </c>
      <c r="B13" s="13">
        <f>ROUND(C11,0)</f>
        <v>53</v>
      </c>
    </row>
    <row r="14" spans="1:3" ht="15.75">
      <c r="A14" s="5" t="s">
        <v>86</v>
      </c>
      <c r="B14" s="14">
        <v>6000000</v>
      </c>
    </row>
    <row r="15" spans="1:3" ht="15.75">
      <c r="A15" s="5" t="s">
        <v>85</v>
      </c>
      <c r="B15" s="14">
        <f>B13*B14</f>
        <v>318000000</v>
      </c>
    </row>
  </sheetData>
  <mergeCells count="1"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UFP+COCOMO II</vt:lpstr>
      <vt:lpstr>Database</vt:lpstr>
      <vt:lpstr>COCOMO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2018-12-04T16:21:26Z</dcterms:created>
  <dcterms:modified xsi:type="dcterms:W3CDTF">2022-12-18T08:33:20Z</dcterms:modified>
</cp:coreProperties>
</file>