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old\Documents\Moritz\03_Projects\UC_Davis\Sequencing\BSFL_agri_microbiota\data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Sheet1!$A$1:$T$115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Q7" i="1" l="1"/>
  <c r="Q6" i="1"/>
  <c r="K78" i="1" l="1"/>
  <c r="L78" i="1" s="1"/>
  <c r="N78" i="1" s="1"/>
  <c r="K77" i="1"/>
  <c r="L77" i="1" s="1"/>
  <c r="N77" i="1" s="1"/>
  <c r="K76" i="1"/>
  <c r="L76" i="1" s="1"/>
  <c r="N76" i="1" s="1"/>
  <c r="K75" i="1"/>
  <c r="L75" i="1" s="1"/>
  <c r="N75" i="1" s="1"/>
  <c r="K74" i="1"/>
  <c r="L74" i="1" s="1"/>
  <c r="N74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O32" i="1" s="1"/>
  <c r="K31" i="1"/>
  <c r="N31" i="1" s="1"/>
  <c r="K30" i="1"/>
  <c r="N30" i="1" s="1"/>
  <c r="K29" i="1"/>
  <c r="N29" i="1" s="1"/>
  <c r="K28" i="1"/>
  <c r="N28" i="1" s="1"/>
  <c r="K24" i="1"/>
  <c r="N24" i="1" s="1"/>
  <c r="K25" i="1"/>
  <c r="N25" i="1" s="1"/>
  <c r="K26" i="1"/>
  <c r="N26" i="1" s="1"/>
  <c r="K27" i="1"/>
  <c r="N27" i="1" s="1"/>
  <c r="K23" i="1"/>
  <c r="N23" i="1" s="1"/>
  <c r="K92" i="1"/>
  <c r="L92" i="1" s="1"/>
  <c r="N92" i="1" s="1"/>
  <c r="K93" i="1"/>
  <c r="L93" i="1" s="1"/>
  <c r="N93" i="1" s="1"/>
  <c r="K94" i="1"/>
  <c r="O94" i="1" s="1"/>
  <c r="K95" i="1"/>
  <c r="L95" i="1" s="1"/>
  <c r="N95" i="1" s="1"/>
  <c r="K96" i="1"/>
  <c r="L96" i="1" s="1"/>
  <c r="N96" i="1" s="1"/>
  <c r="K97" i="1"/>
  <c r="L97" i="1" s="1"/>
  <c r="N97" i="1" s="1"/>
  <c r="K98" i="1"/>
  <c r="O98" i="1" s="1"/>
  <c r="K99" i="1"/>
  <c r="L99" i="1" s="1"/>
  <c r="N99" i="1" s="1"/>
  <c r="K100" i="1"/>
  <c r="L100" i="1" s="1"/>
  <c r="N100" i="1" s="1"/>
  <c r="K101" i="1"/>
  <c r="O101" i="1" s="1"/>
  <c r="K102" i="1"/>
  <c r="L102" i="1" s="1"/>
  <c r="N102" i="1" s="1"/>
  <c r="K103" i="1"/>
  <c r="L103" i="1" s="1"/>
  <c r="N103" i="1" s="1"/>
  <c r="K104" i="1"/>
  <c r="L104" i="1" s="1"/>
  <c r="N104" i="1" s="1"/>
  <c r="K105" i="1"/>
  <c r="O105" i="1" s="1"/>
  <c r="K106" i="1"/>
  <c r="L106" i="1" s="1"/>
  <c r="N106" i="1" s="1"/>
  <c r="K107" i="1"/>
  <c r="L107" i="1" s="1"/>
  <c r="N107" i="1" s="1"/>
  <c r="K108" i="1"/>
  <c r="O108" i="1" s="1"/>
  <c r="K109" i="1"/>
  <c r="L109" i="1" s="1"/>
  <c r="N109" i="1" s="1"/>
  <c r="K110" i="1"/>
  <c r="L110" i="1" s="1"/>
  <c r="N110" i="1" s="1"/>
  <c r="K111" i="1"/>
  <c r="L111" i="1" s="1"/>
  <c r="N111" i="1" s="1"/>
  <c r="K112" i="1"/>
  <c r="L112" i="1" s="1"/>
  <c r="N112" i="1" s="1"/>
  <c r="K113" i="1"/>
  <c r="O111" i="1" s="1"/>
  <c r="K114" i="1"/>
  <c r="L114" i="1" s="1"/>
  <c r="N114" i="1" s="1"/>
  <c r="K115" i="1"/>
  <c r="L115" i="1" s="1"/>
  <c r="N115" i="1" s="1"/>
  <c r="K91" i="1"/>
  <c r="L91" i="1" s="1"/>
  <c r="N91" i="1" s="1"/>
  <c r="H73" i="1"/>
  <c r="K73" i="1" s="1"/>
  <c r="L73" i="1" s="1"/>
  <c r="H72" i="1"/>
  <c r="K72" i="1" s="1"/>
  <c r="L72" i="1" s="1"/>
  <c r="H71" i="1"/>
  <c r="K71" i="1" s="1"/>
  <c r="H70" i="1"/>
  <c r="K70" i="1" s="1"/>
  <c r="L70" i="1" s="1"/>
  <c r="H69" i="1"/>
  <c r="K69" i="1" s="1"/>
  <c r="H68" i="1"/>
  <c r="K68" i="1" s="1"/>
  <c r="L68" i="1" s="1"/>
  <c r="H67" i="1"/>
  <c r="K67" i="1" s="1"/>
  <c r="H66" i="1"/>
  <c r="K66" i="1" s="1"/>
  <c r="L66" i="1" s="1"/>
  <c r="H65" i="1"/>
  <c r="K65" i="1" s="1"/>
  <c r="L65" i="1" s="1"/>
  <c r="H64" i="1"/>
  <c r="K64" i="1" s="1"/>
  <c r="H63" i="1"/>
  <c r="K63" i="1" s="1"/>
  <c r="L63" i="1" s="1"/>
  <c r="H62" i="1"/>
  <c r="K62" i="1" s="1"/>
  <c r="L62" i="1" s="1"/>
  <c r="H61" i="1"/>
  <c r="K61" i="1" s="1"/>
  <c r="H60" i="1"/>
  <c r="K60" i="1" s="1"/>
  <c r="L60" i="1" s="1"/>
  <c r="H59" i="1"/>
  <c r="K59" i="1" s="1"/>
  <c r="L59" i="1" s="1"/>
  <c r="H58" i="1"/>
  <c r="K58" i="1" s="1"/>
  <c r="H57" i="1"/>
  <c r="K57" i="1" s="1"/>
  <c r="L57" i="1" s="1"/>
  <c r="H56" i="1"/>
  <c r="K56" i="1" s="1"/>
  <c r="L56" i="1" s="1"/>
  <c r="H55" i="1"/>
  <c r="K55" i="1" s="1"/>
  <c r="H54" i="1"/>
  <c r="K54" i="1" s="1"/>
  <c r="L54" i="1" s="1"/>
  <c r="H53" i="1"/>
  <c r="K53" i="1" s="1"/>
  <c r="H52" i="1"/>
  <c r="K52" i="1" s="1"/>
  <c r="L52" i="1" s="1"/>
  <c r="H51" i="1"/>
  <c r="K51" i="1" s="1"/>
  <c r="L51" i="1" s="1"/>
  <c r="H50" i="1"/>
  <c r="K50" i="1" s="1"/>
  <c r="L50" i="1" s="1"/>
  <c r="H49" i="1"/>
  <c r="K49" i="1" s="1"/>
  <c r="L49" i="1" s="1"/>
  <c r="H48" i="1"/>
  <c r="K48" i="1" s="1"/>
  <c r="L48" i="1" s="1"/>
  <c r="H47" i="1"/>
  <c r="K47" i="1" s="1"/>
  <c r="H46" i="1"/>
  <c r="K46" i="1" s="1"/>
  <c r="L46" i="1" s="1"/>
  <c r="H45" i="1"/>
  <c r="K45" i="1" s="1"/>
  <c r="H44" i="1"/>
  <c r="K44" i="1" s="1"/>
  <c r="L44" i="1" s="1"/>
  <c r="H43" i="1"/>
  <c r="K43" i="1" s="1"/>
  <c r="H42" i="1"/>
  <c r="K42" i="1" s="1"/>
  <c r="L42" i="1" s="1"/>
  <c r="H41" i="1"/>
  <c r="K41" i="1" s="1"/>
  <c r="H40" i="1"/>
  <c r="K40" i="1" s="1"/>
  <c r="L40" i="1" s="1"/>
  <c r="H39" i="1"/>
  <c r="K39" i="1" s="1"/>
  <c r="H38" i="1"/>
  <c r="K38" i="1" s="1"/>
  <c r="K15" i="1"/>
  <c r="N15" i="1" s="1"/>
  <c r="K16" i="1"/>
  <c r="N16" i="1" s="1"/>
  <c r="K17" i="1"/>
  <c r="N17" i="1" s="1"/>
  <c r="K18" i="1"/>
  <c r="N18" i="1" s="1"/>
  <c r="K19" i="1"/>
  <c r="O19" i="1" s="1"/>
  <c r="K20" i="1"/>
  <c r="N20" i="1" s="1"/>
  <c r="K21" i="1"/>
  <c r="N21" i="1" s="1"/>
  <c r="K22" i="1"/>
  <c r="N22" i="1" s="1"/>
  <c r="K14" i="1"/>
  <c r="O14" i="1" s="1"/>
  <c r="O74" i="1" l="1"/>
  <c r="O76" i="1"/>
  <c r="L98" i="1"/>
  <c r="N98" i="1" s="1"/>
  <c r="L108" i="1"/>
  <c r="N108" i="1" s="1"/>
  <c r="L105" i="1"/>
  <c r="N105" i="1" s="1"/>
  <c r="O23" i="1"/>
  <c r="N14" i="1"/>
  <c r="N32" i="1"/>
  <c r="L94" i="1"/>
  <c r="N94" i="1" s="1"/>
  <c r="O28" i="1"/>
  <c r="O35" i="1"/>
  <c r="L113" i="1"/>
  <c r="N113" i="1" s="1"/>
  <c r="L101" i="1"/>
  <c r="N101" i="1" s="1"/>
  <c r="N19" i="1"/>
  <c r="O61" i="1"/>
  <c r="L61" i="1"/>
  <c r="L39" i="1"/>
  <c r="O39" i="1"/>
  <c r="O55" i="1"/>
  <c r="L55" i="1"/>
  <c r="O64" i="1"/>
  <c r="L64" i="1"/>
  <c r="L41" i="1"/>
  <c r="O41" i="1"/>
  <c r="O53" i="1"/>
  <c r="L53" i="1"/>
  <c r="L47" i="1"/>
  <c r="O47" i="1"/>
  <c r="L71" i="1"/>
  <c r="O71" i="1"/>
  <c r="L58" i="1"/>
  <c r="O58" i="1"/>
  <c r="O45" i="1"/>
  <c r="L45" i="1"/>
  <c r="O68" i="1"/>
  <c r="L69" i="1"/>
  <c r="L38" i="1"/>
  <c r="O38" i="1"/>
  <c r="O43" i="1"/>
  <c r="L43" i="1"/>
  <c r="O67" i="1"/>
  <c r="L67" i="1"/>
  <c r="O91" i="1"/>
  <c r="O16" i="1"/>
  <c r="H90" i="1" l="1"/>
  <c r="K90" i="1" s="1"/>
  <c r="L90" i="1" s="1"/>
  <c r="H89" i="1"/>
  <c r="K89" i="1" s="1"/>
  <c r="L89" i="1" s="1"/>
  <c r="H88" i="1"/>
  <c r="K88" i="1" s="1"/>
  <c r="O88" i="1" s="1"/>
  <c r="H87" i="1"/>
  <c r="K87" i="1" s="1"/>
  <c r="L87" i="1" s="1"/>
  <c r="H86" i="1"/>
  <c r="K86" i="1" s="1"/>
  <c r="L86" i="1" s="1"/>
  <c r="H85" i="1"/>
  <c r="K85" i="1" s="1"/>
  <c r="H84" i="1"/>
  <c r="K84" i="1" s="1"/>
  <c r="L84" i="1" s="1"/>
  <c r="H83" i="1"/>
  <c r="K83" i="1" s="1"/>
  <c r="L83" i="1" s="1"/>
  <c r="H82" i="1"/>
  <c r="K82" i="1" s="1"/>
  <c r="L82" i="1" s="1"/>
  <c r="H81" i="1"/>
  <c r="K81" i="1" s="1"/>
  <c r="L81" i="1" s="1"/>
  <c r="H80" i="1"/>
  <c r="K80" i="1" s="1"/>
  <c r="L80" i="1" s="1"/>
  <c r="H79" i="1"/>
  <c r="K79" i="1" s="1"/>
  <c r="L79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2" i="1"/>
  <c r="O2" i="1" s="1"/>
  <c r="L85" i="1" l="1"/>
  <c r="N85" i="1" s="1"/>
  <c r="O85" i="1"/>
  <c r="O7" i="1"/>
  <c r="L2" i="1"/>
  <c r="L88" i="1"/>
  <c r="N88" i="1" s="1"/>
  <c r="N46" i="1"/>
  <c r="N47" i="1"/>
  <c r="N64" i="1"/>
  <c r="N70" i="1"/>
  <c r="N39" i="1"/>
  <c r="N40" i="1"/>
  <c r="N41" i="1"/>
  <c r="N42" i="1"/>
  <c r="N43" i="1"/>
  <c r="N44" i="1"/>
  <c r="N45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5" i="1"/>
  <c r="N66" i="1"/>
  <c r="N67" i="1"/>
  <c r="N68" i="1"/>
  <c r="N69" i="1"/>
  <c r="N71" i="1"/>
  <c r="N72" i="1"/>
  <c r="N73" i="1"/>
  <c r="N38" i="1"/>
  <c r="N79" i="1"/>
  <c r="N90" i="1"/>
  <c r="N89" i="1"/>
  <c r="N87" i="1"/>
  <c r="N86" i="1"/>
  <c r="N84" i="1"/>
  <c r="O84" i="1" s="1"/>
  <c r="N83" i="1"/>
  <c r="O83" i="1" s="1"/>
  <c r="N82" i="1"/>
  <c r="N81" i="1"/>
  <c r="N80" i="1"/>
  <c r="O81" i="1" l="1"/>
  <c r="O79" i="1"/>
  <c r="N13" i="1"/>
  <c r="N12" i="1"/>
  <c r="N11" i="1"/>
  <c r="N10" i="1"/>
  <c r="N9" i="1"/>
  <c r="N8" i="1"/>
  <c r="N4" i="1"/>
  <c r="N3" i="1"/>
  <c r="N2" i="1" l="1"/>
  <c r="O12" i="1"/>
  <c r="N7" i="1"/>
  <c r="N5" i="1"/>
  <c r="N6" i="1"/>
</calcChain>
</file>

<file path=xl/sharedStrings.xml><?xml version="1.0" encoding="utf-8"?>
<sst xmlns="http://schemas.openxmlformats.org/spreadsheetml/2006/main" count="533" uniqueCount="51">
  <si>
    <t>wine</t>
  </si>
  <si>
    <t>tomato</t>
  </si>
  <si>
    <t>foodwaste</t>
  </si>
  <si>
    <t>inoculant</t>
  </si>
  <si>
    <t>16o</t>
  </si>
  <si>
    <t>11o</t>
  </si>
  <si>
    <t>9o</t>
  </si>
  <si>
    <t>14c</t>
  </si>
  <si>
    <t>11c</t>
  </si>
  <si>
    <t>10c</t>
  </si>
  <si>
    <t>6c</t>
  </si>
  <si>
    <t>1(9)c</t>
  </si>
  <si>
    <t>9c</t>
  </si>
  <si>
    <t>7o</t>
  </si>
  <si>
    <t>5c</t>
  </si>
  <si>
    <t>2c</t>
  </si>
  <si>
    <t>4c</t>
  </si>
  <si>
    <t>4o</t>
  </si>
  <si>
    <t>1o</t>
  </si>
  <si>
    <t>2o</t>
  </si>
  <si>
    <t>3o</t>
  </si>
  <si>
    <t>1c</t>
  </si>
  <si>
    <t>3c</t>
  </si>
  <si>
    <t>7c</t>
  </si>
  <si>
    <t>8c</t>
  </si>
  <si>
    <t>5-8o_1</t>
  </si>
  <si>
    <t>5-8o_2</t>
  </si>
  <si>
    <t>5-8o_3</t>
  </si>
  <si>
    <t>experiment</t>
  </si>
  <si>
    <t>waste</t>
  </si>
  <si>
    <t>treatment</t>
  </si>
  <si>
    <t>system</t>
  </si>
  <si>
    <t>open</t>
  </si>
  <si>
    <t>closed</t>
  </si>
  <si>
    <t>waste_inoculant</t>
  </si>
  <si>
    <t>control</t>
  </si>
  <si>
    <t>initital_waste</t>
  </si>
  <si>
    <t>waste_fly</t>
  </si>
  <si>
    <t>waste_inoculant_digestate</t>
  </si>
  <si>
    <t>type</t>
  </si>
  <si>
    <t>residue</t>
  </si>
  <si>
    <t>sample_ID</t>
  </si>
  <si>
    <t>sample_g</t>
  </si>
  <si>
    <t>volume_first_dilution_mL</t>
  </si>
  <si>
    <t>number_further_dilutions</t>
  </si>
  <si>
    <t>dilution_low</t>
  </si>
  <si>
    <t>dilution_high</t>
  </si>
  <si>
    <t>count</t>
  </si>
  <si>
    <t>result_per_plate_CFUg</t>
  </si>
  <si>
    <t>result_per_sample_CFUg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</si>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</sst>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E+00"/>
    <numFmt numFmtId="165" formatCode="0.0E+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1" fillId="0" borderId="0" xfId="0" applyFont="1" applyFill="1" applyAlignment="1"/>
    <xf numFmtId="0" fontId="2" fillId="0" borderId="0" xfId="0" applyFont="1" applyAlignment="1"/>
    <xf numFmtId="166" fontId="1" fillId="0" borderId="0" xfId="0" applyNumberFormat="1" applyFont="1" applyAlignment="1"/>
    <xf numFmtId="166" fontId="0" fillId="0" borderId="0" xfId="0" applyNumberFormat="1" applyFill="1"/>
    <xf numFmtId="166" fontId="0" fillId="0" borderId="0" xfId="0" applyNumberFormat="1"/>
    <xf numFmtId="11" fontId="0" fillId="0" borderId="0" xfId="0" applyNumberFormat="1" applyFill="1"/>
    <xf numFmtId="0" fontId="1" fillId="0" borderId="0" xfId="0" applyFont="1" applyFill="1" applyBorder="1" applyAlignment="1"/>
    <xf numFmtId="0" fontId="0" fillId="0" borderId="0" xfId="0" applyFont="1" applyFill="1" applyBorder="1"/>
    <xf numFmtId="166" fontId="0" fillId="0" borderId="0" xfId="0" applyNumberFormat="1" applyFont="1" applyFill="1" applyBorder="1"/>
    <xf numFmtId="165" fontId="1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11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0" xfId="0" applyNumberFormat="1" applyFont="1" applyFill="1" applyBorder="1"/>
    <xf numFmtId="167" fontId="1" fillId="0" borderId="0" xfId="0" applyNumberFormat="1" applyFont="1" applyFill="1" applyBorder="1" applyAlignment="1"/>
    <xf numFmtId="167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topLeftCell="F1" zoomScale="85" zoomScaleNormal="85" workbookViewId="0">
      <pane ySplit="1" topLeftCell="A2" activePane="bottomLeft" state="frozen"/>
      <selection pane="bottomLeft" activeCell="Q5" sqref="Q5:R7"/>
    </sheetView>
  </sheetViews>
  <sheetFormatPr defaultRowHeight="14.4" x14ac:dyDescent="0.3"/>
  <cols>
    <col min="1" max="1" width="14.109375" bestFit="1" customWidth="1"/>
    <col min="2" max="2" width="13.6640625" bestFit="1" customWidth="1"/>
    <col min="3" max="3" width="10.88671875" bestFit="1" customWidth="1"/>
    <col min="4" max="4" width="10.88671875" customWidth="1"/>
    <col min="5" max="5" width="26.88671875" bestFit="1" customWidth="1"/>
    <col min="6" max="6" width="9.88671875" bestFit="1" customWidth="1"/>
    <col min="7" max="7" width="12.109375" customWidth="1"/>
    <col min="8" max="8" width="10.33203125" style="7" bestFit="1" customWidth="1"/>
    <col min="9" max="9" width="24" style="2" bestFit="1" customWidth="1"/>
    <col min="10" max="10" width="26.109375" style="2" bestFit="1" customWidth="1"/>
    <col min="11" max="11" width="14.6640625" style="9" bestFit="1" customWidth="1"/>
    <col min="12" max="12" width="13.109375" style="1" bestFit="1" customWidth="1"/>
    <col min="13" max="13" width="8.5546875" bestFit="1" customWidth="1"/>
    <col min="14" max="14" width="24.5546875" bestFit="1" customWidth="1"/>
    <col min="15" max="15" width="24.109375" style="1" bestFit="1" customWidth="1"/>
    <col min="17" max="17" width="17.44140625" style="1" bestFit="1" customWidth="1"/>
    <col min="18" max="18" width="20.109375" bestFit="1" customWidth="1"/>
    <col min="19" max="19" width="13.5546875" bestFit="1" customWidth="1"/>
  </cols>
  <sheetData>
    <row r="1" spans="1:18" x14ac:dyDescent="0.3">
      <c r="A1" s="11" t="s">
        <v>41</v>
      </c>
      <c r="B1" s="14" t="s">
        <v>28</v>
      </c>
      <c r="C1" s="14" t="s">
        <v>29</v>
      </c>
      <c r="D1" s="14" t="s">
        <v>50</v>
      </c>
      <c r="E1" s="14" t="s">
        <v>30</v>
      </c>
      <c r="F1" s="14" t="s">
        <v>39</v>
      </c>
      <c r="G1" s="14" t="s">
        <v>31</v>
      </c>
      <c r="H1" s="12" t="s">
        <v>42</v>
      </c>
      <c r="I1" s="11" t="s">
        <v>43</v>
      </c>
      <c r="J1" s="11" t="s">
        <v>44</v>
      </c>
      <c r="K1" s="15" t="s">
        <v>45</v>
      </c>
      <c r="L1" s="15" t="s">
        <v>46</v>
      </c>
      <c r="M1" s="11" t="s">
        <v>47</v>
      </c>
      <c r="N1" s="11" t="s">
        <v>48</v>
      </c>
      <c r="O1" s="11" t="s">
        <v>49</v>
      </c>
    </row>
    <row r="2" spans="1:18" x14ac:dyDescent="0.3">
      <c r="A2" s="11"/>
      <c r="B2" s="11">
        <v>0</v>
      </c>
      <c r="C2" s="11" t="s">
        <v>0</v>
      </c>
      <c r="D2" s="11"/>
      <c r="E2" s="11" t="s">
        <v>36</v>
      </c>
      <c r="F2" s="11" t="s">
        <v>29</v>
      </c>
      <c r="G2" s="11"/>
      <c r="H2" s="12">
        <v>10.63</v>
      </c>
      <c r="I2" s="11">
        <v>50</v>
      </c>
      <c r="J2" s="11">
        <v>0</v>
      </c>
      <c r="K2" s="15">
        <f>(H2/I2)*(0.1)^(J2)</f>
        <v>0.21260000000000001</v>
      </c>
      <c r="L2" s="16">
        <f>1/K2</f>
        <v>4.7036688617121349</v>
      </c>
      <c r="M2" s="11">
        <v>189</v>
      </c>
      <c r="N2" s="17">
        <f t="shared" ref="N2:N13" si="0">(M2/0.1)*L2</f>
        <v>8889.9341486359353</v>
      </c>
      <c r="O2" s="16">
        <f>SUM(M2:M6)/(0.1*((1*3)+(0.1*2))*K2)</f>
        <v>12420.625587958604</v>
      </c>
    </row>
    <row r="3" spans="1:18" x14ac:dyDescent="0.3">
      <c r="A3" s="11"/>
      <c r="B3" s="11">
        <v>0</v>
      </c>
      <c r="C3" s="11" t="s">
        <v>0</v>
      </c>
      <c r="D3" s="11"/>
      <c r="E3" s="11" t="s">
        <v>36</v>
      </c>
      <c r="F3" s="11" t="s">
        <v>29</v>
      </c>
      <c r="G3" s="11"/>
      <c r="H3" s="12">
        <v>10.63</v>
      </c>
      <c r="I3" s="11">
        <v>50</v>
      </c>
      <c r="J3" s="11">
        <v>0</v>
      </c>
      <c r="K3" s="15">
        <f t="shared" ref="K3:K13" si="1">(H3/I3)*(0.1)^(J3)</f>
        <v>0.21260000000000001</v>
      </c>
      <c r="L3" s="16">
        <f t="shared" ref="L3:L6" si="2">1/K3</f>
        <v>4.7036688617121349</v>
      </c>
      <c r="M3" s="11">
        <v>295</v>
      </c>
      <c r="N3" s="17">
        <f t="shared" si="0"/>
        <v>13875.823142050798</v>
      </c>
      <c r="O3" s="16"/>
    </row>
    <row r="4" spans="1:18" x14ac:dyDescent="0.3">
      <c r="A4" s="11"/>
      <c r="B4" s="11">
        <v>0</v>
      </c>
      <c r="C4" s="11" t="s">
        <v>0</v>
      </c>
      <c r="D4" s="11"/>
      <c r="E4" s="11" t="s">
        <v>36</v>
      </c>
      <c r="F4" s="11" t="s">
        <v>29</v>
      </c>
      <c r="G4" s="11"/>
      <c r="H4" s="12">
        <v>10.63</v>
      </c>
      <c r="I4" s="11">
        <v>50</v>
      </c>
      <c r="J4" s="11">
        <v>0</v>
      </c>
      <c r="K4" s="15">
        <f t="shared" si="1"/>
        <v>0.21260000000000001</v>
      </c>
      <c r="L4" s="16">
        <f t="shared" si="2"/>
        <v>4.7036688617121349</v>
      </c>
      <c r="M4" s="11">
        <v>205</v>
      </c>
      <c r="N4" s="17">
        <f t="shared" si="0"/>
        <v>9642.5211665098759</v>
      </c>
      <c r="O4" s="16"/>
    </row>
    <row r="5" spans="1:18" x14ac:dyDescent="0.3">
      <c r="A5" s="11"/>
      <c r="B5" s="11">
        <v>0</v>
      </c>
      <c r="C5" s="11" t="s">
        <v>0</v>
      </c>
      <c r="D5" s="11"/>
      <c r="E5" s="11" t="s">
        <v>36</v>
      </c>
      <c r="F5" s="11" t="s">
        <v>29</v>
      </c>
      <c r="G5" s="11"/>
      <c r="H5" s="12">
        <v>10.63</v>
      </c>
      <c r="I5" s="11">
        <v>50</v>
      </c>
      <c r="J5" s="11">
        <v>1</v>
      </c>
      <c r="K5" s="15">
        <f t="shared" si="1"/>
        <v>2.1260000000000001E-2</v>
      </c>
      <c r="L5" s="16">
        <f>1/K5</f>
        <v>47.036688617121349</v>
      </c>
      <c r="M5" s="11">
        <v>77</v>
      </c>
      <c r="N5" s="17">
        <f t="shared" si="0"/>
        <v>36218.250235183441</v>
      </c>
      <c r="O5" s="16"/>
    </row>
    <row r="6" spans="1:18" x14ac:dyDescent="0.3">
      <c r="A6" s="11"/>
      <c r="B6" s="11">
        <v>0</v>
      </c>
      <c r="C6" s="11" t="s">
        <v>0</v>
      </c>
      <c r="D6" s="11"/>
      <c r="E6" s="11" t="s">
        <v>36</v>
      </c>
      <c r="F6" s="11" t="s">
        <v>29</v>
      </c>
      <c r="G6" s="11"/>
      <c r="H6" s="12">
        <v>10.63</v>
      </c>
      <c r="I6" s="11">
        <v>50</v>
      </c>
      <c r="J6" s="11">
        <v>1</v>
      </c>
      <c r="K6" s="15">
        <f t="shared" si="1"/>
        <v>2.1260000000000001E-2</v>
      </c>
      <c r="L6" s="16">
        <f t="shared" si="2"/>
        <v>47.036688617121349</v>
      </c>
      <c r="M6" s="11">
        <v>79</v>
      </c>
      <c r="N6" s="17">
        <f t="shared" si="0"/>
        <v>37158.984007525869</v>
      </c>
      <c r="O6" s="16"/>
      <c r="Q6" s="1">
        <f>AVERAGE(O2,O7,O12)</f>
        <v>65996617.977610163</v>
      </c>
      <c r="R6">
        <f>LOG(Q6)</f>
        <v>7.8195216805222412</v>
      </c>
    </row>
    <row r="7" spans="1:18" x14ac:dyDescent="0.3">
      <c r="A7" s="11"/>
      <c r="B7" s="11">
        <v>0</v>
      </c>
      <c r="C7" s="11" t="s">
        <v>1</v>
      </c>
      <c r="D7" s="11"/>
      <c r="E7" s="11" t="s">
        <v>36</v>
      </c>
      <c r="F7" s="11" t="s">
        <v>29</v>
      </c>
      <c r="G7" s="11"/>
      <c r="H7" s="12">
        <v>6.61</v>
      </c>
      <c r="I7" s="11">
        <v>50</v>
      </c>
      <c r="J7" s="11">
        <v>4</v>
      </c>
      <c r="K7" s="15">
        <f t="shared" si="1"/>
        <v>1.3220000000000007E-5</v>
      </c>
      <c r="L7" s="16">
        <f>1/K7</f>
        <v>75642.965204235967</v>
      </c>
      <c r="M7" s="10">
        <v>216</v>
      </c>
      <c r="N7" s="17">
        <f t="shared" si="0"/>
        <v>163388804.84114969</v>
      </c>
      <c r="O7" s="16">
        <f>SUM(M7:M11)/(0.1*((1*3)+(0.1*2))*K7)</f>
        <v>186743570.34795752</v>
      </c>
      <c r="Q7" s="1">
        <f>STDEV(O2,O7,O12)</f>
        <v>104720342.20750678</v>
      </c>
    </row>
    <row r="8" spans="1:18" x14ac:dyDescent="0.3">
      <c r="A8" s="11"/>
      <c r="B8" s="11">
        <v>0</v>
      </c>
      <c r="C8" s="11" t="s">
        <v>1</v>
      </c>
      <c r="D8" s="11"/>
      <c r="E8" s="11" t="s">
        <v>36</v>
      </c>
      <c r="F8" s="11" t="s">
        <v>29</v>
      </c>
      <c r="G8" s="11"/>
      <c r="H8" s="12">
        <v>6.61</v>
      </c>
      <c r="I8" s="11">
        <v>50</v>
      </c>
      <c r="J8" s="11">
        <v>4</v>
      </c>
      <c r="K8" s="15">
        <f t="shared" si="1"/>
        <v>1.3220000000000007E-5</v>
      </c>
      <c r="L8" s="16">
        <f>1/K8</f>
        <v>75642.965204235967</v>
      </c>
      <c r="M8" s="10">
        <v>213</v>
      </c>
      <c r="N8" s="17">
        <f t="shared" si="0"/>
        <v>161119515.88502261</v>
      </c>
      <c r="O8" s="16"/>
    </row>
    <row r="9" spans="1:18" x14ac:dyDescent="0.3">
      <c r="A9" s="11"/>
      <c r="B9" s="11">
        <v>0</v>
      </c>
      <c r="C9" s="11" t="s">
        <v>1</v>
      </c>
      <c r="D9" s="11"/>
      <c r="E9" s="11" t="s">
        <v>36</v>
      </c>
      <c r="F9" s="11" t="s">
        <v>29</v>
      </c>
      <c r="G9" s="11"/>
      <c r="H9" s="12">
        <v>6.61</v>
      </c>
      <c r="I9" s="11">
        <v>50</v>
      </c>
      <c r="J9" s="11">
        <v>4</v>
      </c>
      <c r="K9" s="15">
        <f t="shared" si="1"/>
        <v>1.3220000000000007E-5</v>
      </c>
      <c r="L9" s="16">
        <f t="shared" ref="L9:L12" si="3">1/K9</f>
        <v>75642.965204235967</v>
      </c>
      <c r="M9" s="10">
        <v>144</v>
      </c>
      <c r="N9" s="17">
        <f t="shared" si="0"/>
        <v>108925869.89409979</v>
      </c>
      <c r="O9" s="16"/>
    </row>
    <row r="10" spans="1:18" x14ac:dyDescent="0.3">
      <c r="A10" s="11"/>
      <c r="B10" s="11">
        <v>0</v>
      </c>
      <c r="C10" s="11" t="s">
        <v>1</v>
      </c>
      <c r="D10" s="11"/>
      <c r="E10" s="11" t="s">
        <v>36</v>
      </c>
      <c r="F10" s="11" t="s">
        <v>29</v>
      </c>
      <c r="G10" s="11"/>
      <c r="H10" s="12">
        <v>6.61</v>
      </c>
      <c r="I10" s="11">
        <v>50</v>
      </c>
      <c r="J10" s="11">
        <v>5</v>
      </c>
      <c r="K10" s="15">
        <f t="shared" si="1"/>
        <v>1.3220000000000009E-6</v>
      </c>
      <c r="L10" s="16">
        <f t="shared" si="3"/>
        <v>756429.65204235958</v>
      </c>
      <c r="M10" s="10">
        <v>40</v>
      </c>
      <c r="N10" s="17">
        <f t="shared" si="0"/>
        <v>302571860.81694382</v>
      </c>
      <c r="O10" s="16"/>
    </row>
    <row r="11" spans="1:18" x14ac:dyDescent="0.3">
      <c r="A11" s="11"/>
      <c r="B11" s="11">
        <v>0</v>
      </c>
      <c r="C11" s="11" t="s">
        <v>1</v>
      </c>
      <c r="D11" s="11"/>
      <c r="E11" s="11" t="s">
        <v>36</v>
      </c>
      <c r="F11" s="11" t="s">
        <v>29</v>
      </c>
      <c r="G11" s="11"/>
      <c r="H11" s="12">
        <v>6.61</v>
      </c>
      <c r="I11" s="11">
        <v>50</v>
      </c>
      <c r="J11" s="11">
        <v>5</v>
      </c>
      <c r="K11" s="15">
        <f t="shared" si="1"/>
        <v>1.3220000000000009E-6</v>
      </c>
      <c r="L11" s="16">
        <f t="shared" si="3"/>
        <v>756429.65204235958</v>
      </c>
      <c r="M11" s="10">
        <v>177</v>
      </c>
      <c r="N11" s="17">
        <f t="shared" si="0"/>
        <v>1338880484.1149764</v>
      </c>
      <c r="O11" s="16"/>
    </row>
    <row r="12" spans="1:18" x14ac:dyDescent="0.3">
      <c r="A12" s="11"/>
      <c r="B12" s="11">
        <v>0</v>
      </c>
      <c r="C12" s="11" t="s">
        <v>2</v>
      </c>
      <c r="D12" s="11"/>
      <c r="E12" s="11" t="s">
        <v>36</v>
      </c>
      <c r="F12" s="11" t="s">
        <v>29</v>
      </c>
      <c r="G12" s="11"/>
      <c r="H12" s="12">
        <v>8.0559999999999992</v>
      </c>
      <c r="I12" s="11">
        <v>50</v>
      </c>
      <c r="J12" s="11">
        <v>3</v>
      </c>
      <c r="K12" s="15">
        <f t="shared" si="1"/>
        <v>1.6112000000000003E-4</v>
      </c>
      <c r="L12" s="16">
        <f t="shared" si="3"/>
        <v>6206.5541211519358</v>
      </c>
      <c r="M12" s="11">
        <v>82</v>
      </c>
      <c r="N12" s="17">
        <f t="shared" si="0"/>
        <v>5089374.3793445872</v>
      </c>
      <c r="O12" s="16">
        <f>AVERAGE(N12:N13)</f>
        <v>11233862.959285004</v>
      </c>
    </row>
    <row r="13" spans="1:18" x14ac:dyDescent="0.3">
      <c r="A13" s="11"/>
      <c r="B13" s="11">
        <v>0</v>
      </c>
      <c r="C13" s="11" t="s">
        <v>2</v>
      </c>
      <c r="D13" s="11"/>
      <c r="E13" s="11" t="s">
        <v>36</v>
      </c>
      <c r="F13" s="11" t="s">
        <v>29</v>
      </c>
      <c r="G13" s="11"/>
      <c r="H13" s="12">
        <v>8.0559999999999992</v>
      </c>
      <c r="I13" s="11">
        <v>50</v>
      </c>
      <c r="J13" s="11">
        <v>3</v>
      </c>
      <c r="K13" s="15">
        <f t="shared" si="1"/>
        <v>1.6112000000000003E-4</v>
      </c>
      <c r="L13" s="16">
        <f>1/K13</f>
        <v>6206.5541211519358</v>
      </c>
      <c r="M13" s="11">
        <v>280</v>
      </c>
      <c r="N13" s="17">
        <f t="shared" si="0"/>
        <v>17378351.539225422</v>
      </c>
      <c r="O13" s="16"/>
    </row>
    <row r="14" spans="1:18" s="2" customFormat="1" x14ac:dyDescent="0.3">
      <c r="A14" s="11"/>
      <c r="B14" s="11">
        <v>3</v>
      </c>
      <c r="C14" s="11" t="s">
        <v>1</v>
      </c>
      <c r="D14" s="11"/>
      <c r="E14" s="14" t="s">
        <v>34</v>
      </c>
      <c r="F14" s="14" t="s">
        <v>3</v>
      </c>
      <c r="G14" s="11" t="s">
        <v>33</v>
      </c>
      <c r="H14" s="12"/>
      <c r="I14" s="11"/>
      <c r="J14" s="11">
        <v>5</v>
      </c>
      <c r="K14" s="15">
        <f>(0.1)^(J14)</f>
        <v>1.0000000000000006E-5</v>
      </c>
      <c r="L14" s="16"/>
      <c r="M14" s="10">
        <v>137</v>
      </c>
      <c r="N14" s="16">
        <f t="shared" ref="N14:N37" si="4">M14/(0.1*K14)</f>
        <v>136999999.99999991</v>
      </c>
      <c r="O14" s="16">
        <f>SUM(M14:M15)/(0.1*((1*1)+(0.1*1))*K14)</f>
        <v>169999999.99999988</v>
      </c>
      <c r="Q14" s="3"/>
    </row>
    <row r="15" spans="1:18" s="2" customFormat="1" x14ac:dyDescent="0.3">
      <c r="A15" s="11"/>
      <c r="B15" s="11">
        <v>3</v>
      </c>
      <c r="C15" s="11" t="s">
        <v>1</v>
      </c>
      <c r="D15" s="11"/>
      <c r="E15" s="14" t="s">
        <v>34</v>
      </c>
      <c r="F15" s="14" t="s">
        <v>3</v>
      </c>
      <c r="G15" s="11" t="s">
        <v>33</v>
      </c>
      <c r="H15" s="12"/>
      <c r="I15" s="11"/>
      <c r="J15" s="11">
        <v>6</v>
      </c>
      <c r="K15" s="15">
        <f t="shared" ref="K15:K22" si="5">(0.1)^(J15)</f>
        <v>1.0000000000000006E-6</v>
      </c>
      <c r="L15" s="16"/>
      <c r="M15" s="10">
        <v>50</v>
      </c>
      <c r="N15" s="16">
        <f t="shared" si="4"/>
        <v>499999999.9999997</v>
      </c>
      <c r="O15" s="16"/>
      <c r="Q15" s="3"/>
    </row>
    <row r="16" spans="1:18" s="2" customFormat="1" x14ac:dyDescent="0.3">
      <c r="A16" s="11"/>
      <c r="B16" s="11">
        <v>3</v>
      </c>
      <c r="C16" s="11" t="s">
        <v>0</v>
      </c>
      <c r="D16" s="11"/>
      <c r="E16" s="14" t="s">
        <v>34</v>
      </c>
      <c r="F16" s="14" t="s">
        <v>3</v>
      </c>
      <c r="G16" s="11" t="s">
        <v>33</v>
      </c>
      <c r="H16" s="12"/>
      <c r="I16" s="11"/>
      <c r="J16" s="11">
        <v>5</v>
      </c>
      <c r="K16" s="15">
        <f t="shared" si="5"/>
        <v>1.0000000000000006E-5</v>
      </c>
      <c r="L16" s="16"/>
      <c r="M16" s="10">
        <v>37</v>
      </c>
      <c r="N16" s="16">
        <f t="shared" si="4"/>
        <v>36999999.999999978</v>
      </c>
      <c r="O16" s="16">
        <f>SUM(M16:M18)/(0.1*((1*2)+(0.1*1))*K16)</f>
        <v>186190476.19047606</v>
      </c>
      <c r="Q16" s="3"/>
    </row>
    <row r="17" spans="1:19" x14ac:dyDescent="0.3">
      <c r="A17" s="11"/>
      <c r="B17" s="11">
        <v>3</v>
      </c>
      <c r="C17" s="11" t="s">
        <v>0</v>
      </c>
      <c r="D17" s="11"/>
      <c r="E17" s="14" t="s">
        <v>34</v>
      </c>
      <c r="F17" s="14" t="s">
        <v>3</v>
      </c>
      <c r="G17" s="11" t="s">
        <v>33</v>
      </c>
      <c r="H17" s="12"/>
      <c r="I17" s="11"/>
      <c r="J17" s="11">
        <v>5</v>
      </c>
      <c r="K17" s="15">
        <f t="shared" si="5"/>
        <v>1.0000000000000006E-5</v>
      </c>
      <c r="L17" s="16"/>
      <c r="M17" s="10">
        <v>300</v>
      </c>
      <c r="N17" s="16">
        <f t="shared" si="4"/>
        <v>299999999.99999982</v>
      </c>
      <c r="O17" s="16"/>
    </row>
    <row r="18" spans="1:19" x14ac:dyDescent="0.3">
      <c r="A18" s="11"/>
      <c r="B18" s="11">
        <v>3</v>
      </c>
      <c r="C18" s="11" t="s">
        <v>0</v>
      </c>
      <c r="D18" s="11"/>
      <c r="E18" s="14" t="s">
        <v>34</v>
      </c>
      <c r="F18" s="14" t="s">
        <v>3</v>
      </c>
      <c r="G18" s="11" t="s">
        <v>33</v>
      </c>
      <c r="H18" s="12"/>
      <c r="I18" s="11"/>
      <c r="J18" s="11">
        <v>6</v>
      </c>
      <c r="K18" s="15">
        <f t="shared" si="5"/>
        <v>1.0000000000000006E-6</v>
      </c>
      <c r="L18" s="16"/>
      <c r="M18" s="10">
        <v>54</v>
      </c>
      <c r="N18" s="16">
        <f t="shared" si="4"/>
        <v>539999999.99999964</v>
      </c>
      <c r="O18" s="16"/>
    </row>
    <row r="19" spans="1:19" x14ac:dyDescent="0.3">
      <c r="A19" s="11"/>
      <c r="B19" s="11">
        <v>3</v>
      </c>
      <c r="C19" s="11"/>
      <c r="D19" s="11"/>
      <c r="E19" s="14" t="s">
        <v>37</v>
      </c>
      <c r="F19" s="14" t="s">
        <v>3</v>
      </c>
      <c r="G19" s="11" t="s">
        <v>33</v>
      </c>
      <c r="H19" s="12"/>
      <c r="I19" s="11"/>
      <c r="J19" s="11">
        <v>5</v>
      </c>
      <c r="K19" s="15">
        <f t="shared" si="5"/>
        <v>1.0000000000000006E-5</v>
      </c>
      <c r="L19" s="16"/>
      <c r="M19" s="10">
        <v>135</v>
      </c>
      <c r="N19" s="16">
        <f t="shared" si="4"/>
        <v>134999999.99999991</v>
      </c>
      <c r="O19" s="16">
        <f>SUM(M19:M22)/(0.1*((1*2)+(0.1*2))*K19)</f>
        <v>253636363.63636348</v>
      </c>
    </row>
    <row r="20" spans="1:19" x14ac:dyDescent="0.3">
      <c r="A20" s="11"/>
      <c r="B20" s="11">
        <v>3</v>
      </c>
      <c r="C20" s="11"/>
      <c r="D20" s="11"/>
      <c r="E20" s="14" t="s">
        <v>37</v>
      </c>
      <c r="F20" s="14" t="s">
        <v>3</v>
      </c>
      <c r="G20" s="11" t="s">
        <v>33</v>
      </c>
      <c r="H20" s="12"/>
      <c r="I20" s="11"/>
      <c r="J20" s="11">
        <v>5</v>
      </c>
      <c r="K20" s="15">
        <f t="shared" si="5"/>
        <v>1.0000000000000006E-5</v>
      </c>
      <c r="L20" s="16"/>
      <c r="M20" s="10">
        <v>34</v>
      </c>
      <c r="N20" s="16">
        <f t="shared" si="4"/>
        <v>33999999.999999978</v>
      </c>
      <c r="O20" s="16"/>
    </row>
    <row r="21" spans="1:19" x14ac:dyDescent="0.3">
      <c r="A21" s="11"/>
      <c r="B21" s="11">
        <v>3</v>
      </c>
      <c r="C21" s="11"/>
      <c r="D21" s="11"/>
      <c r="E21" s="14" t="s">
        <v>37</v>
      </c>
      <c r="F21" s="14" t="s">
        <v>3</v>
      </c>
      <c r="G21" s="11" t="s">
        <v>33</v>
      </c>
      <c r="H21" s="12"/>
      <c r="I21" s="11"/>
      <c r="J21" s="11">
        <v>6</v>
      </c>
      <c r="K21" s="15">
        <f t="shared" si="5"/>
        <v>1.0000000000000006E-6</v>
      </c>
      <c r="L21" s="16"/>
      <c r="M21" s="10">
        <v>300</v>
      </c>
      <c r="N21" s="16">
        <f t="shared" si="4"/>
        <v>2999999999.9999981</v>
      </c>
      <c r="O21" s="16"/>
    </row>
    <row r="22" spans="1:19" x14ac:dyDescent="0.3">
      <c r="A22" s="11"/>
      <c r="B22" s="11">
        <v>3</v>
      </c>
      <c r="C22" s="11"/>
      <c r="D22" s="11"/>
      <c r="E22" s="14" t="s">
        <v>37</v>
      </c>
      <c r="F22" s="14" t="s">
        <v>3</v>
      </c>
      <c r="G22" s="11" t="s">
        <v>33</v>
      </c>
      <c r="H22" s="12"/>
      <c r="I22" s="11"/>
      <c r="J22" s="11">
        <v>6</v>
      </c>
      <c r="K22" s="15">
        <f t="shared" si="5"/>
        <v>1.0000000000000006E-6</v>
      </c>
      <c r="L22" s="16"/>
      <c r="M22" s="10">
        <v>89</v>
      </c>
      <c r="N22" s="16">
        <f t="shared" si="4"/>
        <v>889999999.9999994</v>
      </c>
      <c r="O22" s="16"/>
    </row>
    <row r="23" spans="1:19" s="2" customFormat="1" x14ac:dyDescent="0.3">
      <c r="A23" s="11"/>
      <c r="B23" s="11">
        <v>5</v>
      </c>
      <c r="C23" s="11" t="s">
        <v>1</v>
      </c>
      <c r="D23" s="11"/>
      <c r="E23" s="14" t="s">
        <v>34</v>
      </c>
      <c r="F23" s="14" t="s">
        <v>3</v>
      </c>
      <c r="G23" s="11" t="s">
        <v>33</v>
      </c>
      <c r="H23" s="12"/>
      <c r="I23" s="11"/>
      <c r="J23" s="11">
        <v>6</v>
      </c>
      <c r="K23" s="15">
        <f>(0.1)^(J23)</f>
        <v>1.0000000000000006E-6</v>
      </c>
      <c r="L23" s="16"/>
      <c r="M23" s="10">
        <v>47</v>
      </c>
      <c r="N23" s="16">
        <f t="shared" si="4"/>
        <v>469999999.9999997</v>
      </c>
      <c r="O23" s="16">
        <f>SUM(M23:M27)/(0.1*((1*4)+(0.1*1))*K23)</f>
        <v>1090243902.4390237</v>
      </c>
      <c r="P23" s="4"/>
      <c r="Q23" s="3"/>
      <c r="R23" s="6"/>
      <c r="S23" s="3"/>
    </row>
    <row r="24" spans="1:19" s="2" customFormat="1" x14ac:dyDescent="0.3">
      <c r="A24" s="11"/>
      <c r="B24" s="11">
        <v>5</v>
      </c>
      <c r="C24" s="11" t="s">
        <v>1</v>
      </c>
      <c r="D24" s="11"/>
      <c r="E24" s="14" t="s">
        <v>34</v>
      </c>
      <c r="F24" s="14" t="s">
        <v>3</v>
      </c>
      <c r="G24" s="11" t="s">
        <v>33</v>
      </c>
      <c r="H24" s="12"/>
      <c r="I24" s="11"/>
      <c r="J24" s="11">
        <v>6</v>
      </c>
      <c r="K24" s="15">
        <f t="shared" ref="K24:K37" si="6">(0.1)^(J24)</f>
        <v>1.0000000000000006E-6</v>
      </c>
      <c r="L24" s="16"/>
      <c r="M24" s="10">
        <v>64</v>
      </c>
      <c r="N24" s="16">
        <f t="shared" si="4"/>
        <v>639999999.99999964</v>
      </c>
      <c r="O24" s="16"/>
      <c r="P24" s="4"/>
      <c r="Q24" s="3"/>
      <c r="R24" s="7"/>
    </row>
    <row r="25" spans="1:19" s="2" customFormat="1" x14ac:dyDescent="0.3">
      <c r="A25" s="11"/>
      <c r="B25" s="11">
        <v>5</v>
      </c>
      <c r="C25" s="11" t="s">
        <v>1</v>
      </c>
      <c r="D25" s="11"/>
      <c r="E25" s="14" t="s">
        <v>34</v>
      </c>
      <c r="F25" s="14" t="s">
        <v>3</v>
      </c>
      <c r="G25" s="11" t="s">
        <v>33</v>
      </c>
      <c r="H25" s="12"/>
      <c r="I25" s="11"/>
      <c r="J25" s="11">
        <v>6</v>
      </c>
      <c r="K25" s="15">
        <f t="shared" si="6"/>
        <v>1.0000000000000006E-6</v>
      </c>
      <c r="L25" s="16"/>
      <c r="M25" s="10">
        <v>51</v>
      </c>
      <c r="N25" s="16">
        <f t="shared" si="4"/>
        <v>509999999.9999997</v>
      </c>
      <c r="O25" s="16"/>
      <c r="P25" s="4"/>
      <c r="Q25" s="3"/>
      <c r="R25" s="7"/>
    </row>
    <row r="26" spans="1:19" s="2" customFormat="1" x14ac:dyDescent="0.3">
      <c r="A26" s="11"/>
      <c r="B26" s="11">
        <v>5</v>
      </c>
      <c r="C26" s="11" t="s">
        <v>1</v>
      </c>
      <c r="D26" s="11"/>
      <c r="E26" s="14" t="s">
        <v>34</v>
      </c>
      <c r="F26" s="14" t="s">
        <v>3</v>
      </c>
      <c r="G26" s="11" t="s">
        <v>33</v>
      </c>
      <c r="H26" s="12"/>
      <c r="I26" s="11"/>
      <c r="J26" s="11">
        <v>6</v>
      </c>
      <c r="K26" s="15">
        <f t="shared" si="6"/>
        <v>1.0000000000000006E-6</v>
      </c>
      <c r="L26" s="16"/>
      <c r="M26" s="10">
        <v>112</v>
      </c>
      <c r="N26" s="16">
        <f t="shared" si="4"/>
        <v>1119999999.9999993</v>
      </c>
      <c r="O26" s="16"/>
      <c r="P26" s="4"/>
      <c r="Q26" s="3"/>
      <c r="R26" s="7"/>
    </row>
    <row r="27" spans="1:19" s="2" customFormat="1" x14ac:dyDescent="0.3">
      <c r="A27" s="11"/>
      <c r="B27" s="11">
        <v>5</v>
      </c>
      <c r="C27" s="11" t="s">
        <v>1</v>
      </c>
      <c r="D27" s="11"/>
      <c r="E27" s="14" t="s">
        <v>34</v>
      </c>
      <c r="F27" s="14" t="s">
        <v>3</v>
      </c>
      <c r="G27" s="11" t="s">
        <v>33</v>
      </c>
      <c r="H27" s="12"/>
      <c r="I27" s="11"/>
      <c r="J27" s="11">
        <v>7</v>
      </c>
      <c r="K27" s="15">
        <f t="shared" si="6"/>
        <v>1.0000000000000007E-7</v>
      </c>
      <c r="L27" s="16"/>
      <c r="M27" s="10">
        <v>173</v>
      </c>
      <c r="N27" s="16">
        <f t="shared" si="4"/>
        <v>17299999999.999985</v>
      </c>
      <c r="O27" s="16"/>
      <c r="P27" s="4"/>
      <c r="Q27" s="3"/>
      <c r="R27" s="7"/>
    </row>
    <row r="28" spans="1:19" s="2" customFormat="1" x14ac:dyDescent="0.3">
      <c r="A28" s="11"/>
      <c r="B28" s="11">
        <v>5</v>
      </c>
      <c r="C28" s="11" t="s">
        <v>1</v>
      </c>
      <c r="D28" s="11"/>
      <c r="E28" s="14" t="s">
        <v>34</v>
      </c>
      <c r="F28" s="14" t="s">
        <v>3</v>
      </c>
      <c r="G28" s="11" t="s">
        <v>32</v>
      </c>
      <c r="H28" s="12"/>
      <c r="I28" s="11"/>
      <c r="J28" s="11">
        <v>6</v>
      </c>
      <c r="K28" s="15">
        <f t="shared" si="6"/>
        <v>1.0000000000000006E-6</v>
      </c>
      <c r="L28" s="16"/>
      <c r="M28" s="10">
        <v>119</v>
      </c>
      <c r="N28" s="16">
        <f t="shared" si="4"/>
        <v>1189999999.9999993</v>
      </c>
      <c r="O28" s="16">
        <f>SUM(M28:M31)/(0.1*((1*4)+(0.1*0))*K28)</f>
        <v>989999999.9999994</v>
      </c>
      <c r="P28" s="4"/>
      <c r="Q28" s="3"/>
      <c r="R28" s="6"/>
      <c r="S28" s="3"/>
    </row>
    <row r="29" spans="1:19" s="2" customFormat="1" x14ac:dyDescent="0.3">
      <c r="A29" s="11"/>
      <c r="B29" s="11">
        <v>5</v>
      </c>
      <c r="C29" s="11" t="s">
        <v>1</v>
      </c>
      <c r="D29" s="11"/>
      <c r="E29" s="14" t="s">
        <v>34</v>
      </c>
      <c r="F29" s="14" t="s">
        <v>3</v>
      </c>
      <c r="G29" s="11" t="s">
        <v>32</v>
      </c>
      <c r="H29" s="12"/>
      <c r="I29" s="11"/>
      <c r="J29" s="11">
        <v>6</v>
      </c>
      <c r="K29" s="15">
        <f t="shared" si="6"/>
        <v>1.0000000000000006E-6</v>
      </c>
      <c r="L29" s="16"/>
      <c r="M29" s="10">
        <v>83</v>
      </c>
      <c r="N29" s="16">
        <f t="shared" si="4"/>
        <v>829999999.99999952</v>
      </c>
      <c r="O29" s="16"/>
      <c r="P29" s="5"/>
      <c r="Q29" s="3"/>
      <c r="R29" s="7"/>
    </row>
    <row r="30" spans="1:19" s="2" customFormat="1" x14ac:dyDescent="0.3">
      <c r="A30" s="11"/>
      <c r="B30" s="11">
        <v>5</v>
      </c>
      <c r="C30" s="11" t="s">
        <v>1</v>
      </c>
      <c r="D30" s="11"/>
      <c r="E30" s="14" t="s">
        <v>34</v>
      </c>
      <c r="F30" s="14" t="s">
        <v>3</v>
      </c>
      <c r="G30" s="11" t="s">
        <v>32</v>
      </c>
      <c r="H30" s="12"/>
      <c r="I30" s="11"/>
      <c r="J30" s="11">
        <v>6</v>
      </c>
      <c r="K30" s="15">
        <f t="shared" si="6"/>
        <v>1.0000000000000006E-6</v>
      </c>
      <c r="L30" s="16"/>
      <c r="M30" s="10">
        <v>89</v>
      </c>
      <c r="N30" s="16">
        <f t="shared" si="4"/>
        <v>889999999.9999994</v>
      </c>
      <c r="O30" s="16"/>
      <c r="P30" s="5"/>
      <c r="Q30" s="3"/>
      <c r="R30" s="7"/>
    </row>
    <row r="31" spans="1:19" s="2" customFormat="1" x14ac:dyDescent="0.3">
      <c r="A31" s="11"/>
      <c r="B31" s="11">
        <v>5</v>
      </c>
      <c r="C31" s="11" t="s">
        <v>1</v>
      </c>
      <c r="D31" s="11"/>
      <c r="E31" s="14" t="s">
        <v>34</v>
      </c>
      <c r="F31" s="14" t="s">
        <v>3</v>
      </c>
      <c r="G31" s="11" t="s">
        <v>32</v>
      </c>
      <c r="H31" s="12"/>
      <c r="I31" s="11"/>
      <c r="J31" s="11">
        <v>6</v>
      </c>
      <c r="K31" s="15">
        <f t="shared" si="6"/>
        <v>1.0000000000000006E-6</v>
      </c>
      <c r="L31" s="16"/>
      <c r="M31" s="10">
        <v>105</v>
      </c>
      <c r="N31" s="16">
        <f t="shared" si="4"/>
        <v>1049999999.9999994</v>
      </c>
      <c r="O31" s="16"/>
      <c r="P31" s="5"/>
      <c r="Q31" s="3"/>
      <c r="R31" s="7"/>
    </row>
    <row r="32" spans="1:19" x14ac:dyDescent="0.3">
      <c r="A32" s="11"/>
      <c r="B32" s="11">
        <v>5</v>
      </c>
      <c r="C32" s="11" t="s">
        <v>0</v>
      </c>
      <c r="D32" s="11"/>
      <c r="E32" s="14" t="s">
        <v>34</v>
      </c>
      <c r="F32" s="14" t="s">
        <v>3</v>
      </c>
      <c r="G32" s="11" t="s">
        <v>32</v>
      </c>
      <c r="H32" s="12"/>
      <c r="I32" s="11"/>
      <c r="J32" s="11">
        <v>6</v>
      </c>
      <c r="K32" s="15">
        <f t="shared" si="6"/>
        <v>1.0000000000000006E-6</v>
      </c>
      <c r="L32" s="16"/>
      <c r="M32" s="10">
        <v>136</v>
      </c>
      <c r="N32" s="16">
        <f t="shared" si="4"/>
        <v>1359999999.999999</v>
      </c>
      <c r="O32" s="16">
        <f>SUM(M32:M34)/(0.1*((1*3)+(0.1*0))*K32)</f>
        <v>1513333333.3333323</v>
      </c>
      <c r="Q32" s="3"/>
      <c r="R32" s="6"/>
      <c r="S32" s="3"/>
    </row>
    <row r="33" spans="1:19" x14ac:dyDescent="0.3">
      <c r="A33" s="11"/>
      <c r="B33" s="11">
        <v>5</v>
      </c>
      <c r="C33" s="11" t="s">
        <v>0</v>
      </c>
      <c r="D33" s="11"/>
      <c r="E33" s="14" t="s">
        <v>34</v>
      </c>
      <c r="F33" s="14" t="s">
        <v>3</v>
      </c>
      <c r="G33" s="11" t="s">
        <v>32</v>
      </c>
      <c r="H33" s="12"/>
      <c r="I33" s="11"/>
      <c r="J33" s="11">
        <v>6</v>
      </c>
      <c r="K33" s="15">
        <f t="shared" si="6"/>
        <v>1.0000000000000006E-6</v>
      </c>
      <c r="L33" s="16"/>
      <c r="M33" s="10">
        <v>170</v>
      </c>
      <c r="N33" s="16">
        <f t="shared" si="4"/>
        <v>1699999999.999999</v>
      </c>
      <c r="O33" s="16"/>
      <c r="R33" s="8"/>
    </row>
    <row r="34" spans="1:19" x14ac:dyDescent="0.3">
      <c r="A34" s="11"/>
      <c r="B34" s="11">
        <v>5</v>
      </c>
      <c r="C34" s="11" t="s">
        <v>0</v>
      </c>
      <c r="D34" s="11"/>
      <c r="E34" s="14" t="s">
        <v>34</v>
      </c>
      <c r="F34" s="14" t="s">
        <v>3</v>
      </c>
      <c r="G34" s="11" t="s">
        <v>32</v>
      </c>
      <c r="H34" s="12"/>
      <c r="I34" s="11"/>
      <c r="J34" s="11">
        <v>6</v>
      </c>
      <c r="K34" s="15">
        <f t="shared" si="6"/>
        <v>1.0000000000000006E-6</v>
      </c>
      <c r="L34" s="16"/>
      <c r="M34" s="10">
        <v>148</v>
      </c>
      <c r="N34" s="16">
        <f t="shared" si="4"/>
        <v>1479999999.999999</v>
      </c>
      <c r="O34" s="16"/>
      <c r="R34" s="8"/>
    </row>
    <row r="35" spans="1:19" x14ac:dyDescent="0.3">
      <c r="A35" s="11"/>
      <c r="B35" s="11">
        <v>5</v>
      </c>
      <c r="C35" s="11" t="s">
        <v>0</v>
      </c>
      <c r="D35" s="11"/>
      <c r="E35" s="14" t="s">
        <v>34</v>
      </c>
      <c r="F35" s="14" t="s">
        <v>3</v>
      </c>
      <c r="G35" s="11" t="s">
        <v>33</v>
      </c>
      <c r="H35" s="12"/>
      <c r="I35" s="11"/>
      <c r="J35" s="11">
        <v>6</v>
      </c>
      <c r="K35" s="15">
        <f t="shared" si="6"/>
        <v>1.0000000000000006E-6</v>
      </c>
      <c r="L35" s="16"/>
      <c r="M35" s="10">
        <v>138</v>
      </c>
      <c r="N35" s="16">
        <f t="shared" si="4"/>
        <v>1379999999.999999</v>
      </c>
      <c r="O35" s="16">
        <f>SUM(M35:M37)/(0.1*((1*2)+(0.1*1)+(0.01*1))*K35)</f>
        <v>2597156398.1042638</v>
      </c>
      <c r="Q35" s="3"/>
      <c r="R35" s="6"/>
      <c r="S35" s="3"/>
    </row>
    <row r="36" spans="1:19" x14ac:dyDescent="0.3">
      <c r="A36" s="11"/>
      <c r="B36" s="11">
        <v>5</v>
      </c>
      <c r="C36" s="11" t="s">
        <v>0</v>
      </c>
      <c r="D36" s="11"/>
      <c r="E36" s="14" t="s">
        <v>34</v>
      </c>
      <c r="F36" s="14" t="s">
        <v>3</v>
      </c>
      <c r="G36" s="11" t="s">
        <v>33</v>
      </c>
      <c r="H36" s="12"/>
      <c r="I36" s="11"/>
      <c r="J36" s="11">
        <v>6</v>
      </c>
      <c r="K36" s="15">
        <f t="shared" si="6"/>
        <v>1.0000000000000006E-6</v>
      </c>
      <c r="L36" s="16"/>
      <c r="M36" s="10">
        <v>300</v>
      </c>
      <c r="N36" s="16">
        <f t="shared" si="4"/>
        <v>2999999999.9999981</v>
      </c>
      <c r="O36" s="16"/>
    </row>
    <row r="37" spans="1:19" x14ac:dyDescent="0.3">
      <c r="A37" s="11"/>
      <c r="B37" s="11">
        <v>5</v>
      </c>
      <c r="C37" s="11" t="s">
        <v>0</v>
      </c>
      <c r="D37" s="11"/>
      <c r="E37" s="14" t="s">
        <v>34</v>
      </c>
      <c r="F37" s="14" t="s">
        <v>3</v>
      </c>
      <c r="G37" s="11" t="s">
        <v>33</v>
      </c>
      <c r="H37" s="12"/>
      <c r="I37" s="11"/>
      <c r="J37" s="11">
        <v>7</v>
      </c>
      <c r="K37" s="15">
        <f t="shared" si="6"/>
        <v>1.0000000000000007E-7</v>
      </c>
      <c r="L37" s="16"/>
      <c r="M37" s="10">
        <v>110</v>
      </c>
      <c r="N37" s="16">
        <f t="shared" si="4"/>
        <v>10999999999.99999</v>
      </c>
      <c r="O37" s="16"/>
    </row>
    <row r="38" spans="1:19" s="2" customFormat="1" x14ac:dyDescent="0.3">
      <c r="A38" s="11" t="s">
        <v>18</v>
      </c>
      <c r="B38" s="11">
        <v>4</v>
      </c>
      <c r="C38" s="11" t="s">
        <v>1</v>
      </c>
      <c r="D38" s="11">
        <v>1</v>
      </c>
      <c r="E38" s="11" t="s">
        <v>1</v>
      </c>
      <c r="F38" s="11" t="s">
        <v>40</v>
      </c>
      <c r="G38" s="11" t="s">
        <v>32</v>
      </c>
      <c r="H38" s="18">
        <f>6.003</f>
        <v>6.0030000000000001</v>
      </c>
      <c r="I38" s="11">
        <v>40</v>
      </c>
      <c r="J38" s="11">
        <v>4</v>
      </c>
      <c r="K38" s="15">
        <f t="shared" ref="K38:K73" si="7">(H38/I38)*(0.1)^(J38)</f>
        <v>1.5007500000000008E-5</v>
      </c>
      <c r="L38" s="13">
        <f>1/K38</f>
        <v>66633.349991670795</v>
      </c>
      <c r="M38" s="10">
        <v>290</v>
      </c>
      <c r="N38" s="17">
        <f t="shared" ref="N38:N69" si="8">(M38/0.1)*L38</f>
        <v>193236714.97584531</v>
      </c>
      <c r="O38" s="16">
        <f>SUM(M38)/(0.1*((1*1)+(0.1*0))*K38)</f>
        <v>193236714.97584531</v>
      </c>
      <c r="Q38" s="3"/>
    </row>
    <row r="39" spans="1:19" s="2" customFormat="1" x14ac:dyDescent="0.3">
      <c r="A39" s="11" t="s">
        <v>19</v>
      </c>
      <c r="B39" s="11">
        <v>4</v>
      </c>
      <c r="C39" s="11" t="s">
        <v>1</v>
      </c>
      <c r="D39" s="11">
        <v>2</v>
      </c>
      <c r="E39" s="11" t="s">
        <v>1</v>
      </c>
      <c r="F39" s="11" t="s">
        <v>40</v>
      </c>
      <c r="G39" s="11" t="s">
        <v>32</v>
      </c>
      <c r="H39" s="18">
        <f>3.782</f>
        <v>3.782</v>
      </c>
      <c r="I39" s="11">
        <v>40</v>
      </c>
      <c r="J39" s="11">
        <v>4</v>
      </c>
      <c r="K39" s="15">
        <f t="shared" si="7"/>
        <v>9.4550000000000035E-6</v>
      </c>
      <c r="L39" s="13">
        <f t="shared" ref="L39:L73" si="9">1/K39</f>
        <v>105764.14595452137</v>
      </c>
      <c r="M39" s="10">
        <v>65</v>
      </c>
      <c r="N39" s="17">
        <f t="shared" si="8"/>
        <v>68746694.870438889</v>
      </c>
      <c r="O39" s="16">
        <f>SUM(M39:M40)/(0.1*((1*2)+(0.1*0))*K39)</f>
        <v>75621364.357482776</v>
      </c>
      <c r="Q39" s="3"/>
    </row>
    <row r="40" spans="1:19" s="2" customFormat="1" x14ac:dyDescent="0.3">
      <c r="A40" s="11" t="s">
        <v>19</v>
      </c>
      <c r="B40" s="11">
        <v>4</v>
      </c>
      <c r="C40" s="11" t="s">
        <v>1</v>
      </c>
      <c r="D40" s="11">
        <v>2</v>
      </c>
      <c r="E40" s="11" t="s">
        <v>1</v>
      </c>
      <c r="F40" s="11" t="s">
        <v>40</v>
      </c>
      <c r="G40" s="11" t="s">
        <v>32</v>
      </c>
      <c r="H40" s="18">
        <f>3.782</f>
        <v>3.782</v>
      </c>
      <c r="I40" s="11">
        <v>40</v>
      </c>
      <c r="J40" s="11">
        <v>4</v>
      </c>
      <c r="K40" s="15">
        <f t="shared" si="7"/>
        <v>9.4550000000000035E-6</v>
      </c>
      <c r="L40" s="13">
        <f t="shared" si="9"/>
        <v>105764.14595452137</v>
      </c>
      <c r="M40" s="10">
        <v>78</v>
      </c>
      <c r="N40" s="17">
        <f t="shared" si="8"/>
        <v>82496033.844526678</v>
      </c>
      <c r="O40" s="16"/>
      <c r="Q40" s="3"/>
    </row>
    <row r="41" spans="1:19" s="2" customFormat="1" x14ac:dyDescent="0.3">
      <c r="A41" s="11" t="s">
        <v>20</v>
      </c>
      <c r="B41" s="11">
        <v>4</v>
      </c>
      <c r="C41" s="11" t="s">
        <v>1</v>
      </c>
      <c r="D41" s="11">
        <v>3</v>
      </c>
      <c r="E41" s="11" t="s">
        <v>1</v>
      </c>
      <c r="F41" s="11" t="s">
        <v>40</v>
      </c>
      <c r="G41" s="11" t="s">
        <v>32</v>
      </c>
      <c r="H41" s="18">
        <f>7.397</f>
        <v>7.3970000000000002</v>
      </c>
      <c r="I41" s="11">
        <v>40</v>
      </c>
      <c r="J41" s="11">
        <v>4</v>
      </c>
      <c r="K41" s="15">
        <f t="shared" si="7"/>
        <v>1.849250000000001E-5</v>
      </c>
      <c r="L41" s="13">
        <f t="shared" si="9"/>
        <v>54075.976747329973</v>
      </c>
      <c r="M41" s="10">
        <v>297</v>
      </c>
      <c r="N41" s="17">
        <f t="shared" si="8"/>
        <v>160605650.93957001</v>
      </c>
      <c r="O41" s="16">
        <f>SUM(M41:M42)/(0.1*((1*2)+(0.1*0))*K41)</f>
        <v>161416790.59077996</v>
      </c>
      <c r="Q41" s="3"/>
    </row>
    <row r="42" spans="1:19" s="2" customFormat="1" x14ac:dyDescent="0.3">
      <c r="A42" s="11" t="s">
        <v>20</v>
      </c>
      <c r="B42" s="11">
        <v>4</v>
      </c>
      <c r="C42" s="11" t="s">
        <v>1</v>
      </c>
      <c r="D42" s="11">
        <v>3</v>
      </c>
      <c r="E42" s="11" t="s">
        <v>1</v>
      </c>
      <c r="F42" s="11" t="s">
        <v>40</v>
      </c>
      <c r="G42" s="11" t="s">
        <v>32</v>
      </c>
      <c r="H42" s="18">
        <f>7.397</f>
        <v>7.3970000000000002</v>
      </c>
      <c r="I42" s="11">
        <v>40</v>
      </c>
      <c r="J42" s="11">
        <v>4</v>
      </c>
      <c r="K42" s="15">
        <f t="shared" si="7"/>
        <v>1.849250000000001E-5</v>
      </c>
      <c r="L42" s="13">
        <f t="shared" si="9"/>
        <v>54075.976747329973</v>
      </c>
      <c r="M42" s="10">
        <v>300</v>
      </c>
      <c r="N42" s="17">
        <f t="shared" si="8"/>
        <v>162227930.24198991</v>
      </c>
      <c r="O42" s="16"/>
      <c r="Q42" s="3"/>
    </row>
    <row r="43" spans="1:19" s="2" customFormat="1" x14ac:dyDescent="0.3">
      <c r="A43" s="11" t="s">
        <v>17</v>
      </c>
      <c r="B43" s="11">
        <v>4</v>
      </c>
      <c r="C43" s="11" t="s">
        <v>1</v>
      </c>
      <c r="D43" s="11">
        <v>4</v>
      </c>
      <c r="E43" s="11" t="s">
        <v>1</v>
      </c>
      <c r="F43" s="11" t="s">
        <v>40</v>
      </c>
      <c r="G43" s="11" t="s">
        <v>32</v>
      </c>
      <c r="H43" s="18">
        <f>4.829</f>
        <v>4.8289999999999997</v>
      </c>
      <c r="I43" s="11">
        <v>40</v>
      </c>
      <c r="J43" s="11">
        <v>4</v>
      </c>
      <c r="K43" s="15">
        <f t="shared" si="7"/>
        <v>1.2072500000000005E-5</v>
      </c>
      <c r="L43" s="13">
        <f t="shared" si="9"/>
        <v>82832.884655208079</v>
      </c>
      <c r="M43" s="10">
        <v>62</v>
      </c>
      <c r="N43" s="17">
        <f t="shared" si="8"/>
        <v>51356388.48622901</v>
      </c>
      <c r="O43" s="16">
        <f>SUM(M43:M44)/(0.1*((1*2)+(0.1*0))*K43)</f>
        <v>52598881.756057128</v>
      </c>
      <c r="Q43" s="3"/>
    </row>
    <row r="44" spans="1:19" s="2" customFormat="1" x14ac:dyDescent="0.3">
      <c r="A44" s="11" t="s">
        <v>17</v>
      </c>
      <c r="B44" s="11">
        <v>4</v>
      </c>
      <c r="C44" s="11" t="s">
        <v>1</v>
      </c>
      <c r="D44" s="11">
        <v>4</v>
      </c>
      <c r="E44" s="11" t="s">
        <v>1</v>
      </c>
      <c r="F44" s="11" t="s">
        <v>40</v>
      </c>
      <c r="G44" s="11" t="s">
        <v>32</v>
      </c>
      <c r="H44" s="18">
        <f>4.829</f>
        <v>4.8289999999999997</v>
      </c>
      <c r="I44" s="11">
        <v>40</v>
      </c>
      <c r="J44" s="11">
        <v>4</v>
      </c>
      <c r="K44" s="15">
        <f t="shared" si="7"/>
        <v>1.2072500000000005E-5</v>
      </c>
      <c r="L44" s="13">
        <f t="shared" si="9"/>
        <v>82832.884655208079</v>
      </c>
      <c r="M44" s="10">
        <v>65</v>
      </c>
      <c r="N44" s="17">
        <f t="shared" si="8"/>
        <v>53841375.025885254</v>
      </c>
      <c r="O44" s="16"/>
      <c r="Q44" s="3"/>
    </row>
    <row r="45" spans="1:19" s="2" customFormat="1" x14ac:dyDescent="0.3">
      <c r="A45" s="11" t="s">
        <v>21</v>
      </c>
      <c r="B45" s="11">
        <v>4</v>
      </c>
      <c r="C45" s="11" t="s">
        <v>1</v>
      </c>
      <c r="D45" s="11">
        <v>1</v>
      </c>
      <c r="E45" s="11" t="s">
        <v>1</v>
      </c>
      <c r="F45" s="11" t="s">
        <v>40</v>
      </c>
      <c r="G45" s="11" t="s">
        <v>33</v>
      </c>
      <c r="H45" s="18">
        <f>8.888</f>
        <v>8.8879999999999999</v>
      </c>
      <c r="I45" s="11">
        <v>40</v>
      </c>
      <c r="J45" s="11">
        <v>4</v>
      </c>
      <c r="K45" s="15">
        <f t="shared" si="7"/>
        <v>2.2220000000000011E-5</v>
      </c>
      <c r="L45" s="13">
        <f t="shared" si="9"/>
        <v>45004.50045004498</v>
      </c>
      <c r="M45" s="10">
        <v>210</v>
      </c>
      <c r="N45" s="17">
        <f t="shared" si="8"/>
        <v>94509450.945094451</v>
      </c>
      <c r="O45" s="16">
        <f>SUM(M45:M46)/(0.1*((1*2)+(0.1*0))*K45)</f>
        <v>70882088.208820835</v>
      </c>
      <c r="Q45" s="3"/>
    </row>
    <row r="46" spans="1:19" s="2" customFormat="1" x14ac:dyDescent="0.3">
      <c r="A46" s="11" t="s">
        <v>21</v>
      </c>
      <c r="B46" s="11">
        <v>4</v>
      </c>
      <c r="C46" s="11" t="s">
        <v>1</v>
      </c>
      <c r="D46" s="11">
        <v>1</v>
      </c>
      <c r="E46" s="11" t="s">
        <v>1</v>
      </c>
      <c r="F46" s="11" t="s">
        <v>40</v>
      </c>
      <c r="G46" s="11" t="s">
        <v>33</v>
      </c>
      <c r="H46" s="18">
        <f>8.888</f>
        <v>8.8879999999999999</v>
      </c>
      <c r="I46" s="11">
        <v>40</v>
      </c>
      <c r="J46" s="11">
        <v>4</v>
      </c>
      <c r="K46" s="15">
        <f t="shared" si="7"/>
        <v>2.2220000000000011E-5</v>
      </c>
      <c r="L46" s="13">
        <f t="shared" si="9"/>
        <v>45004.50045004498</v>
      </c>
      <c r="M46" s="10">
        <v>105</v>
      </c>
      <c r="N46" s="17">
        <f t="shared" si="8"/>
        <v>47254725.472547226</v>
      </c>
      <c r="O46" s="16"/>
      <c r="Q46" s="3"/>
    </row>
    <row r="47" spans="1:19" s="2" customFormat="1" x14ac:dyDescent="0.3">
      <c r="A47" s="11" t="s">
        <v>15</v>
      </c>
      <c r="B47" s="11">
        <v>4</v>
      </c>
      <c r="C47" s="11" t="s">
        <v>1</v>
      </c>
      <c r="D47" s="11">
        <v>2</v>
      </c>
      <c r="E47" s="11" t="s">
        <v>1</v>
      </c>
      <c r="F47" s="11" t="s">
        <v>40</v>
      </c>
      <c r="G47" s="11" t="s">
        <v>33</v>
      </c>
      <c r="H47" s="18">
        <f t="shared" ref="H47:H52" si="10">8.347</f>
        <v>8.3469999999999995</v>
      </c>
      <c r="I47" s="11">
        <v>40</v>
      </c>
      <c r="J47" s="11">
        <v>4</v>
      </c>
      <c r="K47" s="15">
        <f t="shared" si="7"/>
        <v>2.086750000000001E-5</v>
      </c>
      <c r="L47" s="13">
        <f t="shared" si="9"/>
        <v>47921.408889421327</v>
      </c>
      <c r="M47" s="10">
        <v>110</v>
      </c>
      <c r="N47" s="17">
        <f t="shared" si="8"/>
        <v>52713549.778363459</v>
      </c>
      <c r="O47" s="16">
        <f>SUM(M47:M52)/(0.1*((1*6)+(0.1*0))*K47)</f>
        <v>67329579.489636958</v>
      </c>
      <c r="Q47" s="3"/>
    </row>
    <row r="48" spans="1:19" s="2" customFormat="1" x14ac:dyDescent="0.3">
      <c r="A48" s="11" t="s">
        <v>15</v>
      </c>
      <c r="B48" s="11">
        <v>4</v>
      </c>
      <c r="C48" s="11" t="s">
        <v>1</v>
      </c>
      <c r="D48" s="11">
        <v>2</v>
      </c>
      <c r="E48" s="11" t="s">
        <v>1</v>
      </c>
      <c r="F48" s="11" t="s">
        <v>40</v>
      </c>
      <c r="G48" s="11" t="s">
        <v>33</v>
      </c>
      <c r="H48" s="18">
        <f t="shared" si="10"/>
        <v>8.3469999999999995</v>
      </c>
      <c r="I48" s="11">
        <v>40</v>
      </c>
      <c r="J48" s="11">
        <v>4</v>
      </c>
      <c r="K48" s="15">
        <f t="shared" si="7"/>
        <v>2.086750000000001E-5</v>
      </c>
      <c r="L48" s="13">
        <f t="shared" si="9"/>
        <v>47921.408889421327</v>
      </c>
      <c r="M48" s="10">
        <v>100</v>
      </c>
      <c r="N48" s="17">
        <f t="shared" si="8"/>
        <v>47921408.889421329</v>
      </c>
      <c r="O48" s="16"/>
      <c r="Q48" s="3"/>
    </row>
    <row r="49" spans="1:20" s="2" customFormat="1" x14ac:dyDescent="0.3">
      <c r="A49" s="11" t="s">
        <v>15</v>
      </c>
      <c r="B49" s="11">
        <v>4</v>
      </c>
      <c r="C49" s="11" t="s">
        <v>1</v>
      </c>
      <c r="D49" s="11">
        <v>2</v>
      </c>
      <c r="E49" s="11" t="s">
        <v>1</v>
      </c>
      <c r="F49" s="11" t="s">
        <v>40</v>
      </c>
      <c r="G49" s="11" t="s">
        <v>33</v>
      </c>
      <c r="H49" s="18">
        <f t="shared" si="10"/>
        <v>8.3469999999999995</v>
      </c>
      <c r="I49" s="11">
        <v>40</v>
      </c>
      <c r="J49" s="11">
        <v>4</v>
      </c>
      <c r="K49" s="15">
        <f t="shared" si="7"/>
        <v>2.086750000000001E-5</v>
      </c>
      <c r="L49" s="13">
        <f t="shared" si="9"/>
        <v>47921.408889421327</v>
      </c>
      <c r="M49" s="10">
        <v>141</v>
      </c>
      <c r="N49" s="17">
        <f t="shared" si="8"/>
        <v>67569186.534084067</v>
      </c>
      <c r="O49" s="16"/>
      <c r="Q49" s="3"/>
    </row>
    <row r="50" spans="1:20" s="2" customFormat="1" x14ac:dyDescent="0.3">
      <c r="A50" s="11" t="s">
        <v>15</v>
      </c>
      <c r="B50" s="11">
        <v>4</v>
      </c>
      <c r="C50" s="11" t="s">
        <v>1</v>
      </c>
      <c r="D50" s="11">
        <v>2</v>
      </c>
      <c r="E50" s="11" t="s">
        <v>1</v>
      </c>
      <c r="F50" s="11" t="s">
        <v>40</v>
      </c>
      <c r="G50" s="11" t="s">
        <v>33</v>
      </c>
      <c r="H50" s="18">
        <f t="shared" si="10"/>
        <v>8.3469999999999995</v>
      </c>
      <c r="I50" s="11">
        <v>40</v>
      </c>
      <c r="J50" s="11">
        <v>4</v>
      </c>
      <c r="K50" s="15">
        <f t="shared" si="7"/>
        <v>2.086750000000001E-5</v>
      </c>
      <c r="L50" s="13">
        <f t="shared" si="9"/>
        <v>47921.408889421327</v>
      </c>
      <c r="M50" s="10">
        <v>194</v>
      </c>
      <c r="N50" s="17">
        <f t="shared" si="8"/>
        <v>92967533.245477378</v>
      </c>
      <c r="O50" s="16"/>
      <c r="Q50" s="3"/>
    </row>
    <row r="51" spans="1:20" s="2" customFormat="1" x14ac:dyDescent="0.3">
      <c r="A51" s="11" t="s">
        <v>15</v>
      </c>
      <c r="B51" s="11">
        <v>4</v>
      </c>
      <c r="C51" s="11" t="s">
        <v>1</v>
      </c>
      <c r="D51" s="11">
        <v>2</v>
      </c>
      <c r="E51" s="11" t="s">
        <v>1</v>
      </c>
      <c r="F51" s="11" t="s">
        <v>40</v>
      </c>
      <c r="G51" s="11" t="s">
        <v>33</v>
      </c>
      <c r="H51" s="18">
        <f t="shared" si="10"/>
        <v>8.3469999999999995</v>
      </c>
      <c r="I51" s="11">
        <v>40</v>
      </c>
      <c r="J51" s="11">
        <v>4</v>
      </c>
      <c r="K51" s="15">
        <f t="shared" si="7"/>
        <v>2.086750000000001E-5</v>
      </c>
      <c r="L51" s="13">
        <f t="shared" si="9"/>
        <v>47921.408889421327</v>
      </c>
      <c r="M51" s="10">
        <v>60</v>
      </c>
      <c r="N51" s="17">
        <f t="shared" si="8"/>
        <v>28752845.333652798</v>
      </c>
      <c r="O51" s="16"/>
      <c r="Q51" s="3"/>
    </row>
    <row r="52" spans="1:20" s="2" customFormat="1" x14ac:dyDescent="0.3">
      <c r="A52" s="11" t="s">
        <v>15</v>
      </c>
      <c r="B52" s="11">
        <v>4</v>
      </c>
      <c r="C52" s="11" t="s">
        <v>1</v>
      </c>
      <c r="D52" s="11">
        <v>2</v>
      </c>
      <c r="E52" s="11" t="s">
        <v>1</v>
      </c>
      <c r="F52" s="11" t="s">
        <v>40</v>
      </c>
      <c r="G52" s="11" t="s">
        <v>33</v>
      </c>
      <c r="H52" s="18">
        <f t="shared" si="10"/>
        <v>8.3469999999999995</v>
      </c>
      <c r="I52" s="11">
        <v>40</v>
      </c>
      <c r="J52" s="11">
        <v>4</v>
      </c>
      <c r="K52" s="15">
        <f t="shared" si="7"/>
        <v>2.086750000000001E-5</v>
      </c>
      <c r="L52" s="13">
        <f t="shared" si="9"/>
        <v>47921.408889421327</v>
      </c>
      <c r="M52" s="10">
        <v>238</v>
      </c>
      <c r="N52" s="17">
        <f t="shared" si="8"/>
        <v>114052953.15682276</v>
      </c>
      <c r="O52" s="16"/>
      <c r="Q52" s="3"/>
      <c r="T52" s="5"/>
    </row>
    <row r="53" spans="1:20" s="2" customFormat="1" x14ac:dyDescent="0.3">
      <c r="A53" s="11" t="s">
        <v>22</v>
      </c>
      <c r="B53" s="11">
        <v>4</v>
      </c>
      <c r="C53" s="11" t="s">
        <v>1</v>
      </c>
      <c r="D53" s="11">
        <v>3</v>
      </c>
      <c r="E53" s="11" t="s">
        <v>1</v>
      </c>
      <c r="F53" s="11" t="s">
        <v>40</v>
      </c>
      <c r="G53" s="11" t="s">
        <v>33</v>
      </c>
      <c r="H53" s="18">
        <f>5.442</f>
        <v>5.4420000000000002</v>
      </c>
      <c r="I53" s="11">
        <v>40</v>
      </c>
      <c r="J53" s="11">
        <v>4</v>
      </c>
      <c r="K53" s="15">
        <f t="shared" si="7"/>
        <v>1.3605000000000006E-5</v>
      </c>
      <c r="L53" s="13">
        <f t="shared" si="9"/>
        <v>73502.388827636867</v>
      </c>
      <c r="M53" s="10">
        <v>300</v>
      </c>
      <c r="N53" s="17">
        <f t="shared" si="8"/>
        <v>220507166.4829106</v>
      </c>
      <c r="O53" s="16">
        <f>SUM(M53:M54)/(0.1*((1*6)+(0.1*0))*K53)</f>
        <v>73502388.827636853</v>
      </c>
      <c r="Q53" s="3"/>
      <c r="T53" s="5"/>
    </row>
    <row r="54" spans="1:20" s="2" customFormat="1" x14ac:dyDescent="0.3">
      <c r="A54" s="11" t="s">
        <v>22</v>
      </c>
      <c r="B54" s="11">
        <v>4</v>
      </c>
      <c r="C54" s="11" t="s">
        <v>1</v>
      </c>
      <c r="D54" s="11">
        <v>3</v>
      </c>
      <c r="E54" s="11" t="s">
        <v>1</v>
      </c>
      <c r="F54" s="11" t="s">
        <v>40</v>
      </c>
      <c r="G54" s="11" t="s">
        <v>33</v>
      </c>
      <c r="H54" s="18">
        <f>5.442</f>
        <v>5.4420000000000002</v>
      </c>
      <c r="I54" s="11">
        <v>40</v>
      </c>
      <c r="J54" s="11">
        <v>4</v>
      </c>
      <c r="K54" s="15">
        <f t="shared" si="7"/>
        <v>1.3605000000000006E-5</v>
      </c>
      <c r="L54" s="13">
        <f t="shared" si="9"/>
        <v>73502.388827636867</v>
      </c>
      <c r="M54" s="11">
        <v>300</v>
      </c>
      <c r="N54" s="17">
        <f t="shared" si="8"/>
        <v>220507166.4829106</v>
      </c>
      <c r="O54" s="16"/>
      <c r="Q54" s="3"/>
      <c r="T54" s="5"/>
    </row>
    <row r="55" spans="1:20" s="2" customFormat="1" x14ac:dyDescent="0.3">
      <c r="A55" s="11" t="s">
        <v>16</v>
      </c>
      <c r="B55" s="11">
        <v>4</v>
      </c>
      <c r="C55" s="11" t="s">
        <v>1</v>
      </c>
      <c r="D55" s="11">
        <v>4</v>
      </c>
      <c r="E55" s="11" t="s">
        <v>1</v>
      </c>
      <c r="F55" s="11" t="s">
        <v>40</v>
      </c>
      <c r="G55" s="11" t="s">
        <v>33</v>
      </c>
      <c r="H55" s="18">
        <f>7.434</f>
        <v>7.4340000000000002</v>
      </c>
      <c r="I55" s="11">
        <v>40</v>
      </c>
      <c r="J55" s="11">
        <v>4</v>
      </c>
      <c r="K55" s="15">
        <f t="shared" si="7"/>
        <v>1.8585000000000009E-5</v>
      </c>
      <c r="L55" s="13">
        <f t="shared" si="9"/>
        <v>53806.833467850389</v>
      </c>
      <c r="M55" s="10">
        <v>112</v>
      </c>
      <c r="N55" s="17">
        <f t="shared" si="8"/>
        <v>60263653.483992435</v>
      </c>
      <c r="O55" s="16">
        <f>SUM(M55:M57)/(0.1*((1*3)+(0.1*0))*K55)</f>
        <v>91292260.783786148</v>
      </c>
      <c r="Q55" s="3"/>
      <c r="T55" s="5"/>
    </row>
    <row r="56" spans="1:20" s="2" customFormat="1" x14ac:dyDescent="0.3">
      <c r="A56" s="11" t="s">
        <v>16</v>
      </c>
      <c r="B56" s="11">
        <v>4</v>
      </c>
      <c r="C56" s="11" t="s">
        <v>1</v>
      </c>
      <c r="D56" s="11">
        <v>4</v>
      </c>
      <c r="E56" s="11" t="s">
        <v>1</v>
      </c>
      <c r="F56" s="11" t="s">
        <v>40</v>
      </c>
      <c r="G56" s="11" t="s">
        <v>33</v>
      </c>
      <c r="H56" s="18">
        <f>7.434</f>
        <v>7.4340000000000002</v>
      </c>
      <c r="I56" s="11">
        <v>40</v>
      </c>
      <c r="J56" s="11">
        <v>4</v>
      </c>
      <c r="K56" s="15">
        <f t="shared" si="7"/>
        <v>1.8585000000000009E-5</v>
      </c>
      <c r="L56" s="13">
        <f t="shared" si="9"/>
        <v>53806.833467850389</v>
      </c>
      <c r="M56" s="11">
        <v>177</v>
      </c>
      <c r="N56" s="17">
        <f t="shared" si="8"/>
        <v>95238095.238095194</v>
      </c>
      <c r="O56" s="16"/>
      <c r="Q56" s="3"/>
      <c r="T56" s="5"/>
    </row>
    <row r="57" spans="1:20" s="2" customFormat="1" x14ac:dyDescent="0.3">
      <c r="A57" s="11" t="s">
        <v>16</v>
      </c>
      <c r="B57" s="11">
        <v>4</v>
      </c>
      <c r="C57" s="11" t="s">
        <v>1</v>
      </c>
      <c r="D57" s="11">
        <v>4</v>
      </c>
      <c r="E57" s="11" t="s">
        <v>1</v>
      </c>
      <c r="F57" s="11" t="s">
        <v>40</v>
      </c>
      <c r="G57" s="11" t="s">
        <v>33</v>
      </c>
      <c r="H57" s="18">
        <f>7.434</f>
        <v>7.4340000000000002</v>
      </c>
      <c r="I57" s="11">
        <v>40</v>
      </c>
      <c r="J57" s="11">
        <v>4</v>
      </c>
      <c r="K57" s="15">
        <f t="shared" si="7"/>
        <v>1.8585000000000009E-5</v>
      </c>
      <c r="L57" s="13">
        <f t="shared" si="9"/>
        <v>53806.833467850389</v>
      </c>
      <c r="M57" s="10">
        <v>220</v>
      </c>
      <c r="N57" s="17">
        <f t="shared" si="8"/>
        <v>118375033.62927085</v>
      </c>
      <c r="O57" s="16"/>
      <c r="Q57" s="3"/>
      <c r="T57" s="5"/>
    </row>
    <row r="58" spans="1:20" s="2" customFormat="1" x14ac:dyDescent="0.3">
      <c r="A58" s="11" t="s">
        <v>25</v>
      </c>
      <c r="B58" s="11">
        <v>4</v>
      </c>
      <c r="C58" s="11" t="s">
        <v>2</v>
      </c>
      <c r="D58" s="11">
        <v>1</v>
      </c>
      <c r="E58" s="11" t="s">
        <v>2</v>
      </c>
      <c r="F58" s="11" t="s">
        <v>40</v>
      </c>
      <c r="G58" s="11" t="s">
        <v>32</v>
      </c>
      <c r="H58" s="18">
        <f>6.386</f>
        <v>6.3860000000000001</v>
      </c>
      <c r="I58" s="11">
        <v>40</v>
      </c>
      <c r="J58" s="11">
        <v>4</v>
      </c>
      <c r="K58" s="15">
        <f t="shared" si="7"/>
        <v>1.5965000000000007E-5</v>
      </c>
      <c r="L58" s="13">
        <f t="shared" si="9"/>
        <v>62637.018477920421</v>
      </c>
      <c r="M58" s="10">
        <v>103</v>
      </c>
      <c r="N58" s="17">
        <f t="shared" si="8"/>
        <v>64516129.032258034</v>
      </c>
      <c r="O58" s="16">
        <f>SUM(M58:M60)/(0.1*((1*3)+(0.1*0))*K58)</f>
        <v>81219333.95970346</v>
      </c>
      <c r="Q58" s="3"/>
      <c r="T58" s="5"/>
    </row>
    <row r="59" spans="1:20" s="2" customFormat="1" x14ac:dyDescent="0.3">
      <c r="A59" s="11" t="s">
        <v>25</v>
      </c>
      <c r="B59" s="11">
        <v>4</v>
      </c>
      <c r="C59" s="11" t="s">
        <v>2</v>
      </c>
      <c r="D59" s="11">
        <v>1</v>
      </c>
      <c r="E59" s="11" t="s">
        <v>2</v>
      </c>
      <c r="F59" s="11" t="s">
        <v>40</v>
      </c>
      <c r="G59" s="11" t="s">
        <v>32</v>
      </c>
      <c r="H59" s="18">
        <f>6.386</f>
        <v>6.3860000000000001</v>
      </c>
      <c r="I59" s="11">
        <v>40</v>
      </c>
      <c r="J59" s="11">
        <v>4</v>
      </c>
      <c r="K59" s="15">
        <f t="shared" si="7"/>
        <v>1.5965000000000007E-5</v>
      </c>
      <c r="L59" s="13">
        <f t="shared" si="9"/>
        <v>62637.018477920421</v>
      </c>
      <c r="M59" s="10">
        <v>151</v>
      </c>
      <c r="N59" s="17">
        <f t="shared" si="8"/>
        <v>94581897.901659831</v>
      </c>
      <c r="O59" s="16"/>
      <c r="Q59" s="3"/>
      <c r="T59" s="5"/>
    </row>
    <row r="60" spans="1:20" s="2" customFormat="1" x14ac:dyDescent="0.3">
      <c r="A60" s="11" t="s">
        <v>25</v>
      </c>
      <c r="B60" s="11">
        <v>4</v>
      </c>
      <c r="C60" s="11" t="s">
        <v>2</v>
      </c>
      <c r="D60" s="11">
        <v>1</v>
      </c>
      <c r="E60" s="11" t="s">
        <v>2</v>
      </c>
      <c r="F60" s="11" t="s">
        <v>40</v>
      </c>
      <c r="G60" s="11" t="s">
        <v>32</v>
      </c>
      <c r="H60" s="18">
        <f>6.386</f>
        <v>6.3860000000000001</v>
      </c>
      <c r="I60" s="11">
        <v>40</v>
      </c>
      <c r="J60" s="11">
        <v>4</v>
      </c>
      <c r="K60" s="15">
        <f t="shared" si="7"/>
        <v>1.5965000000000007E-5</v>
      </c>
      <c r="L60" s="13">
        <f t="shared" si="9"/>
        <v>62637.018477920421</v>
      </c>
      <c r="M60" s="10">
        <v>135</v>
      </c>
      <c r="N60" s="17">
        <f t="shared" si="8"/>
        <v>84559974.945192575</v>
      </c>
      <c r="O60" s="16"/>
      <c r="Q60" s="3"/>
      <c r="T60" s="5"/>
    </row>
    <row r="61" spans="1:20" s="2" customFormat="1" x14ac:dyDescent="0.3">
      <c r="A61" s="11" t="s">
        <v>26</v>
      </c>
      <c r="B61" s="11">
        <v>4</v>
      </c>
      <c r="C61" s="11" t="s">
        <v>2</v>
      </c>
      <c r="D61" s="11">
        <v>1</v>
      </c>
      <c r="E61" s="11" t="s">
        <v>2</v>
      </c>
      <c r="F61" s="11" t="s">
        <v>40</v>
      </c>
      <c r="G61" s="11" t="s">
        <v>32</v>
      </c>
      <c r="H61" s="18">
        <f>10.29</f>
        <v>10.29</v>
      </c>
      <c r="I61" s="11">
        <v>40</v>
      </c>
      <c r="J61" s="11">
        <v>4</v>
      </c>
      <c r="K61" s="15">
        <f t="shared" si="7"/>
        <v>2.5725000000000009E-5</v>
      </c>
      <c r="L61" s="13">
        <f t="shared" si="9"/>
        <v>38872.691933916409</v>
      </c>
      <c r="M61" s="10">
        <v>161</v>
      </c>
      <c r="N61" s="17">
        <f t="shared" si="8"/>
        <v>62585034.013605416</v>
      </c>
      <c r="O61" s="16">
        <f>SUM(M61:M63)/(0.1*((1*3)+(0.1*0))*K61)</f>
        <v>60123096.857790709</v>
      </c>
      <c r="Q61" s="3"/>
      <c r="T61" s="5"/>
    </row>
    <row r="62" spans="1:20" s="2" customFormat="1" x14ac:dyDescent="0.3">
      <c r="A62" s="11" t="s">
        <v>26</v>
      </c>
      <c r="B62" s="11">
        <v>4</v>
      </c>
      <c r="C62" s="11" t="s">
        <v>2</v>
      </c>
      <c r="D62" s="11">
        <v>1</v>
      </c>
      <c r="E62" s="11" t="s">
        <v>2</v>
      </c>
      <c r="F62" s="11" t="s">
        <v>40</v>
      </c>
      <c r="G62" s="11" t="s">
        <v>32</v>
      </c>
      <c r="H62" s="18">
        <f>10.29</f>
        <v>10.29</v>
      </c>
      <c r="I62" s="11">
        <v>40</v>
      </c>
      <c r="J62" s="11">
        <v>4</v>
      </c>
      <c r="K62" s="15">
        <f t="shared" si="7"/>
        <v>2.5725000000000009E-5</v>
      </c>
      <c r="L62" s="13">
        <f t="shared" si="9"/>
        <v>38872.691933916409</v>
      </c>
      <c r="M62" s="10">
        <v>200</v>
      </c>
      <c r="N62" s="17">
        <f t="shared" si="8"/>
        <v>77745383.867832825</v>
      </c>
      <c r="O62" s="16"/>
      <c r="Q62" s="3"/>
      <c r="T62" s="5"/>
    </row>
    <row r="63" spans="1:20" s="2" customFormat="1" x14ac:dyDescent="0.3">
      <c r="A63" s="11" t="s">
        <v>26</v>
      </c>
      <c r="B63" s="11">
        <v>4</v>
      </c>
      <c r="C63" s="11" t="s">
        <v>2</v>
      </c>
      <c r="D63" s="11">
        <v>1</v>
      </c>
      <c r="E63" s="11" t="s">
        <v>2</v>
      </c>
      <c r="F63" s="11" t="s">
        <v>40</v>
      </c>
      <c r="G63" s="11" t="s">
        <v>32</v>
      </c>
      <c r="H63" s="18">
        <f>10.29</f>
        <v>10.29</v>
      </c>
      <c r="I63" s="11">
        <v>40</v>
      </c>
      <c r="J63" s="11">
        <v>4</v>
      </c>
      <c r="K63" s="15">
        <f t="shared" si="7"/>
        <v>2.5725000000000009E-5</v>
      </c>
      <c r="L63" s="13">
        <f t="shared" si="9"/>
        <v>38872.691933916409</v>
      </c>
      <c r="M63" s="10">
        <v>103</v>
      </c>
      <c r="N63" s="17">
        <f t="shared" si="8"/>
        <v>40038872.6919339</v>
      </c>
      <c r="O63" s="16"/>
      <c r="Q63" s="3"/>
      <c r="T63" s="5"/>
    </row>
    <row r="64" spans="1:20" s="2" customFormat="1" x14ac:dyDescent="0.3">
      <c r="A64" s="11" t="s">
        <v>27</v>
      </c>
      <c r="B64" s="11">
        <v>4</v>
      </c>
      <c r="C64" s="11" t="s">
        <v>2</v>
      </c>
      <c r="D64" s="11">
        <v>1</v>
      </c>
      <c r="E64" s="11" t="s">
        <v>2</v>
      </c>
      <c r="F64" s="11" t="s">
        <v>40</v>
      </c>
      <c r="G64" s="11" t="s">
        <v>32</v>
      </c>
      <c r="H64" s="18">
        <f>10.845</f>
        <v>10.845000000000001</v>
      </c>
      <c r="I64" s="11">
        <v>40</v>
      </c>
      <c r="J64" s="11">
        <v>4</v>
      </c>
      <c r="K64" s="15">
        <f t="shared" si="7"/>
        <v>2.7112500000000012E-5</v>
      </c>
      <c r="L64" s="13">
        <f t="shared" si="9"/>
        <v>36883.356385431056</v>
      </c>
      <c r="M64" s="10">
        <v>281</v>
      </c>
      <c r="N64" s="17">
        <f t="shared" si="8"/>
        <v>103642231.44306126</v>
      </c>
      <c r="O64" s="16">
        <f>SUM(M64:M66)/(0.1*((1*3)+(0.1*0))*K64)</f>
        <v>72291378.51544486</v>
      </c>
      <c r="Q64" s="3"/>
      <c r="T64" s="5"/>
    </row>
    <row r="65" spans="1:20" s="2" customFormat="1" x14ac:dyDescent="0.3">
      <c r="A65" s="11" t="s">
        <v>27</v>
      </c>
      <c r="B65" s="11">
        <v>4</v>
      </c>
      <c r="C65" s="11" t="s">
        <v>2</v>
      </c>
      <c r="D65" s="11">
        <v>1</v>
      </c>
      <c r="E65" s="11" t="s">
        <v>2</v>
      </c>
      <c r="F65" s="11" t="s">
        <v>40</v>
      </c>
      <c r="G65" s="11" t="s">
        <v>32</v>
      </c>
      <c r="H65" s="18">
        <f>10.845</f>
        <v>10.845000000000001</v>
      </c>
      <c r="I65" s="11">
        <v>40</v>
      </c>
      <c r="J65" s="11">
        <v>4</v>
      </c>
      <c r="K65" s="15">
        <f t="shared" si="7"/>
        <v>2.7112500000000012E-5</v>
      </c>
      <c r="L65" s="13">
        <f t="shared" si="9"/>
        <v>36883.356385431056</v>
      </c>
      <c r="M65" s="10">
        <v>152</v>
      </c>
      <c r="N65" s="17">
        <f t="shared" si="8"/>
        <v>56062701.705855206</v>
      </c>
      <c r="O65" s="16"/>
      <c r="Q65" s="3"/>
      <c r="T65" s="5"/>
    </row>
    <row r="66" spans="1:20" s="2" customFormat="1" x14ac:dyDescent="0.3">
      <c r="A66" s="11" t="s">
        <v>27</v>
      </c>
      <c r="B66" s="11">
        <v>4</v>
      </c>
      <c r="C66" s="11" t="s">
        <v>2</v>
      </c>
      <c r="D66" s="11">
        <v>1</v>
      </c>
      <c r="E66" s="11" t="s">
        <v>2</v>
      </c>
      <c r="F66" s="11" t="s">
        <v>40</v>
      </c>
      <c r="G66" s="11" t="s">
        <v>32</v>
      </c>
      <c r="H66" s="18">
        <f>10.845</f>
        <v>10.845000000000001</v>
      </c>
      <c r="I66" s="11">
        <v>40</v>
      </c>
      <c r="J66" s="11">
        <v>4</v>
      </c>
      <c r="K66" s="15">
        <f t="shared" si="7"/>
        <v>2.7112500000000012E-5</v>
      </c>
      <c r="L66" s="13">
        <f t="shared" si="9"/>
        <v>36883.356385431056</v>
      </c>
      <c r="M66" s="10">
        <v>155</v>
      </c>
      <c r="N66" s="17">
        <f t="shared" si="8"/>
        <v>57169202.397418134</v>
      </c>
      <c r="O66" s="16"/>
      <c r="Q66" s="3"/>
      <c r="T66" s="5"/>
    </row>
    <row r="67" spans="1:20" s="2" customFormat="1" x14ac:dyDescent="0.3">
      <c r="A67" s="11" t="s">
        <v>14</v>
      </c>
      <c r="B67" s="11">
        <v>4</v>
      </c>
      <c r="C67" s="11" t="s">
        <v>2</v>
      </c>
      <c r="D67" s="11">
        <v>1</v>
      </c>
      <c r="E67" s="11" t="s">
        <v>2</v>
      </c>
      <c r="F67" s="11" t="s">
        <v>40</v>
      </c>
      <c r="G67" s="11" t="s">
        <v>33</v>
      </c>
      <c r="H67" s="18">
        <f>9.961</f>
        <v>9.9610000000000003</v>
      </c>
      <c r="I67" s="11">
        <v>40</v>
      </c>
      <c r="J67" s="11">
        <v>4</v>
      </c>
      <c r="K67" s="15">
        <f t="shared" si="7"/>
        <v>2.4902500000000011E-5</v>
      </c>
      <c r="L67" s="13">
        <f t="shared" si="9"/>
        <v>40156.610782049975</v>
      </c>
      <c r="M67" s="10">
        <v>66</v>
      </c>
      <c r="N67" s="17">
        <f t="shared" si="8"/>
        <v>26503363.116152983</v>
      </c>
      <c r="O67" s="16">
        <f>SUM(M67)/(0.1*((1*1)+(0.1*0))*K67)</f>
        <v>26503363.116152983</v>
      </c>
      <c r="Q67" s="3"/>
      <c r="T67" s="5"/>
    </row>
    <row r="68" spans="1:20" s="2" customFormat="1" x14ac:dyDescent="0.3">
      <c r="A68" s="11" t="s">
        <v>23</v>
      </c>
      <c r="B68" s="11">
        <v>4</v>
      </c>
      <c r="C68" s="11" t="s">
        <v>2</v>
      </c>
      <c r="D68" s="11">
        <v>2</v>
      </c>
      <c r="E68" s="11" t="s">
        <v>2</v>
      </c>
      <c r="F68" s="11" t="s">
        <v>40</v>
      </c>
      <c r="G68" s="11" t="s">
        <v>33</v>
      </c>
      <c r="H68" s="18">
        <f>5.906</f>
        <v>5.9059999999999997</v>
      </c>
      <c r="I68" s="11">
        <v>40</v>
      </c>
      <c r="J68" s="11">
        <v>4</v>
      </c>
      <c r="K68" s="15">
        <f t="shared" si="7"/>
        <v>1.4765000000000007E-5</v>
      </c>
      <c r="L68" s="13">
        <f t="shared" si="9"/>
        <v>67727.734507280693</v>
      </c>
      <c r="M68" s="10">
        <v>248</v>
      </c>
      <c r="N68" s="17">
        <f t="shared" si="8"/>
        <v>167964781.57805613</v>
      </c>
      <c r="O68" s="16">
        <f>SUM(M68:M70)/(0.1*((1*2)+(0.1*1))*K69)</f>
        <v>26800832.083595369</v>
      </c>
      <c r="Q68" s="3"/>
      <c r="T68" s="5"/>
    </row>
    <row r="69" spans="1:20" s="2" customFormat="1" x14ac:dyDescent="0.3">
      <c r="A69" s="11" t="s">
        <v>23</v>
      </c>
      <c r="B69" s="11">
        <v>4</v>
      </c>
      <c r="C69" s="11" t="s">
        <v>2</v>
      </c>
      <c r="D69" s="11">
        <v>2</v>
      </c>
      <c r="E69" s="11" t="s">
        <v>2</v>
      </c>
      <c r="F69" s="11" t="s">
        <v>40</v>
      </c>
      <c r="G69" s="11" t="s">
        <v>33</v>
      </c>
      <c r="H69" s="18">
        <f>5.906</f>
        <v>5.9059999999999997</v>
      </c>
      <c r="I69" s="11">
        <v>40</v>
      </c>
      <c r="J69" s="11">
        <v>3</v>
      </c>
      <c r="K69" s="15">
        <f t="shared" si="7"/>
        <v>1.4765000000000004E-4</v>
      </c>
      <c r="L69" s="13">
        <f t="shared" si="9"/>
        <v>6772.7734507280711</v>
      </c>
      <c r="M69" s="10">
        <v>268</v>
      </c>
      <c r="N69" s="17">
        <f t="shared" si="8"/>
        <v>18151032.84795123</v>
      </c>
      <c r="O69" s="16"/>
      <c r="Q69" s="3"/>
      <c r="T69" s="5"/>
    </row>
    <row r="70" spans="1:20" s="2" customFormat="1" x14ac:dyDescent="0.3">
      <c r="A70" s="11" t="s">
        <v>23</v>
      </c>
      <c r="B70" s="11">
        <v>4</v>
      </c>
      <c r="C70" s="11" t="s">
        <v>2</v>
      </c>
      <c r="D70" s="11">
        <v>2</v>
      </c>
      <c r="E70" s="11" t="s">
        <v>2</v>
      </c>
      <c r="F70" s="11" t="s">
        <v>40</v>
      </c>
      <c r="G70" s="11" t="s">
        <v>33</v>
      </c>
      <c r="H70" s="18">
        <f>5.906</f>
        <v>5.9059999999999997</v>
      </c>
      <c r="I70" s="11">
        <v>40</v>
      </c>
      <c r="J70" s="11">
        <v>3</v>
      </c>
      <c r="K70" s="15">
        <f t="shared" si="7"/>
        <v>1.4765000000000004E-4</v>
      </c>
      <c r="L70" s="13">
        <f t="shared" si="9"/>
        <v>6772.7734507280711</v>
      </c>
      <c r="M70" s="10">
        <v>315</v>
      </c>
      <c r="N70" s="17">
        <f t="shared" ref="N70:N101" si="11">(M70/0.1)*L70</f>
        <v>21334236.369793423</v>
      </c>
      <c r="O70" s="16"/>
      <c r="Q70" s="3"/>
      <c r="T70" s="5"/>
    </row>
    <row r="71" spans="1:20" s="2" customFormat="1" x14ac:dyDescent="0.3">
      <c r="A71" s="11" t="s">
        <v>24</v>
      </c>
      <c r="B71" s="11">
        <v>4</v>
      </c>
      <c r="C71" s="11" t="s">
        <v>2</v>
      </c>
      <c r="D71" s="11">
        <v>3</v>
      </c>
      <c r="E71" s="11" t="s">
        <v>2</v>
      </c>
      <c r="F71" s="11" t="s">
        <v>40</v>
      </c>
      <c r="G71" s="11" t="s">
        <v>33</v>
      </c>
      <c r="H71" s="18">
        <f>6.003</f>
        <v>6.0030000000000001</v>
      </c>
      <c r="I71" s="11">
        <v>40</v>
      </c>
      <c r="J71" s="11">
        <v>4</v>
      </c>
      <c r="K71" s="15">
        <f t="shared" si="7"/>
        <v>1.5007500000000008E-5</v>
      </c>
      <c r="L71" s="13">
        <f t="shared" si="9"/>
        <v>66633.349991670795</v>
      </c>
      <c r="M71" s="10">
        <v>150</v>
      </c>
      <c r="N71" s="17">
        <f t="shared" si="11"/>
        <v>99950024.987506196</v>
      </c>
      <c r="O71" s="16">
        <f>SUM(M71:M73)/(0.1*((1*3)+(0.1*0))*K71)</f>
        <v>136820478.649564</v>
      </c>
      <c r="Q71" s="3"/>
      <c r="T71" s="5"/>
    </row>
    <row r="72" spans="1:20" s="2" customFormat="1" x14ac:dyDescent="0.3">
      <c r="A72" s="11" t="s">
        <v>24</v>
      </c>
      <c r="B72" s="11">
        <v>4</v>
      </c>
      <c r="C72" s="11" t="s">
        <v>2</v>
      </c>
      <c r="D72" s="11">
        <v>3</v>
      </c>
      <c r="E72" s="11" t="s">
        <v>2</v>
      </c>
      <c r="F72" s="11" t="s">
        <v>40</v>
      </c>
      <c r="G72" s="11" t="s">
        <v>33</v>
      </c>
      <c r="H72" s="18">
        <f>6.003</f>
        <v>6.0030000000000001</v>
      </c>
      <c r="I72" s="11">
        <v>40</v>
      </c>
      <c r="J72" s="11">
        <v>4</v>
      </c>
      <c r="K72" s="15">
        <f t="shared" si="7"/>
        <v>1.5007500000000008E-5</v>
      </c>
      <c r="L72" s="13">
        <f t="shared" si="9"/>
        <v>66633.349991670795</v>
      </c>
      <c r="M72" s="10">
        <v>177</v>
      </c>
      <c r="N72" s="17">
        <f t="shared" si="11"/>
        <v>117941029.48525731</v>
      </c>
      <c r="O72" s="16"/>
      <c r="Q72" s="3"/>
      <c r="T72" s="5"/>
    </row>
    <row r="73" spans="1:20" s="2" customFormat="1" x14ac:dyDescent="0.3">
      <c r="A73" s="11" t="s">
        <v>24</v>
      </c>
      <c r="B73" s="11">
        <v>4</v>
      </c>
      <c r="C73" s="11" t="s">
        <v>2</v>
      </c>
      <c r="D73" s="11">
        <v>3</v>
      </c>
      <c r="E73" s="11" t="s">
        <v>2</v>
      </c>
      <c r="F73" s="11" t="s">
        <v>40</v>
      </c>
      <c r="G73" s="11" t="s">
        <v>33</v>
      </c>
      <c r="H73" s="18">
        <f>6.003</f>
        <v>6.0030000000000001</v>
      </c>
      <c r="I73" s="11">
        <v>40</v>
      </c>
      <c r="J73" s="11">
        <v>4</v>
      </c>
      <c r="K73" s="15">
        <f t="shared" si="7"/>
        <v>1.5007500000000008E-5</v>
      </c>
      <c r="L73" s="13">
        <f t="shared" si="9"/>
        <v>66633.349991670795</v>
      </c>
      <c r="M73" s="10">
        <v>289</v>
      </c>
      <c r="N73" s="17">
        <f t="shared" si="11"/>
        <v>192570381.4759286</v>
      </c>
      <c r="O73" s="16"/>
      <c r="Q73" s="3"/>
      <c r="T73" s="5"/>
    </row>
    <row r="74" spans="1:20" s="2" customFormat="1" x14ac:dyDescent="0.3">
      <c r="A74" s="11" t="s">
        <v>8</v>
      </c>
      <c r="B74" s="11">
        <v>4</v>
      </c>
      <c r="C74" s="11" t="s">
        <v>0</v>
      </c>
      <c r="D74" s="11">
        <v>1</v>
      </c>
      <c r="E74" s="14" t="s">
        <v>0</v>
      </c>
      <c r="F74" s="14" t="s">
        <v>40</v>
      </c>
      <c r="G74" s="11" t="s">
        <v>33</v>
      </c>
      <c r="H74" s="12">
        <v>4.7480000000000002</v>
      </c>
      <c r="I74" s="11">
        <v>40</v>
      </c>
      <c r="J74" s="11">
        <v>5</v>
      </c>
      <c r="K74" s="15">
        <f t="shared" ref="K74:K79" si="12">(H74/I74)*(0.1)^(J74)</f>
        <v>1.1870000000000007E-6</v>
      </c>
      <c r="L74" s="16">
        <f t="shared" ref="L74:L79" si="13">1/K74</f>
        <v>842459.98315079988</v>
      </c>
      <c r="M74" s="11">
        <v>250</v>
      </c>
      <c r="N74" s="17">
        <f t="shared" si="11"/>
        <v>2106149957.8769996</v>
      </c>
      <c r="O74" s="16">
        <f>SUM(M74:M75)/(0.1*((1*2)+(0.1*0))*K74)</f>
        <v>1895534962.0892994</v>
      </c>
      <c r="Q74" s="3"/>
    </row>
    <row r="75" spans="1:20" s="2" customFormat="1" x14ac:dyDescent="0.3">
      <c r="A75" s="11" t="s">
        <v>8</v>
      </c>
      <c r="B75" s="11">
        <v>4</v>
      </c>
      <c r="C75" s="11" t="s">
        <v>0</v>
      </c>
      <c r="D75" s="11">
        <v>1</v>
      </c>
      <c r="E75" s="14" t="s">
        <v>0</v>
      </c>
      <c r="F75" s="14" t="s">
        <v>40</v>
      </c>
      <c r="G75" s="11" t="s">
        <v>33</v>
      </c>
      <c r="H75" s="12">
        <v>4.7480000000000002</v>
      </c>
      <c r="I75" s="11">
        <v>40</v>
      </c>
      <c r="J75" s="11">
        <v>5</v>
      </c>
      <c r="K75" s="15">
        <f t="shared" si="12"/>
        <v>1.1870000000000007E-6</v>
      </c>
      <c r="L75" s="16">
        <f t="shared" si="13"/>
        <v>842459.98315079988</v>
      </c>
      <c r="M75" s="11">
        <v>200</v>
      </c>
      <c r="N75" s="17">
        <f t="shared" si="11"/>
        <v>1684919966.3015997</v>
      </c>
      <c r="O75" s="16"/>
      <c r="Q75" s="3"/>
    </row>
    <row r="76" spans="1:20" s="2" customFormat="1" x14ac:dyDescent="0.3">
      <c r="A76" s="11" t="s">
        <v>12</v>
      </c>
      <c r="B76" s="11">
        <v>4</v>
      </c>
      <c r="C76" s="11" t="s">
        <v>0</v>
      </c>
      <c r="D76" s="11">
        <v>2</v>
      </c>
      <c r="E76" s="14" t="s">
        <v>0</v>
      </c>
      <c r="F76" s="14" t="s">
        <v>40</v>
      </c>
      <c r="G76" s="11" t="s">
        <v>33</v>
      </c>
      <c r="H76" s="12">
        <v>3.4279999999999999</v>
      </c>
      <c r="I76" s="11">
        <v>40</v>
      </c>
      <c r="J76" s="11">
        <v>5</v>
      </c>
      <c r="K76" s="15">
        <f t="shared" si="12"/>
        <v>8.5700000000000054E-7</v>
      </c>
      <c r="L76" s="16">
        <f t="shared" si="13"/>
        <v>1166861.1435239199</v>
      </c>
      <c r="M76" s="11">
        <v>234</v>
      </c>
      <c r="N76" s="17">
        <f t="shared" si="11"/>
        <v>2730455075.8459725</v>
      </c>
      <c r="O76" s="16">
        <f>SUM(M76:M78)/(0.1*((1*3)+(0.1*0))*K76)</f>
        <v>2979385453.1310749</v>
      </c>
      <c r="Q76" s="3"/>
    </row>
    <row r="77" spans="1:20" s="2" customFormat="1" x14ac:dyDescent="0.3">
      <c r="A77" s="11" t="s">
        <v>12</v>
      </c>
      <c r="B77" s="11">
        <v>4</v>
      </c>
      <c r="C77" s="11" t="s">
        <v>0</v>
      </c>
      <c r="D77" s="11">
        <v>2</v>
      </c>
      <c r="E77" s="14" t="s">
        <v>0</v>
      </c>
      <c r="F77" s="14" t="s">
        <v>40</v>
      </c>
      <c r="G77" s="11" t="s">
        <v>33</v>
      </c>
      <c r="H77" s="12">
        <v>3.4279999999999999</v>
      </c>
      <c r="I77" s="11">
        <v>40</v>
      </c>
      <c r="J77" s="11">
        <v>5</v>
      </c>
      <c r="K77" s="15">
        <f t="shared" si="12"/>
        <v>8.5700000000000054E-7</v>
      </c>
      <c r="L77" s="16">
        <f t="shared" si="13"/>
        <v>1166861.1435239199</v>
      </c>
      <c r="M77" s="11">
        <v>232</v>
      </c>
      <c r="N77" s="17">
        <f t="shared" si="11"/>
        <v>2707117852.9754939</v>
      </c>
      <c r="O77" s="16"/>
      <c r="Q77" s="3"/>
    </row>
    <row r="78" spans="1:20" s="2" customFormat="1" x14ac:dyDescent="0.3">
      <c r="A78" s="11" t="s">
        <v>12</v>
      </c>
      <c r="B78" s="11">
        <v>4</v>
      </c>
      <c r="C78" s="11" t="s">
        <v>0</v>
      </c>
      <c r="D78" s="11">
        <v>2</v>
      </c>
      <c r="E78" s="14" t="s">
        <v>0</v>
      </c>
      <c r="F78" s="14" t="s">
        <v>40</v>
      </c>
      <c r="G78" s="11" t="s">
        <v>33</v>
      </c>
      <c r="H78" s="12">
        <v>3.4279999999999999</v>
      </c>
      <c r="I78" s="11">
        <v>40</v>
      </c>
      <c r="J78" s="11">
        <v>5</v>
      </c>
      <c r="K78" s="15">
        <f t="shared" si="12"/>
        <v>8.5700000000000054E-7</v>
      </c>
      <c r="L78" s="16">
        <f t="shared" si="13"/>
        <v>1166861.1435239199</v>
      </c>
      <c r="M78" s="11">
        <v>300</v>
      </c>
      <c r="N78" s="17">
        <f t="shared" si="11"/>
        <v>3500583430.5717597</v>
      </c>
      <c r="O78" s="16"/>
      <c r="Q78" s="3"/>
    </row>
    <row r="79" spans="1:20" x14ac:dyDescent="0.3">
      <c r="A79" s="11" t="s">
        <v>4</v>
      </c>
      <c r="B79" s="11">
        <v>5</v>
      </c>
      <c r="C79" s="11" t="s">
        <v>0</v>
      </c>
      <c r="D79" s="11">
        <v>1</v>
      </c>
      <c r="E79" s="14" t="s">
        <v>34</v>
      </c>
      <c r="F79" s="14" t="s">
        <v>40</v>
      </c>
      <c r="G79" s="11" t="s">
        <v>32</v>
      </c>
      <c r="H79" s="12">
        <f>2.875</f>
        <v>2.875</v>
      </c>
      <c r="I79" s="11">
        <v>40</v>
      </c>
      <c r="J79" s="11">
        <v>5</v>
      </c>
      <c r="K79" s="15">
        <f t="shared" si="12"/>
        <v>7.1875000000000032E-7</v>
      </c>
      <c r="L79" s="16">
        <f t="shared" si="13"/>
        <v>1391304.3478260865</v>
      </c>
      <c r="M79" s="11">
        <v>150</v>
      </c>
      <c r="N79" s="17">
        <f t="shared" si="11"/>
        <v>2086956521.7391298</v>
      </c>
      <c r="O79" s="16">
        <f>AVERAGE(N79:N80)</f>
        <v>3130434782.6086946</v>
      </c>
    </row>
    <row r="80" spans="1:20" x14ac:dyDescent="0.3">
      <c r="A80" s="11" t="s">
        <v>4</v>
      </c>
      <c r="B80" s="11">
        <v>5</v>
      </c>
      <c r="C80" s="11" t="s">
        <v>0</v>
      </c>
      <c r="D80" s="11">
        <v>1</v>
      </c>
      <c r="E80" s="14" t="s">
        <v>34</v>
      </c>
      <c r="F80" s="14" t="s">
        <v>40</v>
      </c>
      <c r="G80" s="11" t="s">
        <v>32</v>
      </c>
      <c r="H80" s="12">
        <f>2.875</f>
        <v>2.875</v>
      </c>
      <c r="I80" s="11">
        <v>40</v>
      </c>
      <c r="J80" s="11">
        <v>5</v>
      </c>
      <c r="K80" s="15">
        <f t="shared" ref="K80:K90" si="14">(H80/I80)*(0.1)^(J80)</f>
        <v>7.1875000000000032E-7</v>
      </c>
      <c r="L80" s="16">
        <f t="shared" ref="L80:L90" si="15">1/K80</f>
        <v>1391304.3478260865</v>
      </c>
      <c r="M80" s="11">
        <v>300</v>
      </c>
      <c r="N80" s="17">
        <f t="shared" si="11"/>
        <v>4173913043.4782596</v>
      </c>
      <c r="O80" s="16"/>
    </row>
    <row r="81" spans="1:15" x14ac:dyDescent="0.3">
      <c r="A81" s="11" t="s">
        <v>5</v>
      </c>
      <c r="B81" s="11">
        <v>5</v>
      </c>
      <c r="C81" s="11" t="s">
        <v>0</v>
      </c>
      <c r="D81" s="11">
        <v>1</v>
      </c>
      <c r="E81" s="11" t="s">
        <v>35</v>
      </c>
      <c r="F81" s="14" t="s">
        <v>40</v>
      </c>
      <c r="G81" s="11" t="s">
        <v>32</v>
      </c>
      <c r="H81" s="12">
        <f>3.515</f>
        <v>3.5150000000000001</v>
      </c>
      <c r="I81" s="11">
        <v>40</v>
      </c>
      <c r="J81" s="11">
        <v>5</v>
      </c>
      <c r="K81" s="15">
        <f t="shared" si="14"/>
        <v>8.7875000000000059E-7</v>
      </c>
      <c r="L81" s="16">
        <f t="shared" si="15"/>
        <v>1137980.0853485055</v>
      </c>
      <c r="M81" s="11">
        <v>185</v>
      </c>
      <c r="N81" s="17">
        <f t="shared" si="11"/>
        <v>2105263157.8947353</v>
      </c>
      <c r="O81" s="16">
        <f>AVERAGE(N81:N82)</f>
        <v>2025604551.9203401</v>
      </c>
    </row>
    <row r="82" spans="1:15" x14ac:dyDescent="0.3">
      <c r="A82" s="11" t="s">
        <v>5</v>
      </c>
      <c r="B82" s="11">
        <v>5</v>
      </c>
      <c r="C82" s="11" t="s">
        <v>0</v>
      </c>
      <c r="D82" s="11">
        <v>1</v>
      </c>
      <c r="E82" s="11" t="s">
        <v>35</v>
      </c>
      <c r="F82" s="14" t="s">
        <v>40</v>
      </c>
      <c r="G82" s="11" t="s">
        <v>32</v>
      </c>
      <c r="H82" s="12">
        <f>3.515</f>
        <v>3.5150000000000001</v>
      </c>
      <c r="I82" s="11">
        <v>40</v>
      </c>
      <c r="J82" s="11">
        <v>5</v>
      </c>
      <c r="K82" s="15">
        <f t="shared" si="14"/>
        <v>8.7875000000000059E-7</v>
      </c>
      <c r="L82" s="16">
        <f t="shared" si="15"/>
        <v>1137980.0853485055</v>
      </c>
      <c r="M82" s="11">
        <v>171</v>
      </c>
      <c r="N82" s="17">
        <f t="shared" si="11"/>
        <v>1945945945.9459445</v>
      </c>
      <c r="O82" s="16"/>
    </row>
    <row r="83" spans="1:15" x14ac:dyDescent="0.3">
      <c r="A83" s="11" t="s">
        <v>6</v>
      </c>
      <c r="B83" s="11">
        <v>5</v>
      </c>
      <c r="C83" s="11" t="s">
        <v>0</v>
      </c>
      <c r="D83" s="11">
        <v>2</v>
      </c>
      <c r="E83" s="11" t="s">
        <v>35</v>
      </c>
      <c r="F83" s="14" t="s">
        <v>40</v>
      </c>
      <c r="G83" s="11" t="s">
        <v>32</v>
      </c>
      <c r="H83" s="12">
        <f>3.663</f>
        <v>3.6629999999999998</v>
      </c>
      <c r="I83" s="11">
        <v>40</v>
      </c>
      <c r="J83" s="11">
        <v>5</v>
      </c>
      <c r="K83" s="15">
        <f t="shared" si="14"/>
        <v>9.157500000000004E-7</v>
      </c>
      <c r="L83" s="16">
        <f t="shared" si="15"/>
        <v>1092001.0920010915</v>
      </c>
      <c r="M83" s="11">
        <v>84</v>
      </c>
      <c r="N83" s="17">
        <f t="shared" si="11"/>
        <v>917280917.28091681</v>
      </c>
      <c r="O83" s="16">
        <f>N83</f>
        <v>917280917.28091681</v>
      </c>
    </row>
    <row r="84" spans="1:15" x14ac:dyDescent="0.3">
      <c r="A84" s="11" t="s">
        <v>7</v>
      </c>
      <c r="B84" s="11">
        <v>5</v>
      </c>
      <c r="C84" s="11" t="s">
        <v>0</v>
      </c>
      <c r="D84" s="11">
        <v>1</v>
      </c>
      <c r="E84" s="14" t="s">
        <v>34</v>
      </c>
      <c r="F84" s="14" t="s">
        <v>40</v>
      </c>
      <c r="G84" s="11" t="s">
        <v>33</v>
      </c>
      <c r="H84" s="12">
        <f>3.654</f>
        <v>3.6539999999999999</v>
      </c>
      <c r="I84" s="11">
        <v>40</v>
      </c>
      <c r="J84" s="11">
        <v>5</v>
      </c>
      <c r="K84" s="15">
        <f t="shared" si="14"/>
        <v>9.1350000000000055E-7</v>
      </c>
      <c r="L84" s="16">
        <f t="shared" si="15"/>
        <v>1094690.7498631631</v>
      </c>
      <c r="M84" s="11">
        <v>250</v>
      </c>
      <c r="N84" s="17">
        <f t="shared" si="11"/>
        <v>2736726874.657908</v>
      </c>
      <c r="O84" s="16">
        <f>N84</f>
        <v>2736726874.657908</v>
      </c>
    </row>
    <row r="85" spans="1:15" x14ac:dyDescent="0.3">
      <c r="A85" s="11" t="s">
        <v>8</v>
      </c>
      <c r="B85" s="11">
        <v>5</v>
      </c>
      <c r="C85" s="11" t="s">
        <v>0</v>
      </c>
      <c r="D85" s="11">
        <v>1</v>
      </c>
      <c r="E85" s="11" t="s">
        <v>35</v>
      </c>
      <c r="F85" s="14" t="s">
        <v>40</v>
      </c>
      <c r="G85" s="11" t="s">
        <v>33</v>
      </c>
      <c r="H85" s="12">
        <f>3.675</f>
        <v>3.6749999999999998</v>
      </c>
      <c r="I85" s="11">
        <v>40</v>
      </c>
      <c r="J85" s="11">
        <v>5</v>
      </c>
      <c r="K85" s="15">
        <f t="shared" si="14"/>
        <v>9.1875000000000052E-7</v>
      </c>
      <c r="L85" s="16">
        <f t="shared" si="15"/>
        <v>1088435.3741496592</v>
      </c>
      <c r="M85" s="11">
        <v>148</v>
      </c>
      <c r="N85" s="17">
        <f t="shared" si="11"/>
        <v>1610884353.7414956</v>
      </c>
      <c r="O85" s="16">
        <f>SUM(M85:M87)/(0.1*((1*3)+(0.1*0))*K85:K87)</f>
        <v>1596371882.0861666</v>
      </c>
    </row>
    <row r="86" spans="1:15" x14ac:dyDescent="0.3">
      <c r="A86" s="11" t="s">
        <v>8</v>
      </c>
      <c r="B86" s="11">
        <v>5</v>
      </c>
      <c r="C86" s="11" t="s">
        <v>0</v>
      </c>
      <c r="D86" s="11">
        <v>1</v>
      </c>
      <c r="E86" s="11" t="s">
        <v>35</v>
      </c>
      <c r="F86" s="14" t="s">
        <v>40</v>
      </c>
      <c r="G86" s="11" t="s">
        <v>33</v>
      </c>
      <c r="H86" s="12">
        <f>3.675</f>
        <v>3.6749999999999998</v>
      </c>
      <c r="I86" s="11">
        <v>40</v>
      </c>
      <c r="J86" s="11">
        <v>5</v>
      </c>
      <c r="K86" s="15">
        <f t="shared" si="14"/>
        <v>9.1875000000000052E-7</v>
      </c>
      <c r="L86" s="16">
        <f t="shared" si="15"/>
        <v>1088435.3741496592</v>
      </c>
      <c r="M86" s="11">
        <v>175</v>
      </c>
      <c r="N86" s="17">
        <f t="shared" si="11"/>
        <v>1904761904.7619035</v>
      </c>
      <c r="O86" s="16"/>
    </row>
    <row r="87" spans="1:15" x14ac:dyDescent="0.3">
      <c r="A87" s="11" t="s">
        <v>8</v>
      </c>
      <c r="B87" s="11">
        <v>5</v>
      </c>
      <c r="C87" s="11" t="s">
        <v>0</v>
      </c>
      <c r="D87" s="11">
        <v>1</v>
      </c>
      <c r="E87" s="11" t="s">
        <v>35</v>
      </c>
      <c r="F87" s="14" t="s">
        <v>40</v>
      </c>
      <c r="G87" s="11" t="s">
        <v>33</v>
      </c>
      <c r="H87" s="12">
        <f>3.675</f>
        <v>3.6749999999999998</v>
      </c>
      <c r="I87" s="11">
        <v>40</v>
      </c>
      <c r="J87" s="11">
        <v>5</v>
      </c>
      <c r="K87" s="15">
        <f t="shared" si="14"/>
        <v>9.1875000000000052E-7</v>
      </c>
      <c r="L87" s="16">
        <f t="shared" si="15"/>
        <v>1088435.3741496592</v>
      </c>
      <c r="M87" s="11">
        <v>117</v>
      </c>
      <c r="N87" s="17">
        <f t="shared" si="11"/>
        <v>1273469387.7551012</v>
      </c>
      <c r="O87" s="16"/>
    </row>
    <row r="88" spans="1:15" x14ac:dyDescent="0.3">
      <c r="A88" s="11" t="s">
        <v>9</v>
      </c>
      <c r="B88" s="11">
        <v>5</v>
      </c>
      <c r="C88" s="11" t="s">
        <v>0</v>
      </c>
      <c r="D88" s="11">
        <v>2</v>
      </c>
      <c r="E88" s="11" t="s">
        <v>35</v>
      </c>
      <c r="F88" s="14" t="s">
        <v>40</v>
      </c>
      <c r="G88" s="11" t="s">
        <v>33</v>
      </c>
      <c r="H88" s="12">
        <f>3.507</f>
        <v>3.5070000000000001</v>
      </c>
      <c r="I88" s="11">
        <v>40</v>
      </c>
      <c r="J88" s="11">
        <v>5</v>
      </c>
      <c r="K88" s="15">
        <f t="shared" si="14"/>
        <v>8.7675000000000054E-7</v>
      </c>
      <c r="L88" s="16">
        <f t="shared" si="15"/>
        <v>1140575.9908753913</v>
      </c>
      <c r="M88" s="11">
        <v>101</v>
      </c>
      <c r="N88" s="17">
        <f t="shared" si="11"/>
        <v>1151981750.7841451</v>
      </c>
      <c r="O88" s="16">
        <f>SUM(M88:M90)/(0.1*((1*3)+(0.1*0))*K88:K90)</f>
        <v>1247029750.023761</v>
      </c>
    </row>
    <row r="89" spans="1:15" x14ac:dyDescent="0.3">
      <c r="A89" s="11" t="s">
        <v>9</v>
      </c>
      <c r="B89" s="11">
        <v>5</v>
      </c>
      <c r="C89" s="11" t="s">
        <v>0</v>
      </c>
      <c r="D89" s="11">
        <v>2</v>
      </c>
      <c r="E89" s="11" t="s">
        <v>35</v>
      </c>
      <c r="F89" s="14" t="s">
        <v>40</v>
      </c>
      <c r="G89" s="11" t="s">
        <v>33</v>
      </c>
      <c r="H89" s="12">
        <f>3.507</f>
        <v>3.5070000000000001</v>
      </c>
      <c r="I89" s="11">
        <v>40</v>
      </c>
      <c r="J89" s="11">
        <v>5</v>
      </c>
      <c r="K89" s="15">
        <f t="shared" si="14"/>
        <v>8.7675000000000054E-7</v>
      </c>
      <c r="L89" s="16">
        <f t="shared" si="15"/>
        <v>1140575.9908753913</v>
      </c>
      <c r="M89" s="11">
        <v>101</v>
      </c>
      <c r="N89" s="17">
        <f t="shared" si="11"/>
        <v>1151981750.7841451</v>
      </c>
      <c r="O89" s="16"/>
    </row>
    <row r="90" spans="1:15" x14ac:dyDescent="0.3">
      <c r="A90" s="11" t="s">
        <v>9</v>
      </c>
      <c r="B90" s="11">
        <v>5</v>
      </c>
      <c r="C90" s="11" t="s">
        <v>0</v>
      </c>
      <c r="D90" s="11">
        <v>2</v>
      </c>
      <c r="E90" s="11" t="s">
        <v>35</v>
      </c>
      <c r="F90" s="14" t="s">
        <v>40</v>
      </c>
      <c r="G90" s="11" t="s">
        <v>33</v>
      </c>
      <c r="H90" s="12">
        <f>3.507</f>
        <v>3.5070000000000001</v>
      </c>
      <c r="I90" s="11">
        <v>40</v>
      </c>
      <c r="J90" s="11">
        <v>5</v>
      </c>
      <c r="K90" s="15">
        <f t="shared" si="14"/>
        <v>8.7675000000000054E-7</v>
      </c>
      <c r="L90" s="16">
        <f t="shared" si="15"/>
        <v>1140575.9908753913</v>
      </c>
      <c r="M90" s="11">
        <v>126</v>
      </c>
      <c r="N90" s="17">
        <f t="shared" si="11"/>
        <v>1437125748.5029931</v>
      </c>
      <c r="O90" s="16"/>
    </row>
    <row r="91" spans="1:15" x14ac:dyDescent="0.3">
      <c r="A91" s="11" t="s">
        <v>10</v>
      </c>
      <c r="B91" s="11">
        <v>5</v>
      </c>
      <c r="C91" s="11" t="s">
        <v>1</v>
      </c>
      <c r="D91" s="11">
        <v>1</v>
      </c>
      <c r="E91" s="14" t="s">
        <v>34</v>
      </c>
      <c r="F91" s="14" t="s">
        <v>40</v>
      </c>
      <c r="G91" s="11" t="s">
        <v>33</v>
      </c>
      <c r="H91" s="19">
        <v>3.7810000000000001</v>
      </c>
      <c r="I91" s="11">
        <v>40</v>
      </c>
      <c r="J91" s="11">
        <v>5</v>
      </c>
      <c r="K91" s="15">
        <f t="shared" ref="K91:K115" si="16">(H91/I91)*(0.1)^(J91)</f>
        <v>9.452500000000005E-7</v>
      </c>
      <c r="L91" s="16">
        <f t="shared" ref="L91:L115" si="17">1/K91</f>
        <v>1057921.1848717264</v>
      </c>
      <c r="M91" s="11">
        <v>91</v>
      </c>
      <c r="N91" s="17">
        <f t="shared" si="11"/>
        <v>962708278.233271</v>
      </c>
      <c r="O91" s="16">
        <f>SUM(M91:M93)/(0.1*((1*3)+(0.1*0))*K91)</f>
        <v>1015604337.4768573</v>
      </c>
    </row>
    <row r="92" spans="1:15" x14ac:dyDescent="0.3">
      <c r="A92" s="11" t="s">
        <v>10</v>
      </c>
      <c r="B92" s="11">
        <v>5</v>
      </c>
      <c r="C92" s="11" t="s">
        <v>1</v>
      </c>
      <c r="D92" s="11">
        <v>1</v>
      </c>
      <c r="E92" s="14" t="s">
        <v>34</v>
      </c>
      <c r="F92" s="14" t="s">
        <v>40</v>
      </c>
      <c r="G92" s="11" t="s">
        <v>33</v>
      </c>
      <c r="H92" s="19">
        <v>3.7810000000000001</v>
      </c>
      <c r="I92" s="11">
        <v>40</v>
      </c>
      <c r="J92" s="11">
        <v>5</v>
      </c>
      <c r="K92" s="15">
        <f t="shared" si="16"/>
        <v>9.452500000000005E-7</v>
      </c>
      <c r="L92" s="16">
        <f t="shared" si="17"/>
        <v>1057921.1848717264</v>
      </c>
      <c r="M92" s="11">
        <v>120</v>
      </c>
      <c r="N92" s="17">
        <f t="shared" si="11"/>
        <v>1269505421.8460717</v>
      </c>
      <c r="O92" s="16"/>
    </row>
    <row r="93" spans="1:15" x14ac:dyDescent="0.3">
      <c r="A93" s="11" t="s">
        <v>10</v>
      </c>
      <c r="B93" s="11">
        <v>5</v>
      </c>
      <c r="C93" s="11" t="s">
        <v>1</v>
      </c>
      <c r="D93" s="11">
        <v>1</v>
      </c>
      <c r="E93" s="14" t="s">
        <v>34</v>
      </c>
      <c r="F93" s="14" t="s">
        <v>40</v>
      </c>
      <c r="G93" s="11" t="s">
        <v>33</v>
      </c>
      <c r="H93" s="19">
        <v>3.7810000000000001</v>
      </c>
      <c r="I93" s="11">
        <v>40</v>
      </c>
      <c r="J93" s="11">
        <v>5</v>
      </c>
      <c r="K93" s="15">
        <f t="shared" si="16"/>
        <v>9.452500000000005E-7</v>
      </c>
      <c r="L93" s="16">
        <f t="shared" si="17"/>
        <v>1057921.1848717264</v>
      </c>
      <c r="M93" s="11">
        <v>77</v>
      </c>
      <c r="N93" s="17">
        <f t="shared" si="11"/>
        <v>814599312.35122931</v>
      </c>
      <c r="O93" s="16"/>
    </row>
    <row r="94" spans="1:15" x14ac:dyDescent="0.3">
      <c r="A94" s="11" t="s">
        <v>11</v>
      </c>
      <c r="B94" s="11">
        <v>5</v>
      </c>
      <c r="C94" s="11" t="s">
        <v>1</v>
      </c>
      <c r="D94" s="11"/>
      <c r="E94" s="14" t="s">
        <v>38</v>
      </c>
      <c r="F94" s="14" t="s">
        <v>40</v>
      </c>
      <c r="G94" s="11" t="s">
        <v>33</v>
      </c>
      <c r="H94" s="19">
        <v>4.3390000000000004</v>
      </c>
      <c r="I94" s="11">
        <v>40</v>
      </c>
      <c r="J94" s="11">
        <v>6</v>
      </c>
      <c r="K94" s="15">
        <f t="shared" si="16"/>
        <v>1.0847500000000008E-7</v>
      </c>
      <c r="L94" s="16">
        <f t="shared" si="17"/>
        <v>9218713.989398472</v>
      </c>
      <c r="M94" s="11">
        <v>70</v>
      </c>
      <c r="N94" s="17">
        <f t="shared" si="11"/>
        <v>6453099792.5789309</v>
      </c>
      <c r="O94" s="16">
        <f>SUM(M94:M97)/(0.1*((2*3)+(0.1*2))*K94)</f>
        <v>11002981213.153015</v>
      </c>
    </row>
    <row r="95" spans="1:15" x14ac:dyDescent="0.3">
      <c r="A95" s="11" t="s">
        <v>11</v>
      </c>
      <c r="B95" s="11">
        <v>5</v>
      </c>
      <c r="C95" s="11" t="s">
        <v>1</v>
      </c>
      <c r="D95" s="11"/>
      <c r="E95" s="14" t="s">
        <v>38</v>
      </c>
      <c r="F95" s="14" t="s">
        <v>40</v>
      </c>
      <c r="G95" s="11" t="s">
        <v>33</v>
      </c>
      <c r="H95" s="19">
        <v>4.3390000000000004</v>
      </c>
      <c r="I95" s="11">
        <v>40</v>
      </c>
      <c r="J95" s="11">
        <v>6</v>
      </c>
      <c r="K95" s="15">
        <f t="shared" si="16"/>
        <v>1.0847500000000008E-7</v>
      </c>
      <c r="L95" s="16">
        <f t="shared" si="17"/>
        <v>9218713.989398472</v>
      </c>
      <c r="M95" s="11">
        <v>120</v>
      </c>
      <c r="N95" s="17">
        <f t="shared" si="11"/>
        <v>11062456787.278166</v>
      </c>
      <c r="O95" s="16"/>
    </row>
    <row r="96" spans="1:15" x14ac:dyDescent="0.3">
      <c r="A96" s="11" t="s">
        <v>11</v>
      </c>
      <c r="B96" s="11">
        <v>5</v>
      </c>
      <c r="C96" s="11" t="s">
        <v>1</v>
      </c>
      <c r="D96" s="11"/>
      <c r="E96" s="14" t="s">
        <v>38</v>
      </c>
      <c r="F96" s="14" t="s">
        <v>40</v>
      </c>
      <c r="G96" s="11" t="s">
        <v>33</v>
      </c>
      <c r="H96" s="19">
        <v>4.3390000000000004</v>
      </c>
      <c r="I96" s="11">
        <v>40</v>
      </c>
      <c r="J96" s="11">
        <v>5</v>
      </c>
      <c r="K96" s="15">
        <f t="shared" si="16"/>
        <v>1.0847500000000007E-6</v>
      </c>
      <c r="L96" s="16">
        <f t="shared" si="17"/>
        <v>921871.39893984725</v>
      </c>
      <c r="M96" s="11">
        <v>250</v>
      </c>
      <c r="N96" s="17">
        <f t="shared" si="11"/>
        <v>2304678497.349618</v>
      </c>
      <c r="O96" s="16"/>
    </row>
    <row r="97" spans="1:15" x14ac:dyDescent="0.3">
      <c r="A97" s="11" t="s">
        <v>11</v>
      </c>
      <c r="B97" s="11">
        <v>5</v>
      </c>
      <c r="C97" s="11" t="s">
        <v>1</v>
      </c>
      <c r="D97" s="11"/>
      <c r="E97" s="14" t="s">
        <v>38</v>
      </c>
      <c r="F97" s="14" t="s">
        <v>40</v>
      </c>
      <c r="G97" s="11" t="s">
        <v>33</v>
      </c>
      <c r="H97" s="19">
        <v>4.3390000000000004</v>
      </c>
      <c r="I97" s="11">
        <v>40</v>
      </c>
      <c r="J97" s="11">
        <v>5</v>
      </c>
      <c r="K97" s="15">
        <f t="shared" si="16"/>
        <v>1.0847500000000007E-6</v>
      </c>
      <c r="L97" s="16">
        <f t="shared" si="17"/>
        <v>921871.39893984725</v>
      </c>
      <c r="M97" s="11">
        <v>300</v>
      </c>
      <c r="N97" s="17">
        <f t="shared" si="11"/>
        <v>2765614196.8195419</v>
      </c>
      <c r="O97" s="16"/>
    </row>
    <row r="98" spans="1:15" x14ac:dyDescent="0.3">
      <c r="A98" s="11" t="s">
        <v>13</v>
      </c>
      <c r="B98" s="11">
        <v>5</v>
      </c>
      <c r="C98" s="11" t="s">
        <v>1</v>
      </c>
      <c r="D98" s="11"/>
      <c r="E98" s="14" t="s">
        <v>38</v>
      </c>
      <c r="F98" s="14" t="s">
        <v>40</v>
      </c>
      <c r="G98" s="11" t="s">
        <v>32</v>
      </c>
      <c r="H98" s="19">
        <v>3.8460000000000001</v>
      </c>
      <c r="I98" s="11">
        <v>40</v>
      </c>
      <c r="J98" s="11">
        <v>5</v>
      </c>
      <c r="K98" s="15">
        <f t="shared" si="16"/>
        <v>9.6150000000000066E-7</v>
      </c>
      <c r="L98" s="16">
        <f t="shared" si="17"/>
        <v>1040041.6016640658</v>
      </c>
      <c r="M98" s="11">
        <v>44</v>
      </c>
      <c r="N98" s="17">
        <f t="shared" si="11"/>
        <v>457618304.732189</v>
      </c>
      <c r="O98" s="16">
        <f>SUM(M98:M100)/(0.1*((2*3)+(0.1*0))*K98)</f>
        <v>235742763.04385489</v>
      </c>
    </row>
    <row r="99" spans="1:15" x14ac:dyDescent="0.3">
      <c r="A99" s="11" t="s">
        <v>13</v>
      </c>
      <c r="B99" s="11">
        <v>5</v>
      </c>
      <c r="C99" s="11" t="s">
        <v>1</v>
      </c>
      <c r="D99" s="11"/>
      <c r="E99" s="14" t="s">
        <v>38</v>
      </c>
      <c r="F99" s="14" t="s">
        <v>40</v>
      </c>
      <c r="G99" s="11" t="s">
        <v>32</v>
      </c>
      <c r="H99" s="19">
        <v>3.8460000000000001</v>
      </c>
      <c r="I99" s="11">
        <v>40</v>
      </c>
      <c r="J99" s="11">
        <v>5</v>
      </c>
      <c r="K99" s="15">
        <f t="shared" si="16"/>
        <v>9.6150000000000066E-7</v>
      </c>
      <c r="L99" s="16">
        <f t="shared" si="17"/>
        <v>1040041.6016640658</v>
      </c>
      <c r="M99" s="11">
        <v>45</v>
      </c>
      <c r="N99" s="17">
        <f t="shared" si="11"/>
        <v>468018720.7488296</v>
      </c>
      <c r="O99" s="16"/>
    </row>
    <row r="100" spans="1:15" x14ac:dyDescent="0.3">
      <c r="A100" s="11" t="s">
        <v>13</v>
      </c>
      <c r="B100" s="11">
        <v>5</v>
      </c>
      <c r="C100" s="11" t="s">
        <v>1</v>
      </c>
      <c r="D100" s="11"/>
      <c r="E100" s="14" t="s">
        <v>38</v>
      </c>
      <c r="F100" s="14" t="s">
        <v>40</v>
      </c>
      <c r="G100" s="11" t="s">
        <v>32</v>
      </c>
      <c r="H100" s="19">
        <v>3.8460000000000001</v>
      </c>
      <c r="I100" s="11">
        <v>40</v>
      </c>
      <c r="J100" s="11">
        <v>5</v>
      </c>
      <c r="K100" s="15">
        <f t="shared" si="16"/>
        <v>9.6150000000000066E-7</v>
      </c>
      <c r="L100" s="16">
        <f t="shared" si="17"/>
        <v>1040041.6016640658</v>
      </c>
      <c r="M100" s="11">
        <v>47</v>
      </c>
      <c r="N100" s="17">
        <f t="shared" si="11"/>
        <v>488819552.78211093</v>
      </c>
      <c r="O100" s="16"/>
    </row>
    <row r="101" spans="1:15" x14ac:dyDescent="0.3">
      <c r="A101" s="11" t="s">
        <v>14</v>
      </c>
      <c r="B101" s="11">
        <v>5</v>
      </c>
      <c r="C101" s="11" t="s">
        <v>1</v>
      </c>
      <c r="D101" s="11">
        <v>2</v>
      </c>
      <c r="E101" s="14" t="s">
        <v>34</v>
      </c>
      <c r="F101" s="14" t="s">
        <v>40</v>
      </c>
      <c r="G101" s="11" t="s">
        <v>33</v>
      </c>
      <c r="H101" s="19">
        <v>3.5009999999999999</v>
      </c>
      <c r="I101" s="11">
        <v>40</v>
      </c>
      <c r="J101" s="11">
        <v>6</v>
      </c>
      <c r="K101" s="15">
        <f t="shared" si="16"/>
        <v>8.7525000000000038E-8</v>
      </c>
      <c r="L101" s="16">
        <f t="shared" si="17"/>
        <v>11425307.055127101</v>
      </c>
      <c r="M101" s="11">
        <v>94</v>
      </c>
      <c r="N101" s="17">
        <f t="shared" si="11"/>
        <v>10739788631.819475</v>
      </c>
      <c r="O101" s="16">
        <f>SUM(M101:M104)/(0.1*((2*2)+(0.1*2))*K101)</f>
        <v>5277403734.9872799</v>
      </c>
    </row>
    <row r="102" spans="1:15" x14ac:dyDescent="0.3">
      <c r="A102" s="11" t="s">
        <v>14</v>
      </c>
      <c r="B102" s="11">
        <v>5</v>
      </c>
      <c r="C102" s="11" t="s">
        <v>1</v>
      </c>
      <c r="D102" s="11">
        <v>2</v>
      </c>
      <c r="E102" s="14" t="s">
        <v>34</v>
      </c>
      <c r="F102" s="14" t="s">
        <v>40</v>
      </c>
      <c r="G102" s="11" t="s">
        <v>33</v>
      </c>
      <c r="H102" s="19">
        <v>3.5009999999999999</v>
      </c>
      <c r="I102" s="11">
        <v>40</v>
      </c>
      <c r="J102" s="11">
        <v>6</v>
      </c>
      <c r="K102" s="15">
        <f t="shared" si="16"/>
        <v>8.7525000000000038E-8</v>
      </c>
      <c r="L102" s="16">
        <f t="shared" si="17"/>
        <v>11425307.055127101</v>
      </c>
      <c r="M102" s="11">
        <v>33</v>
      </c>
      <c r="N102" s="17">
        <f t="shared" ref="N102:N115" si="18">(M102/0.1)*L102</f>
        <v>3770351328.1919432</v>
      </c>
      <c r="O102" s="16"/>
    </row>
    <row r="103" spans="1:15" x14ac:dyDescent="0.3">
      <c r="A103" s="11" t="s">
        <v>14</v>
      </c>
      <c r="B103" s="11">
        <v>5</v>
      </c>
      <c r="C103" s="11" t="s">
        <v>1</v>
      </c>
      <c r="D103" s="11">
        <v>2</v>
      </c>
      <c r="E103" s="14" t="s">
        <v>34</v>
      </c>
      <c r="F103" s="14" t="s">
        <v>40</v>
      </c>
      <c r="G103" s="11" t="s">
        <v>33</v>
      </c>
      <c r="H103" s="19">
        <v>3.5009999999999999</v>
      </c>
      <c r="I103" s="11">
        <v>40</v>
      </c>
      <c r="J103" s="11">
        <v>5</v>
      </c>
      <c r="K103" s="15">
        <f t="shared" si="16"/>
        <v>8.7525000000000043E-7</v>
      </c>
      <c r="L103" s="16">
        <f t="shared" si="17"/>
        <v>1142530.7055127101</v>
      </c>
      <c r="M103" s="11">
        <v>30</v>
      </c>
      <c r="N103" s="17">
        <f t="shared" si="18"/>
        <v>342759211.65381306</v>
      </c>
      <c r="O103" s="16"/>
    </row>
    <row r="104" spans="1:15" x14ac:dyDescent="0.3">
      <c r="A104" s="11" t="s">
        <v>14</v>
      </c>
      <c r="B104" s="11">
        <v>5</v>
      </c>
      <c r="C104" s="11" t="s">
        <v>1</v>
      </c>
      <c r="D104" s="11">
        <v>2</v>
      </c>
      <c r="E104" s="14" t="s">
        <v>34</v>
      </c>
      <c r="F104" s="14" t="s">
        <v>40</v>
      </c>
      <c r="G104" s="11" t="s">
        <v>33</v>
      </c>
      <c r="H104" s="19">
        <v>3.5009999999999999</v>
      </c>
      <c r="I104" s="11">
        <v>40</v>
      </c>
      <c r="J104" s="11">
        <v>5</v>
      </c>
      <c r="K104" s="15">
        <f t="shared" si="16"/>
        <v>8.7525000000000043E-7</v>
      </c>
      <c r="L104" s="16">
        <f t="shared" si="17"/>
        <v>1142530.7055127101</v>
      </c>
      <c r="M104" s="11">
        <v>37</v>
      </c>
      <c r="N104" s="17">
        <f t="shared" si="18"/>
        <v>422736361.03970277</v>
      </c>
      <c r="O104" s="16"/>
    </row>
    <row r="105" spans="1:15" x14ac:dyDescent="0.3">
      <c r="A105" s="11" t="s">
        <v>15</v>
      </c>
      <c r="B105" s="11">
        <v>5</v>
      </c>
      <c r="C105" s="11" t="s">
        <v>1</v>
      </c>
      <c r="D105" s="11">
        <v>1</v>
      </c>
      <c r="E105" s="14" t="s">
        <v>35</v>
      </c>
      <c r="F105" s="14" t="s">
        <v>40</v>
      </c>
      <c r="G105" s="11" t="s">
        <v>33</v>
      </c>
      <c r="H105" s="19">
        <v>3.0840000000000001</v>
      </c>
      <c r="I105" s="11">
        <v>40</v>
      </c>
      <c r="J105" s="11">
        <v>5</v>
      </c>
      <c r="K105" s="15">
        <f t="shared" si="16"/>
        <v>7.7100000000000043E-7</v>
      </c>
      <c r="L105" s="16">
        <f t="shared" si="17"/>
        <v>1297016.8612191952</v>
      </c>
      <c r="M105" s="11">
        <v>74</v>
      </c>
      <c r="N105" s="17">
        <f t="shared" si="18"/>
        <v>959792477.30220449</v>
      </c>
      <c r="O105" s="16">
        <f>SUM(M105:M107)/(0.1*((2*3)+(0.1*0))*K105)</f>
        <v>332900994.37959337</v>
      </c>
    </row>
    <row r="106" spans="1:15" x14ac:dyDescent="0.3">
      <c r="A106" s="11" t="s">
        <v>15</v>
      </c>
      <c r="B106" s="11">
        <v>5</v>
      </c>
      <c r="C106" s="11" t="s">
        <v>1</v>
      </c>
      <c r="D106" s="11">
        <v>1</v>
      </c>
      <c r="E106" s="14" t="s">
        <v>35</v>
      </c>
      <c r="F106" s="14" t="s">
        <v>40</v>
      </c>
      <c r="G106" s="11" t="s">
        <v>33</v>
      </c>
      <c r="H106" s="19">
        <v>3.0840000000000001</v>
      </c>
      <c r="I106" s="11">
        <v>40</v>
      </c>
      <c r="J106" s="11">
        <v>5</v>
      </c>
      <c r="K106" s="15">
        <f t="shared" si="16"/>
        <v>7.7100000000000043E-7</v>
      </c>
      <c r="L106" s="16">
        <f t="shared" si="17"/>
        <v>1297016.8612191952</v>
      </c>
      <c r="M106" s="11">
        <v>49</v>
      </c>
      <c r="N106" s="17">
        <f t="shared" si="18"/>
        <v>635538261.99740565</v>
      </c>
      <c r="O106" s="16"/>
    </row>
    <row r="107" spans="1:15" x14ac:dyDescent="0.3">
      <c r="A107" s="11" t="s">
        <v>15</v>
      </c>
      <c r="B107" s="11">
        <v>5</v>
      </c>
      <c r="C107" s="11" t="s">
        <v>1</v>
      </c>
      <c r="D107" s="11">
        <v>1</v>
      </c>
      <c r="E107" s="14" t="s">
        <v>35</v>
      </c>
      <c r="F107" s="14" t="s">
        <v>40</v>
      </c>
      <c r="G107" s="11" t="s">
        <v>33</v>
      </c>
      <c r="H107" s="19">
        <v>3.0840000000000001</v>
      </c>
      <c r="I107" s="11">
        <v>40</v>
      </c>
      <c r="J107" s="11">
        <v>5</v>
      </c>
      <c r="K107" s="15">
        <f t="shared" si="16"/>
        <v>7.7100000000000043E-7</v>
      </c>
      <c r="L107" s="16">
        <f t="shared" si="17"/>
        <v>1297016.8612191952</v>
      </c>
      <c r="M107" s="11">
        <v>31</v>
      </c>
      <c r="N107" s="17">
        <f t="shared" si="18"/>
        <v>402075226.97795051</v>
      </c>
      <c r="O107" s="16"/>
    </row>
    <row r="108" spans="1:15" x14ac:dyDescent="0.3">
      <c r="A108" s="11" t="s">
        <v>16</v>
      </c>
      <c r="B108" s="11">
        <v>5</v>
      </c>
      <c r="C108" s="11" t="s">
        <v>1</v>
      </c>
      <c r="D108" s="11">
        <v>3</v>
      </c>
      <c r="E108" s="14" t="s">
        <v>34</v>
      </c>
      <c r="F108" s="14" t="s">
        <v>40</v>
      </c>
      <c r="G108" s="11" t="s">
        <v>33</v>
      </c>
      <c r="H108" s="19">
        <v>3.456</v>
      </c>
      <c r="I108" s="11">
        <v>40</v>
      </c>
      <c r="J108" s="11">
        <v>5</v>
      </c>
      <c r="K108" s="15">
        <f t="shared" si="16"/>
        <v>8.6400000000000054E-7</v>
      </c>
      <c r="L108" s="16">
        <f t="shared" si="17"/>
        <v>1157407.4074074067</v>
      </c>
      <c r="M108" s="11">
        <v>36</v>
      </c>
      <c r="N108" s="17">
        <f t="shared" si="18"/>
        <v>416666666.66666639</v>
      </c>
      <c r="O108" s="16">
        <f>SUM(M108:M110)/(0.1*((2*3)+(0.1*0))*K108)</f>
        <v>430169753.0864194</v>
      </c>
    </row>
    <row r="109" spans="1:15" x14ac:dyDescent="0.3">
      <c r="A109" s="11" t="s">
        <v>16</v>
      </c>
      <c r="B109" s="11">
        <v>5</v>
      </c>
      <c r="C109" s="11" t="s">
        <v>1</v>
      </c>
      <c r="D109" s="11">
        <v>3</v>
      </c>
      <c r="E109" s="14" t="s">
        <v>34</v>
      </c>
      <c r="F109" s="14" t="s">
        <v>40</v>
      </c>
      <c r="G109" s="11" t="s">
        <v>33</v>
      </c>
      <c r="H109" s="19">
        <v>3.456</v>
      </c>
      <c r="I109" s="11">
        <v>40</v>
      </c>
      <c r="J109" s="11">
        <v>5</v>
      </c>
      <c r="K109" s="15">
        <f t="shared" si="16"/>
        <v>8.6400000000000054E-7</v>
      </c>
      <c r="L109" s="16">
        <f t="shared" si="17"/>
        <v>1157407.4074074067</v>
      </c>
      <c r="M109" s="11">
        <v>69</v>
      </c>
      <c r="N109" s="17">
        <f t="shared" si="18"/>
        <v>798611111.11111069</v>
      </c>
      <c r="O109" s="16"/>
    </row>
    <row r="110" spans="1:15" x14ac:dyDescent="0.3">
      <c r="A110" s="11" t="s">
        <v>16</v>
      </c>
      <c r="B110" s="11">
        <v>5</v>
      </c>
      <c r="C110" s="11" t="s">
        <v>1</v>
      </c>
      <c r="D110" s="11">
        <v>3</v>
      </c>
      <c r="E110" s="14" t="s">
        <v>34</v>
      </c>
      <c r="F110" s="14" t="s">
        <v>40</v>
      </c>
      <c r="G110" s="11" t="s">
        <v>33</v>
      </c>
      <c r="H110" s="19">
        <v>3.456</v>
      </c>
      <c r="I110" s="11">
        <v>40</v>
      </c>
      <c r="J110" s="11">
        <v>5</v>
      </c>
      <c r="K110" s="15">
        <f t="shared" si="16"/>
        <v>8.6400000000000054E-7</v>
      </c>
      <c r="L110" s="16">
        <f t="shared" si="17"/>
        <v>1157407.4074074067</v>
      </c>
      <c r="M110" s="11">
        <v>118</v>
      </c>
      <c r="N110" s="17">
        <f t="shared" si="18"/>
        <v>1365740740.7407398</v>
      </c>
      <c r="O110" s="16"/>
    </row>
    <row r="111" spans="1:15" x14ac:dyDescent="0.3">
      <c r="A111" s="11" t="s">
        <v>17</v>
      </c>
      <c r="B111" s="11">
        <v>5</v>
      </c>
      <c r="C111" s="11" t="s">
        <v>1</v>
      </c>
      <c r="D111" s="11">
        <v>1</v>
      </c>
      <c r="E111" s="14" t="s">
        <v>34</v>
      </c>
      <c r="F111" s="14" t="s">
        <v>40</v>
      </c>
      <c r="G111" s="11" t="s">
        <v>32</v>
      </c>
      <c r="H111" s="19">
        <v>3.117</v>
      </c>
      <c r="I111" s="11">
        <v>40</v>
      </c>
      <c r="J111" s="11">
        <v>6</v>
      </c>
      <c r="K111" s="15">
        <f t="shared" si="16"/>
        <v>7.7925000000000044E-8</v>
      </c>
      <c r="L111" s="16">
        <f t="shared" si="17"/>
        <v>12832852.101379525</v>
      </c>
      <c r="M111" s="11">
        <v>32</v>
      </c>
      <c r="N111" s="17">
        <f t="shared" si="18"/>
        <v>4106512672.4414482</v>
      </c>
      <c r="O111" s="16">
        <f>SUM(M111:M115)/(0.1*((2*3)+(0.1*2))*K113)</f>
        <v>428451674.99767119</v>
      </c>
    </row>
    <row r="112" spans="1:15" x14ac:dyDescent="0.3">
      <c r="A112" s="11" t="s">
        <v>17</v>
      </c>
      <c r="B112" s="11">
        <v>5</v>
      </c>
      <c r="C112" s="11" t="s">
        <v>1</v>
      </c>
      <c r="D112" s="11">
        <v>1</v>
      </c>
      <c r="E112" s="14" t="s">
        <v>34</v>
      </c>
      <c r="F112" s="14" t="s">
        <v>40</v>
      </c>
      <c r="G112" s="11" t="s">
        <v>32</v>
      </c>
      <c r="H112" s="19">
        <v>3.117</v>
      </c>
      <c r="I112" s="11">
        <v>40</v>
      </c>
      <c r="J112" s="11">
        <v>6</v>
      </c>
      <c r="K112" s="15">
        <f t="shared" si="16"/>
        <v>7.7925000000000044E-8</v>
      </c>
      <c r="L112" s="16">
        <f t="shared" si="17"/>
        <v>12832852.101379525</v>
      </c>
      <c r="M112" s="11">
        <v>57</v>
      </c>
      <c r="N112" s="17">
        <f t="shared" si="18"/>
        <v>7314725697.7863293</v>
      </c>
      <c r="O112" s="16"/>
    </row>
    <row r="113" spans="1:15" x14ac:dyDescent="0.3">
      <c r="A113" s="11" t="s">
        <v>17</v>
      </c>
      <c r="B113" s="11">
        <v>5</v>
      </c>
      <c r="C113" s="11" t="s">
        <v>1</v>
      </c>
      <c r="D113" s="11">
        <v>1</v>
      </c>
      <c r="E113" s="14" t="s">
        <v>34</v>
      </c>
      <c r="F113" s="14" t="s">
        <v>40</v>
      </c>
      <c r="G113" s="11" t="s">
        <v>32</v>
      </c>
      <c r="H113" s="19">
        <v>3.117</v>
      </c>
      <c r="I113" s="11">
        <v>40</v>
      </c>
      <c r="J113" s="11">
        <v>5</v>
      </c>
      <c r="K113" s="15">
        <f t="shared" si="16"/>
        <v>7.7925000000000042E-7</v>
      </c>
      <c r="L113" s="16">
        <f t="shared" si="17"/>
        <v>1283285.2101379526</v>
      </c>
      <c r="M113" s="11">
        <v>46</v>
      </c>
      <c r="N113" s="17">
        <f t="shared" si="18"/>
        <v>590311196.66345823</v>
      </c>
      <c r="O113" s="16"/>
    </row>
    <row r="114" spans="1:15" x14ac:dyDescent="0.3">
      <c r="A114" s="11" t="s">
        <v>17</v>
      </c>
      <c r="B114" s="11">
        <v>5</v>
      </c>
      <c r="C114" s="11" t="s">
        <v>1</v>
      </c>
      <c r="D114" s="11">
        <v>1</v>
      </c>
      <c r="E114" s="14" t="s">
        <v>34</v>
      </c>
      <c r="F114" s="14" t="s">
        <v>40</v>
      </c>
      <c r="G114" s="11" t="s">
        <v>32</v>
      </c>
      <c r="H114" s="19">
        <v>3.117</v>
      </c>
      <c r="I114" s="11">
        <v>40</v>
      </c>
      <c r="J114" s="11">
        <v>5</v>
      </c>
      <c r="K114" s="15">
        <f t="shared" si="16"/>
        <v>7.7925000000000042E-7</v>
      </c>
      <c r="L114" s="16">
        <f t="shared" si="17"/>
        <v>1283285.2101379526</v>
      </c>
      <c r="M114" s="11">
        <v>42</v>
      </c>
      <c r="N114" s="17">
        <f t="shared" si="18"/>
        <v>538979788.25794005</v>
      </c>
      <c r="O114" s="16"/>
    </row>
    <row r="115" spans="1:15" x14ac:dyDescent="0.3">
      <c r="A115" s="11" t="s">
        <v>17</v>
      </c>
      <c r="B115" s="11">
        <v>5</v>
      </c>
      <c r="C115" s="11" t="s">
        <v>1</v>
      </c>
      <c r="D115" s="11">
        <v>1</v>
      </c>
      <c r="E115" s="14" t="s">
        <v>34</v>
      </c>
      <c r="F115" s="14" t="s">
        <v>40</v>
      </c>
      <c r="G115" s="11" t="s">
        <v>32</v>
      </c>
      <c r="H115" s="19">
        <v>3.117</v>
      </c>
      <c r="I115" s="11">
        <v>40</v>
      </c>
      <c r="J115" s="11">
        <v>5</v>
      </c>
      <c r="K115" s="15">
        <f t="shared" si="16"/>
        <v>7.7925000000000042E-7</v>
      </c>
      <c r="L115" s="16">
        <f t="shared" si="17"/>
        <v>1283285.2101379526</v>
      </c>
      <c r="M115" s="11">
        <v>30</v>
      </c>
      <c r="N115" s="17">
        <f t="shared" si="18"/>
        <v>384985563.04138577</v>
      </c>
      <c r="O115" s="16"/>
    </row>
  </sheetData>
  <autoFilter ref="A1:T11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ETH-Zürich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  Moritz</dc:creator>
  <cp:lastModifiedBy>Gold  Moritz</cp:lastModifiedBy>
  <dcterms:created xsi:type="dcterms:W3CDTF">2020-02-24T13:28:46Z</dcterms:created>
  <dcterms:modified xsi:type="dcterms:W3CDTF">2020-09-17T20:12:46Z</dcterms:modified>
</cp:coreProperties>
</file>