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-15" yWindow="3060" windowWidth="11970" windowHeight="3105" tabRatio="601"/>
  </bookViews>
  <sheets>
    <sheet name="F.22AT16" sheetId="49" r:id="rId1"/>
    <sheet name="F.22AT15" sheetId="45" r:id="rId2"/>
    <sheet name="F.22AT14" sheetId="42" r:id="rId3"/>
    <sheet name="F.22AT13" sheetId="41" r:id="rId4"/>
    <sheet name="F.22AT12" sheetId="38" r:id="rId5"/>
    <sheet name="F.22AT11" sheetId="37" r:id="rId6"/>
    <sheet name="F.22AT10" sheetId="34" r:id="rId7"/>
    <sheet name="F.22AT09" sheetId="31" state="hidden" r:id="rId8"/>
    <sheet name="F.22AT08" sheetId="29" state="hidden" r:id="rId9"/>
    <sheet name="F.22AT07" sheetId="27" state="hidden" r:id="rId10"/>
    <sheet name="F.22AT06" sheetId="21" state="hidden" r:id="rId11"/>
    <sheet name="F.22AT05" sheetId="18" state="hidden" r:id="rId12"/>
    <sheet name="F.22AT04" sheetId="16" state="hidden" r:id="rId13"/>
    <sheet name="F.22AT03" sheetId="15" state="hidden" r:id="rId14"/>
    <sheet name="F.22AT02" sheetId="13" state="hidden" r:id="rId15"/>
    <sheet name="F.22AT01" sheetId="8" state="hidden" r:id="rId16"/>
    <sheet name="F.22AT00" sheetId="11" state="hidden" r:id="rId17"/>
    <sheet name="F.22AT99" sheetId="7" state="hidden" r:id="rId18"/>
    <sheet name="AT16" sheetId="48" r:id="rId19"/>
    <sheet name="AT15" sheetId="44" r:id="rId20"/>
    <sheet name="AT14" sheetId="43" r:id="rId21"/>
    <sheet name="AT13" sheetId="40" r:id="rId22"/>
    <sheet name="AT12" sheetId="39" r:id="rId23"/>
    <sheet name="AT11" sheetId="36" r:id="rId24"/>
    <sheet name="AT10" sheetId="33" state="hidden" r:id="rId25"/>
    <sheet name="AT09" sheetId="32" state="hidden" r:id="rId26"/>
    <sheet name="AT08" sheetId="30" state="hidden" r:id="rId27"/>
    <sheet name="AT07" sheetId="28" state="hidden" r:id="rId28"/>
    <sheet name="AT06" sheetId="20" state="hidden" r:id="rId29"/>
    <sheet name="AT05" sheetId="19" state="hidden" r:id="rId30"/>
    <sheet name="AT04" sheetId="17" state="hidden" r:id="rId31"/>
    <sheet name="AT03" sheetId="14" state="hidden" r:id="rId32"/>
    <sheet name="AT02" sheetId="12" state="hidden" r:id="rId33"/>
    <sheet name="AT01" sheetId="5" state="hidden" r:id="rId34"/>
    <sheet name="AT00" sheetId="2" state="hidden" r:id="rId35"/>
    <sheet name="AT99" sheetId="9" state="hidden" r:id="rId36"/>
    <sheet name="Errores" sheetId="25" state="hidden" r:id="rId37"/>
    <sheet name="AT98" sheetId="22" state="hidden" r:id="rId38"/>
    <sheet name="AT97" sheetId="23" state="hidden" r:id="rId39"/>
    <sheet name="AT96" sheetId="24" state="hidden" r:id="rId40"/>
    <sheet name="Hoja2" sheetId="47" r:id="rId41"/>
  </sheets>
  <externalReferences>
    <externalReference r:id="rId42"/>
  </externalReferences>
  <definedNames>
    <definedName name="_Li53" localSheetId="20">#REF!</definedName>
    <definedName name="_Li53" localSheetId="19">#REF!</definedName>
    <definedName name="_Li53" localSheetId="18">#REF!</definedName>
    <definedName name="_Li53" localSheetId="16">F.22AT00!$H$48</definedName>
    <definedName name="_Li53" localSheetId="15">F.22AT01!$H$48</definedName>
    <definedName name="_Li53" localSheetId="14">F.22AT02!$H$48</definedName>
    <definedName name="_Li53" localSheetId="13">F.22AT03!$H$48</definedName>
    <definedName name="_Li53" localSheetId="12">F.22AT04!$H$48</definedName>
    <definedName name="_Li53" localSheetId="11">F.22AT05!$H$49</definedName>
    <definedName name="_Li53" localSheetId="10">F.22AT06!$H$49</definedName>
    <definedName name="_Li53" localSheetId="9">F.22AT07!#REF!</definedName>
    <definedName name="_Li53" localSheetId="8">F.22AT08!#REF!</definedName>
    <definedName name="_Li53" localSheetId="7">F.22AT09!#REF!</definedName>
    <definedName name="_Li53" localSheetId="6">F.22AT10!#REF!</definedName>
    <definedName name="_Li53" localSheetId="5">F.22AT11!#REF!</definedName>
    <definedName name="_Li53" localSheetId="4">F.22AT12!#REF!</definedName>
    <definedName name="_Li53" localSheetId="3">F.22AT13!#REF!</definedName>
    <definedName name="_Li53" localSheetId="2">F.22AT14!#REF!</definedName>
    <definedName name="_Li53" localSheetId="1">F.22AT15!#REF!</definedName>
    <definedName name="_Li53" localSheetId="0">F.22AT16!#REF!</definedName>
    <definedName name="_Li53" localSheetId="17">F.22AT99!$H$48</definedName>
    <definedName name="_Li53">#REF!</definedName>
    <definedName name="_xlnm.Print_Area" localSheetId="21">'AT13'!$A$1:$N$24</definedName>
    <definedName name="_xlnm.Print_Area" localSheetId="20">'AT14'!$A$1:$H$22</definedName>
    <definedName name="_xlnm.Print_Area" localSheetId="5">F.22AT11!$A$1:$I$101</definedName>
    <definedName name="_xlnm.Print_Area" localSheetId="4">F.22AT12!$A$1:$I$101</definedName>
    <definedName name="_xlnm.Print_Area" localSheetId="3">F.22AT13!$A$1:$I$102</definedName>
    <definedName name="_xlnm.Print_Area" localSheetId="2">F.22AT14!$A$1:$I$102</definedName>
    <definedName name="_xlnm.Print_Area" localSheetId="1">F.22AT15!$A$1:$I$102</definedName>
    <definedName name="_xlnm.Print_Area" localSheetId="0">F.22AT16!$A$1:$I$104</definedName>
    <definedName name="PPM_Reajustado">[1]Movimiento!$G$258</definedName>
    <definedName name="ReajTrim" localSheetId="20">#REF!</definedName>
    <definedName name="ReajTrim" localSheetId="19">#REF!</definedName>
    <definedName name="ReajTrim" localSheetId="18">#REF!</definedName>
    <definedName name="ReajTrim" localSheetId="16">F.22AT00!$E$51</definedName>
    <definedName name="ReajTrim" localSheetId="15">F.22AT01!$E$51</definedName>
    <definedName name="ReajTrim" localSheetId="14">F.22AT02!$E$51</definedName>
    <definedName name="ReajTrim" localSheetId="13">F.22AT03!$E$51</definedName>
    <definedName name="ReajTrim" localSheetId="12">F.22AT04!$E$51</definedName>
    <definedName name="ReajTrim" localSheetId="11">F.22AT05!$E$52</definedName>
    <definedName name="ReajTrim" localSheetId="10">F.22AT06!$E$52</definedName>
    <definedName name="ReajTrim" localSheetId="9">F.22AT07!$E$52</definedName>
    <definedName name="ReajTrim" localSheetId="8">F.22AT08!$E$52</definedName>
    <definedName name="ReajTrim" localSheetId="7">F.22AT09!$E$52</definedName>
    <definedName name="ReajTrim" localSheetId="6">F.22AT10!$E$52</definedName>
    <definedName name="ReajTrim" localSheetId="5">F.22AT11!$E$53</definedName>
    <definedName name="ReajTrim" localSheetId="4">F.22AT12!$E$53</definedName>
    <definedName name="ReajTrim" localSheetId="3">F.22AT13!$E$54</definedName>
    <definedName name="ReajTrim" localSheetId="2">F.22AT14!$E$54</definedName>
    <definedName name="ReajTrim" localSheetId="1">F.22AT15!$E$54</definedName>
    <definedName name="ReajTrim" localSheetId="0">F.22AT16!$E$56</definedName>
    <definedName name="ReajTrim" localSheetId="17">F.22AT99!$E$51</definedName>
    <definedName name="ReajTrim">#REF!</definedName>
  </definedNames>
  <calcPr calcId="145621"/>
</workbook>
</file>

<file path=xl/calcChain.xml><?xml version="1.0" encoding="utf-8"?>
<calcChain xmlns="http://schemas.openxmlformats.org/spreadsheetml/2006/main">
  <c r="E59" i="45" l="1"/>
  <c r="E42" i="45" l="1"/>
  <c r="K42" i="45" s="1"/>
  <c r="J44" i="45"/>
  <c r="E67" i="49"/>
  <c r="E66" i="49"/>
  <c r="E43" i="45" l="1"/>
  <c r="K43" i="45" s="1"/>
  <c r="M64" i="49"/>
  <c r="E47" i="49"/>
  <c r="I69" i="49"/>
  <c r="E58" i="49"/>
  <c r="E44" i="49" l="1"/>
  <c r="G26" i="44"/>
  <c r="G23" i="44"/>
  <c r="G22" i="44"/>
  <c r="G20" i="44"/>
  <c r="G19" i="44"/>
  <c r="G18" i="44"/>
  <c r="E35" i="49"/>
  <c r="E63" i="49"/>
  <c r="E61" i="49"/>
  <c r="E91" i="49"/>
  <c r="E92" i="49" s="1"/>
  <c r="K88" i="49"/>
  <c r="E85" i="49"/>
  <c r="E82" i="49"/>
  <c r="M81" i="49"/>
  <c r="E81" i="49"/>
  <c r="I73" i="49"/>
  <c r="I72" i="49"/>
  <c r="E69" i="49"/>
  <c r="E62" i="49"/>
  <c r="E13" i="49"/>
  <c r="E14" i="49" s="1"/>
  <c r="E7" i="49"/>
  <c r="E6" i="49"/>
  <c r="A3" i="49"/>
  <c r="G51" i="48"/>
  <c r="G9" i="48"/>
  <c r="G10" i="48" s="1"/>
  <c r="C4" i="48"/>
  <c r="A8" i="48" s="1"/>
  <c r="M79" i="45"/>
  <c r="K86" i="45"/>
  <c r="E83" i="45"/>
  <c r="G41" i="43"/>
  <c r="G27" i="44"/>
  <c r="G49" i="44" s="1"/>
  <c r="G9" i="44"/>
  <c r="G10" i="44" s="1"/>
  <c r="G28" i="44" s="1"/>
  <c r="C4" i="44"/>
  <c r="A8" i="44" s="1"/>
  <c r="E64" i="45"/>
  <c r="E65" i="45" s="1"/>
  <c r="E45" i="49" l="1"/>
  <c r="E54" i="49" s="1"/>
  <c r="H54" i="49" s="1"/>
  <c r="G49" i="48"/>
  <c r="G55" i="48" s="1"/>
  <c r="G30" i="48"/>
  <c r="B12" i="48"/>
  <c r="E49" i="49"/>
  <c r="A40" i="48"/>
  <c r="A10" i="48"/>
  <c r="B49" i="48" s="1"/>
  <c r="B9" i="48"/>
  <c r="B41" i="48" s="1"/>
  <c r="A30" i="48"/>
  <c r="B33" i="48"/>
  <c r="G33" i="48"/>
  <c r="G44" i="48" s="1"/>
  <c r="G31" i="44"/>
  <c r="G42" i="44" s="1"/>
  <c r="G47" i="44"/>
  <c r="G53" i="44" s="1"/>
  <c r="E74" i="49" s="1"/>
  <c r="A38" i="44"/>
  <c r="A10" i="44"/>
  <c r="B47" i="44" s="1"/>
  <c r="B9" i="44"/>
  <c r="B39" i="44" s="1"/>
  <c r="B12" i="44"/>
  <c r="A28" i="44"/>
  <c r="B31" i="44"/>
  <c r="E56" i="45"/>
  <c r="E10" i="49" l="1"/>
  <c r="E15" i="49" s="1"/>
  <c r="E76" i="49"/>
  <c r="E75" i="49"/>
  <c r="E8" i="49"/>
  <c r="A56" i="48"/>
  <c r="A45" i="48"/>
  <c r="A42" i="48"/>
  <c r="A54" i="44"/>
  <c r="A43" i="44"/>
  <c r="A40" i="44"/>
  <c r="E36" i="45"/>
  <c r="E55" i="45"/>
  <c r="B20" i="49" l="1"/>
  <c r="B19" i="49"/>
  <c r="C18" i="49"/>
  <c r="E17" i="49"/>
  <c r="B17" i="49"/>
  <c r="E16" i="49"/>
  <c r="B16" i="49"/>
  <c r="C20" i="49"/>
  <c r="C19" i="49"/>
  <c r="B18" i="49"/>
  <c r="C17" i="49"/>
  <c r="A17" i="49"/>
  <c r="C16" i="49"/>
  <c r="E35" i="45"/>
  <c r="E18" i="49" l="1"/>
  <c r="E52" i="45"/>
  <c r="E89" i="45"/>
  <c r="E90" i="45" s="1"/>
  <c r="E79" i="45"/>
  <c r="I71" i="45"/>
  <c r="I70" i="45"/>
  <c r="E67" i="45"/>
  <c r="E60" i="45"/>
  <c r="E13" i="45"/>
  <c r="E14" i="45" s="1"/>
  <c r="E7" i="45"/>
  <c r="E6" i="45"/>
  <c r="A3" i="45"/>
  <c r="E47" i="45"/>
  <c r="G42" i="40"/>
  <c r="G13" i="40"/>
  <c r="P16" i="43"/>
  <c r="E10" i="45" l="1"/>
  <c r="E73" i="45"/>
  <c r="E80" i="45"/>
  <c r="I71" i="42"/>
  <c r="I70" i="42"/>
  <c r="E15" i="45" l="1"/>
  <c r="E56" i="42"/>
  <c r="E8" i="45" l="1"/>
  <c r="E74" i="45"/>
  <c r="B20" i="45"/>
  <c r="B19" i="45"/>
  <c r="C18" i="45"/>
  <c r="B17" i="45"/>
  <c r="E16" i="45"/>
  <c r="B16" i="45"/>
  <c r="C20" i="45"/>
  <c r="C19" i="45"/>
  <c r="B18" i="45"/>
  <c r="C17" i="45"/>
  <c r="A17" i="45"/>
  <c r="C16" i="45"/>
  <c r="E65" i="42"/>
  <c r="E67" i="42" s="1"/>
  <c r="E64" i="42"/>
  <c r="E39" i="42"/>
  <c r="E37" i="42"/>
  <c r="E42" i="42" s="1"/>
  <c r="E35" i="42"/>
  <c r="E59" i="42"/>
  <c r="E61" i="42"/>
  <c r="E55" i="42"/>
  <c r="D29" i="43"/>
  <c r="G17" i="43"/>
  <c r="G39" i="43" s="1"/>
  <c r="C4" i="43"/>
  <c r="B21" i="43" s="1"/>
  <c r="E89" i="42"/>
  <c r="E90" i="42" s="1"/>
  <c r="E79" i="42"/>
  <c r="K54" i="42"/>
  <c r="K56" i="42"/>
  <c r="E48" i="42"/>
  <c r="E60" i="42"/>
  <c r="E13" i="42"/>
  <c r="E14" i="42" s="1"/>
  <c r="E7" i="42"/>
  <c r="E6" i="42"/>
  <c r="A3" i="42"/>
  <c r="E64" i="41"/>
  <c r="E37" i="41"/>
  <c r="E13" i="41"/>
  <c r="E17" i="45" l="1"/>
  <c r="E18" i="45" s="1"/>
  <c r="A8" i="43"/>
  <c r="B9" i="43"/>
  <c r="B29" i="43" s="1"/>
  <c r="B12" i="43"/>
  <c r="A18" i="43"/>
  <c r="E43" i="42"/>
  <c r="E56" i="41"/>
  <c r="E65" i="41"/>
  <c r="E67" i="41" s="1"/>
  <c r="E35" i="41"/>
  <c r="E39" i="41"/>
  <c r="E59" i="41"/>
  <c r="K54" i="41" s="1"/>
  <c r="E61" i="41"/>
  <c r="E58" i="41"/>
  <c r="E55" i="41"/>
  <c r="E42" i="41"/>
  <c r="E48" i="41"/>
  <c r="A3" i="41"/>
  <c r="E89" i="41"/>
  <c r="E90" i="41" s="1"/>
  <c r="E79" i="41"/>
  <c r="E60" i="41"/>
  <c r="K56" i="41"/>
  <c r="E14" i="41"/>
  <c r="E7" i="41"/>
  <c r="E6" i="41"/>
  <c r="D30" i="40"/>
  <c r="G18" i="40"/>
  <c r="G40" i="40" s="1"/>
  <c r="C4" i="40"/>
  <c r="B22" i="40" s="1"/>
  <c r="E33" i="38"/>
  <c r="E55" i="38"/>
  <c r="G14" i="39"/>
  <c r="E63" i="38"/>
  <c r="E64" i="38" s="1"/>
  <c r="E66" i="38" s="1"/>
  <c r="E37" i="38"/>
  <c r="E36" i="38"/>
  <c r="K55" i="38"/>
  <c r="E58" i="38"/>
  <c r="K53" i="38" s="1"/>
  <c r="E60" i="38"/>
  <c r="A3" i="38"/>
  <c r="C4" i="39"/>
  <c r="A8" i="39" s="1"/>
  <c r="G16" i="39"/>
  <c r="D28" i="39"/>
  <c r="G38" i="39"/>
  <c r="E6" i="38"/>
  <c r="E7" i="38"/>
  <c r="E12" i="38"/>
  <c r="E13" i="38" s="1"/>
  <c r="E59" i="38"/>
  <c r="E78" i="38"/>
  <c r="E88" i="38"/>
  <c r="E89" i="38" s="1"/>
  <c r="G14" i="36"/>
  <c r="G16" i="36"/>
  <c r="D28" i="36"/>
  <c r="G38" i="36"/>
  <c r="I112" i="37"/>
  <c r="I111" i="37"/>
  <c r="I108" i="37"/>
  <c r="I107" i="37"/>
  <c r="G14" i="33"/>
  <c r="A3" i="37"/>
  <c r="E33" i="37"/>
  <c r="E41" i="37" s="1"/>
  <c r="E36" i="37"/>
  <c r="E55" i="37"/>
  <c r="E63" i="37"/>
  <c r="E64" i="37" s="1"/>
  <c r="E66" i="37" s="1"/>
  <c r="E37" i="37"/>
  <c r="E58" i="37"/>
  <c r="E60" i="37"/>
  <c r="E57" i="37"/>
  <c r="E6" i="37"/>
  <c r="E7" i="37"/>
  <c r="E12" i="37"/>
  <c r="E13" i="37" s="1"/>
  <c r="E59" i="37"/>
  <c r="E78" i="37"/>
  <c r="E88" i="37"/>
  <c r="E89" i="37" s="1"/>
  <c r="C4" i="36"/>
  <c r="A8" i="36" s="1"/>
  <c r="B20" i="36"/>
  <c r="I78" i="34"/>
  <c r="E35" i="34"/>
  <c r="E37" i="34"/>
  <c r="E49" i="34"/>
  <c r="E81" i="34" s="1"/>
  <c r="A3" i="34"/>
  <c r="E66" i="34"/>
  <c r="E67" i="34"/>
  <c r="E69" i="34" s="1"/>
  <c r="E64" i="34"/>
  <c r="E61" i="34"/>
  <c r="E59" i="34"/>
  <c r="E56" i="34"/>
  <c r="E6" i="34"/>
  <c r="E7" i="34"/>
  <c r="E12" i="34"/>
  <c r="E13" i="34"/>
  <c r="E60" i="34"/>
  <c r="E91" i="34"/>
  <c r="E92" i="34" s="1"/>
  <c r="C4" i="33"/>
  <c r="A8" i="33" s="1"/>
  <c r="B9" i="33"/>
  <c r="B27" i="33" s="1"/>
  <c r="B12" i="33"/>
  <c r="G15" i="33"/>
  <c r="A16" i="33"/>
  <c r="D27" i="33"/>
  <c r="G37" i="33"/>
  <c r="E59" i="31"/>
  <c r="G15" i="32"/>
  <c r="E46" i="31"/>
  <c r="E60" i="31"/>
  <c r="A3" i="31"/>
  <c r="E35" i="31"/>
  <c r="E33" i="31"/>
  <c r="E40" i="31" s="1"/>
  <c r="E49" i="31"/>
  <c r="E37" i="31"/>
  <c r="E36" i="31"/>
  <c r="E67" i="31"/>
  <c r="E69" i="31" s="1"/>
  <c r="E66" i="31"/>
  <c r="E64" i="31"/>
  <c r="E58" i="31"/>
  <c r="E56" i="31"/>
  <c r="E54" i="31"/>
  <c r="C4" i="32"/>
  <c r="A8" i="32" s="1"/>
  <c r="B12" i="32"/>
  <c r="B19" i="32"/>
  <c r="D27" i="32"/>
  <c r="G37" i="32"/>
  <c r="E6" i="31"/>
  <c r="E7" i="31"/>
  <c r="E11" i="31"/>
  <c r="E12" i="31"/>
  <c r="E13" i="31" s="1"/>
  <c r="E81" i="31"/>
  <c r="E91" i="31"/>
  <c r="E92" i="31" s="1"/>
  <c r="E91" i="29"/>
  <c r="E92" i="29" s="1"/>
  <c r="E66" i="29"/>
  <c r="E67" i="29" s="1"/>
  <c r="E69" i="29" s="1"/>
  <c r="E64" i="29"/>
  <c r="E56" i="29"/>
  <c r="E54" i="29"/>
  <c r="E59" i="29"/>
  <c r="E37" i="29"/>
  <c r="E35" i="29"/>
  <c r="E33" i="29"/>
  <c r="A3" i="29"/>
  <c r="E6" i="29"/>
  <c r="E7" i="29"/>
  <c r="E46" i="29"/>
  <c r="E49" i="29"/>
  <c r="E81" i="29" s="1"/>
  <c r="E11" i="29"/>
  <c r="E12" i="29"/>
  <c r="E13" i="29" s="1"/>
  <c r="D27" i="30"/>
  <c r="C4" i="30"/>
  <c r="A8" i="30" s="1"/>
  <c r="B9" i="30"/>
  <c r="B27" i="30" s="1"/>
  <c r="B12" i="30"/>
  <c r="B19" i="30"/>
  <c r="G37" i="30"/>
  <c r="E10" i="18"/>
  <c r="E10" i="21"/>
  <c r="E35" i="27"/>
  <c r="E66" i="27"/>
  <c r="E67" i="27"/>
  <c r="E46" i="27"/>
  <c r="E49" i="27"/>
  <c r="E80" i="27" s="1"/>
  <c r="D27" i="28"/>
  <c r="G37" i="28"/>
  <c r="E33" i="27"/>
  <c r="E37" i="27"/>
  <c r="E64" i="27"/>
  <c r="E56" i="27"/>
  <c r="E11" i="27"/>
  <c r="E12" i="27"/>
  <c r="E13" i="27" s="1"/>
  <c r="E54" i="27"/>
  <c r="G9" i="24"/>
  <c r="G10" i="24" s="1"/>
  <c r="E59" i="27"/>
  <c r="E53" i="27"/>
  <c r="D28" i="24"/>
  <c r="G28" i="24" s="1"/>
  <c r="G29" i="24" s="1"/>
  <c r="G34" i="24"/>
  <c r="G37" i="24"/>
  <c r="G38" i="24"/>
  <c r="D26" i="23"/>
  <c r="G32" i="23"/>
  <c r="G35" i="23"/>
  <c r="G36" i="23"/>
  <c r="D26" i="22"/>
  <c r="G32" i="22"/>
  <c r="D25" i="9"/>
  <c r="G31" i="9"/>
  <c r="G34" i="9"/>
  <c r="G35" i="9"/>
  <c r="D25" i="2"/>
  <c r="G31" i="2"/>
  <c r="G34" i="2"/>
  <c r="G35" i="2"/>
  <c r="D25" i="5"/>
  <c r="G31" i="5"/>
  <c r="G34" i="5"/>
  <c r="G35" i="5"/>
  <c r="D25" i="12"/>
  <c r="G35" i="12"/>
  <c r="D25" i="14"/>
  <c r="G35" i="14"/>
  <c r="D25" i="17"/>
  <c r="G35" i="17"/>
  <c r="D25" i="19"/>
  <c r="G35" i="19"/>
  <c r="D27" i="20"/>
  <c r="G37" i="20"/>
  <c r="E44" i="21"/>
  <c r="E38" i="21"/>
  <c r="E40" i="21" s="1"/>
  <c r="E37" i="21"/>
  <c r="E35" i="21"/>
  <c r="E33" i="21"/>
  <c r="E64" i="21"/>
  <c r="E63" i="21"/>
  <c r="E62" i="21"/>
  <c r="E60" i="21"/>
  <c r="E57" i="21"/>
  <c r="E58" i="21" s="1"/>
  <c r="C4" i="22"/>
  <c r="A8" i="22" s="1"/>
  <c r="B9" i="22"/>
  <c r="B26" i="22" s="1"/>
  <c r="B12" i="22"/>
  <c r="B18" i="22"/>
  <c r="C4" i="23"/>
  <c r="B9" i="23" s="1"/>
  <c r="B26" i="23" s="1"/>
  <c r="B35" i="23"/>
  <c r="C4" i="24"/>
  <c r="B12" i="24" s="1"/>
  <c r="B9" i="24"/>
  <c r="B28" i="24" s="1"/>
  <c r="B20" i="24"/>
  <c r="B37" i="24"/>
  <c r="C4" i="2"/>
  <c r="B34" i="2"/>
  <c r="C4" i="5"/>
  <c r="B34" i="5"/>
  <c r="B9" i="5"/>
  <c r="B25" i="5" s="1"/>
  <c r="A14" i="5"/>
  <c r="C4" i="12"/>
  <c r="B12" i="12" s="1"/>
  <c r="A8" i="12"/>
  <c r="A24" i="12" s="1"/>
  <c r="B9" i="12"/>
  <c r="B25" i="12" s="1"/>
  <c r="A14" i="12"/>
  <c r="C4" i="14"/>
  <c r="A8" i="14" s="1"/>
  <c r="B9" i="14"/>
  <c r="B25" i="14" s="1"/>
  <c r="C4" i="17"/>
  <c r="B12" i="17" s="1"/>
  <c r="A8" i="17"/>
  <c r="A24" i="17" s="1"/>
  <c r="B9" i="17"/>
  <c r="B25" i="17" s="1"/>
  <c r="A14" i="17"/>
  <c r="C4" i="19"/>
  <c r="A8" i="19" s="1"/>
  <c r="B9" i="19"/>
  <c r="B25" i="19" s="1"/>
  <c r="C4" i="20"/>
  <c r="B12" i="20" s="1"/>
  <c r="A8" i="20"/>
  <c r="A26" i="20" s="1"/>
  <c r="A16" i="20"/>
  <c r="C4" i="9"/>
  <c r="A8" i="9" s="1"/>
  <c r="B34" i="9"/>
  <c r="A14" i="9"/>
  <c r="E47" i="11"/>
  <c r="E7" i="11"/>
  <c r="E6" i="11"/>
  <c r="A3" i="11"/>
  <c r="E10" i="11"/>
  <c r="E43" i="11"/>
  <c r="E68" i="11"/>
  <c r="E39" i="11"/>
  <c r="E40" i="11" s="1"/>
  <c r="E11" i="11"/>
  <c r="E12" i="11" s="1"/>
  <c r="E13" i="11" s="1"/>
  <c r="E80" i="11"/>
  <c r="E9" i="11"/>
  <c r="E47" i="8"/>
  <c r="E38" i="8"/>
  <c r="E7" i="8"/>
  <c r="E6" i="8"/>
  <c r="A3" i="8"/>
  <c r="E10" i="8"/>
  <c r="E43" i="8"/>
  <c r="E68" i="8"/>
  <c r="E56" i="8"/>
  <c r="E57" i="8" s="1"/>
  <c r="E59" i="8"/>
  <c r="E55" i="8"/>
  <c r="E41" i="8"/>
  <c r="E34" i="8"/>
  <c r="E11" i="8"/>
  <c r="E12" i="8"/>
  <c r="E39" i="8"/>
  <c r="E80" i="8"/>
  <c r="E9" i="8"/>
  <c r="E47" i="13"/>
  <c r="E38" i="13"/>
  <c r="E39" i="13" s="1"/>
  <c r="E40" i="13" s="1"/>
  <c r="E34" i="13"/>
  <c r="E55" i="13"/>
  <c r="E59" i="13"/>
  <c r="E56" i="13"/>
  <c r="E57" i="13" s="1"/>
  <c r="E43" i="13"/>
  <c r="E36" i="13"/>
  <c r="E10" i="13"/>
  <c r="E42" i="13"/>
  <c r="E41" i="13"/>
  <c r="E7" i="13"/>
  <c r="E6" i="13"/>
  <c r="A3" i="13"/>
  <c r="E68" i="13"/>
  <c r="E11" i="13"/>
  <c r="E12" i="13" s="1"/>
  <c r="E13" i="13" s="1"/>
  <c r="E80" i="13"/>
  <c r="E9" i="13"/>
  <c r="H47" i="15"/>
  <c r="E56" i="15"/>
  <c r="E57" i="15" s="1"/>
  <c r="E55" i="15"/>
  <c r="E47" i="15"/>
  <c r="E43" i="15"/>
  <c r="E68" i="15" s="1"/>
  <c r="E10" i="15"/>
  <c r="E7" i="15"/>
  <c r="E6" i="15"/>
  <c r="E39" i="15"/>
  <c r="E40" i="15" s="1"/>
  <c r="A3" i="15"/>
  <c r="E11" i="15"/>
  <c r="E12" i="15"/>
  <c r="E13" i="15" s="1"/>
  <c r="E80" i="15"/>
  <c r="E9" i="15"/>
  <c r="A3" i="16"/>
  <c r="E35" i="16"/>
  <c r="E39" i="16" s="1"/>
  <c r="E40" i="16" s="1"/>
  <c r="E36" i="16"/>
  <c r="E37" i="16"/>
  <c r="E56" i="16"/>
  <c r="E57" i="16" s="1"/>
  <c r="E61" i="16"/>
  <c r="E43" i="16"/>
  <c r="E47" i="16"/>
  <c r="E72" i="16"/>
  <c r="E62" i="16"/>
  <c r="E63" i="16"/>
  <c r="E53" i="16"/>
  <c r="E59" i="16"/>
  <c r="E54" i="16"/>
  <c r="E10" i="16"/>
  <c r="E7" i="16"/>
  <c r="E6" i="16"/>
  <c r="E11" i="16"/>
  <c r="E12" i="16" s="1"/>
  <c r="E85" i="16"/>
  <c r="E9" i="16"/>
  <c r="E60" i="18"/>
  <c r="E54" i="18"/>
  <c r="E33" i="18"/>
  <c r="A3" i="18"/>
  <c r="E57" i="18"/>
  <c r="E58" i="18" s="1"/>
  <c r="E36" i="18"/>
  <c r="E37" i="18"/>
  <c r="E40" i="18"/>
  <c r="E62" i="18"/>
  <c r="E44" i="18"/>
  <c r="E73" i="18" s="1"/>
  <c r="E48" i="18"/>
  <c r="E64" i="18"/>
  <c r="E63" i="18"/>
  <c r="E7" i="18"/>
  <c r="E6" i="18"/>
  <c r="E11" i="18"/>
  <c r="E12" i="18"/>
  <c r="E13" i="18" s="1"/>
  <c r="E86" i="18"/>
  <c r="E9" i="18"/>
  <c r="A3" i="21"/>
  <c r="E48" i="21"/>
  <c r="E73" i="21"/>
  <c r="E7" i="21"/>
  <c r="E6" i="21"/>
  <c r="E11" i="21"/>
  <c r="E12" i="21" s="1"/>
  <c r="E86" i="21"/>
  <c r="E9" i="21"/>
  <c r="E47" i="7"/>
  <c r="E7" i="7"/>
  <c r="E6" i="7"/>
  <c r="A3" i="7"/>
  <c r="E10" i="7"/>
  <c r="E43" i="7"/>
  <c r="E68" i="7"/>
  <c r="E39" i="7"/>
  <c r="E40" i="7" s="1"/>
  <c r="E11" i="7"/>
  <c r="E12" i="7" s="1"/>
  <c r="E13" i="7" s="1"/>
  <c r="E80" i="7"/>
  <c r="E9" i="7"/>
  <c r="A3" i="27"/>
  <c r="E6" i="27"/>
  <c r="E7" i="27"/>
  <c r="E90" i="27"/>
  <c r="C4" i="28"/>
  <c r="A8" i="28" s="1"/>
  <c r="A24" i="14" l="1"/>
  <c r="A10" i="14"/>
  <c r="B33" i="14" s="1"/>
  <c r="A10" i="22"/>
  <c r="B34" i="22" s="1"/>
  <c r="A25" i="22"/>
  <c r="A27" i="22" s="1"/>
  <c r="A24" i="19"/>
  <c r="A10" i="19"/>
  <c r="B33" i="19" s="1"/>
  <c r="A10" i="30"/>
  <c r="B35" i="30" s="1"/>
  <c r="A26" i="30"/>
  <c r="A10" i="9"/>
  <c r="B33" i="9" s="1"/>
  <c r="A24" i="9"/>
  <c r="A17" i="39"/>
  <c r="E41" i="21"/>
  <c r="E13" i="16"/>
  <c r="E13" i="8"/>
  <c r="B17" i="9"/>
  <c r="B12" i="9"/>
  <c r="B19" i="20"/>
  <c r="B12" i="19"/>
  <c r="B17" i="17"/>
  <c r="B12" i="14"/>
  <c r="B17" i="12"/>
  <c r="B12" i="23"/>
  <c r="B20" i="39"/>
  <c r="B9" i="39"/>
  <c r="B28" i="39" s="1"/>
  <c r="B9" i="9"/>
  <c r="B25" i="9" s="1"/>
  <c r="A15" i="22"/>
  <c r="A16" i="30"/>
  <c r="E40" i="29"/>
  <c r="B9" i="32"/>
  <c r="B27" i="32" s="1"/>
  <c r="E40" i="34"/>
  <c r="I79" i="34" s="1"/>
  <c r="B12" i="36"/>
  <c r="E41" i="38"/>
  <c r="E42" i="38" s="1"/>
  <c r="E13" i="21"/>
  <c r="B9" i="20"/>
  <c r="B27" i="20" s="1"/>
  <c r="A14" i="19"/>
  <c r="B17" i="19"/>
  <c r="A14" i="14"/>
  <c r="B17" i="14"/>
  <c r="B9" i="36"/>
  <c r="B28" i="36" s="1"/>
  <c r="B12" i="39"/>
  <c r="A28" i="43"/>
  <c r="A10" i="43"/>
  <c r="B37" i="43" s="1"/>
  <c r="E40" i="8"/>
  <c r="E41" i="18"/>
  <c r="E43" i="41"/>
  <c r="A8" i="40"/>
  <c r="B9" i="40"/>
  <c r="B30" i="40" s="1"/>
  <c r="B12" i="40"/>
  <c r="A19" i="40"/>
  <c r="A10" i="28"/>
  <c r="B35" i="28" s="1"/>
  <c r="A26" i="28"/>
  <c r="C18" i="7"/>
  <c r="B18" i="7"/>
  <c r="E14" i="7"/>
  <c r="B14" i="7"/>
  <c r="B15" i="7"/>
  <c r="C17" i="7"/>
  <c r="B17" i="7"/>
  <c r="B16" i="7"/>
  <c r="E15" i="7"/>
  <c r="A14" i="7"/>
  <c r="C14" i="7"/>
  <c r="A16" i="7"/>
  <c r="C16" i="7"/>
  <c r="C15" i="7"/>
  <c r="A15" i="7"/>
  <c r="E14" i="16"/>
  <c r="B15" i="16"/>
  <c r="C17" i="16"/>
  <c r="B17" i="16"/>
  <c r="B16" i="16"/>
  <c r="A14" i="16"/>
  <c r="C14" i="16"/>
  <c r="A16" i="16"/>
  <c r="E15" i="16"/>
  <c r="C18" i="16"/>
  <c r="B18" i="16"/>
  <c r="C16" i="16"/>
  <c r="C15" i="16"/>
  <c r="B14" i="16"/>
  <c r="A15" i="16"/>
  <c r="E14" i="15"/>
  <c r="B15" i="15"/>
  <c r="C17" i="15"/>
  <c r="B17" i="15"/>
  <c r="B16" i="15"/>
  <c r="A14" i="15"/>
  <c r="C14" i="15"/>
  <c r="A16" i="15"/>
  <c r="E15" i="15"/>
  <c r="C18" i="15"/>
  <c r="B18" i="15"/>
  <c r="C16" i="15"/>
  <c r="C15" i="15"/>
  <c r="B14" i="15"/>
  <c r="A15" i="15"/>
  <c r="E14" i="13"/>
  <c r="B15" i="13"/>
  <c r="C17" i="13"/>
  <c r="B17" i="13"/>
  <c r="B16" i="13"/>
  <c r="A14" i="13"/>
  <c r="C14" i="13"/>
  <c r="A16" i="13"/>
  <c r="E15" i="13"/>
  <c r="C18" i="13"/>
  <c r="B18" i="13"/>
  <c r="C16" i="13"/>
  <c r="C15" i="13"/>
  <c r="B14" i="13"/>
  <c r="A15" i="13"/>
  <c r="E15" i="8"/>
  <c r="C18" i="8"/>
  <c r="B18" i="8"/>
  <c r="C16" i="8"/>
  <c r="C15" i="8"/>
  <c r="B14" i="8"/>
  <c r="A15" i="8"/>
  <c r="E14" i="8"/>
  <c r="B15" i="8"/>
  <c r="C17" i="8"/>
  <c r="B17" i="8"/>
  <c r="B16" i="8"/>
  <c r="A14" i="8"/>
  <c r="C14" i="8"/>
  <c r="A16" i="8"/>
  <c r="C18" i="11"/>
  <c r="B18" i="11"/>
  <c r="C16" i="11"/>
  <c r="E14" i="11"/>
  <c r="C15" i="11"/>
  <c r="B14" i="11"/>
  <c r="A15" i="11"/>
  <c r="B15" i="11"/>
  <c r="C17" i="11"/>
  <c r="B17" i="11"/>
  <c r="B16" i="11"/>
  <c r="E15" i="11"/>
  <c r="A14" i="11"/>
  <c r="C14" i="11"/>
  <c r="A16" i="11"/>
  <c r="B17" i="21"/>
  <c r="A14" i="21"/>
  <c r="A16" i="21"/>
  <c r="E15" i="21"/>
  <c r="C18" i="21"/>
  <c r="B18" i="21"/>
  <c r="C16" i="21"/>
  <c r="C15" i="21"/>
  <c r="B14" i="21"/>
  <c r="A15" i="21"/>
  <c r="E14" i="21"/>
  <c r="B15" i="21"/>
  <c r="C17" i="21"/>
  <c r="B16" i="21"/>
  <c r="C14" i="21"/>
  <c r="E15" i="18"/>
  <c r="C18" i="18"/>
  <c r="B18" i="18"/>
  <c r="C16" i="18"/>
  <c r="C15" i="18"/>
  <c r="B14" i="18"/>
  <c r="A15" i="18"/>
  <c r="E14" i="18"/>
  <c r="B15" i="18"/>
  <c r="C17" i="18"/>
  <c r="B17" i="18"/>
  <c r="B16" i="18"/>
  <c r="A14" i="18"/>
  <c r="C14" i="18"/>
  <c r="A16" i="18"/>
  <c r="A31" i="20"/>
  <c r="A39" i="20"/>
  <c r="A28" i="20"/>
  <c r="A29" i="17"/>
  <c r="A37" i="17"/>
  <c r="A26" i="17"/>
  <c r="A29" i="12"/>
  <c r="A37" i="12"/>
  <c r="A26" i="12"/>
  <c r="B12" i="5"/>
  <c r="A8" i="5"/>
  <c r="B17" i="5"/>
  <c r="A8" i="24"/>
  <c r="A17" i="24"/>
  <c r="A10" i="33"/>
  <c r="B35" i="33" s="1"/>
  <c r="A26" i="33"/>
  <c r="A10" i="39"/>
  <c r="B36" i="39" s="1"/>
  <c r="A27" i="39"/>
  <c r="B19" i="28"/>
  <c r="B12" i="28"/>
  <c r="B9" i="28"/>
  <c r="B27" i="28" s="1"/>
  <c r="A16" i="28"/>
  <c r="A10" i="20"/>
  <c r="B35" i="20" s="1"/>
  <c r="A10" i="17"/>
  <c r="B33" i="17" s="1"/>
  <c r="A10" i="12"/>
  <c r="B33" i="12" s="1"/>
  <c r="B18" i="23"/>
  <c r="B12" i="2"/>
  <c r="A8" i="2"/>
  <c r="B17" i="2"/>
  <c r="B9" i="2"/>
  <c r="B25" i="2" s="1"/>
  <c r="A14" i="2"/>
  <c r="A8" i="23"/>
  <c r="A15" i="23"/>
  <c r="A30" i="22"/>
  <c r="A36" i="22"/>
  <c r="G36" i="24"/>
  <c r="G39" i="24" s="1"/>
  <c r="G14" i="24"/>
  <c r="G17" i="24" s="1"/>
  <c r="A10" i="32"/>
  <c r="B35" i="32" s="1"/>
  <c r="A26" i="32"/>
  <c r="E41" i="34"/>
  <c r="A10" i="36"/>
  <c r="B36" i="36" s="1"/>
  <c r="A27" i="36"/>
  <c r="E40" i="27"/>
  <c r="E41" i="27" s="1"/>
  <c r="E41" i="29"/>
  <c r="E42" i="37"/>
  <c r="E47" i="38"/>
  <c r="E41" i="31"/>
  <c r="A16" i="32"/>
  <c r="B19" i="33"/>
  <c r="E46" i="34"/>
  <c r="A17" i="36"/>
  <c r="E47" i="37"/>
  <c r="A31" i="30" l="1"/>
  <c r="A39" i="30"/>
  <c r="A28" i="30"/>
  <c r="A26" i="9"/>
  <c r="A37" i="9"/>
  <c r="A29" i="9"/>
  <c r="A29" i="19"/>
  <c r="A26" i="19"/>
  <c r="A37" i="19"/>
  <c r="A29" i="14"/>
  <c r="A26" i="14"/>
  <c r="A37" i="14"/>
  <c r="A44" i="43"/>
  <c r="A33" i="43"/>
  <c r="A30" i="43"/>
  <c r="A29" i="40"/>
  <c r="A10" i="40"/>
  <c r="B38" i="40" s="1"/>
  <c r="A29" i="36"/>
  <c r="A32" i="36"/>
  <c r="A40" i="36"/>
  <c r="A31" i="32"/>
  <c r="A28" i="32"/>
  <c r="A39" i="32"/>
  <c r="G8" i="23"/>
  <c r="G20" i="24"/>
  <c r="A10" i="24"/>
  <c r="B36" i="24" s="1"/>
  <c r="A27" i="24"/>
  <c r="A10" i="5"/>
  <c r="B33" i="5" s="1"/>
  <c r="A24" i="5"/>
  <c r="E16" i="11"/>
  <c r="E16" i="15"/>
  <c r="E16" i="7"/>
  <c r="A10" i="23"/>
  <c r="B34" i="23" s="1"/>
  <c r="A25" i="23"/>
  <c r="A24" i="2"/>
  <c r="A10" i="2"/>
  <c r="B33" i="2" s="1"/>
  <c r="A32" i="39"/>
  <c r="A40" i="39"/>
  <c r="A29" i="39"/>
  <c r="A28" i="33"/>
  <c r="A39" i="33"/>
  <c r="A31" i="33"/>
  <c r="A28" i="28"/>
  <c r="A31" i="28"/>
  <c r="A39" i="28"/>
  <c r="E16" i="18"/>
  <c r="E16" i="21"/>
  <c r="E16" i="8"/>
  <c r="E16" i="13"/>
  <c r="E16" i="16"/>
  <c r="A45" i="40" l="1"/>
  <c r="A34" i="40"/>
  <c r="A31" i="40"/>
  <c r="A27" i="23"/>
  <c r="A38" i="23"/>
  <c r="A30" i="23"/>
  <c r="A29" i="5"/>
  <c r="A26" i="5"/>
  <c r="A37" i="5"/>
  <c r="A29" i="24"/>
  <c r="A40" i="24"/>
  <c r="A32" i="24"/>
  <c r="G3" i="25"/>
  <c r="G31" i="24"/>
  <c r="G32" i="24" s="1"/>
  <c r="G40" i="24" s="1"/>
  <c r="G25" i="23" s="1"/>
  <c r="A29" i="2"/>
  <c r="A37" i="2"/>
  <c r="A26" i="2"/>
  <c r="G9" i="23"/>
  <c r="G10" i="23" s="1"/>
  <c r="G4" i="25"/>
  <c r="G5" i="25" s="1"/>
  <c r="G15" i="23" l="1"/>
  <c r="G34" i="23"/>
  <c r="G37" i="23" s="1"/>
  <c r="G26" i="23"/>
  <c r="G27" i="23" s="1"/>
  <c r="G8" i="22" l="1"/>
  <c r="G18" i="23"/>
  <c r="G9" i="25" l="1"/>
  <c r="G9" i="22"/>
  <c r="G10" i="22" s="1"/>
  <c r="G29" i="23"/>
  <c r="G30" i="23" s="1"/>
  <c r="G38" i="23" s="1"/>
  <c r="G25" i="22" s="1"/>
  <c r="G8" i="25"/>
  <c r="G15" i="22" l="1"/>
  <c r="G18" i="22" s="1"/>
  <c r="G34" i="22"/>
  <c r="G26" i="22"/>
  <c r="G27" i="22" s="1"/>
  <c r="G10" i="25"/>
  <c r="G8" i="9" l="1"/>
  <c r="G29" i="22"/>
  <c r="G30" i="22" s="1"/>
  <c r="G36" i="22" s="1"/>
  <c r="G24" i="9" s="1"/>
  <c r="G25" i="9" l="1"/>
  <c r="G26" i="9" s="1"/>
  <c r="G9" i="9"/>
  <c r="G10" i="9" s="1"/>
  <c r="E64" i="7" l="1"/>
  <c r="G14" i="9"/>
  <c r="G33" i="9"/>
  <c r="G36" i="9" s="1"/>
  <c r="E70" i="7" s="1"/>
  <c r="E44" i="7"/>
  <c r="E48" i="7" s="1"/>
  <c r="E65" i="7" l="1"/>
  <c r="E66" i="7"/>
  <c r="E8" i="7"/>
  <c r="G17" i="9"/>
  <c r="G28" i="9" s="1"/>
  <c r="G29" i="9" s="1"/>
  <c r="G37" i="9" s="1"/>
  <c r="G24" i="2" s="1"/>
  <c r="G8" i="2"/>
  <c r="E75" i="7"/>
  <c r="G9" i="2" l="1"/>
  <c r="G10" i="2" s="1"/>
  <c r="G25" i="2"/>
  <c r="G26" i="2" s="1"/>
  <c r="G14" i="2" l="1"/>
  <c r="G33" i="2"/>
  <c r="G36" i="2" s="1"/>
  <c r="E70" i="11" s="1"/>
  <c r="E44" i="11"/>
  <c r="E48" i="11" s="1"/>
  <c r="E64" i="11"/>
  <c r="E65" i="11" l="1"/>
  <c r="E8" i="11"/>
  <c r="E66" i="11"/>
  <c r="E75" i="11" s="1"/>
  <c r="G8" i="5"/>
  <c r="G17" i="2"/>
  <c r="G28" i="2" s="1"/>
  <c r="G29" i="2" s="1"/>
  <c r="G37" i="2" s="1"/>
  <c r="G24" i="5" s="1"/>
  <c r="G25" i="5" l="1"/>
  <c r="G26" i="5" s="1"/>
  <c r="G9" i="5"/>
  <c r="G10" i="5" s="1"/>
  <c r="E64" i="8" l="1"/>
  <c r="G14" i="5"/>
  <c r="G33" i="5"/>
  <c r="G36" i="5" s="1"/>
  <c r="E70" i="8" s="1"/>
  <c r="E44" i="8"/>
  <c r="E48" i="8" s="1"/>
  <c r="E66" i="8" l="1"/>
  <c r="E75" i="8" s="1"/>
  <c r="E65" i="8"/>
  <c r="E8" i="8"/>
  <c r="G17" i="5"/>
  <c r="G28" i="5" s="1"/>
  <c r="G29" i="5" s="1"/>
  <c r="G37" i="5" s="1"/>
  <c r="G24" i="12" s="1"/>
  <c r="G8" i="12"/>
  <c r="G9" i="12" l="1"/>
  <c r="G10" i="12" s="1"/>
  <c r="G25" i="12"/>
  <c r="G26" i="12" s="1"/>
  <c r="G14" i="12" l="1"/>
  <c r="G33" i="12"/>
  <c r="G36" i="12" s="1"/>
  <c r="E70" i="13" s="1"/>
  <c r="E44" i="13"/>
  <c r="E48" i="13" s="1"/>
  <c r="E64" i="13"/>
  <c r="E65" i="13" l="1"/>
  <c r="E8" i="13"/>
  <c r="E66" i="13"/>
  <c r="E75" i="13" s="1"/>
  <c r="G8" i="14"/>
  <c r="G17" i="12"/>
  <c r="G28" i="12" s="1"/>
  <c r="G29" i="12" s="1"/>
  <c r="G37" i="12" s="1"/>
  <c r="G24" i="14" s="1"/>
  <c r="G25" i="14" l="1"/>
  <c r="G26" i="14" s="1"/>
  <c r="G9" i="14"/>
  <c r="G10" i="14" s="1"/>
  <c r="E64" i="15" l="1"/>
  <c r="G14" i="14"/>
  <c r="G33" i="14"/>
  <c r="G36" i="14" s="1"/>
  <c r="E70" i="15" s="1"/>
  <c r="E44" i="15"/>
  <c r="E48" i="15" s="1"/>
  <c r="E65" i="15" l="1"/>
  <c r="E8" i="15"/>
  <c r="E66" i="15"/>
  <c r="G17" i="14"/>
  <c r="G28" i="14" s="1"/>
  <c r="G29" i="14" s="1"/>
  <c r="G37" i="14" s="1"/>
  <c r="G24" i="17" s="1"/>
  <c r="G8" i="17"/>
  <c r="E75" i="15"/>
  <c r="G25" i="17" l="1"/>
  <c r="G26" i="17" s="1"/>
  <c r="G9" i="17"/>
  <c r="G10" i="17"/>
  <c r="E68" i="16" l="1"/>
  <c r="G14" i="17"/>
  <c r="G33" i="17"/>
  <c r="G36" i="17" s="1"/>
  <c r="E74" i="16" s="1"/>
  <c r="E44" i="16"/>
  <c r="E48" i="16" s="1"/>
  <c r="E69" i="16" l="1"/>
  <c r="E70" i="16"/>
  <c r="E8" i="16"/>
  <c r="G8" i="19"/>
  <c r="G17" i="17"/>
  <c r="G28" i="17" s="1"/>
  <c r="G29" i="17" s="1"/>
  <c r="G37" i="17" s="1"/>
  <c r="G24" i="19" s="1"/>
  <c r="E80" i="16"/>
  <c r="G25" i="19" l="1"/>
  <c r="G26" i="19" s="1"/>
  <c r="G9" i="19"/>
  <c r="G10" i="19" s="1"/>
  <c r="E69" i="18" l="1"/>
  <c r="G14" i="19"/>
  <c r="G33" i="19"/>
  <c r="G36" i="19" s="1"/>
  <c r="E75" i="18" s="1"/>
  <c r="E45" i="18"/>
  <c r="E49" i="18" s="1"/>
  <c r="E71" i="18" l="1"/>
  <c r="E70" i="18"/>
  <c r="E8" i="18"/>
  <c r="G17" i="19"/>
  <c r="G28" i="19" s="1"/>
  <c r="G29" i="19" s="1"/>
  <c r="G37" i="19" s="1"/>
  <c r="G26" i="20" s="1"/>
  <c r="G8" i="20"/>
  <c r="E81" i="18"/>
  <c r="G9" i="20" l="1"/>
  <c r="G10" i="20" s="1"/>
  <c r="G27" i="20"/>
  <c r="G28" i="20" s="1"/>
  <c r="G16" i="20" l="1"/>
  <c r="G35" i="20"/>
  <c r="G38" i="20" s="1"/>
  <c r="E75" i="21" s="1"/>
  <c r="E45" i="21"/>
  <c r="E49" i="21" s="1"/>
  <c r="E69" i="21"/>
  <c r="E71" i="21" l="1"/>
  <c r="E8" i="21"/>
  <c r="E70" i="21"/>
  <c r="E81" i="21" s="1"/>
  <c r="G8" i="28"/>
  <c r="G19" i="20"/>
  <c r="G30" i="20" s="1"/>
  <c r="G31" i="20" s="1"/>
  <c r="G39" i="20" s="1"/>
  <c r="G26" i="28" s="1"/>
  <c r="G27" i="28" l="1"/>
  <c r="G28" i="28" s="1"/>
  <c r="G9" i="28"/>
  <c r="G10" i="28" s="1"/>
  <c r="E73" i="27" l="1"/>
  <c r="G16" i="28"/>
  <c r="G35" i="28"/>
  <c r="G38" i="28" s="1"/>
  <c r="E81" i="27" s="1"/>
  <c r="E45" i="27"/>
  <c r="E50" i="27" s="1"/>
  <c r="E75" i="27" l="1"/>
  <c r="E74" i="27"/>
  <c r="E10" i="27"/>
  <c r="E14" i="27" s="1"/>
  <c r="E8" i="27"/>
  <c r="G19" i="28"/>
  <c r="G30" i="28" s="1"/>
  <c r="G31" i="28" s="1"/>
  <c r="G39" i="28" s="1"/>
  <c r="G26" i="30" s="1"/>
  <c r="G8" i="30"/>
  <c r="E87" i="27" l="1"/>
  <c r="G27" i="30"/>
  <c r="G28" i="30" s="1"/>
  <c r="A17" i="27"/>
  <c r="A16" i="27"/>
  <c r="B16" i="27"/>
  <c r="A15" i="27"/>
  <c r="C15" i="27"/>
  <c r="B17" i="27"/>
  <c r="C18" i="27"/>
  <c r="B15" i="27"/>
  <c r="E15" i="27"/>
  <c r="E16" i="27"/>
  <c r="C17" i="27"/>
  <c r="B18" i="27"/>
  <c r="B19" i="27"/>
  <c r="C16" i="27"/>
  <c r="C19" i="27"/>
  <c r="G9" i="30"/>
  <c r="G10" i="30" s="1"/>
  <c r="E74" i="29" l="1"/>
  <c r="G16" i="30"/>
  <c r="G35" i="30"/>
  <c r="G38" i="30" s="1"/>
  <c r="E82" i="29" s="1"/>
  <c r="E45" i="29"/>
  <c r="E50" i="29" s="1"/>
  <c r="E17" i="27"/>
  <c r="E10" i="29" l="1"/>
  <c r="E14" i="29" s="1"/>
  <c r="E76" i="29"/>
  <c r="E8" i="29"/>
  <c r="E75" i="29"/>
  <c r="G8" i="32"/>
  <c r="G19" i="30"/>
  <c r="G30" i="30" s="1"/>
  <c r="G31" i="30" s="1"/>
  <c r="G39" i="30" s="1"/>
  <c r="G26" i="32" s="1"/>
  <c r="E88" i="29" l="1"/>
  <c r="G9" i="32"/>
  <c r="G10" i="32" s="1"/>
  <c r="C15" i="29"/>
  <c r="A16" i="29"/>
  <c r="C16" i="29"/>
  <c r="B17" i="29"/>
  <c r="C18" i="29"/>
  <c r="C19" i="29"/>
  <c r="B15" i="29"/>
  <c r="E15" i="29"/>
  <c r="B16" i="29"/>
  <c r="E16" i="29"/>
  <c r="C17" i="29"/>
  <c r="B18" i="29"/>
  <c r="B19" i="29"/>
  <c r="G27" i="32"/>
  <c r="G28" i="32" s="1"/>
  <c r="E74" i="31" l="1"/>
  <c r="G35" i="32"/>
  <c r="G38" i="32" s="1"/>
  <c r="E82" i="31" s="1"/>
  <c r="E45" i="31"/>
  <c r="E50" i="31" s="1"/>
  <c r="G16" i="32"/>
  <c r="E17" i="29"/>
  <c r="G19" i="32" l="1"/>
  <c r="G30" i="32" s="1"/>
  <c r="G31" i="32" s="1"/>
  <c r="G39" i="32" s="1"/>
  <c r="G26" i="33" s="1"/>
  <c r="G8" i="33"/>
  <c r="E8" i="31"/>
  <c r="E76" i="31"/>
  <c r="E10" i="31"/>
  <c r="E14" i="31" s="1"/>
  <c r="E75" i="31"/>
  <c r="E88" i="31" l="1"/>
  <c r="G27" i="33"/>
  <c r="G28" i="33" s="1"/>
  <c r="B15" i="31"/>
  <c r="E15" i="31"/>
  <c r="B16" i="31"/>
  <c r="E16" i="31"/>
  <c r="C17" i="31"/>
  <c r="B18" i="31"/>
  <c r="B19" i="31"/>
  <c r="C15" i="31"/>
  <c r="A16" i="31"/>
  <c r="C16" i="31"/>
  <c r="B17" i="31"/>
  <c r="C18" i="31"/>
  <c r="C19" i="31"/>
  <c r="G9" i="33"/>
  <c r="G10" i="33" s="1"/>
  <c r="E74" i="34" l="1"/>
  <c r="G35" i="33"/>
  <c r="G38" i="33" s="1"/>
  <c r="E82" i="34" s="1"/>
  <c r="E45" i="34"/>
  <c r="E50" i="34" s="1"/>
  <c r="G16" i="33"/>
  <c r="E17" i="31"/>
  <c r="E8" i="34" l="1"/>
  <c r="E76" i="34"/>
  <c r="E10" i="34"/>
  <c r="E14" i="34" s="1"/>
  <c r="E75" i="34"/>
  <c r="G8" i="36"/>
  <c r="G19" i="33"/>
  <c r="G30" i="33" s="1"/>
  <c r="G31" i="33" s="1"/>
  <c r="G39" i="33" s="1"/>
  <c r="G27" i="36" s="1"/>
  <c r="E88" i="34" l="1"/>
  <c r="C15" i="34"/>
  <c r="A16" i="34"/>
  <c r="C16" i="34"/>
  <c r="B17" i="34"/>
  <c r="C18" i="34"/>
  <c r="C19" i="34"/>
  <c r="B15" i="34"/>
  <c r="E15" i="34"/>
  <c r="B16" i="34"/>
  <c r="E16" i="34"/>
  <c r="C17" i="34"/>
  <c r="B18" i="34"/>
  <c r="B19" i="34"/>
  <c r="G9" i="36"/>
  <c r="G10" i="36" s="1"/>
  <c r="G28" i="36"/>
  <c r="G29" i="36" s="1"/>
  <c r="E71" i="37" l="1"/>
  <c r="G36" i="36"/>
  <c r="G39" i="36" s="1"/>
  <c r="E79" i="37" s="1"/>
  <c r="E46" i="37"/>
  <c r="E51" i="37" s="1"/>
  <c r="G17" i="36"/>
  <c r="E17" i="34"/>
  <c r="E8" i="37" l="1"/>
  <c r="E10" i="37"/>
  <c r="E14" i="37" s="1"/>
  <c r="G8" i="39"/>
  <c r="G20" i="36"/>
  <c r="G31" i="36" s="1"/>
  <c r="G32" i="36" s="1"/>
  <c r="G40" i="36" s="1"/>
  <c r="G27" i="39" s="1"/>
  <c r="E73" i="37"/>
  <c r="E72" i="37"/>
  <c r="E85" i="37" l="1"/>
  <c r="G9" i="39"/>
  <c r="G10" i="39" s="1"/>
  <c r="B15" i="37"/>
  <c r="E15" i="37"/>
  <c r="B16" i="37"/>
  <c r="E16" i="37"/>
  <c r="C17" i="37"/>
  <c r="B18" i="37"/>
  <c r="B19" i="37"/>
  <c r="C15" i="37"/>
  <c r="A16" i="37"/>
  <c r="C16" i="37"/>
  <c r="B17" i="37"/>
  <c r="C18" i="37"/>
  <c r="C19" i="37"/>
  <c r="G28" i="39"/>
  <c r="G29" i="39" s="1"/>
  <c r="E46" i="38" l="1"/>
  <c r="E51" i="38" s="1"/>
  <c r="G17" i="39"/>
  <c r="G36" i="39"/>
  <c r="G39" i="39" s="1"/>
  <c r="E79" i="38" s="1"/>
  <c r="E71" i="38"/>
  <c r="E17" i="37"/>
  <c r="E8" i="38" l="1"/>
  <c r="E10" i="38"/>
  <c r="E14" i="38" s="1"/>
  <c r="G20" i="39"/>
  <c r="G31" i="39" s="1"/>
  <c r="G32" i="39" s="1"/>
  <c r="G40" i="39" s="1"/>
  <c r="G29" i="40" s="1"/>
  <c r="G8" i="40"/>
  <c r="E72" i="38"/>
  <c r="E73" i="38"/>
  <c r="E85" i="38" l="1"/>
  <c r="G30" i="40"/>
  <c r="G31" i="40" s="1"/>
  <c r="G9" i="40"/>
  <c r="G10" i="40" s="1"/>
  <c r="G19" i="40" s="1"/>
  <c r="B15" i="38"/>
  <c r="E15" i="38"/>
  <c r="B16" i="38"/>
  <c r="E16" i="38"/>
  <c r="C17" i="38"/>
  <c r="B18" i="38"/>
  <c r="B19" i="38"/>
  <c r="C15" i="38"/>
  <c r="A16" i="38"/>
  <c r="C16" i="38"/>
  <c r="B17" i="38"/>
  <c r="C18" i="38"/>
  <c r="C19" i="38"/>
  <c r="E72" i="41" l="1"/>
  <c r="E47" i="41"/>
  <c r="E52" i="41" s="1"/>
  <c r="E10" i="41" s="1"/>
  <c r="E15" i="41" s="1"/>
  <c r="G38" i="40"/>
  <c r="E17" i="38"/>
  <c r="G44" i="40" l="1"/>
  <c r="E80" i="41" s="1"/>
  <c r="G22" i="40"/>
  <c r="G33" i="40" s="1"/>
  <c r="G34" i="40" s="1"/>
  <c r="G45" i="40" s="1"/>
  <c r="G9" i="43"/>
  <c r="G10" i="43" s="1"/>
  <c r="E16" i="41"/>
  <c r="E74" i="41"/>
  <c r="E73" i="41"/>
  <c r="E8" i="41"/>
  <c r="G28" i="43" l="1"/>
  <c r="G29" i="43" s="1"/>
  <c r="G30" i="43" s="1"/>
  <c r="E72" i="42" s="1"/>
  <c r="E47" i="42"/>
  <c r="E52" i="42" s="1"/>
  <c r="E10" i="42" s="1"/>
  <c r="G37" i="43"/>
  <c r="G18" i="43"/>
  <c r="G21" i="43" s="1"/>
  <c r="G32" i="43" s="1"/>
  <c r="E86" i="41"/>
  <c r="C19" i="41"/>
  <c r="C17" i="41"/>
  <c r="C16" i="41"/>
  <c r="B19" i="41"/>
  <c r="B17" i="41"/>
  <c r="E17" i="41" s="1"/>
  <c r="E18" i="41" s="1"/>
  <c r="B16" i="41"/>
  <c r="C20" i="41"/>
  <c r="B18" i="41"/>
  <c r="A17" i="41"/>
  <c r="B20" i="41"/>
  <c r="C18" i="41"/>
  <c r="E80" i="42" l="1"/>
  <c r="G43" i="43"/>
  <c r="G33" i="43"/>
  <c r="G44" i="43" s="1"/>
  <c r="E15" i="42"/>
  <c r="B17" i="42" s="1"/>
  <c r="E74" i="42"/>
  <c r="E73" i="42"/>
  <c r="E8" i="42"/>
  <c r="G38" i="44" l="1"/>
  <c r="G39" i="44" s="1"/>
  <c r="G40" i="44" s="1"/>
  <c r="G43" i="44" s="1"/>
  <c r="G54" i="44" s="1"/>
  <c r="G40" i="48"/>
  <c r="G41" i="48" s="1"/>
  <c r="G42" i="48" s="1"/>
  <c r="G45" i="48" s="1"/>
  <c r="G56" i="48" s="1"/>
  <c r="E72" i="45"/>
  <c r="C19" i="42"/>
  <c r="C17" i="42"/>
  <c r="C16" i="42"/>
  <c r="B19" i="42"/>
  <c r="B16" i="42"/>
  <c r="C20" i="42"/>
  <c r="B18" i="42"/>
  <c r="A17" i="42"/>
  <c r="B20" i="42"/>
  <c r="C18" i="42"/>
  <c r="E16" i="42"/>
  <c r="E17" i="42" s="1"/>
  <c r="E18" i="42" s="1"/>
</calcChain>
</file>

<file path=xl/comments1.xml><?xml version="1.0" encoding="utf-8"?>
<comments xmlns="http://schemas.openxmlformats.org/spreadsheetml/2006/main">
  <authors>
    <author>demarka s.a.</author>
  </authors>
  <commentList>
    <comment ref="E56" authorId="0">
      <text>
        <r>
          <rPr>
            <b/>
            <sz val="8"/>
            <color indexed="81"/>
            <rFont val="Tahoma"/>
            <family val="2"/>
          </rPr>
          <t xml:space="preserve">Total Inv. Activo - 
Deprec. Acumul.-
Caja banco sonbregiro-
Activos Intangibles (marcas y Licencias)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57" authorId="0">
      <text>
        <r>
          <rPr>
            <b/>
            <sz val="8"/>
            <color indexed="81"/>
            <rFont val="Tahoma"/>
            <family val="2"/>
          </rPr>
          <t xml:space="preserve">Capital Efectivo-
Total Pasivo Exigible del Certificado de Capital Propio
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presidente</author>
  </authors>
  <commentList>
    <comment ref="G8" authorId="0">
      <text>
        <r>
          <rPr>
            <b/>
            <sz val="8"/>
            <color indexed="81"/>
            <rFont val="Tahoma"/>
            <family val="2"/>
          </rPr>
          <t>presidente:</t>
        </r>
        <r>
          <rPr>
            <sz val="8"/>
            <color indexed="81"/>
            <rFont val="Tahoma"/>
            <family val="2"/>
          </rPr>
          <t xml:space="preserve">
ERROR: No se descontó la pérdida tributaria utilizada en el ejercicio anterior</t>
        </r>
      </text>
    </comment>
  </commentList>
</comments>
</file>

<file path=xl/comments3.xml><?xml version="1.0" encoding="utf-8"?>
<comments xmlns="http://schemas.openxmlformats.org/spreadsheetml/2006/main">
  <authors>
    <author>presidente</author>
  </authors>
  <commentList>
    <comment ref="G8" authorId="0">
      <text>
        <r>
          <rPr>
            <b/>
            <sz val="8"/>
            <color indexed="81"/>
            <rFont val="Tahoma"/>
            <family val="2"/>
          </rPr>
          <t>presidente:</t>
        </r>
        <r>
          <rPr>
            <sz val="8"/>
            <color indexed="81"/>
            <rFont val="Tahoma"/>
            <family val="2"/>
          </rPr>
          <t xml:space="preserve">
ERROR: hay diferencia de $1.610.056 con ejercicio anterior que aumenta pérdida, debió ser $1.845.096.284</t>
        </r>
      </text>
    </comment>
  </commentList>
</comments>
</file>

<file path=xl/sharedStrings.xml><?xml version="1.0" encoding="utf-8"?>
<sst xmlns="http://schemas.openxmlformats.org/spreadsheetml/2006/main" count="3638" uniqueCount="259">
  <si>
    <t>Form. 22 anverso</t>
  </si>
  <si>
    <t>Línea</t>
  </si>
  <si>
    <t>Descripción</t>
  </si>
  <si>
    <t>Código</t>
  </si>
  <si>
    <t>Contenido</t>
  </si>
  <si>
    <t>ROL UNICO TRIBUTARIO</t>
  </si>
  <si>
    <t>03</t>
  </si>
  <si>
    <t>Razón Social</t>
  </si>
  <si>
    <t>01</t>
  </si>
  <si>
    <t>Resultado Liquidación Anual</t>
  </si>
  <si>
    <t>Form. 22 reverso</t>
  </si>
  <si>
    <t>Calle y número</t>
  </si>
  <si>
    <t>06</t>
  </si>
  <si>
    <t>Av. Marathón 2707</t>
  </si>
  <si>
    <t>Comuna</t>
  </si>
  <si>
    <t>08</t>
  </si>
  <si>
    <t>Macul</t>
  </si>
  <si>
    <t>Región</t>
  </si>
  <si>
    <t>Actividad o Giro del Negocio</t>
  </si>
  <si>
    <t>Código de Actividad Económica</t>
  </si>
  <si>
    <t>Teléfono</t>
  </si>
  <si>
    <t>09</t>
  </si>
  <si>
    <t>Fax</t>
  </si>
  <si>
    <t>Correo electrónico</t>
  </si>
  <si>
    <t>Contabilidad Completa</t>
  </si>
  <si>
    <t>X</t>
  </si>
  <si>
    <t>RECUADRO No.3</t>
  </si>
  <si>
    <t>BASE IMPONIBLE DE PRIMERA CATEGORIA</t>
  </si>
  <si>
    <t>Ingresos del Giro Percibidos o Devengados</t>
  </si>
  <si>
    <t>Intereses Percibidos o Devengados</t>
  </si>
  <si>
    <t>Otros Ingresos Percibidos o Devengados</t>
  </si>
  <si>
    <t>Costo Directo de los Bienes y Servicios</t>
  </si>
  <si>
    <t>Remuneraciones</t>
  </si>
  <si>
    <t>Depreciación</t>
  </si>
  <si>
    <t>Intereses Pagados o Adeudados</t>
  </si>
  <si>
    <t>Otros Gastos Deducidos de los Ingresos Brutos</t>
  </si>
  <si>
    <t>Renta Líquida</t>
  </si>
  <si>
    <t>Corrección Monetaria Saldo Deudor</t>
  </si>
  <si>
    <t>Corrección Monetaria Saldo Acreedor</t>
  </si>
  <si>
    <t>Gastos Rechazados</t>
  </si>
  <si>
    <t>Pérdidas de Ejercicios Anteriores</t>
  </si>
  <si>
    <t>Ingresos No Renta y Otras Partidas</t>
  </si>
  <si>
    <t>Rentas Exentas Impuesto 1a. Categoría</t>
  </si>
  <si>
    <t>Dividendos y/o Utilidades Sociales</t>
  </si>
  <si>
    <t>Renta Líquida Imponible (o Pérdida Tributaria)</t>
  </si>
  <si>
    <t>Rentas Presuntas</t>
  </si>
  <si>
    <t>RECUADRO No.4</t>
  </si>
  <si>
    <t>DATOS CONTABLES BALANCE 8 COLUMNAS Y OTROS</t>
  </si>
  <si>
    <t>Saldo de Caja</t>
  </si>
  <si>
    <t>Existencia Final</t>
  </si>
  <si>
    <t>Total del Activo</t>
  </si>
  <si>
    <t>Total del Pasivo</t>
  </si>
  <si>
    <t>Capital Efectivo</t>
  </si>
  <si>
    <t>Capital Propio Tributario Positivo</t>
  </si>
  <si>
    <t>Capital Propio Tributario Negativo</t>
  </si>
  <si>
    <t>Activo Inmovilizado</t>
  </si>
  <si>
    <t>Bienes Adquiridos Contrato Leasing</t>
  </si>
  <si>
    <t>RECUADRO NO.8</t>
  </si>
  <si>
    <t>DATOS FONDO UTILIDADES TRIBUTABLES</t>
  </si>
  <si>
    <t>Remanente FUT ejercicio anterior, actualizado</t>
  </si>
  <si>
    <t>Saldo Negativo Ejercicio Anterior</t>
  </si>
  <si>
    <t>RLI de 1a. Categoría del Ejercicio</t>
  </si>
  <si>
    <t>Pérdida Tributaria 1ª Categoría del Ejercicio</t>
  </si>
  <si>
    <t>Gastos Rechazados afectos al Art.21</t>
  </si>
  <si>
    <t>Gastos Rechazados no gravados con el Art.21</t>
  </si>
  <si>
    <t>Inversiones recibidas en el ejercicio</t>
  </si>
  <si>
    <t>Partidas que se agregan (Dividendos, etc.)</t>
  </si>
  <si>
    <t>Partidas que se deducen (Retiros presuntos, etc.)</t>
  </si>
  <si>
    <t>Retiros o Distrib. del ejercicio</t>
  </si>
  <si>
    <t>Remanente FUT para Ejercicio siguiente, con crédito</t>
  </si>
  <si>
    <t>Remanente FUT para Ejercicio siguiente, sin crédito</t>
  </si>
  <si>
    <t>Saldo negativo para el Ejercicio siguiente</t>
  </si>
  <si>
    <t>Exceso de retiros para el Ejecicio siguiente</t>
  </si>
  <si>
    <t>Remanente FUNT para Ejercicio siguiente</t>
  </si>
  <si>
    <t>Remanente Crédito Impto. 1ª Categoría año anterior</t>
  </si>
  <si>
    <t>Crédito Impto. 1ª Categoría del Ejercicio</t>
  </si>
  <si>
    <t>Crédito Impto. 1ª Categoría Utilizado en el Ejercicio</t>
  </si>
  <si>
    <t>RUT del Contador</t>
  </si>
  <si>
    <t>RUT del Representante</t>
  </si>
  <si>
    <t>364 97 00</t>
  </si>
  <si>
    <t>Costo de Ventas (Saldos - Deudor)</t>
  </si>
  <si>
    <t>(Sumas - Debe)</t>
  </si>
  <si>
    <t>(Saldos - Deudor)</t>
  </si>
  <si>
    <t>(Saldos - Acreedor)</t>
  </si>
  <si>
    <t>(Inventario - Activo)</t>
  </si>
  <si>
    <t>Cod.625 + Cod.626 - Cod.627 año anterior reajustado</t>
  </si>
  <si>
    <t>Crédito de dividendos percibidos y de RLI positiva</t>
  </si>
  <si>
    <t>Crédito de dividendos pagados y de impuestos recuperados</t>
  </si>
  <si>
    <t>364 15 77</t>
  </si>
  <si>
    <t>nnnnnnn</t>
  </si>
  <si>
    <t>(+)</t>
  </si>
  <si>
    <t>(=)</t>
  </si>
  <si>
    <t>Pérdida Tributaria</t>
  </si>
  <si>
    <t>F.U.T.</t>
  </si>
  <si>
    <t>Año Comercial</t>
  </si>
  <si>
    <r>
      <t xml:space="preserve">AÑO TRIBUTARIO </t>
    </r>
    <r>
      <rPr>
        <b/>
        <u/>
        <sz val="11"/>
        <color indexed="12"/>
        <rFont val="Arial"/>
        <family val="2"/>
      </rPr>
      <t>2000</t>
    </r>
  </si>
  <si>
    <r>
      <t xml:space="preserve">AÑO TRIBUTARIO </t>
    </r>
    <r>
      <rPr>
        <b/>
        <u/>
        <sz val="11"/>
        <color indexed="12"/>
        <rFont val="Arial"/>
        <family val="2"/>
      </rPr>
      <t>2001</t>
    </r>
  </si>
  <si>
    <t>(-)</t>
  </si>
  <si>
    <t>Pérdida Tributaria del Ejercicio</t>
  </si>
  <si>
    <t>Total (Inventario - Activo) s/pérdida</t>
  </si>
  <si>
    <t>Total (Inventario - Pasivo) s/utilidad</t>
  </si>
  <si>
    <t>Ingresos Operacionales</t>
  </si>
  <si>
    <t>Activo Total(depurado) - Pasivo Exigible - INTO</t>
  </si>
  <si>
    <t>Activo Físico Neto (sin Licencias)</t>
  </si>
  <si>
    <t>Base Imponible 1a. Cat.</t>
  </si>
  <si>
    <t>Impuesto 1a. Cat.</t>
  </si>
  <si>
    <t>Pago provisional por Impto 1ª Cat. de utilid.absorb.</t>
  </si>
  <si>
    <t>PPE</t>
  </si>
  <si>
    <t>Dividendos percibidos (nominales, netos)</t>
  </si>
  <si>
    <t>Total cantidades que se agregan:</t>
  </si>
  <si>
    <r>
      <t xml:space="preserve">Total (Inventario - Activo) - Caja y Banco (Inventario - </t>
    </r>
    <r>
      <rPr>
        <b/>
        <sz val="7"/>
        <rFont val="Arial"/>
        <family val="2"/>
      </rPr>
      <t>Pasivo</t>
    </r>
    <r>
      <rPr>
        <sz val="7"/>
        <rFont val="Arial"/>
        <family val="2"/>
      </rPr>
      <t>) - Depreciación Acumulada (Inventario - Pasivo) -INTO</t>
    </r>
  </si>
  <si>
    <t>Gastos Rechazados (Art.33 Nº1)</t>
  </si>
  <si>
    <t>Crédito por Gastos de Capacitación</t>
  </si>
  <si>
    <r>
      <t xml:space="preserve">AÑO TRIBUTARIO </t>
    </r>
    <r>
      <rPr>
        <b/>
        <u/>
        <sz val="11"/>
        <color indexed="12"/>
        <rFont val="Arial"/>
        <family val="2"/>
      </rPr>
      <t>1999</t>
    </r>
  </si>
  <si>
    <t>86.132.100-2</t>
  </si>
  <si>
    <t>DEMARKA S.A.</t>
  </si>
  <si>
    <t>BCI</t>
  </si>
  <si>
    <t>Distrib.Art.Libr.yEscrit.yCód.Barras</t>
  </si>
  <si>
    <t>cgomez@demarka.cl</t>
  </si>
  <si>
    <t>=66618+10681+203692</t>
  </si>
  <si>
    <t>Ajuste para que Cod.636 + Corr.Mon. = Resultado de Balance</t>
  </si>
  <si>
    <t>Bco. Security</t>
  </si>
  <si>
    <t>E-0028282-01</t>
  </si>
  <si>
    <t>4.555.390-6</t>
  </si>
  <si>
    <t>demarka@demarka.cl</t>
  </si>
  <si>
    <t>+</t>
  </si>
  <si>
    <t>-</t>
  </si>
  <si>
    <t>=</t>
  </si>
  <si>
    <r>
      <t xml:space="preserve">De tal manera que las partidas que se activan </t>
    </r>
    <r>
      <rPr>
        <b/>
        <sz val="10"/>
        <color indexed="12"/>
        <rFont val="Arial"/>
        <family val="2"/>
      </rPr>
      <t xml:space="preserve">NO </t>
    </r>
    <r>
      <rPr>
        <sz val="10"/>
        <color indexed="12"/>
        <rFont val="Arial"/>
        <family val="2"/>
      </rPr>
      <t>deben alterar la RLI.</t>
    </r>
  </si>
  <si>
    <t>La diferencia entre el monto real pagado menos el gasto de capacitacion activado, se debe contabilizar como </t>
  </si>
  <si>
    <t>gastos necesarios para producir la renta.</t>
  </si>
  <si>
    <t>imponibles pagadas en el ejercicio, el monto que exceda al 1%, quedarían gravadas como gastos rechazados.</t>
  </si>
  <si>
    <t>CMR:</t>
  </si>
  <si>
    <r>
      <t xml:space="preserve">AÑO TRIBUTARIO </t>
    </r>
    <r>
      <rPr>
        <b/>
        <u/>
        <sz val="11"/>
        <color indexed="12"/>
        <rFont val="Arial"/>
        <family val="2"/>
      </rPr>
      <t>2002</t>
    </r>
  </si>
  <si>
    <t>Por otra parte, la Ley dice que los gastos de Capacitacion tienen un tope del 1% de las remuneraciones</t>
  </si>
  <si>
    <r>
      <t xml:space="preserve">AÑO TRIBUTARIO </t>
    </r>
    <r>
      <rPr>
        <b/>
        <u/>
        <sz val="11"/>
        <color indexed="12"/>
        <rFont val="Arial"/>
        <family val="2"/>
      </rPr>
      <t>2003</t>
    </r>
  </si>
  <si>
    <t>monto se debe contabilizar como un activo, similar a un PPM.</t>
  </si>
  <si>
    <t>Los Gastos de Capacitacion que acepta la ley son los que están autorizados y visados por el SENCE, este</t>
  </si>
  <si>
    <t>RECUADRO No.2</t>
  </si>
  <si>
    <t>=1580421+5536435+663167</t>
  </si>
  <si>
    <t>=5524515+32072681</t>
  </si>
  <si>
    <t>=26621136+300000</t>
  </si>
  <si>
    <t>Total (Inventario - Activo) - Caja y Banco (Inventario - Pasivo) - Depreciación Acumulada (Inventario - Pasivo) -INTO</t>
  </si>
  <si>
    <t>Activo Físico Neto (sin Licencias-sin AF Leasing))</t>
  </si>
  <si>
    <r>
      <t xml:space="preserve">AÑO TRIBUTARIO </t>
    </r>
    <r>
      <rPr>
        <b/>
        <u/>
        <sz val="11"/>
        <color indexed="12"/>
        <rFont val="Arial"/>
        <family val="2"/>
      </rPr>
      <t>2004</t>
    </r>
  </si>
  <si>
    <t>asaez@demarka.cl</t>
  </si>
  <si>
    <t>Saldo Cta.Cte.Según conciliacion</t>
  </si>
  <si>
    <t>Remanente FUT ejercicio anterior, con credito</t>
  </si>
  <si>
    <t>Remanente FUT ejercicio anterior, sin credito</t>
  </si>
  <si>
    <t xml:space="preserve">Otras partidas que se agregan </t>
  </si>
  <si>
    <t>Cuentas por Cobrar</t>
  </si>
  <si>
    <t>Cuentas por Pagar</t>
  </si>
  <si>
    <t>Reposicion perdida tributaria</t>
  </si>
  <si>
    <r>
      <t xml:space="preserve">AÑO TRIBUTARIO </t>
    </r>
    <r>
      <rPr>
        <b/>
        <u/>
        <sz val="11"/>
        <color indexed="12"/>
        <rFont val="Arial"/>
        <family val="2"/>
      </rPr>
      <t>2005</t>
    </r>
  </si>
  <si>
    <t>scruz@demarka.cl</t>
  </si>
  <si>
    <r>
      <t xml:space="preserve">AÑO TRIBUTARIO </t>
    </r>
    <r>
      <rPr>
        <b/>
        <u/>
        <sz val="11"/>
        <color indexed="12"/>
        <rFont val="Arial"/>
        <family val="2"/>
      </rPr>
      <t>2006</t>
    </r>
  </si>
  <si>
    <t>Contabilidad Computacional</t>
  </si>
  <si>
    <t>13.063.163-0</t>
  </si>
  <si>
    <r>
      <t xml:space="preserve">AÑO TRIBUTARIO </t>
    </r>
    <r>
      <rPr>
        <b/>
        <u/>
        <sz val="11"/>
        <color indexed="12"/>
        <rFont val="Arial"/>
        <family val="2"/>
      </rPr>
      <t>1996</t>
    </r>
  </si>
  <si>
    <r>
      <t xml:space="preserve">AÑO TRIBUTARIO </t>
    </r>
    <r>
      <rPr>
        <b/>
        <u/>
        <sz val="11"/>
        <color indexed="12"/>
        <rFont val="Arial"/>
        <family val="2"/>
      </rPr>
      <t>1997</t>
    </r>
  </si>
  <si>
    <r>
      <t xml:space="preserve">AÑO TRIBUTARIO </t>
    </r>
    <r>
      <rPr>
        <b/>
        <u/>
        <sz val="11"/>
        <color indexed="12"/>
        <rFont val="Arial"/>
        <family val="2"/>
      </rPr>
      <t>1998</t>
    </r>
  </si>
  <si>
    <t>Provisión de Existencias</t>
  </si>
  <si>
    <t>Al ajustar las planillas de los años tributarios 97 y 98 con las declaraciones de renta se presentan las siguientes diferencias</t>
  </si>
  <si>
    <t>AT 97</t>
  </si>
  <si>
    <t>La Pérdida Tributaria del Ejercicio anterior es</t>
  </si>
  <si>
    <t>La Pérdida Tributaria de apertura se tomó como</t>
  </si>
  <si>
    <t>Se aumentó la Pérdida Tributaria en</t>
  </si>
  <si>
    <t>AT 98</t>
  </si>
  <si>
    <t>Esto se debió a que no se rebajó la Pérdida Tributaria utilizada en el ejercicio anterior</t>
  </si>
  <si>
    <t>En el saldo de FUT no se repuso el gasto de capacitación</t>
  </si>
  <si>
    <t>SubTotal</t>
  </si>
  <si>
    <t>Esto se debió a que no se rebajó los Gastos de Capacitación utilizados en el ejercicio anterior</t>
  </si>
  <si>
    <t>Ajuste C.M. Ejercicios Anteriores</t>
  </si>
  <si>
    <t>Utilidad en Empresa relacionada</t>
  </si>
  <si>
    <t xml:space="preserve">RECTIFICATORIA 2006 </t>
  </si>
  <si>
    <t>652 45 00</t>
  </si>
  <si>
    <t>652 45 05</t>
  </si>
  <si>
    <t>Utlidad en EERR</t>
  </si>
  <si>
    <r>
      <t xml:space="preserve">AÑO TRIBUTARIO </t>
    </r>
    <r>
      <rPr>
        <b/>
        <u/>
        <sz val="11"/>
        <color indexed="12"/>
        <rFont val="Arial"/>
        <family val="2"/>
      </rPr>
      <t>2007</t>
    </r>
  </si>
  <si>
    <t>Rebajas al Impuesto</t>
  </si>
  <si>
    <t>Gastos Rechazados (Art.33 No.1)</t>
  </si>
  <si>
    <t>Pérdidas de Ejercicios Anteriores (Art. 31 No.3)</t>
  </si>
  <si>
    <t>Ingresos No Renta Art. 17)</t>
  </si>
  <si>
    <t>Otras Partidas</t>
  </si>
  <si>
    <t>Saldo de Caja (Efectivo y doctos. al día)</t>
  </si>
  <si>
    <t>Cuentas por Cobrar EE.RR.</t>
  </si>
  <si>
    <t>Cuentas por Cobrar EE. NO RR.</t>
  </si>
  <si>
    <t>Total préstamos efectuados a socios</t>
  </si>
  <si>
    <t>Depreciación acelerada</t>
  </si>
  <si>
    <t>Cuentas por Pagar EE.RR.</t>
  </si>
  <si>
    <t>Cuentas por Pagar EE. NO RR.</t>
  </si>
  <si>
    <t>Diferencia entre depreciación acelerada y normal</t>
  </si>
  <si>
    <t>Dividendos percibidos</t>
  </si>
  <si>
    <t>Remanente FUNT Ejercicio anterior</t>
  </si>
  <si>
    <t>FUNT generado en el Ejercicio</t>
  </si>
  <si>
    <t>Retiros o Distrib. Imputados al FUNT en el ejercicio</t>
  </si>
  <si>
    <t>Castigo Incobrables</t>
  </si>
  <si>
    <r>
      <t xml:space="preserve">AÑO TRIBUTARIO </t>
    </r>
    <r>
      <rPr>
        <b/>
        <u/>
        <sz val="11"/>
        <color indexed="12"/>
        <rFont val="Arial"/>
        <family val="2"/>
      </rPr>
      <t>2008</t>
    </r>
  </si>
  <si>
    <t>Resultado Tributario Venta Acciones Argos</t>
  </si>
  <si>
    <t>Castigo Incobrables (Prov. Existencias)</t>
  </si>
  <si>
    <t>Patrimonio Financiero</t>
  </si>
  <si>
    <t>RECUADRO NO.6</t>
  </si>
  <si>
    <t>Remanente Crédito Impto. 1ª Categ. ejercicio siguiente</t>
  </si>
  <si>
    <t>Saldo negativo FUNT Ejercicio anterior</t>
  </si>
  <si>
    <t>FUNT positivo generado en el Ejercicio</t>
  </si>
  <si>
    <t>FUNT negativo generado en el Ejercicio</t>
  </si>
  <si>
    <t>Saldo negativo FUNT para Ejercicio siguiente</t>
  </si>
  <si>
    <r>
      <t xml:space="preserve">AÑO TRIBUTARIO </t>
    </r>
    <r>
      <rPr>
        <b/>
        <u/>
        <sz val="11"/>
        <color indexed="12"/>
        <rFont val="Arial"/>
        <family val="2"/>
      </rPr>
      <t>2009</t>
    </r>
  </si>
  <si>
    <t>CHILE</t>
  </si>
  <si>
    <t>Depreciación tributaria del Ejercicio</t>
  </si>
  <si>
    <t>6483777-k</t>
  </si>
  <si>
    <t>idem  codigo 632</t>
  </si>
  <si>
    <r>
      <t xml:space="preserve">AÑO TRIBUTARIO </t>
    </r>
    <r>
      <rPr>
        <b/>
        <u/>
        <sz val="11"/>
        <color indexed="12"/>
        <rFont val="Arial"/>
        <family val="2"/>
      </rPr>
      <t>2010</t>
    </r>
  </si>
  <si>
    <t>327 80 00</t>
  </si>
  <si>
    <t>327 80 08</t>
  </si>
  <si>
    <r>
      <t xml:space="preserve">AÑO TRIBUTARIO </t>
    </r>
    <r>
      <rPr>
        <b/>
        <u/>
        <sz val="11"/>
        <color indexed="12"/>
        <rFont val="Arial"/>
        <family val="2"/>
      </rPr>
      <t>2011</t>
    </r>
  </si>
  <si>
    <t>Gastos por donaciones para fines sociales</t>
  </si>
  <si>
    <t>Gastos rechazados</t>
  </si>
  <si>
    <r>
      <t xml:space="preserve">AÑO TRIBUTARIO </t>
    </r>
    <r>
      <rPr>
        <b/>
        <u/>
        <sz val="11"/>
        <color indexed="12"/>
        <rFont val="Arial"/>
        <family val="2"/>
      </rPr>
      <t>2012</t>
    </r>
  </si>
  <si>
    <r>
      <t xml:space="preserve">AÑO TRIBUTARIO </t>
    </r>
    <r>
      <rPr>
        <b/>
        <u/>
        <sz val="11"/>
        <color indexed="12"/>
        <rFont val="Arial"/>
        <family val="2"/>
      </rPr>
      <t>2013</t>
    </r>
  </si>
  <si>
    <t>Pagos Provisionales PPM (Art 84)</t>
  </si>
  <si>
    <r>
      <t xml:space="preserve">AÑO TRIBUTARIO </t>
    </r>
    <r>
      <rPr>
        <b/>
        <u/>
        <sz val="11"/>
        <color indexed="12"/>
        <rFont val="Arial"/>
        <family val="2"/>
      </rPr>
      <t>2014</t>
    </r>
  </si>
  <si>
    <t>Impuesto a la Renta</t>
  </si>
  <si>
    <t>Provision Existencias</t>
  </si>
  <si>
    <t>Provision Incobrables</t>
  </si>
  <si>
    <t>Dividendos pagados (nominales, netos)</t>
  </si>
  <si>
    <r>
      <t xml:space="preserve">AÑO TRIBUTARIO </t>
    </r>
    <r>
      <rPr>
        <b/>
        <u/>
        <sz val="11"/>
        <color indexed="12"/>
        <rFont val="Arial"/>
        <family val="2"/>
      </rPr>
      <t>2015</t>
    </r>
  </si>
  <si>
    <t>año 2012</t>
  </si>
  <si>
    <t>año 2014</t>
  </si>
  <si>
    <t>Provision Varias - existencias</t>
  </si>
  <si>
    <t xml:space="preserve">Provision Incobrables </t>
  </si>
  <si>
    <t>Castigo Existencias</t>
  </si>
  <si>
    <t>Dep. e Intereses A.Fijos Leasing</t>
  </si>
  <si>
    <t>año 2011</t>
  </si>
  <si>
    <t>año 2013</t>
  </si>
  <si>
    <t>CM A.fijos en Leasing</t>
  </si>
  <si>
    <t>Cuotas pagadas leasing</t>
  </si>
  <si>
    <t>Perdida en Empresas Relacionadas</t>
  </si>
  <si>
    <t>Multa sobre Impuestos</t>
  </si>
  <si>
    <t>AÑO TRIBUTARIO 2015</t>
  </si>
  <si>
    <t>Pérdida Tributaria de Arrastre al 31/12/13</t>
  </si>
  <si>
    <t>Reajuste 2014:</t>
  </si>
  <si>
    <t>Pérdida Tributaria de Arrastre, reajustada</t>
  </si>
  <si>
    <t>Utilidad Tributaria según balance al 31/12/14</t>
  </si>
  <si>
    <t>Pérdida Tributaria al 31/12/14</t>
  </si>
  <si>
    <t>RLI del ejercicio 2014</t>
  </si>
  <si>
    <t>Saldo F.U.T. al 31/12/13</t>
  </si>
  <si>
    <t>Saldo F.U.T., reajustado</t>
  </si>
  <si>
    <t>Subtotal F.U.T. al 31/12/13</t>
  </si>
  <si>
    <t>Saldo F.U.T. al 31/12/14</t>
  </si>
  <si>
    <t>2327 80 00</t>
  </si>
  <si>
    <t>2327 80 08</t>
  </si>
  <si>
    <t>Otros Gastos Financieros</t>
  </si>
  <si>
    <t xml:space="preserve">C.M. Activo Adquiridos por leasing </t>
  </si>
  <si>
    <t>Multas sobre Impuestos</t>
  </si>
  <si>
    <t>Dep. Act Adquiridos por leasing</t>
  </si>
  <si>
    <r>
      <t xml:space="preserve">AÑO TRIBUTARIO </t>
    </r>
    <r>
      <rPr>
        <b/>
        <u/>
        <sz val="11"/>
        <color indexed="12"/>
        <rFont val="Arial"/>
        <family val="2"/>
      </rPr>
      <t>2016</t>
    </r>
  </si>
  <si>
    <t>Diferencia Impto. Renta AT 2013</t>
  </si>
  <si>
    <t>Gastos por Impuesto Renta o Impuesto Diferido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</si>
</sst>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_€_-;\-* #,##0.00\ _€_-;_-* &quot;-&quot;??\ _€_-;_-@_-"/>
    <numFmt numFmtId="165" formatCode="0.0%"/>
    <numFmt numFmtId="166" formatCode="_-* #,##0\ _€_-;\-* #,##0\ _€_-;_-* &quot;-&quot;??\ _€_-;_-@_-"/>
  </numFmts>
  <fonts count="28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sz val="10"/>
      <name val="Helv"/>
    </font>
    <font>
      <u/>
      <sz val="10"/>
      <color indexed="12"/>
      <name val="Helv"/>
    </font>
    <font>
      <b/>
      <u/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u/>
      <sz val="9"/>
      <name val="Arial"/>
      <family val="2"/>
    </font>
    <font>
      <b/>
      <u/>
      <sz val="11"/>
      <name val="Arial"/>
      <family val="2"/>
    </font>
    <font>
      <sz val="9"/>
      <color indexed="12"/>
      <name val="Arial"/>
      <family val="2"/>
    </font>
    <font>
      <b/>
      <u/>
      <sz val="11"/>
      <color indexed="12"/>
      <name val="Arial"/>
      <family val="2"/>
    </font>
    <font>
      <sz val="7"/>
      <name val="Arial"/>
      <family val="2"/>
    </font>
    <font>
      <b/>
      <sz val="8"/>
      <color indexed="12"/>
      <name val="Arial"/>
      <family val="2"/>
    </font>
    <font>
      <b/>
      <sz val="7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8"/>
      <color indexed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name val="Arial"/>
      <family val="2"/>
    </font>
    <font>
      <b/>
      <sz val="9"/>
      <color indexed="12"/>
      <name val="Arial"/>
      <family val="2"/>
    </font>
    <font>
      <sz val="8"/>
      <color indexed="12"/>
      <name val="Arial"/>
      <family val="2"/>
    </font>
    <font>
      <b/>
      <sz val="8"/>
      <color rgb="FFFF0000"/>
      <name val="Arial"/>
      <family val="2"/>
    </font>
    <font>
      <sz val="9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/>
    <xf numFmtId="9" fontId="1" fillId="0" borderId="0" applyFont="0" applyFill="0" applyBorder="0" applyAlignment="0" applyProtection="0"/>
    <xf numFmtId="164" fontId="27" fillId="0" borderId="0" applyFont="0" applyFill="0" applyBorder="0" applyAlignment="0" applyProtection="0"/>
  </cellStyleXfs>
  <cellXfs count="207">
    <xf numFmtId="0" fontId="0" fillId="0" borderId="0" xfId="0"/>
    <xf numFmtId="0" fontId="2" fillId="0" borderId="0" xfId="0" applyFont="1"/>
    <xf numFmtId="0" fontId="5" fillId="0" borderId="0" xfId="2" applyFont="1" applyAlignment="1"/>
    <xf numFmtId="0" fontId="6" fillId="0" borderId="0" xfId="2" applyFont="1"/>
    <xf numFmtId="0" fontId="6" fillId="0" borderId="0" xfId="2" applyFont="1" applyAlignment="1">
      <alignment horizontal="center"/>
    </xf>
    <xf numFmtId="0" fontId="7" fillId="0" borderId="0" xfId="2" applyFont="1" applyAlignment="1"/>
    <xf numFmtId="0" fontId="7" fillId="0" borderId="0" xfId="2" applyFont="1" applyAlignment="1">
      <alignment horizontal="center"/>
    </xf>
    <xf numFmtId="0" fontId="6" fillId="0" borderId="0" xfId="2" applyFont="1" applyAlignment="1"/>
    <xf numFmtId="0" fontId="8" fillId="0" borderId="1" xfId="2" quotePrefix="1" applyFont="1" applyBorder="1" applyAlignment="1">
      <alignment horizontal="center"/>
    </xf>
    <xf numFmtId="165" fontId="6" fillId="0" borderId="0" xfId="3" applyNumberFormat="1" applyFont="1" applyAlignment="1">
      <alignment horizontal="center"/>
    </xf>
    <xf numFmtId="0" fontId="8" fillId="0" borderId="0" xfId="2" quotePrefix="1" applyFont="1" applyBorder="1" applyAlignment="1">
      <alignment horizontal="center"/>
    </xf>
    <xf numFmtId="0" fontId="6" fillId="0" borderId="2" xfId="2" applyFont="1" applyBorder="1"/>
    <xf numFmtId="0" fontId="9" fillId="0" borderId="0" xfId="0" applyFont="1"/>
    <xf numFmtId="0" fontId="10" fillId="0" borderId="0" xfId="0" applyFo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38" fontId="0" fillId="0" borderId="0" xfId="0" applyNumberFormat="1"/>
    <xf numFmtId="38" fontId="0" fillId="0" borderId="2" xfId="0" applyNumberFormat="1" applyBorder="1"/>
    <xf numFmtId="0" fontId="2" fillId="0" borderId="2" xfId="0" applyFont="1" applyBorder="1"/>
    <xf numFmtId="38" fontId="2" fillId="0" borderId="3" xfId="0" applyNumberFormat="1" applyFont="1" applyBorder="1"/>
    <xf numFmtId="165" fontId="11" fillId="0" borderId="0" xfId="0" applyNumberFormat="1" applyFont="1"/>
    <xf numFmtId="165" fontId="0" fillId="0" borderId="0" xfId="0" applyNumberFormat="1"/>
    <xf numFmtId="37" fontId="11" fillId="0" borderId="0" xfId="0" applyNumberFormat="1" applyFont="1"/>
    <xf numFmtId="38" fontId="0" fillId="0" borderId="0" xfId="0" applyNumberFormat="1" applyBorder="1"/>
    <xf numFmtId="0" fontId="13" fillId="0" borderId="0" xfId="2" applyFont="1"/>
    <xf numFmtId="0" fontId="7" fillId="0" borderId="0" xfId="2" applyFont="1"/>
    <xf numFmtId="38" fontId="7" fillId="0" borderId="0" xfId="2" applyNumberFormat="1" applyFont="1"/>
    <xf numFmtId="0" fontId="14" fillId="0" borderId="0" xfId="2" applyFont="1"/>
    <xf numFmtId="0" fontId="14" fillId="0" borderId="0" xfId="2" applyFont="1" applyAlignment="1">
      <alignment horizontal="center"/>
    </xf>
    <xf numFmtId="0" fontId="7" fillId="0" borderId="0" xfId="2" quotePrefix="1" applyFont="1" applyAlignment="1">
      <alignment horizontal="center"/>
    </xf>
    <xf numFmtId="0" fontId="14" fillId="0" borderId="0" xfId="2" quotePrefix="1" applyFont="1" applyAlignment="1"/>
    <xf numFmtId="38" fontId="7" fillId="0" borderId="0" xfId="2" applyNumberFormat="1" applyFont="1" applyAlignment="1"/>
    <xf numFmtId="38" fontId="14" fillId="0" borderId="0" xfId="2" applyNumberFormat="1" applyFont="1" applyAlignment="1"/>
    <xf numFmtId="38" fontId="7" fillId="0" borderId="2" xfId="2" applyNumberFormat="1" applyFont="1" applyBorder="1" applyAlignment="1"/>
    <xf numFmtId="38" fontId="8" fillId="0" borderId="0" xfId="2" applyNumberFormat="1" applyFont="1" applyAlignment="1"/>
    <xf numFmtId="3" fontId="7" fillId="0" borderId="0" xfId="2" applyNumberFormat="1" applyFont="1"/>
    <xf numFmtId="38" fontId="14" fillId="0" borderId="0" xfId="2" applyNumberFormat="1" applyFont="1"/>
    <xf numFmtId="38" fontId="14" fillId="0" borderId="2" xfId="2" applyNumberFormat="1" applyFont="1" applyBorder="1"/>
    <xf numFmtId="38" fontId="7" fillId="0" borderId="2" xfId="2" applyNumberFormat="1" applyFont="1" applyBorder="1"/>
    <xf numFmtId="0" fontId="7" fillId="0" borderId="0" xfId="0" applyFont="1" applyAlignment="1">
      <alignment horizontal="center"/>
    </xf>
    <xf numFmtId="0" fontId="6" fillId="0" borderId="0" xfId="0" applyFont="1"/>
    <xf numFmtId="0" fontId="8" fillId="0" borderId="1" xfId="0" quotePrefix="1" applyFont="1" applyBorder="1" applyAlignment="1">
      <alignment horizontal="center"/>
    </xf>
    <xf numFmtId="38" fontId="0" fillId="0" borderId="4" xfId="0" applyNumberFormat="1" applyBorder="1"/>
    <xf numFmtId="0" fontId="0" fillId="0" borderId="0" xfId="0" applyAlignment="1"/>
    <xf numFmtId="38" fontId="7" fillId="0" borderId="0" xfId="0" applyNumberFormat="1" applyFont="1"/>
    <xf numFmtId="0" fontId="2" fillId="0" borderId="0" xfId="0" applyFont="1" applyBorder="1"/>
    <xf numFmtId="38" fontId="2" fillId="0" borderId="0" xfId="0" applyNumberFormat="1" applyFont="1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13" fillId="0" borderId="0" xfId="2" quotePrefix="1" applyFont="1"/>
    <xf numFmtId="0" fontId="2" fillId="0" borderId="0" xfId="2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2" applyFont="1" applyBorder="1" applyAlignment="1">
      <alignment horizontal="center"/>
    </xf>
    <xf numFmtId="0" fontId="16" fillId="0" borderId="0" xfId="0" applyFont="1" applyAlignment="1">
      <alignment horizontal="left" indent="1"/>
    </xf>
    <xf numFmtId="0" fontId="18" fillId="0" borderId="0" xfId="2" applyFont="1" applyAlignment="1">
      <alignment horizontal="center"/>
    </xf>
    <xf numFmtId="0" fontId="19" fillId="0" borderId="0" xfId="2" applyFont="1" applyAlignment="1"/>
    <xf numFmtId="0" fontId="20" fillId="0" borderId="0" xfId="2" applyFont="1" applyAlignment="1"/>
    <xf numFmtId="0" fontId="19" fillId="0" borderId="0" xfId="0" applyFont="1" applyAlignment="1"/>
    <xf numFmtId="0" fontId="20" fillId="0" borderId="0" xfId="0" applyFont="1" applyAlignment="1"/>
    <xf numFmtId="37" fontId="11" fillId="0" borderId="0" xfId="0" applyNumberFormat="1" applyFont="1" applyFill="1"/>
    <xf numFmtId="38" fontId="14" fillId="0" borderId="0" xfId="2" applyNumberFormat="1" applyFont="1" applyFill="1" applyAlignment="1"/>
    <xf numFmtId="38" fontId="8" fillId="0" borderId="0" xfId="2" applyNumberFormat="1" applyFont="1" applyFill="1" applyAlignment="1"/>
    <xf numFmtId="0" fontId="8" fillId="0" borderId="0" xfId="2" applyFont="1"/>
    <xf numFmtId="0" fontId="8" fillId="0" borderId="0" xfId="2" applyFont="1" applyAlignment="1">
      <alignment horizontal="center"/>
    </xf>
    <xf numFmtId="0" fontId="8" fillId="0" borderId="0" xfId="2" quotePrefix="1" applyFont="1" applyAlignment="1"/>
    <xf numFmtId="38" fontId="6" fillId="0" borderId="0" xfId="2" applyNumberFormat="1" applyFont="1"/>
    <xf numFmtId="0" fontId="8" fillId="0" borderId="0" xfId="2" applyFont="1" applyAlignment="1"/>
    <xf numFmtId="38" fontId="14" fillId="2" borderId="0" xfId="2" applyNumberFormat="1" applyFont="1" applyFill="1" applyAlignment="1"/>
    <xf numFmtId="38" fontId="13" fillId="0" borderId="0" xfId="2" applyNumberFormat="1" applyFont="1"/>
    <xf numFmtId="38" fontId="7" fillId="0" borderId="0" xfId="2" applyNumberFormat="1" applyFont="1" applyFill="1" applyAlignment="1"/>
    <xf numFmtId="38" fontId="7" fillId="0" borderId="2" xfId="2" applyNumberFormat="1" applyFont="1" applyFill="1" applyBorder="1" applyAlignment="1"/>
    <xf numFmtId="38" fontId="7" fillId="0" borderId="0" xfId="2" applyNumberFormat="1" applyFont="1" applyFill="1"/>
    <xf numFmtId="0" fontId="4" fillId="0" borderId="0" xfId="1" applyAlignment="1" applyProtection="1"/>
    <xf numFmtId="0" fontId="18" fillId="0" borderId="0" xfId="2" applyFont="1" applyFill="1" applyAlignment="1">
      <alignment horizontal="center"/>
    </xf>
    <xf numFmtId="38" fontId="7" fillId="0" borderId="0" xfId="0" applyNumberFormat="1" applyFont="1" applyFill="1"/>
    <xf numFmtId="38" fontId="14" fillId="0" borderId="0" xfId="2" applyNumberFormat="1" applyFont="1" applyFill="1"/>
    <xf numFmtId="38" fontId="14" fillId="0" borderId="2" xfId="2" applyNumberFormat="1" applyFont="1" applyFill="1" applyBorder="1"/>
    <xf numFmtId="38" fontId="7" fillId="0" borderId="2" xfId="2" applyNumberFormat="1" applyFont="1" applyFill="1" applyBorder="1"/>
    <xf numFmtId="0" fontId="13" fillId="0" borderId="0" xfId="2" applyFont="1" applyFill="1"/>
    <xf numFmtId="0" fontId="19" fillId="0" borderId="0" xfId="2" applyFont="1" applyFill="1" applyAlignment="1"/>
    <xf numFmtId="0" fontId="6" fillId="0" borderId="0" xfId="2" applyFont="1" applyFill="1" applyAlignment="1">
      <alignment horizontal="center"/>
    </xf>
    <xf numFmtId="0" fontId="6" fillId="0" borderId="0" xfId="2" applyFont="1" applyFill="1" applyAlignment="1"/>
    <xf numFmtId="0" fontId="8" fillId="0" borderId="1" xfId="2" quotePrefix="1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0" fontId="8" fillId="0" borderId="0" xfId="2" quotePrefix="1" applyFont="1" applyFill="1" applyBorder="1" applyAlignment="1">
      <alignment horizontal="center"/>
    </xf>
    <xf numFmtId="38" fontId="11" fillId="0" borderId="0" xfId="0" applyNumberFormat="1" applyFont="1"/>
    <xf numFmtId="0" fontId="0" fillId="0" borderId="0" xfId="0" applyFill="1"/>
    <xf numFmtId="38" fontId="0" fillId="2" borderId="0" xfId="0" applyNumberFormat="1" applyFill="1"/>
    <xf numFmtId="165" fontId="11" fillId="0" borderId="0" xfId="0" applyNumberFormat="1" applyFont="1" applyFill="1"/>
    <xf numFmtId="0" fontId="24" fillId="3" borderId="5" xfId="0" applyFont="1" applyFill="1" applyBorder="1"/>
    <xf numFmtId="0" fontId="24" fillId="3" borderId="6" xfId="0" applyFont="1" applyFill="1" applyBorder="1"/>
    <xf numFmtId="38" fontId="24" fillId="3" borderId="7" xfId="0" applyNumberFormat="1" applyFont="1" applyFill="1" applyBorder="1"/>
    <xf numFmtId="37" fontId="24" fillId="3" borderId="7" xfId="0" applyNumberFormat="1" applyFont="1" applyFill="1" applyBorder="1"/>
    <xf numFmtId="0" fontId="6" fillId="0" borderId="0" xfId="0" applyFont="1" applyFill="1" applyBorder="1"/>
    <xf numFmtId="38" fontId="25" fillId="0" borderId="0" xfId="0" applyNumberFormat="1" applyFont="1" applyFill="1"/>
    <xf numFmtId="0" fontId="8" fillId="0" borderId="8" xfId="2" quotePrefix="1" applyFont="1" applyFill="1" applyBorder="1" applyAlignment="1">
      <alignment horizontal="center"/>
    </xf>
    <xf numFmtId="0" fontId="8" fillId="0" borderId="9" xfId="2" quotePrefix="1" applyFont="1" applyFill="1" applyBorder="1" applyAlignment="1">
      <alignment horizontal="center"/>
    </xf>
    <xf numFmtId="0" fontId="6" fillId="0" borderId="5" xfId="2" applyFont="1" applyBorder="1"/>
    <xf numFmtId="0" fontId="2" fillId="0" borderId="6" xfId="2" applyFont="1" applyBorder="1" applyAlignment="1">
      <alignment horizontal="center"/>
    </xf>
    <xf numFmtId="38" fontId="7" fillId="0" borderId="7" xfId="2" applyNumberFormat="1" applyFont="1" applyFill="1" applyBorder="1" applyAlignment="1"/>
    <xf numFmtId="0" fontId="2" fillId="0" borderId="0" xfId="2" quotePrefix="1" applyFont="1" applyAlignment="1">
      <alignment horizontal="center"/>
    </xf>
    <xf numFmtId="0" fontId="2" fillId="0" borderId="0" xfId="2" applyFont="1" applyBorder="1" applyAlignment="1">
      <alignment horizontal="center"/>
    </xf>
    <xf numFmtId="0" fontId="6" fillId="0" borderId="10" xfId="2" applyFont="1" applyBorder="1"/>
    <xf numFmtId="0" fontId="2" fillId="0" borderId="11" xfId="2" applyFont="1" applyBorder="1" applyAlignment="1">
      <alignment horizontal="center"/>
    </xf>
    <xf numFmtId="38" fontId="14" fillId="0" borderId="12" xfId="2" applyNumberFormat="1" applyFont="1" applyFill="1" applyBorder="1"/>
    <xf numFmtId="0" fontId="6" fillId="0" borderId="13" xfId="2" applyFont="1" applyBorder="1"/>
    <xf numFmtId="38" fontId="14" fillId="0" borderId="14" xfId="2" applyNumberFormat="1" applyFont="1" applyFill="1" applyBorder="1"/>
    <xf numFmtId="0" fontId="6" fillId="0" borderId="15" xfId="2" applyFont="1" applyBorder="1"/>
    <xf numFmtId="0" fontId="2" fillId="0" borderId="16" xfId="2" applyFont="1" applyBorder="1" applyAlignment="1">
      <alignment horizontal="center"/>
    </xf>
    <xf numFmtId="38" fontId="7" fillId="0" borderId="17" xfId="2" applyNumberFormat="1" applyFont="1" applyFill="1" applyBorder="1"/>
    <xf numFmtId="0" fontId="6" fillId="0" borderId="10" xfId="0" applyFont="1" applyBorder="1"/>
    <xf numFmtId="0" fontId="6" fillId="0" borderId="13" xfId="0" applyFont="1" applyBorder="1"/>
    <xf numFmtId="0" fontId="6" fillId="0" borderId="9" xfId="0" applyFont="1" applyBorder="1"/>
    <xf numFmtId="38" fontId="7" fillId="0" borderId="12" xfId="2" applyNumberFormat="1" applyFont="1" applyFill="1" applyBorder="1"/>
    <xf numFmtId="38" fontId="7" fillId="0" borderId="14" xfId="2" applyNumberFormat="1" applyFont="1" applyFill="1" applyBorder="1"/>
    <xf numFmtId="0" fontId="2" fillId="0" borderId="11" xfId="2" quotePrefix="1" applyFont="1" applyBorder="1" applyAlignment="1">
      <alignment horizontal="center"/>
    </xf>
    <xf numFmtId="0" fontId="2" fillId="0" borderId="0" xfId="2" quotePrefix="1" applyFont="1" applyBorder="1" applyAlignment="1">
      <alignment horizontal="center"/>
    </xf>
    <xf numFmtId="0" fontId="2" fillId="0" borderId="16" xfId="2" quotePrefix="1" applyFont="1" applyBorder="1" applyAlignment="1">
      <alignment horizontal="center"/>
    </xf>
    <xf numFmtId="0" fontId="6" fillId="0" borderId="15" xfId="0" applyFont="1" applyBorder="1"/>
    <xf numFmtId="0" fontId="6" fillId="0" borderId="18" xfId="0" applyFont="1" applyFill="1" applyBorder="1"/>
    <xf numFmtId="0" fontId="8" fillId="0" borderId="8" xfId="0" quotePrefix="1" applyFont="1" applyFill="1" applyBorder="1" applyAlignment="1">
      <alignment horizontal="center"/>
    </xf>
    <xf numFmtId="0" fontId="6" fillId="0" borderId="13" xfId="0" applyFont="1" applyFill="1" applyBorder="1"/>
    <xf numFmtId="0" fontId="6" fillId="0" borderId="15" xfId="0" applyFont="1" applyFill="1" applyBorder="1"/>
    <xf numFmtId="38" fontId="14" fillId="0" borderId="0" xfId="2" applyNumberFormat="1" applyFont="1" applyFill="1" applyAlignment="1">
      <alignment horizontal="right"/>
    </xf>
    <xf numFmtId="0" fontId="7" fillId="0" borderId="0" xfId="2" applyFont="1" applyFill="1"/>
    <xf numFmtId="37" fontId="7" fillId="0" borderId="0" xfId="2" applyNumberFormat="1" applyFont="1" applyFill="1" applyAlignment="1"/>
    <xf numFmtId="0" fontId="6" fillId="0" borderId="0" xfId="2" applyFont="1" applyFill="1"/>
    <xf numFmtId="0" fontId="14" fillId="0" borderId="0" xfId="2" applyFont="1" applyFill="1" applyAlignment="1">
      <alignment horizontal="center"/>
    </xf>
    <xf numFmtId="0" fontId="8" fillId="0" borderId="0" xfId="2" applyFont="1" applyFill="1" applyAlignment="1">
      <alignment horizontal="center"/>
    </xf>
    <xf numFmtId="0" fontId="20" fillId="0" borderId="0" xfId="2" applyFont="1" applyFill="1" applyAlignment="1"/>
    <xf numFmtId="0" fontId="5" fillId="0" borderId="0" xfId="2" applyFont="1" applyFill="1" applyAlignment="1"/>
    <xf numFmtId="0" fontId="2" fillId="0" borderId="0" xfId="2" applyFont="1" applyFill="1" applyAlignment="1">
      <alignment horizontal="center"/>
    </xf>
    <xf numFmtId="0" fontId="7" fillId="0" borderId="0" xfId="2" applyFont="1" applyFill="1" applyAlignment="1"/>
    <xf numFmtId="0" fontId="6" fillId="0" borderId="0" xfId="2" applyFont="1" applyFill="1" applyBorder="1"/>
    <xf numFmtId="0" fontId="7" fillId="0" borderId="0" xfId="2" applyFont="1" applyFill="1" applyAlignment="1">
      <alignment horizontal="center"/>
    </xf>
    <xf numFmtId="3" fontId="6" fillId="0" borderId="0" xfId="2" applyNumberFormat="1" applyFont="1" applyFill="1" applyBorder="1"/>
    <xf numFmtId="0" fontId="7" fillId="0" borderId="0" xfId="0" applyFont="1" applyFill="1" applyAlignment="1">
      <alignment horizontal="center"/>
    </xf>
    <xf numFmtId="0" fontId="6" fillId="0" borderId="0" xfId="0" applyFont="1" applyFill="1"/>
    <xf numFmtId="0" fontId="2" fillId="0" borderId="0" xfId="0" applyFont="1" applyFill="1" applyAlignment="1">
      <alignment horizontal="center"/>
    </xf>
    <xf numFmtId="3" fontId="6" fillId="0" borderId="0" xfId="0" applyNumberFormat="1" applyFont="1" applyFill="1" applyBorder="1"/>
    <xf numFmtId="165" fontId="6" fillId="0" borderId="0" xfId="3" applyNumberFormat="1" applyFont="1" applyFill="1" applyAlignment="1">
      <alignment horizontal="center"/>
    </xf>
    <xf numFmtId="0" fontId="8" fillId="0" borderId="0" xfId="2" applyFont="1" applyFill="1"/>
    <xf numFmtId="3" fontId="6" fillId="0" borderId="0" xfId="2" applyNumberFormat="1" applyFont="1" applyFill="1"/>
    <xf numFmtId="0" fontId="4" fillId="0" borderId="0" xfId="1" applyFill="1" applyAlignment="1" applyProtection="1"/>
    <xf numFmtId="0" fontId="13" fillId="0" borderId="0" xfId="2" quotePrefix="1" applyFont="1" applyFill="1"/>
    <xf numFmtId="0" fontId="6" fillId="0" borderId="5" xfId="2" applyFont="1" applyFill="1" applyBorder="1"/>
    <xf numFmtId="0" fontId="2" fillId="0" borderId="6" xfId="2" applyFont="1" applyFill="1" applyBorder="1" applyAlignment="1">
      <alignment horizontal="center"/>
    </xf>
    <xf numFmtId="37" fontId="6" fillId="0" borderId="0" xfId="2" applyNumberFormat="1" applyFont="1" applyFill="1"/>
    <xf numFmtId="38" fontId="6" fillId="0" borderId="0" xfId="2" applyNumberFormat="1" applyFont="1" applyFill="1"/>
    <xf numFmtId="0" fontId="2" fillId="0" borderId="0" xfId="2" quotePrefix="1" applyFont="1" applyFill="1" applyAlignment="1">
      <alignment horizontal="center"/>
    </xf>
    <xf numFmtId="0" fontId="6" fillId="0" borderId="10" xfId="0" applyFont="1" applyFill="1" applyBorder="1"/>
    <xf numFmtId="0" fontId="2" fillId="0" borderId="11" xfId="2" applyFont="1" applyFill="1" applyBorder="1" applyAlignment="1">
      <alignment horizontal="center"/>
    </xf>
    <xf numFmtId="0" fontId="2" fillId="0" borderId="0" xfId="2" applyFont="1" applyFill="1" applyBorder="1" applyAlignment="1">
      <alignment horizontal="center"/>
    </xf>
    <xf numFmtId="0" fontId="2" fillId="0" borderId="16" xfId="2" applyFont="1" applyFill="1" applyBorder="1" applyAlignment="1">
      <alignment horizontal="center"/>
    </xf>
    <xf numFmtId="0" fontId="2" fillId="0" borderId="11" xfId="2" quotePrefix="1" applyFont="1" applyFill="1" applyBorder="1" applyAlignment="1">
      <alignment horizontal="center"/>
    </xf>
    <xf numFmtId="0" fontId="2" fillId="0" borderId="0" xfId="2" quotePrefix="1" applyFont="1" applyFill="1" applyBorder="1" applyAlignment="1">
      <alignment horizontal="center"/>
    </xf>
    <xf numFmtId="0" fontId="1" fillId="0" borderId="0" xfId="0" applyFont="1" applyFill="1"/>
    <xf numFmtId="38" fontId="25" fillId="4" borderId="0" xfId="0" applyNumberFormat="1" applyFont="1" applyFill="1"/>
    <xf numFmtId="38" fontId="7" fillId="4" borderId="0" xfId="2" applyNumberFormat="1" applyFont="1" applyFill="1" applyAlignment="1"/>
    <xf numFmtId="38" fontId="14" fillId="4" borderId="0" xfId="2" applyNumberFormat="1" applyFont="1" applyFill="1" applyAlignment="1"/>
    <xf numFmtId="38" fontId="14" fillId="4" borderId="0" xfId="2" applyNumberFormat="1" applyFont="1" applyFill="1"/>
    <xf numFmtId="38" fontId="14" fillId="4" borderId="12" xfId="2" applyNumberFormat="1" applyFont="1" applyFill="1" applyBorder="1"/>
    <xf numFmtId="38" fontId="14" fillId="4" borderId="14" xfId="2" applyNumberFormat="1" applyFont="1" applyFill="1" applyBorder="1"/>
    <xf numFmtId="38" fontId="7" fillId="4" borderId="17" xfId="2" applyNumberFormat="1" applyFont="1" applyFill="1" applyBorder="1"/>
    <xf numFmtId="38" fontId="7" fillId="4" borderId="14" xfId="2" applyNumberFormat="1" applyFont="1" applyFill="1" applyBorder="1"/>
    <xf numFmtId="38" fontId="7" fillId="4" borderId="12" xfId="2" applyNumberFormat="1" applyFont="1" applyFill="1" applyBorder="1"/>
    <xf numFmtId="38" fontId="7" fillId="6" borderId="0" xfId="0" applyNumberFormat="1" applyFont="1" applyFill="1"/>
    <xf numFmtId="38" fontId="7" fillId="6" borderId="0" xfId="2" applyNumberFormat="1" applyFont="1" applyFill="1"/>
    <xf numFmtId="38" fontId="7" fillId="6" borderId="7" xfId="2" applyNumberFormat="1" applyFont="1" applyFill="1" applyBorder="1" applyAlignment="1"/>
    <xf numFmtId="38" fontId="7" fillId="6" borderId="0" xfId="2" applyNumberFormat="1" applyFont="1" applyFill="1" applyAlignment="1"/>
    <xf numFmtId="38" fontId="7" fillId="6" borderId="17" xfId="2" applyNumberFormat="1" applyFont="1" applyFill="1" applyBorder="1"/>
    <xf numFmtId="38" fontId="7" fillId="6" borderId="14" xfId="2" applyNumberFormat="1" applyFont="1" applyFill="1" applyBorder="1"/>
    <xf numFmtId="37" fontId="7" fillId="6" borderId="0" xfId="2" applyNumberFormat="1" applyFont="1" applyFill="1" applyAlignment="1"/>
    <xf numFmtId="38" fontId="0" fillId="6" borderId="0" xfId="0" applyNumberFormat="1" applyFill="1"/>
    <xf numFmtId="38" fontId="14" fillId="5" borderId="0" xfId="2" applyNumberFormat="1" applyFont="1" applyFill="1"/>
    <xf numFmtId="38" fontId="7" fillId="7" borderId="17" xfId="2" applyNumberFormat="1" applyFont="1" applyFill="1" applyBorder="1"/>
    <xf numFmtId="38" fontId="26" fillId="0" borderId="0" xfId="2" applyNumberFormat="1" applyFont="1" applyFill="1" applyAlignment="1"/>
    <xf numFmtId="166" fontId="0" fillId="0" borderId="0" xfId="4" applyNumberFormat="1" applyFont="1"/>
    <xf numFmtId="0" fontId="1" fillId="0" borderId="0" xfId="0" applyFont="1" applyBorder="1"/>
    <xf numFmtId="38" fontId="14" fillId="8" borderId="0" xfId="2" applyNumberFormat="1" applyFont="1" applyFill="1"/>
    <xf numFmtId="38" fontId="7" fillId="9" borderId="0" xfId="0" applyNumberFormat="1" applyFont="1" applyFill="1"/>
    <xf numFmtId="38" fontId="25" fillId="9" borderId="0" xfId="0" applyNumberFormat="1" applyFont="1" applyFill="1"/>
    <xf numFmtId="38" fontId="7" fillId="9" borderId="0" xfId="2" applyNumberFormat="1" applyFont="1" applyFill="1"/>
    <xf numFmtId="38" fontId="7" fillId="9" borderId="0" xfId="2" applyNumberFormat="1" applyFont="1" applyFill="1" applyAlignment="1"/>
    <xf numFmtId="38" fontId="14" fillId="9" borderId="0" xfId="2" applyNumberFormat="1" applyFont="1" applyFill="1" applyAlignment="1"/>
    <xf numFmtId="38" fontId="14" fillId="9" borderId="0" xfId="2" applyNumberFormat="1" applyFont="1" applyFill="1"/>
    <xf numFmtId="38" fontId="14" fillId="9" borderId="12" xfId="2" applyNumberFormat="1" applyFont="1" applyFill="1" applyBorder="1"/>
    <xf numFmtId="38" fontId="14" fillId="9" borderId="14" xfId="2" applyNumberFormat="1" applyFont="1" applyFill="1" applyBorder="1"/>
    <xf numFmtId="38" fontId="7" fillId="9" borderId="17" xfId="2" applyNumberFormat="1" applyFont="1" applyFill="1" applyBorder="1"/>
    <xf numFmtId="38" fontId="7" fillId="9" borderId="14" xfId="2" applyNumberFormat="1" applyFont="1" applyFill="1" applyBorder="1"/>
    <xf numFmtId="38" fontId="7" fillId="9" borderId="12" xfId="2" applyNumberFormat="1" applyFont="1" applyFill="1" applyBorder="1"/>
    <xf numFmtId="38" fontId="7" fillId="8" borderId="0" xfId="0" applyNumberFormat="1" applyFont="1" applyFill="1"/>
    <xf numFmtId="37" fontId="7" fillId="8" borderId="0" xfId="2" applyNumberFormat="1" applyFont="1" applyFill="1" applyAlignment="1"/>
    <xf numFmtId="38" fontId="7" fillId="8" borderId="0" xfId="2" applyNumberFormat="1" applyFont="1" applyFill="1" applyAlignment="1"/>
    <xf numFmtId="38" fontId="7" fillId="8" borderId="0" xfId="2" applyNumberFormat="1" applyFont="1" applyFill="1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Fill="1" applyBorder="1"/>
    <xf numFmtId="38" fontId="13" fillId="0" borderId="0" xfId="2" applyNumberFormat="1" applyFont="1" applyFill="1"/>
    <xf numFmtId="9" fontId="6" fillId="0" borderId="0" xfId="2" applyNumberFormat="1" applyFont="1" applyFill="1"/>
    <xf numFmtId="38" fontId="7" fillId="4" borderId="0" xfId="2" applyNumberFormat="1" applyFont="1" applyFill="1"/>
    <xf numFmtId="38" fontId="7" fillId="10" borderId="0" xfId="0" applyNumberFormat="1" applyFont="1" applyFill="1"/>
    <xf numFmtId="38" fontId="7" fillId="10" borderId="0" xfId="2" applyNumberFormat="1" applyFont="1" applyFill="1"/>
    <xf numFmtId="38" fontId="25" fillId="10" borderId="0" xfId="0" applyNumberFormat="1" applyFont="1" applyFill="1"/>
    <xf numFmtId="37" fontId="11" fillId="4" borderId="0" xfId="0" applyNumberFormat="1" applyFont="1" applyFill="1"/>
    <xf numFmtId="166" fontId="6" fillId="0" borderId="0" xfId="4" applyNumberFormat="1" applyFont="1" applyFill="1"/>
    <xf numFmtId="37" fontId="11" fillId="10" borderId="0" xfId="0" applyNumberFormat="1" applyFont="1" applyFill="1"/>
  </cellXfs>
  <cellStyles count="5">
    <cellStyle name="Hipervínculo" xfId="1" builtinId="8"/>
    <cellStyle name="Millares" xfId="4" builtinId="3"/>
    <cellStyle name="Normal" xfId="0" builtinId="0"/>
    <cellStyle name="Normal_EJERCI00" xfId="2"/>
    <cellStyle name="Porcentaje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\TAMARIND\EJERCI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vimiento"/>
      <sheetName val="Libro Mayor"/>
      <sheetName val="Libro Diario"/>
      <sheetName val="Balance 8 cols"/>
      <sheetName val="Form.22"/>
      <sheetName val="Acciones"/>
      <sheetName val="Ajuste Contable"/>
    </sheetNames>
    <sheetDataSet>
      <sheetData sheetId="0">
        <row r="258">
          <cell r="G258">
            <v>0</v>
          </cell>
        </row>
      </sheetData>
      <sheetData sheetId="1" refreshError="1"/>
      <sheetData sheetId="2" refreshError="1"/>
      <sheetData sheetId="3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cruz@demarka.cl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scruz@demarka.cl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scruz@demarka.cl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scruz@demarka.cl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scruz@demarka.cl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scruz@demarka.cl" TargetMode="Externa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5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scruz@demarka.cl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scruz@demarka.cl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scruz@demarka.cl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scruz@demarka.cl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scruz@demarka.cl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scruz@demarka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103"/>
  <sheetViews>
    <sheetView tabSelected="1" topLeftCell="A40" workbookViewId="0">
      <selection activeCell="E38" sqref="E38"/>
    </sheetView>
  </sheetViews>
  <sheetFormatPr baseColWidth="10" defaultColWidth="9.140625" defaultRowHeight="12" x14ac:dyDescent="0.2"/>
  <cols>
    <col min="1" max="1" width="13.85546875" style="134" customWidth="1"/>
    <col min="2" max="2" width="45" style="126" customWidth="1"/>
    <col min="3" max="3" width="5.28515625" style="80" customWidth="1"/>
    <col min="4" max="4" width="1.85546875" style="131" customWidth="1"/>
    <col min="5" max="5" width="15.7109375" style="124" customWidth="1"/>
    <col min="6" max="6" width="3" style="126" customWidth="1"/>
    <col min="7" max="7" width="11.5703125" style="78" customWidth="1"/>
    <col min="8" max="8" width="12.140625" style="126" customWidth="1"/>
    <col min="9" max="9" width="13.42578125" style="126" customWidth="1"/>
    <col min="10" max="10" width="12.28515625" style="126" customWidth="1"/>
    <col min="11" max="11" width="13.7109375" style="126" customWidth="1"/>
    <col min="12" max="12" width="13.28515625" style="126" customWidth="1"/>
    <col min="13" max="13" width="14.85546875" style="126" customWidth="1"/>
    <col min="14" max="16384" width="9.140625" style="126"/>
  </cols>
  <sheetData>
    <row r="1" spans="1:14" s="79" customFormat="1" ht="12.75" x14ac:dyDescent="0.2">
      <c r="A1" s="129" t="s">
        <v>115</v>
      </c>
      <c r="D1" s="129"/>
    </row>
    <row r="2" spans="1:14" s="79" customFormat="1" ht="12.75" x14ac:dyDescent="0.2">
      <c r="A2" s="129" t="s">
        <v>114</v>
      </c>
      <c r="D2" s="129"/>
    </row>
    <row r="3" spans="1:14" ht="12.75" x14ac:dyDescent="0.2">
      <c r="A3" s="130" t="str">
        <f>'AT13'!A3</f>
        <v>AÑO TRIBUTARIO 2013</v>
      </c>
    </row>
    <row r="4" spans="1:14" x14ac:dyDescent="0.2">
      <c r="A4" s="132" t="s">
        <v>0</v>
      </c>
      <c r="L4" s="133"/>
      <c r="M4" s="133"/>
      <c r="N4" s="133"/>
    </row>
    <row r="5" spans="1:14" ht="12.75" thickBot="1" x14ac:dyDescent="0.25">
      <c r="A5" s="134" t="s">
        <v>1</v>
      </c>
      <c r="B5" s="126" t="s">
        <v>2</v>
      </c>
      <c r="C5" s="81" t="s">
        <v>3</v>
      </c>
      <c r="E5" s="134" t="s">
        <v>4</v>
      </c>
      <c r="L5" s="135"/>
      <c r="M5" s="135"/>
      <c r="N5" s="133"/>
    </row>
    <row r="6" spans="1:14" ht="12.75" thickBot="1" x14ac:dyDescent="0.25">
      <c r="B6" s="126" t="s">
        <v>5</v>
      </c>
      <c r="C6" s="82" t="s">
        <v>6</v>
      </c>
      <c r="E6" s="124" t="str">
        <f>A2</f>
        <v>86.132.100-2</v>
      </c>
      <c r="L6" s="135"/>
      <c r="M6" s="135"/>
      <c r="N6" s="133"/>
    </row>
    <row r="7" spans="1:14" ht="12.75" thickBot="1" x14ac:dyDescent="0.25">
      <c r="B7" s="126" t="s">
        <v>7</v>
      </c>
      <c r="C7" s="82" t="s">
        <v>8</v>
      </c>
      <c r="E7" s="124" t="str">
        <f>A1</f>
        <v>DEMARKA S.A.</v>
      </c>
      <c r="L7" s="135"/>
      <c r="M7" s="135"/>
      <c r="N7" s="133"/>
    </row>
    <row r="8" spans="1:14" s="137" customFormat="1" ht="12.75" thickBot="1" x14ac:dyDescent="0.25">
      <c r="A8" s="136">
        <v>34</v>
      </c>
      <c r="B8" s="137" t="s">
        <v>104</v>
      </c>
      <c r="C8" s="83">
        <v>18</v>
      </c>
      <c r="D8" s="138"/>
      <c r="E8" s="201">
        <f>IF(E54&gt;0,E54,"PERDIDA")</f>
        <v>451850579</v>
      </c>
      <c r="L8" s="139"/>
      <c r="M8" s="139"/>
      <c r="N8" s="93"/>
    </row>
    <row r="9" spans="1:14" s="137" customFormat="1" ht="12.75" thickBot="1" x14ac:dyDescent="0.25">
      <c r="A9" s="136"/>
      <c r="B9" s="93" t="s">
        <v>179</v>
      </c>
      <c r="C9" s="83">
        <v>19</v>
      </c>
      <c r="D9" s="138"/>
      <c r="E9" s="203">
        <v>0</v>
      </c>
      <c r="L9" s="139"/>
      <c r="M9" s="139"/>
      <c r="N9" s="93"/>
    </row>
    <row r="10" spans="1:14" s="137" customFormat="1" ht="12.75" thickBot="1" x14ac:dyDescent="0.25">
      <c r="A10" s="136"/>
      <c r="B10" s="137" t="s">
        <v>105</v>
      </c>
      <c r="C10" s="83">
        <v>20</v>
      </c>
      <c r="D10" s="138"/>
      <c r="E10" s="201">
        <f>MAX(ROUND(22.5%*E54-E9,0),0)</f>
        <v>101666380</v>
      </c>
      <c r="L10" s="139"/>
      <c r="M10" s="139"/>
      <c r="N10" s="93"/>
    </row>
    <row r="11" spans="1:14" s="137" customFormat="1" ht="12.75" thickBot="1" x14ac:dyDescent="0.25">
      <c r="A11" s="136">
        <v>48</v>
      </c>
      <c r="B11" s="137" t="s">
        <v>112</v>
      </c>
      <c r="C11" s="83">
        <v>82</v>
      </c>
      <c r="D11" s="138"/>
      <c r="E11" s="71">
        <v>7512000</v>
      </c>
      <c r="F11" s="71"/>
      <c r="L11" s="139"/>
      <c r="M11" s="139"/>
      <c r="N11" s="93"/>
    </row>
    <row r="12" spans="1:14" s="137" customFormat="1" ht="12.75" thickBot="1" x14ac:dyDescent="0.25">
      <c r="A12" s="136"/>
      <c r="B12" s="156" t="s">
        <v>220</v>
      </c>
      <c r="C12" s="83">
        <v>36</v>
      </c>
      <c r="D12" s="138"/>
      <c r="E12" s="71">
        <v>81057491</v>
      </c>
      <c r="F12" s="71"/>
      <c r="L12" s="139"/>
      <c r="M12" s="139"/>
      <c r="N12" s="93"/>
    </row>
    <row r="13" spans="1:14" s="137" customFormat="1" ht="12.75" thickBot="1" x14ac:dyDescent="0.25">
      <c r="A13" s="136">
        <v>52</v>
      </c>
      <c r="B13" s="137" t="s">
        <v>106</v>
      </c>
      <c r="C13" s="83">
        <v>167</v>
      </c>
      <c r="D13" s="138"/>
      <c r="E13" s="201">
        <f>E90</f>
        <v>54630406</v>
      </c>
      <c r="L13" s="139"/>
      <c r="M13" s="139"/>
      <c r="N13" s="93"/>
    </row>
    <row r="14" spans="1:14" s="137" customFormat="1" ht="12.75" thickBot="1" x14ac:dyDescent="0.25">
      <c r="A14" s="136"/>
      <c r="B14" s="137" t="s">
        <v>107</v>
      </c>
      <c r="C14" s="83">
        <v>747</v>
      </c>
      <c r="D14" s="138"/>
      <c r="E14" s="201">
        <f>E13</f>
        <v>54630406</v>
      </c>
      <c r="L14" s="139"/>
      <c r="M14" s="139"/>
      <c r="N14" s="93"/>
    </row>
    <row r="15" spans="1:14" ht="12.75" thickBot="1" x14ac:dyDescent="0.25">
      <c r="A15" s="134">
        <v>55</v>
      </c>
      <c r="B15" s="126" t="s">
        <v>9</v>
      </c>
      <c r="C15" s="82">
        <v>305</v>
      </c>
      <c r="E15" s="202">
        <f>E10-E11-E14-E12</f>
        <v>-41533517</v>
      </c>
      <c r="L15" s="135"/>
      <c r="M15" s="135"/>
      <c r="N15" s="133"/>
    </row>
    <row r="16" spans="1:14" ht="12.75" thickBot="1" x14ac:dyDescent="0.25">
      <c r="A16" s="134">
        <v>56</v>
      </c>
      <c r="B16" s="126" t="str">
        <f>IF(E15&gt;0,"Impuesto Adeudado","SALDO A FAVOR")</f>
        <v>SALDO A FAVOR</v>
      </c>
      <c r="C16" s="82">
        <f>IF(E15&gt;0,90,85)</f>
        <v>85</v>
      </c>
      <c r="E16" s="202">
        <f>ABS(E15)</f>
        <v>41533517</v>
      </c>
      <c r="L16" s="135"/>
      <c r="M16" s="135"/>
      <c r="N16" s="133"/>
    </row>
    <row r="17" spans="1:14" ht="12.75" thickBot="1" x14ac:dyDescent="0.25">
      <c r="A17" s="134" t="str">
        <f>IF(E15&gt;0,59,"")</f>
        <v/>
      </c>
      <c r="B17" s="140" t="str">
        <f>IF($E$15&gt;0,2.1%,"")</f>
        <v/>
      </c>
      <c r="C17" s="82" t="str">
        <f>IF($E$15&gt;0,39,"")</f>
        <v/>
      </c>
      <c r="E17" s="202" t="str">
        <f>IF($E$15&gt;0,ROUND(B17*E16,0),"")</f>
        <v/>
      </c>
      <c r="L17" s="135"/>
      <c r="M17" s="135"/>
      <c r="N17" s="133"/>
    </row>
    <row r="18" spans="1:14" ht="12.75" thickBot="1" x14ac:dyDescent="0.25">
      <c r="A18" s="134">
        <v>58</v>
      </c>
      <c r="B18" s="126" t="str">
        <f>IF($E$15&gt;0,"TOTAL A PAGAR","DEVOLUCION SOLICITADA")</f>
        <v>DEVOLUCION SOLICITADA</v>
      </c>
      <c r="C18" s="82">
        <f>IF($E$15&gt;0,91,87)</f>
        <v>87</v>
      </c>
      <c r="E18" s="202">
        <f>SUM(E16:E17)</f>
        <v>41533517</v>
      </c>
      <c r="L18" s="135"/>
      <c r="M18" s="135"/>
      <c r="N18" s="133"/>
    </row>
    <row r="19" spans="1:14" ht="12.75" thickBot="1" x14ac:dyDescent="0.25">
      <c r="B19" s="126" t="str">
        <f>IF($E$15&gt;0,"","Nombre Institución Bancaria")</f>
        <v>Nombre Institución Bancaria</v>
      </c>
      <c r="C19" s="82">
        <f>IF($E$15&gt;0,"",301)</f>
        <v>301</v>
      </c>
      <c r="E19" s="73" t="s">
        <v>208</v>
      </c>
      <c r="L19" s="135"/>
      <c r="M19" s="135"/>
      <c r="N19" s="133"/>
    </row>
    <row r="20" spans="1:14" ht="12.75" thickBot="1" x14ac:dyDescent="0.25">
      <c r="B20" s="126" t="str">
        <f>IF($E$15&gt;0,"","Número de Cuenta")</f>
        <v>Número de Cuenta</v>
      </c>
      <c r="C20" s="82">
        <f>IF($E$15&gt;0,"",306)</f>
        <v>306</v>
      </c>
      <c r="E20" s="73">
        <v>1800188107</v>
      </c>
      <c r="L20" s="135"/>
      <c r="M20" s="135"/>
      <c r="N20" s="133"/>
    </row>
    <row r="21" spans="1:14" x14ac:dyDescent="0.2">
      <c r="C21" s="84"/>
      <c r="E21" s="71"/>
      <c r="L21" s="135"/>
      <c r="M21" s="135"/>
      <c r="N21" s="133"/>
    </row>
    <row r="22" spans="1:14" ht="12.75" thickBot="1" x14ac:dyDescent="0.25">
      <c r="A22" s="132" t="s">
        <v>10</v>
      </c>
      <c r="L22" s="135"/>
      <c r="M22" s="135"/>
      <c r="N22" s="133"/>
    </row>
    <row r="23" spans="1:14" ht="12.75" thickBot="1" x14ac:dyDescent="0.25">
      <c r="B23" s="126" t="s">
        <v>11</v>
      </c>
      <c r="C23" s="82" t="s">
        <v>12</v>
      </c>
      <c r="E23" s="124" t="s">
        <v>13</v>
      </c>
      <c r="L23" s="135"/>
      <c r="M23" s="135"/>
      <c r="N23" s="133"/>
    </row>
    <row r="24" spans="1:14" ht="12.75" thickBot="1" x14ac:dyDescent="0.25">
      <c r="B24" s="126" t="s">
        <v>14</v>
      </c>
      <c r="C24" s="82" t="s">
        <v>15</v>
      </c>
      <c r="E24" s="124" t="s">
        <v>16</v>
      </c>
      <c r="L24" s="135"/>
      <c r="M24" s="135"/>
      <c r="N24" s="133"/>
    </row>
    <row r="25" spans="1:14" ht="12.75" thickBot="1" x14ac:dyDescent="0.25">
      <c r="B25" s="126" t="s">
        <v>17</v>
      </c>
      <c r="C25" s="82">
        <v>53</v>
      </c>
      <c r="E25" s="134">
        <v>13</v>
      </c>
      <c r="L25" s="135"/>
      <c r="M25" s="135"/>
      <c r="N25" s="133"/>
    </row>
    <row r="26" spans="1:14" ht="12.75" thickBot="1" x14ac:dyDescent="0.25">
      <c r="B26" s="126" t="s">
        <v>18</v>
      </c>
      <c r="C26" s="82">
        <v>13</v>
      </c>
      <c r="E26" s="141" t="s">
        <v>117</v>
      </c>
      <c r="I26" s="142"/>
      <c r="L26" s="133"/>
      <c r="M26" s="133"/>
      <c r="N26" s="133"/>
    </row>
    <row r="27" spans="1:14" ht="12.75" thickBot="1" x14ac:dyDescent="0.25">
      <c r="B27" s="126" t="s">
        <v>19</v>
      </c>
      <c r="C27" s="82">
        <v>14</v>
      </c>
      <c r="E27" s="128">
        <v>61911</v>
      </c>
      <c r="I27" s="142"/>
      <c r="J27" s="142"/>
      <c r="K27" s="142"/>
      <c r="L27" s="133"/>
      <c r="M27" s="133"/>
      <c r="N27" s="133"/>
    </row>
    <row r="28" spans="1:14" ht="12.75" thickBot="1" x14ac:dyDescent="0.25">
      <c r="B28" s="126" t="s">
        <v>20</v>
      </c>
      <c r="C28" s="82" t="s">
        <v>21</v>
      </c>
      <c r="E28" s="134" t="s">
        <v>250</v>
      </c>
      <c r="I28" s="142"/>
      <c r="L28" s="133"/>
      <c r="M28" s="133"/>
      <c r="N28" s="133"/>
    </row>
    <row r="29" spans="1:14" ht="12.75" thickBot="1" x14ac:dyDescent="0.25">
      <c r="B29" s="126" t="s">
        <v>22</v>
      </c>
      <c r="C29" s="82">
        <v>48</v>
      </c>
      <c r="E29" s="134" t="s">
        <v>251</v>
      </c>
      <c r="I29" s="142"/>
      <c r="J29" s="142"/>
      <c r="K29" s="133"/>
      <c r="L29" s="135"/>
      <c r="M29" s="133"/>
      <c r="N29" s="133"/>
    </row>
    <row r="30" spans="1:14" ht="13.5" thickBot="1" x14ac:dyDescent="0.25">
      <c r="B30" s="126" t="s">
        <v>23</v>
      </c>
      <c r="C30" s="82">
        <v>55</v>
      </c>
      <c r="E30" s="143" t="s">
        <v>154</v>
      </c>
      <c r="I30" s="142"/>
      <c r="J30" s="142"/>
      <c r="K30" s="133"/>
      <c r="L30" s="133"/>
      <c r="M30" s="133"/>
      <c r="N30" s="133"/>
    </row>
    <row r="31" spans="1:14" ht="12.75" thickBot="1" x14ac:dyDescent="0.25">
      <c r="B31" s="126" t="s">
        <v>24</v>
      </c>
      <c r="C31" s="82">
        <v>614</v>
      </c>
      <c r="E31" s="134" t="s">
        <v>25</v>
      </c>
      <c r="K31" s="133"/>
      <c r="L31" s="133"/>
      <c r="M31" s="133"/>
      <c r="N31" s="133"/>
    </row>
    <row r="32" spans="1:14" x14ac:dyDescent="0.2">
      <c r="I32" s="142"/>
      <c r="K32" s="133"/>
      <c r="L32" s="133"/>
      <c r="M32" s="133"/>
      <c r="N32" s="133"/>
    </row>
    <row r="33" spans="1:14" ht="12.75" thickBot="1" x14ac:dyDescent="0.25">
      <c r="A33" s="132" t="s">
        <v>138</v>
      </c>
      <c r="B33" s="126" t="s">
        <v>27</v>
      </c>
      <c r="E33" s="69"/>
      <c r="K33" s="133"/>
      <c r="L33" s="133"/>
      <c r="M33" s="133"/>
      <c r="N33" s="133"/>
    </row>
    <row r="34" spans="1:14" ht="12.75" thickBot="1" x14ac:dyDescent="0.25">
      <c r="A34" s="132"/>
      <c r="B34" s="126" t="s">
        <v>28</v>
      </c>
      <c r="C34" s="82">
        <v>628</v>
      </c>
      <c r="D34" s="131" t="s">
        <v>125</v>
      </c>
      <c r="E34" s="184">
        <v>5417516150</v>
      </c>
      <c r="G34" s="78" t="s">
        <v>101</v>
      </c>
      <c r="I34" s="142"/>
      <c r="K34" s="135"/>
      <c r="L34" s="135"/>
      <c r="M34" s="135"/>
      <c r="N34" s="135"/>
    </row>
    <row r="35" spans="1:14" ht="12.75" thickBot="1" x14ac:dyDescent="0.25">
      <c r="A35" s="132"/>
      <c r="B35" s="126" t="s">
        <v>29</v>
      </c>
      <c r="C35" s="82">
        <v>629</v>
      </c>
      <c r="D35" s="131" t="s">
        <v>125</v>
      </c>
      <c r="E35" s="60">
        <f>980089+2262824</f>
        <v>3242913</v>
      </c>
      <c r="G35" s="78" t="s">
        <v>83</v>
      </c>
      <c r="K35" s="133"/>
      <c r="L35" s="133"/>
      <c r="M35" s="135"/>
      <c r="N35" s="133"/>
    </row>
    <row r="36" spans="1:14" ht="12.75" thickBot="1" x14ac:dyDescent="0.25">
      <c r="A36" s="132"/>
      <c r="B36" s="126" t="s">
        <v>30</v>
      </c>
      <c r="C36" s="82">
        <v>651</v>
      </c>
      <c r="D36" s="131" t="s">
        <v>125</v>
      </c>
      <c r="E36" s="60">
        <v>30579370</v>
      </c>
      <c r="G36" s="144"/>
      <c r="K36" s="135"/>
      <c r="L36" s="135"/>
      <c r="M36" s="135"/>
      <c r="N36" s="135"/>
    </row>
    <row r="37" spans="1:14" ht="12.75" thickBot="1" x14ac:dyDescent="0.25">
      <c r="A37" s="132"/>
      <c r="B37" s="126" t="s">
        <v>31</v>
      </c>
      <c r="C37" s="82">
        <v>630</v>
      </c>
      <c r="D37" s="131" t="s">
        <v>126</v>
      </c>
      <c r="E37" s="60">
        <v>2781452627</v>
      </c>
      <c r="G37" s="78" t="s">
        <v>80</v>
      </c>
      <c r="K37" s="135"/>
      <c r="L37" s="135"/>
      <c r="M37" s="135"/>
      <c r="N37" s="135"/>
    </row>
    <row r="38" spans="1:14" ht="12.75" thickBot="1" x14ac:dyDescent="0.25">
      <c r="A38" s="132"/>
      <c r="B38" s="126" t="s">
        <v>32</v>
      </c>
      <c r="C38" s="82">
        <v>631</v>
      </c>
      <c r="D38" s="131" t="s">
        <v>126</v>
      </c>
      <c r="E38" s="60">
        <v>1125958356</v>
      </c>
      <c r="G38" s="78" t="s">
        <v>81</v>
      </c>
      <c r="K38" s="135"/>
      <c r="L38" s="135"/>
      <c r="M38" s="135"/>
      <c r="N38" s="135"/>
    </row>
    <row r="39" spans="1:14" ht="12.75" thickBot="1" x14ac:dyDescent="0.25">
      <c r="A39" s="132"/>
      <c r="B39" s="126" t="s">
        <v>33</v>
      </c>
      <c r="C39" s="82">
        <v>632</v>
      </c>
      <c r="D39" s="131" t="s">
        <v>126</v>
      </c>
      <c r="E39" s="60">
        <v>28098456</v>
      </c>
      <c r="G39" s="78" t="s">
        <v>82</v>
      </c>
      <c r="K39" s="135"/>
      <c r="L39" s="135"/>
      <c r="M39" s="135"/>
      <c r="N39" s="135"/>
    </row>
    <row r="40" spans="1:14" ht="12.75" thickBot="1" x14ac:dyDescent="0.25">
      <c r="A40" s="132"/>
      <c r="B40" s="126" t="s">
        <v>34</v>
      </c>
      <c r="C40" s="82">
        <v>633</v>
      </c>
      <c r="D40" s="131" t="s">
        <v>126</v>
      </c>
      <c r="E40" s="60">
        <v>19556405</v>
      </c>
      <c r="G40" s="144"/>
      <c r="K40" s="135"/>
      <c r="L40" s="135"/>
      <c r="M40" s="135"/>
      <c r="N40" s="135"/>
    </row>
    <row r="41" spans="1:14" ht="12.75" thickBot="1" x14ac:dyDescent="0.25">
      <c r="A41" s="132"/>
      <c r="B41" s="126" t="s">
        <v>216</v>
      </c>
      <c r="C41" s="95">
        <v>792</v>
      </c>
      <c r="D41" s="131" t="s">
        <v>126</v>
      </c>
      <c r="E41" s="60">
        <v>0</v>
      </c>
      <c r="G41" s="144"/>
      <c r="K41" s="135"/>
      <c r="L41" s="135"/>
      <c r="M41" s="135"/>
      <c r="N41" s="135"/>
    </row>
    <row r="42" spans="1:14" ht="12.75" thickBot="1" x14ac:dyDescent="0.25">
      <c r="A42" s="132"/>
      <c r="B42" s="126" t="s">
        <v>252</v>
      </c>
      <c r="C42" s="95">
        <v>967</v>
      </c>
      <c r="D42" s="131" t="s">
        <v>126</v>
      </c>
      <c r="E42" s="60">
        <v>5258444</v>
      </c>
      <c r="G42" s="144"/>
      <c r="K42" s="135"/>
      <c r="L42" s="135"/>
      <c r="M42" s="135"/>
      <c r="N42" s="135"/>
    </row>
    <row r="43" spans="1:14" ht="12.75" thickBot="1" x14ac:dyDescent="0.25">
      <c r="A43" s="132"/>
      <c r="B43" s="126" t="s">
        <v>258</v>
      </c>
      <c r="C43" s="95">
        <v>968</v>
      </c>
      <c r="D43" s="131" t="s">
        <v>126</v>
      </c>
      <c r="E43" s="60">
        <v>166641</v>
      </c>
      <c r="G43" s="144"/>
      <c r="K43" s="135"/>
      <c r="L43" s="135"/>
      <c r="M43" s="135"/>
      <c r="N43" s="135"/>
    </row>
    <row r="44" spans="1:14" ht="12.75" thickBot="1" x14ac:dyDescent="0.25">
      <c r="A44" s="132"/>
      <c r="B44" s="126" t="s">
        <v>35</v>
      </c>
      <c r="C44" s="95">
        <v>635</v>
      </c>
      <c r="D44" s="131" t="s">
        <v>126</v>
      </c>
      <c r="E44" s="125">
        <f>SUM(E34:E36)-SUM(E37:E43)-E46+E47-SUM('AT16'!G12:'AT16'!G15)</f>
        <v>949383834</v>
      </c>
      <c r="G44" s="78" t="s">
        <v>120</v>
      </c>
      <c r="K44" s="135"/>
      <c r="L44" s="135"/>
      <c r="M44" s="135"/>
      <c r="N44" s="135"/>
    </row>
    <row r="45" spans="1:14" ht="12.75" thickBot="1" x14ac:dyDescent="0.25">
      <c r="A45" s="132"/>
      <c r="B45" s="145" t="s">
        <v>36</v>
      </c>
      <c r="C45" s="82">
        <v>636</v>
      </c>
      <c r="D45" s="146" t="s">
        <v>127</v>
      </c>
      <c r="E45" s="99">
        <f>SUM(E34:E36)-SUM(E37:E44)</f>
        <v>541463670</v>
      </c>
      <c r="K45" s="135"/>
      <c r="L45" s="135"/>
      <c r="M45" s="135"/>
      <c r="N45" s="135"/>
    </row>
    <row r="46" spans="1:14" ht="12.75" thickBot="1" x14ac:dyDescent="0.25">
      <c r="A46" s="132"/>
      <c r="B46" s="126" t="s">
        <v>37</v>
      </c>
      <c r="C46" s="96">
        <v>637</v>
      </c>
      <c r="D46" s="131" t="s">
        <v>126</v>
      </c>
      <c r="E46" s="60">
        <v>70257202</v>
      </c>
      <c r="G46" s="78" t="s">
        <v>82</v>
      </c>
      <c r="I46" s="147"/>
      <c r="K46" s="135"/>
      <c r="L46" s="135"/>
      <c r="M46" s="135"/>
      <c r="N46" s="135"/>
    </row>
    <row r="47" spans="1:14" ht="12.75" thickBot="1" x14ac:dyDescent="0.25">
      <c r="A47" s="132"/>
      <c r="B47" s="126" t="s">
        <v>38</v>
      </c>
      <c r="C47" s="82">
        <v>638</v>
      </c>
      <c r="D47" s="131" t="s">
        <v>125</v>
      </c>
      <c r="E47" s="60">
        <f>9218991+2805100</f>
        <v>12024091</v>
      </c>
      <c r="G47" s="78" t="s">
        <v>83</v>
      </c>
      <c r="I47" s="148"/>
      <c r="J47" s="148"/>
      <c r="K47" s="135"/>
      <c r="L47" s="135"/>
      <c r="M47" s="135"/>
      <c r="N47" s="135"/>
    </row>
    <row r="48" spans="1:14" ht="12.75" thickBot="1" x14ac:dyDescent="0.25">
      <c r="A48" s="132"/>
      <c r="B48" s="126" t="s">
        <v>180</v>
      </c>
      <c r="C48" s="82">
        <v>639</v>
      </c>
      <c r="D48" s="131" t="s">
        <v>125</v>
      </c>
      <c r="E48" s="60">
        <v>71229683</v>
      </c>
      <c r="I48" s="148"/>
      <c r="K48" s="135"/>
      <c r="L48" s="135"/>
      <c r="M48" s="135"/>
      <c r="N48" s="135"/>
    </row>
    <row r="49" spans="1:14" ht="12.75" thickBot="1" x14ac:dyDescent="0.25">
      <c r="A49" s="132"/>
      <c r="B49" s="126" t="s">
        <v>181</v>
      </c>
      <c r="C49" s="82">
        <v>634</v>
      </c>
      <c r="D49" s="131" t="s">
        <v>126</v>
      </c>
      <c r="E49" s="69">
        <f>-'AT16'!G10</f>
        <v>0</v>
      </c>
      <c r="I49" s="142"/>
      <c r="K49" s="135"/>
      <c r="L49" s="135"/>
      <c r="M49" s="135"/>
      <c r="N49" s="135"/>
    </row>
    <row r="50" spans="1:14" ht="12.75" thickBot="1" x14ac:dyDescent="0.25">
      <c r="A50" s="132"/>
      <c r="B50" s="126" t="s">
        <v>182</v>
      </c>
      <c r="C50" s="82">
        <v>640</v>
      </c>
      <c r="D50" s="131" t="s">
        <v>126</v>
      </c>
      <c r="E50" s="69">
        <v>0</v>
      </c>
      <c r="G50" s="78" t="s">
        <v>177</v>
      </c>
      <c r="I50" s="142"/>
      <c r="K50" s="135"/>
      <c r="L50" s="135"/>
      <c r="M50" s="135"/>
      <c r="N50" s="135"/>
    </row>
    <row r="51" spans="1:14" ht="12.75" thickBot="1" x14ac:dyDescent="0.25">
      <c r="A51" s="132"/>
      <c r="B51" s="126" t="s">
        <v>183</v>
      </c>
      <c r="C51" s="82">
        <v>807</v>
      </c>
      <c r="D51" s="149" t="s">
        <v>126</v>
      </c>
      <c r="E51" s="60">
        <v>102609663</v>
      </c>
      <c r="I51" s="142"/>
      <c r="K51" s="135"/>
      <c r="L51" s="135"/>
      <c r="M51" s="135"/>
      <c r="N51" s="135"/>
    </row>
    <row r="52" spans="1:14" ht="12.75" thickBot="1" x14ac:dyDescent="0.25">
      <c r="A52" s="132"/>
      <c r="B52" s="126" t="s">
        <v>42</v>
      </c>
      <c r="C52" s="82">
        <v>641</v>
      </c>
      <c r="D52" s="131" t="s">
        <v>126</v>
      </c>
      <c r="E52" s="60">
        <v>0</v>
      </c>
      <c r="I52" s="142"/>
      <c r="M52" s="142"/>
    </row>
    <row r="53" spans="1:14" ht="12.75" thickBot="1" x14ac:dyDescent="0.25">
      <c r="A53" s="132"/>
      <c r="B53" s="126" t="s">
        <v>43</v>
      </c>
      <c r="C53" s="95">
        <v>642</v>
      </c>
      <c r="D53" s="131" t="s">
        <v>126</v>
      </c>
      <c r="E53" s="69">
        <v>0</v>
      </c>
      <c r="I53" s="142"/>
    </row>
    <row r="54" spans="1:14" ht="12.75" thickBot="1" x14ac:dyDescent="0.25">
      <c r="A54" s="132"/>
      <c r="B54" s="145" t="s">
        <v>44</v>
      </c>
      <c r="C54" s="82">
        <v>643</v>
      </c>
      <c r="D54" s="146" t="s">
        <v>127</v>
      </c>
      <c r="E54" s="99">
        <f>E45-E46+E47+E48-SUM(E49:E53)</f>
        <v>451850579</v>
      </c>
      <c r="G54" s="198"/>
      <c r="H54" s="148">
        <f>+E54-451850579</f>
        <v>0</v>
      </c>
      <c r="I54" s="142"/>
    </row>
    <row r="55" spans="1:14" x14ac:dyDescent="0.2">
      <c r="E55" s="69"/>
      <c r="I55" s="142"/>
    </row>
    <row r="56" spans="1:14" ht="12.75" thickBot="1" x14ac:dyDescent="0.25">
      <c r="A56" s="132" t="s">
        <v>26</v>
      </c>
      <c r="B56" s="126" t="s">
        <v>47</v>
      </c>
      <c r="E56" s="69"/>
      <c r="I56" s="142"/>
      <c r="K56" s="148"/>
      <c r="M56" s="205"/>
    </row>
    <row r="57" spans="1:14" ht="12.75" thickBot="1" x14ac:dyDescent="0.25">
      <c r="B57" s="126" t="s">
        <v>184</v>
      </c>
      <c r="C57" s="82">
        <v>101</v>
      </c>
      <c r="E57" s="60">
        <v>1407028</v>
      </c>
      <c r="G57" s="78" t="s">
        <v>84</v>
      </c>
      <c r="I57" s="142"/>
      <c r="M57" s="205"/>
    </row>
    <row r="58" spans="1:14" ht="12.75" thickBot="1" x14ac:dyDescent="0.25">
      <c r="B58" s="126" t="s">
        <v>146</v>
      </c>
      <c r="C58" s="82">
        <v>784</v>
      </c>
      <c r="E58" s="60">
        <f>23575384+23763145+4157233+(3121.35*710.16)</f>
        <v>53712419.916000001</v>
      </c>
      <c r="I58" s="142"/>
      <c r="M58" s="205">
        <v>792167</v>
      </c>
    </row>
    <row r="59" spans="1:14" ht="12.75" thickBot="1" x14ac:dyDescent="0.25">
      <c r="B59" s="126" t="s">
        <v>187</v>
      </c>
      <c r="C59" s="82">
        <v>783</v>
      </c>
      <c r="E59" s="123">
        <v>0</v>
      </c>
      <c r="I59" s="142"/>
      <c r="M59" s="205">
        <v>43952596</v>
      </c>
    </row>
    <row r="60" spans="1:14" ht="12.75" thickBot="1" x14ac:dyDescent="0.25">
      <c r="B60" s="126" t="s">
        <v>49</v>
      </c>
      <c r="C60" s="82">
        <v>129</v>
      </c>
      <c r="E60" s="60">
        <v>1213414343</v>
      </c>
      <c r="G60" s="78" t="s">
        <v>84</v>
      </c>
      <c r="I60" s="142"/>
      <c r="M60" s="205">
        <v>23340821</v>
      </c>
    </row>
    <row r="61" spans="1:14" ht="12.75" thickBot="1" x14ac:dyDescent="0.25">
      <c r="B61" s="126" t="s">
        <v>55</v>
      </c>
      <c r="C61" s="82">
        <v>647</v>
      </c>
      <c r="E61" s="60">
        <f>2833001+16+71955971+44969834+23590053-792167-43952596-23340821-31165478</f>
        <v>44097813</v>
      </c>
      <c r="G61" s="78" t="s">
        <v>143</v>
      </c>
      <c r="I61" s="142"/>
      <c r="M61" s="205">
        <v>19662669</v>
      </c>
    </row>
    <row r="62" spans="1:14" ht="12.75" thickBot="1" x14ac:dyDescent="0.25">
      <c r="B62" s="126" t="s">
        <v>209</v>
      </c>
      <c r="C62" s="82">
        <v>785</v>
      </c>
      <c r="E62" s="60">
        <f>E39</f>
        <v>28098456</v>
      </c>
      <c r="G62" s="78" t="s">
        <v>211</v>
      </c>
      <c r="I62" s="142"/>
      <c r="M62" s="205">
        <v>31165478</v>
      </c>
    </row>
    <row r="63" spans="1:14" ht="12.75" thickBot="1" x14ac:dyDescent="0.25">
      <c r="B63" s="126" t="s">
        <v>56</v>
      </c>
      <c r="C63" s="82">
        <v>648</v>
      </c>
      <c r="E63" s="60">
        <f>471904070-19662669</f>
        <v>452241401</v>
      </c>
      <c r="I63" s="142"/>
      <c r="M63" s="205"/>
    </row>
    <row r="64" spans="1:14" ht="12.75" thickBot="1" x14ac:dyDescent="0.25">
      <c r="B64" s="126" t="s">
        <v>50</v>
      </c>
      <c r="C64" s="82">
        <v>122</v>
      </c>
      <c r="E64" s="60">
        <v>4139563777</v>
      </c>
      <c r="G64" s="78" t="s">
        <v>99</v>
      </c>
      <c r="I64" s="142"/>
      <c r="M64" s="205">
        <f>SUM(M58:M63)</f>
        <v>118913731</v>
      </c>
    </row>
    <row r="65" spans="1:13" ht="12.75" thickBot="1" x14ac:dyDescent="0.25">
      <c r="B65" s="126" t="s">
        <v>51</v>
      </c>
      <c r="C65" s="82">
        <v>123</v>
      </c>
      <c r="E65" s="60">
        <v>3773986107</v>
      </c>
      <c r="G65" s="78" t="s">
        <v>100</v>
      </c>
      <c r="I65" s="142"/>
      <c r="M65" s="205"/>
    </row>
    <row r="66" spans="1:13" ht="12.75" thickBot="1" x14ac:dyDescent="0.25">
      <c r="B66" s="126" t="s">
        <v>52</v>
      </c>
      <c r="C66" s="82">
        <v>102</v>
      </c>
      <c r="E66" s="60">
        <f>4139563777-0-118913731</f>
        <v>4020650046</v>
      </c>
      <c r="G66" s="78" t="s">
        <v>110</v>
      </c>
      <c r="I66" s="142"/>
      <c r="M66" s="205"/>
    </row>
    <row r="67" spans="1:13" ht="12.75" thickBot="1" x14ac:dyDescent="0.25">
      <c r="B67" s="126" t="s">
        <v>53</v>
      </c>
      <c r="C67" s="82">
        <v>645</v>
      </c>
      <c r="E67" s="60">
        <f>+E66-1522850564</f>
        <v>2497799482</v>
      </c>
      <c r="G67" s="78" t="s">
        <v>102</v>
      </c>
      <c r="I67" s="142"/>
    </row>
    <row r="68" spans="1:13" ht="12.75" thickBot="1" x14ac:dyDescent="0.25">
      <c r="B68" s="126" t="s">
        <v>54</v>
      </c>
      <c r="C68" s="82">
        <v>646</v>
      </c>
      <c r="E68" s="60">
        <v>0</v>
      </c>
      <c r="I68" s="142"/>
    </row>
    <row r="69" spans="1:13" ht="12.75" thickBot="1" x14ac:dyDescent="0.25">
      <c r="B69" s="126" t="s">
        <v>200</v>
      </c>
      <c r="C69" s="82">
        <v>843</v>
      </c>
      <c r="E69" s="69">
        <f>E67</f>
        <v>2497799482</v>
      </c>
      <c r="I69" s="142">
        <f>+E67-2284032512</f>
        <v>213766970</v>
      </c>
    </row>
    <row r="70" spans="1:13" x14ac:dyDescent="0.2">
      <c r="I70" s="142"/>
    </row>
    <row r="71" spans="1:13" ht="12.75" thickBot="1" x14ac:dyDescent="0.25">
      <c r="A71" s="134" t="s">
        <v>201</v>
      </c>
      <c r="B71" s="126" t="s">
        <v>58</v>
      </c>
      <c r="I71" s="142"/>
    </row>
    <row r="72" spans="1:13" ht="12.75" thickBot="1" x14ac:dyDescent="0.25">
      <c r="B72" s="126" t="s">
        <v>147</v>
      </c>
      <c r="C72" s="82">
        <v>774</v>
      </c>
      <c r="D72" s="131" t="s">
        <v>125</v>
      </c>
      <c r="E72" s="160">
        <v>283251181</v>
      </c>
      <c r="G72" s="78">
        <v>240167839</v>
      </c>
      <c r="H72" s="126">
        <v>1.024</v>
      </c>
      <c r="I72" s="142">
        <f>+G72*H72</f>
        <v>245931867.13600001</v>
      </c>
    </row>
    <row r="73" spans="1:13" ht="12.75" thickBot="1" x14ac:dyDescent="0.25">
      <c r="B73" s="126" t="s">
        <v>148</v>
      </c>
      <c r="C73" s="82">
        <v>775</v>
      </c>
      <c r="D73" s="131" t="s">
        <v>125</v>
      </c>
      <c r="E73" s="160">
        <v>0</v>
      </c>
      <c r="G73" s="78">
        <v>60041960</v>
      </c>
      <c r="H73" s="126">
        <v>1.024</v>
      </c>
      <c r="I73" s="142">
        <f>+G73*H73</f>
        <v>61482967.039999999</v>
      </c>
    </row>
    <row r="74" spans="1:13" ht="12.75" thickBot="1" x14ac:dyDescent="0.25">
      <c r="B74" s="126" t="s">
        <v>60</v>
      </c>
      <c r="C74" s="82">
        <v>284</v>
      </c>
      <c r="D74" s="131" t="s">
        <v>126</v>
      </c>
      <c r="E74" s="158">
        <f>-'AT15'!G53</f>
        <v>0</v>
      </c>
      <c r="I74" s="142"/>
    </row>
    <row r="75" spans="1:13" ht="12.75" thickBot="1" x14ac:dyDescent="0.25">
      <c r="B75" s="126" t="s">
        <v>61</v>
      </c>
      <c r="C75" s="82">
        <v>225</v>
      </c>
      <c r="D75" s="131" t="s">
        <v>125</v>
      </c>
      <c r="E75" s="200">
        <f>MAX(E54,0)</f>
        <v>451850579</v>
      </c>
      <c r="I75" s="142"/>
    </row>
    <row r="76" spans="1:13" ht="12.75" thickBot="1" x14ac:dyDescent="0.25">
      <c r="B76" s="126" t="s">
        <v>62</v>
      </c>
      <c r="C76" s="82">
        <v>229</v>
      </c>
      <c r="D76" s="131" t="s">
        <v>126</v>
      </c>
      <c r="E76" s="200">
        <f>-MIN(E54,0)</f>
        <v>0</v>
      </c>
      <c r="I76" s="142"/>
    </row>
    <row r="77" spans="1:13" ht="12.75" thickBot="1" x14ac:dyDescent="0.25">
      <c r="B77" s="126" t="s">
        <v>63</v>
      </c>
      <c r="C77" s="82">
        <v>623</v>
      </c>
      <c r="D77" s="131" t="s">
        <v>126</v>
      </c>
      <c r="E77" s="160"/>
      <c r="I77" s="142"/>
    </row>
    <row r="78" spans="1:13" ht="12.75" thickBot="1" x14ac:dyDescent="0.25">
      <c r="B78" s="126" t="s">
        <v>64</v>
      </c>
      <c r="C78" s="82">
        <v>624</v>
      </c>
      <c r="D78" s="131" t="s">
        <v>126</v>
      </c>
      <c r="E78" s="160">
        <v>54630406</v>
      </c>
      <c r="I78" s="142"/>
    </row>
    <row r="79" spans="1:13" ht="12.75" thickBot="1" x14ac:dyDescent="0.25">
      <c r="B79" s="126" t="s">
        <v>65</v>
      </c>
      <c r="C79" s="82">
        <v>227</v>
      </c>
      <c r="D79" s="131" t="s">
        <v>125</v>
      </c>
      <c r="E79" s="160"/>
      <c r="I79" s="142"/>
      <c r="M79" s="126">
        <v>260144789</v>
      </c>
    </row>
    <row r="80" spans="1:13" ht="12.75" thickBot="1" x14ac:dyDescent="0.25">
      <c r="B80" s="126" t="s">
        <v>191</v>
      </c>
      <c r="C80" s="82">
        <v>776</v>
      </c>
      <c r="D80" s="149" t="s">
        <v>125</v>
      </c>
      <c r="E80" s="160"/>
      <c r="I80" s="142"/>
      <c r="M80" s="199">
        <v>0.21</v>
      </c>
    </row>
    <row r="81" spans="2:13" ht="12.75" thickBot="1" x14ac:dyDescent="0.25">
      <c r="B81" s="126" t="s">
        <v>192</v>
      </c>
      <c r="C81" s="82">
        <v>777</v>
      </c>
      <c r="D81" s="149" t="s">
        <v>125</v>
      </c>
      <c r="E81" s="200">
        <f>E53</f>
        <v>0</v>
      </c>
      <c r="M81" s="126">
        <f>+M79*M80</f>
        <v>54630405.689999998</v>
      </c>
    </row>
    <row r="82" spans="2:13" ht="12.75" thickBot="1" x14ac:dyDescent="0.25">
      <c r="B82" s="126" t="s">
        <v>152</v>
      </c>
      <c r="C82" s="82">
        <v>782</v>
      </c>
      <c r="D82" s="131" t="s">
        <v>125</v>
      </c>
      <c r="E82" s="200">
        <f>'AT15'!G66</f>
        <v>0</v>
      </c>
    </row>
    <row r="83" spans="2:13" ht="12.75" thickBot="1" x14ac:dyDescent="0.25">
      <c r="B83" s="126" t="s">
        <v>149</v>
      </c>
      <c r="C83" s="82">
        <v>791</v>
      </c>
      <c r="D83" s="131" t="s">
        <v>125</v>
      </c>
      <c r="E83" s="160">
        <v>0</v>
      </c>
    </row>
    <row r="84" spans="2:13" ht="12.75" thickBot="1" x14ac:dyDescent="0.25">
      <c r="B84" s="126" t="s">
        <v>67</v>
      </c>
      <c r="C84" s="82">
        <v>275</v>
      </c>
      <c r="D84" s="131" t="s">
        <v>126</v>
      </c>
      <c r="E84" s="160"/>
    </row>
    <row r="85" spans="2:13" ht="12.75" thickBot="1" x14ac:dyDescent="0.25">
      <c r="B85" s="126" t="s">
        <v>68</v>
      </c>
      <c r="C85" s="95">
        <v>226</v>
      </c>
      <c r="D85" s="131" t="s">
        <v>126</v>
      </c>
      <c r="E85" s="160">
        <f>37524825+19743831+67352250+67814094</f>
        <v>192435000</v>
      </c>
      <c r="K85" s="126">
        <v>129375000</v>
      </c>
    </row>
    <row r="86" spans="2:13" ht="12.75" thickBot="1" x14ac:dyDescent="0.25">
      <c r="B86" s="150" t="s">
        <v>69</v>
      </c>
      <c r="C86" s="83">
        <v>231</v>
      </c>
      <c r="D86" s="151" t="s">
        <v>127</v>
      </c>
      <c r="E86" s="161">
        <v>289368569</v>
      </c>
      <c r="K86" s="126">
        <v>63060000</v>
      </c>
    </row>
    <row r="87" spans="2:13" ht="12.75" thickBot="1" x14ac:dyDescent="0.25">
      <c r="B87" s="121" t="s">
        <v>70</v>
      </c>
      <c r="C87" s="83">
        <v>318</v>
      </c>
      <c r="D87" s="152" t="s">
        <v>127</v>
      </c>
      <c r="E87" s="162">
        <v>0</v>
      </c>
    </row>
    <row r="88" spans="2:13" ht="12.75" thickBot="1" x14ac:dyDescent="0.25">
      <c r="B88" s="122" t="s">
        <v>71</v>
      </c>
      <c r="C88" s="83">
        <v>232</v>
      </c>
      <c r="D88" s="153" t="s">
        <v>127</v>
      </c>
      <c r="E88" s="163">
        <v>0</v>
      </c>
      <c r="K88" s="126">
        <f>SUM(K85:K87)</f>
        <v>192435000</v>
      </c>
    </row>
    <row r="89" spans="2:13" ht="12.75" thickBot="1" x14ac:dyDescent="0.25">
      <c r="B89" s="150" t="s">
        <v>74</v>
      </c>
      <c r="C89" s="83">
        <v>625</v>
      </c>
      <c r="D89" s="154" t="s">
        <v>125</v>
      </c>
      <c r="E89" s="161">
        <v>0</v>
      </c>
      <c r="G89" s="78" t="s">
        <v>85</v>
      </c>
    </row>
    <row r="90" spans="2:13" ht="12.75" thickBot="1" x14ac:dyDescent="0.25">
      <c r="B90" s="121" t="s">
        <v>75</v>
      </c>
      <c r="C90" s="83">
        <v>626</v>
      </c>
      <c r="D90" s="155" t="s">
        <v>125</v>
      </c>
      <c r="E90" s="162">
        <v>54630406</v>
      </c>
      <c r="G90" s="78" t="s">
        <v>86</v>
      </c>
    </row>
    <row r="91" spans="2:13" ht="12.75" thickBot="1" x14ac:dyDescent="0.25">
      <c r="B91" s="121" t="s">
        <v>76</v>
      </c>
      <c r="C91" s="83">
        <v>627</v>
      </c>
      <c r="D91" s="155" t="s">
        <v>126</v>
      </c>
      <c r="E91" s="164">
        <f>E90</f>
        <v>54630406</v>
      </c>
      <c r="G91" s="78" t="s">
        <v>87</v>
      </c>
    </row>
    <row r="92" spans="2:13" ht="12.75" thickBot="1" x14ac:dyDescent="0.25">
      <c r="B92" s="119" t="s">
        <v>202</v>
      </c>
      <c r="C92" s="120">
        <v>838</v>
      </c>
      <c r="D92" s="153" t="s">
        <v>127</v>
      </c>
      <c r="E92" s="163">
        <f>+E89+E90-E91</f>
        <v>0</v>
      </c>
    </row>
    <row r="93" spans="2:13" ht="12.75" thickBot="1" x14ac:dyDescent="0.25">
      <c r="B93" s="150" t="s">
        <v>193</v>
      </c>
      <c r="C93" s="83">
        <v>818</v>
      </c>
      <c r="D93" s="151" t="s">
        <v>125</v>
      </c>
      <c r="E93" s="165"/>
    </row>
    <row r="94" spans="2:13" ht="12.75" thickBot="1" x14ac:dyDescent="0.25">
      <c r="B94" s="121" t="s">
        <v>203</v>
      </c>
      <c r="C94" s="83">
        <v>842</v>
      </c>
      <c r="D94" s="152" t="s">
        <v>126</v>
      </c>
      <c r="E94" s="164"/>
    </row>
    <row r="95" spans="2:13" ht="12.75" thickBot="1" x14ac:dyDescent="0.25">
      <c r="B95" s="121" t="s">
        <v>204</v>
      </c>
      <c r="C95" s="83">
        <v>819</v>
      </c>
      <c r="D95" s="152" t="s">
        <v>125</v>
      </c>
      <c r="E95" s="164"/>
    </row>
    <row r="96" spans="2:13" ht="12.75" thickBot="1" x14ac:dyDescent="0.25">
      <c r="B96" s="121" t="s">
        <v>205</v>
      </c>
      <c r="C96" s="83">
        <v>837</v>
      </c>
      <c r="D96" s="152" t="s">
        <v>126</v>
      </c>
      <c r="E96" s="164"/>
    </row>
    <row r="97" spans="2:5" ht="12.75" thickBot="1" x14ac:dyDescent="0.25">
      <c r="B97" s="121" t="s">
        <v>195</v>
      </c>
      <c r="C97" s="83">
        <v>820</v>
      </c>
      <c r="D97" s="152" t="s">
        <v>126</v>
      </c>
      <c r="E97" s="164"/>
    </row>
    <row r="98" spans="2:5" ht="12.75" thickBot="1" x14ac:dyDescent="0.25">
      <c r="B98" s="121" t="s">
        <v>73</v>
      </c>
      <c r="C98" s="83">
        <v>228</v>
      </c>
      <c r="D98" s="152" t="s">
        <v>127</v>
      </c>
      <c r="E98" s="164"/>
    </row>
    <row r="99" spans="2:5" ht="12.75" thickBot="1" x14ac:dyDescent="0.25">
      <c r="B99" s="122" t="s">
        <v>206</v>
      </c>
      <c r="C99" s="83">
        <v>840</v>
      </c>
      <c r="D99" s="153" t="s">
        <v>127</v>
      </c>
      <c r="E99" s="163"/>
    </row>
    <row r="100" spans="2:5" x14ac:dyDescent="0.2">
      <c r="C100" s="84"/>
      <c r="E100" s="71"/>
    </row>
    <row r="101" spans="2:5" ht="12.75" thickBot="1" x14ac:dyDescent="0.25"/>
    <row r="102" spans="2:5" ht="12.75" thickBot="1" x14ac:dyDescent="0.25">
      <c r="B102" s="126" t="s">
        <v>77</v>
      </c>
      <c r="C102" s="82">
        <v>650</v>
      </c>
      <c r="E102" s="127" t="s">
        <v>157</v>
      </c>
    </row>
    <row r="103" spans="2:5" ht="12.75" thickBot="1" x14ac:dyDescent="0.25">
      <c r="B103" s="126" t="s">
        <v>78</v>
      </c>
      <c r="C103" s="82">
        <v>903</v>
      </c>
      <c r="E103" s="127" t="s">
        <v>210</v>
      </c>
    </row>
  </sheetData>
  <hyperlinks>
    <hyperlink ref="E30" r:id="rId1"/>
  </hyperlinks>
  <pageMargins left="0.19685039370078741" right="0" top="0.59055118110236227" bottom="0.19685039370078741" header="0.51181102362204722" footer="0.51181102362204722"/>
  <pageSetup scale="89" orientation="landscape" horizontalDpi="360" verticalDpi="360" r:id="rId2"/>
  <headerFooter alignWithMargins="0"/>
  <rowBreaks count="1" manualBreakCount="1">
    <brk id="55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G99"/>
  <sheetViews>
    <sheetView topLeftCell="A29" workbookViewId="0">
      <selection activeCell="E35" sqref="E35"/>
    </sheetView>
  </sheetViews>
  <sheetFormatPr baseColWidth="10" defaultColWidth="9.140625" defaultRowHeight="12" x14ac:dyDescent="0.2"/>
  <cols>
    <col min="1" max="1" width="13.85546875" style="6" customWidth="1"/>
    <col min="2" max="2" width="45" style="3" customWidth="1"/>
    <col min="3" max="3" width="5.28515625" style="80" customWidth="1"/>
    <col min="4" max="4" width="1.85546875" style="50" customWidth="1"/>
    <col min="5" max="5" width="15.7109375" style="25" customWidth="1"/>
    <col min="6" max="6" width="3" style="3" customWidth="1"/>
    <col min="7" max="7" width="11.5703125" style="24" customWidth="1"/>
    <col min="8" max="16384" width="9.140625" style="3"/>
  </cols>
  <sheetData>
    <row r="1" spans="1:5" s="55" customFormat="1" ht="12.75" x14ac:dyDescent="0.2">
      <c r="A1" s="56" t="s">
        <v>115</v>
      </c>
      <c r="C1" s="79"/>
      <c r="D1" s="56"/>
    </row>
    <row r="2" spans="1:5" s="55" customFormat="1" ht="12.75" x14ac:dyDescent="0.2">
      <c r="A2" s="56" t="s">
        <v>114</v>
      </c>
      <c r="C2" s="79"/>
      <c r="D2" s="56"/>
    </row>
    <row r="3" spans="1:5" ht="12.75" x14ac:dyDescent="0.2">
      <c r="A3" s="2" t="str">
        <f>'AT07'!A3</f>
        <v>AÑO TRIBUTARIO 2007</v>
      </c>
    </row>
    <row r="4" spans="1:5" x14ac:dyDescent="0.2">
      <c r="A4" s="5" t="s">
        <v>0</v>
      </c>
    </row>
    <row r="5" spans="1:5" ht="12.75" thickBot="1" x14ac:dyDescent="0.25">
      <c r="A5" s="6" t="s">
        <v>1</v>
      </c>
      <c r="B5" s="3" t="s">
        <v>2</v>
      </c>
      <c r="C5" s="81" t="s">
        <v>3</v>
      </c>
      <c r="E5" s="6" t="s">
        <v>4</v>
      </c>
    </row>
    <row r="6" spans="1:5" ht="12.75" thickBot="1" x14ac:dyDescent="0.25">
      <c r="B6" s="3" t="s">
        <v>5</v>
      </c>
      <c r="C6" s="82" t="s">
        <v>6</v>
      </c>
      <c r="E6" s="25" t="str">
        <f>A2</f>
        <v>86.132.100-2</v>
      </c>
    </row>
    <row r="7" spans="1:5" ht="12.75" thickBot="1" x14ac:dyDescent="0.25">
      <c r="B7" s="3" t="s">
        <v>7</v>
      </c>
      <c r="C7" s="82" t="s">
        <v>8</v>
      </c>
      <c r="E7" s="25" t="str">
        <f>A1</f>
        <v>DEMARKA S.A.</v>
      </c>
    </row>
    <row r="8" spans="1:5" s="40" customFormat="1" ht="12.75" thickBot="1" x14ac:dyDescent="0.25">
      <c r="A8" s="39">
        <v>34</v>
      </c>
      <c r="B8" s="40" t="s">
        <v>104</v>
      </c>
      <c r="C8" s="83">
        <v>18</v>
      </c>
      <c r="D8" s="51"/>
      <c r="E8" s="74" t="str">
        <f>IF(E50&gt;0,E50,"PERDIDA")</f>
        <v>PERDIDA</v>
      </c>
    </row>
    <row r="9" spans="1:5" s="40" customFormat="1" ht="12.75" thickBot="1" x14ac:dyDescent="0.25">
      <c r="A9" s="39"/>
      <c r="B9" s="93" t="s">
        <v>179</v>
      </c>
      <c r="C9" s="83">
        <v>19</v>
      </c>
      <c r="D9" s="51"/>
      <c r="E9" s="94">
        <v>0</v>
      </c>
    </row>
    <row r="10" spans="1:5" s="40" customFormat="1" ht="12.75" thickBot="1" x14ac:dyDescent="0.25">
      <c r="A10" s="39"/>
      <c r="B10" s="40" t="s">
        <v>105</v>
      </c>
      <c r="C10" s="83">
        <v>20</v>
      </c>
      <c r="D10" s="51"/>
      <c r="E10" s="74">
        <f>MAX(ROUND(17%*E50-E9,0),0)</f>
        <v>0</v>
      </c>
    </row>
    <row r="11" spans="1:5" s="40" customFormat="1" ht="12.75" thickBot="1" x14ac:dyDescent="0.25">
      <c r="A11" s="39">
        <v>48</v>
      </c>
      <c r="B11" s="40" t="s">
        <v>112</v>
      </c>
      <c r="C11" s="83">
        <v>82</v>
      </c>
      <c r="D11" s="51"/>
      <c r="E11" s="71">
        <f>'AT04'!G13</f>
        <v>0</v>
      </c>
    </row>
    <row r="12" spans="1:5" s="40" customFormat="1" ht="12.75" thickBot="1" x14ac:dyDescent="0.25">
      <c r="A12" s="39">
        <v>51</v>
      </c>
      <c r="B12" s="40" t="s">
        <v>106</v>
      </c>
      <c r="C12" s="83">
        <v>167</v>
      </c>
      <c r="D12" s="51"/>
      <c r="E12" s="74">
        <f>E89</f>
        <v>0</v>
      </c>
    </row>
    <row r="13" spans="1:5" s="40" customFormat="1" ht="12.75" thickBot="1" x14ac:dyDescent="0.25">
      <c r="A13" s="39"/>
      <c r="B13" s="40" t="s">
        <v>107</v>
      </c>
      <c r="C13" s="83">
        <v>747</v>
      </c>
      <c r="D13" s="51"/>
      <c r="E13" s="74">
        <f>E12</f>
        <v>0</v>
      </c>
    </row>
    <row r="14" spans="1:5" ht="12.75" thickBot="1" x14ac:dyDescent="0.25">
      <c r="A14" s="6">
        <v>54</v>
      </c>
      <c r="B14" s="3" t="s">
        <v>9</v>
      </c>
      <c r="C14" s="82">
        <v>305</v>
      </c>
      <c r="E14" s="71">
        <f>E10-E11-E13</f>
        <v>0</v>
      </c>
    </row>
    <row r="15" spans="1:5" ht="12.75" thickBot="1" x14ac:dyDescent="0.25">
      <c r="A15" s="6">
        <f>IF(E14&gt;0,58,55)</f>
        <v>55</v>
      </c>
      <c r="B15" s="3" t="str">
        <f>IF(E14&gt;0,"Impuesto Adeudado","SALDO A FAVOR")</f>
        <v>SALDO A FAVOR</v>
      </c>
      <c r="C15" s="82">
        <f>IF(E14&gt;0,90,85)</f>
        <v>85</v>
      </c>
      <c r="E15" s="71">
        <f>ABS(E14)</f>
        <v>0</v>
      </c>
    </row>
    <row r="16" spans="1:5" ht="12.75" thickBot="1" x14ac:dyDescent="0.25">
      <c r="A16" s="6" t="str">
        <f>IF(E14&gt;0,59,"")</f>
        <v/>
      </c>
      <c r="B16" s="9" t="str">
        <f>IF($E$14&gt;0,0.7%,"")</f>
        <v/>
      </c>
      <c r="C16" s="82" t="str">
        <f>IF($E$14&gt;0,39,"")</f>
        <v/>
      </c>
      <c r="E16" s="71" t="str">
        <f>IF($E$14&gt;0,ROUND(B16*E15,0),"")</f>
        <v/>
      </c>
    </row>
    <row r="17" spans="1:5" ht="12.75" thickBot="1" x14ac:dyDescent="0.25">
      <c r="A17" s="6">
        <f>IF(E14&gt;0,60,57)</f>
        <v>57</v>
      </c>
      <c r="B17" s="3" t="str">
        <f>IF($E$14&gt;0,"TOTAL A PAGAR","DEVOLUCION SOLICITADA")</f>
        <v>DEVOLUCION SOLICITADA</v>
      </c>
      <c r="C17" s="82">
        <f>IF($E$14&gt;0,91,87)</f>
        <v>87</v>
      </c>
      <c r="E17" s="71">
        <f>SUM(E15:E16)</f>
        <v>0</v>
      </c>
    </row>
    <row r="18" spans="1:5" ht="12.75" thickBot="1" x14ac:dyDescent="0.25">
      <c r="B18" s="3" t="str">
        <f>IF($E$14&gt;0,"","Nombre Institución Bancaria")</f>
        <v>Nombre Institución Bancaria</v>
      </c>
      <c r="C18" s="82">
        <f>IF($E$14&gt;0,"",301)</f>
        <v>301</v>
      </c>
      <c r="E18" s="73" t="s">
        <v>116</v>
      </c>
    </row>
    <row r="19" spans="1:5" ht="12.75" thickBot="1" x14ac:dyDescent="0.25">
      <c r="B19" s="3" t="str">
        <f>IF($E$14&gt;0,"","Número de Cuenta")</f>
        <v>Número de Cuenta</v>
      </c>
      <c r="C19" s="82">
        <f>IF($E$14&gt;0,"",306)</f>
        <v>306</v>
      </c>
      <c r="E19" s="73">
        <v>12778451</v>
      </c>
    </row>
    <row r="20" spans="1:5" x14ac:dyDescent="0.2">
      <c r="C20" s="84"/>
      <c r="E20" s="26"/>
    </row>
    <row r="21" spans="1:5" ht="12.75" thickBot="1" x14ac:dyDescent="0.25">
      <c r="A21" s="5" t="s">
        <v>10</v>
      </c>
    </row>
    <row r="22" spans="1:5" ht="12.75" thickBot="1" x14ac:dyDescent="0.25">
      <c r="B22" s="3" t="s">
        <v>11</v>
      </c>
      <c r="C22" s="82" t="s">
        <v>12</v>
      </c>
      <c r="E22" s="25" t="s">
        <v>13</v>
      </c>
    </row>
    <row r="23" spans="1:5" ht="12.75" thickBot="1" x14ac:dyDescent="0.25">
      <c r="B23" s="3" t="s">
        <v>14</v>
      </c>
      <c r="C23" s="82" t="s">
        <v>15</v>
      </c>
      <c r="E23" s="25" t="s">
        <v>16</v>
      </c>
    </row>
    <row r="24" spans="1:5" ht="12.75" thickBot="1" x14ac:dyDescent="0.25">
      <c r="B24" s="3" t="s">
        <v>17</v>
      </c>
      <c r="C24" s="82">
        <v>53</v>
      </c>
      <c r="E24" s="6">
        <v>13</v>
      </c>
    </row>
    <row r="25" spans="1:5" ht="12.75" thickBot="1" x14ac:dyDescent="0.25">
      <c r="B25" s="3" t="s">
        <v>18</v>
      </c>
      <c r="C25" s="82">
        <v>13</v>
      </c>
      <c r="E25" s="62" t="s">
        <v>117</v>
      </c>
    </row>
    <row r="26" spans="1:5" ht="12.75" thickBot="1" x14ac:dyDescent="0.25">
      <c r="B26" s="3" t="s">
        <v>19</v>
      </c>
      <c r="C26" s="82">
        <v>14</v>
      </c>
      <c r="E26" s="63">
        <v>61911</v>
      </c>
    </row>
    <row r="27" spans="1:5" ht="12.75" thickBot="1" x14ac:dyDescent="0.25">
      <c r="B27" s="3" t="s">
        <v>20</v>
      </c>
      <c r="C27" s="82" t="s">
        <v>21</v>
      </c>
      <c r="E27" s="6" t="s">
        <v>175</v>
      </c>
    </row>
    <row r="28" spans="1:5" ht="12.75" thickBot="1" x14ac:dyDescent="0.25">
      <c r="B28" s="3" t="s">
        <v>22</v>
      </c>
      <c r="C28" s="82">
        <v>48</v>
      </c>
      <c r="E28" s="6" t="s">
        <v>176</v>
      </c>
    </row>
    <row r="29" spans="1:5" ht="13.5" thickBot="1" x14ac:dyDescent="0.25">
      <c r="B29" s="3" t="s">
        <v>23</v>
      </c>
      <c r="C29" s="82">
        <v>55</v>
      </c>
      <c r="E29" s="72" t="s">
        <v>154</v>
      </c>
    </row>
    <row r="30" spans="1:5" ht="12.75" thickBot="1" x14ac:dyDescent="0.25">
      <c r="B30" s="3" t="s">
        <v>24</v>
      </c>
      <c r="C30" s="82">
        <v>614</v>
      </c>
      <c r="E30" s="6" t="s">
        <v>25</v>
      </c>
    </row>
    <row r="32" spans="1:5" ht="12.75" thickBot="1" x14ac:dyDescent="0.25">
      <c r="A32" s="5" t="s">
        <v>138</v>
      </c>
      <c r="B32" s="3" t="s">
        <v>27</v>
      </c>
      <c r="E32" s="31"/>
    </row>
    <row r="33" spans="1:7" ht="12.75" thickBot="1" x14ac:dyDescent="0.25">
      <c r="A33" s="5"/>
      <c r="B33" s="3" t="s">
        <v>28</v>
      </c>
      <c r="C33" s="82">
        <v>628</v>
      </c>
      <c r="D33" s="50" t="s">
        <v>125</v>
      </c>
      <c r="E33" s="60">
        <f>1933057023-28558591</f>
        <v>1904498432</v>
      </c>
      <c r="G33" s="24" t="s">
        <v>101</v>
      </c>
    </row>
    <row r="34" spans="1:7" ht="12.75" thickBot="1" x14ac:dyDescent="0.25">
      <c r="A34" s="5"/>
      <c r="B34" s="3" t="s">
        <v>29</v>
      </c>
      <c r="C34" s="82">
        <v>629</v>
      </c>
      <c r="D34" s="50" t="s">
        <v>125</v>
      </c>
      <c r="E34" s="60">
        <v>0</v>
      </c>
      <c r="G34" s="24" t="s">
        <v>83</v>
      </c>
    </row>
    <row r="35" spans="1:7" ht="12.75" thickBot="1" x14ac:dyDescent="0.25">
      <c r="A35" s="5"/>
      <c r="B35" s="3" t="s">
        <v>30</v>
      </c>
      <c r="C35" s="82">
        <v>651</v>
      </c>
      <c r="D35" s="50" t="s">
        <v>125</v>
      </c>
      <c r="E35" s="60">
        <f>29013640+'AT07'!G14</f>
        <v>527252054</v>
      </c>
      <c r="G35" s="49"/>
    </row>
    <row r="36" spans="1:7" ht="12.75" thickBot="1" x14ac:dyDescent="0.25">
      <c r="A36" s="5"/>
      <c r="B36" s="3" t="s">
        <v>31</v>
      </c>
      <c r="C36" s="82">
        <v>630</v>
      </c>
      <c r="D36" s="50" t="s">
        <v>126</v>
      </c>
      <c r="E36" s="60">
        <v>1142981442</v>
      </c>
      <c r="G36" s="24" t="s">
        <v>80</v>
      </c>
    </row>
    <row r="37" spans="1:7" ht="12.75" thickBot="1" x14ac:dyDescent="0.25">
      <c r="A37" s="5"/>
      <c r="B37" s="3" t="s">
        <v>32</v>
      </c>
      <c r="C37" s="82">
        <v>631</v>
      </c>
      <c r="D37" s="50" t="s">
        <v>126</v>
      </c>
      <c r="E37" s="60">
        <f>425163056+3295569+8815257+13216482</f>
        <v>450490364</v>
      </c>
      <c r="G37" s="24" t="s">
        <v>81</v>
      </c>
    </row>
    <row r="38" spans="1:7" ht="12.75" thickBot="1" x14ac:dyDescent="0.25">
      <c r="A38" s="5"/>
      <c r="B38" s="3" t="s">
        <v>33</v>
      </c>
      <c r="C38" s="82">
        <v>632</v>
      </c>
      <c r="D38" s="50" t="s">
        <v>126</v>
      </c>
      <c r="E38" s="60">
        <v>13067456</v>
      </c>
      <c r="G38" s="24" t="s">
        <v>82</v>
      </c>
    </row>
    <row r="39" spans="1:7" ht="12.75" thickBot="1" x14ac:dyDescent="0.25">
      <c r="A39" s="5"/>
      <c r="B39" s="3" t="s">
        <v>34</v>
      </c>
      <c r="C39" s="82">
        <v>633</v>
      </c>
      <c r="D39" s="50" t="s">
        <v>126</v>
      </c>
      <c r="E39" s="60">
        <v>50281667</v>
      </c>
      <c r="G39" s="49"/>
    </row>
    <row r="40" spans="1:7" ht="12.75" thickBot="1" x14ac:dyDescent="0.25">
      <c r="A40" s="5"/>
      <c r="B40" s="3" t="s">
        <v>35</v>
      </c>
      <c r="C40" s="95">
        <v>635</v>
      </c>
      <c r="D40" s="50" t="s">
        <v>126</v>
      </c>
      <c r="E40" s="69">
        <f>SUM(E33:E35)-SUM(E36:E39)-E42+E43-SUM('AT07'!G12:'AT07'!G14)</f>
        <v>762060255</v>
      </c>
      <c r="G40" s="24" t="s">
        <v>120</v>
      </c>
    </row>
    <row r="41" spans="1:7" ht="12.75" thickBot="1" x14ac:dyDescent="0.25">
      <c r="A41" s="5"/>
      <c r="B41" s="97" t="s">
        <v>36</v>
      </c>
      <c r="C41" s="82">
        <v>636</v>
      </c>
      <c r="D41" s="98" t="s">
        <v>127</v>
      </c>
      <c r="E41" s="99">
        <f>SUM(E33:E35)-SUM(E36:E40)</f>
        <v>12869302</v>
      </c>
    </row>
    <row r="42" spans="1:7" ht="12.75" thickBot="1" x14ac:dyDescent="0.25">
      <c r="A42" s="5"/>
      <c r="B42" s="3" t="s">
        <v>37</v>
      </c>
      <c r="C42" s="96">
        <v>637</v>
      </c>
      <c r="D42" s="50" t="s">
        <v>126</v>
      </c>
      <c r="E42" s="60">
        <v>17698843</v>
      </c>
      <c r="G42" s="24" t="s">
        <v>82</v>
      </c>
    </row>
    <row r="43" spans="1:7" ht="12.75" thickBot="1" x14ac:dyDescent="0.25">
      <c r="A43" s="5"/>
      <c r="B43" s="3" t="s">
        <v>38</v>
      </c>
      <c r="C43" s="82">
        <v>638</v>
      </c>
      <c r="D43" s="50" t="s">
        <v>125</v>
      </c>
      <c r="E43" s="60">
        <v>28946145</v>
      </c>
      <c r="G43" s="24" t="s">
        <v>83</v>
      </c>
    </row>
    <row r="44" spans="1:7" ht="12.75" thickBot="1" x14ac:dyDescent="0.25">
      <c r="A44" s="5"/>
      <c r="B44" s="3" t="s">
        <v>180</v>
      </c>
      <c r="C44" s="82">
        <v>639</v>
      </c>
      <c r="D44" s="50" t="s">
        <v>125</v>
      </c>
      <c r="E44" s="69">
        <v>0</v>
      </c>
    </row>
    <row r="45" spans="1:7" ht="12.75" thickBot="1" x14ac:dyDescent="0.25">
      <c r="A45" s="5"/>
      <c r="B45" s="3" t="s">
        <v>181</v>
      </c>
      <c r="C45" s="82">
        <v>634</v>
      </c>
      <c r="D45" s="50" t="s">
        <v>126</v>
      </c>
      <c r="E45" s="69">
        <f>-'AT07'!G10</f>
        <v>1114239034</v>
      </c>
    </row>
    <row r="46" spans="1:7" ht="12.75" thickBot="1" x14ac:dyDescent="0.25">
      <c r="A46" s="5"/>
      <c r="B46" s="3" t="s">
        <v>182</v>
      </c>
      <c r="C46" s="82">
        <v>640</v>
      </c>
      <c r="D46" s="50" t="s">
        <v>126</v>
      </c>
      <c r="E46" s="69">
        <f>'AT07'!G15</f>
        <v>22621726</v>
      </c>
      <c r="G46" s="24" t="s">
        <v>177</v>
      </c>
    </row>
    <row r="47" spans="1:7" ht="12.75" thickBot="1" x14ac:dyDescent="0.25">
      <c r="A47" s="5"/>
      <c r="B47" s="3" t="s">
        <v>183</v>
      </c>
      <c r="C47" s="82">
        <v>807</v>
      </c>
      <c r="D47" s="100" t="s">
        <v>126</v>
      </c>
      <c r="E47" s="60">
        <v>0</v>
      </c>
    </row>
    <row r="48" spans="1:7" ht="12.75" thickBot="1" x14ac:dyDescent="0.25">
      <c r="A48" s="5"/>
      <c r="B48" s="3" t="s">
        <v>42</v>
      </c>
      <c r="C48" s="82">
        <v>641</v>
      </c>
      <c r="D48" s="50" t="s">
        <v>126</v>
      </c>
      <c r="E48" s="60">
        <v>0</v>
      </c>
    </row>
    <row r="49" spans="1:7" ht="12.75" thickBot="1" x14ac:dyDescent="0.25">
      <c r="A49" s="5"/>
      <c r="B49" s="3" t="s">
        <v>43</v>
      </c>
      <c r="C49" s="95">
        <v>642</v>
      </c>
      <c r="D49" s="50" t="s">
        <v>126</v>
      </c>
      <c r="E49" s="69">
        <f>-'AT07'!G18</f>
        <v>0</v>
      </c>
    </row>
    <row r="50" spans="1:7" ht="12.75" thickBot="1" x14ac:dyDescent="0.25">
      <c r="A50" s="5"/>
      <c r="B50" s="97" t="s">
        <v>44</v>
      </c>
      <c r="C50" s="82">
        <v>643</v>
      </c>
      <c r="D50" s="98" t="s">
        <v>127</v>
      </c>
      <c r="E50" s="99">
        <f>E41-E42+E43+E44-SUM(E45:E49)</f>
        <v>-1112744156</v>
      </c>
    </row>
    <row r="51" spans="1:7" x14ac:dyDescent="0.2">
      <c r="E51" s="69"/>
    </row>
    <row r="52" spans="1:7" ht="12.75" thickBot="1" x14ac:dyDescent="0.25">
      <c r="A52" s="5" t="s">
        <v>26</v>
      </c>
      <c r="B52" s="3" t="s">
        <v>47</v>
      </c>
      <c r="E52" s="69"/>
    </row>
    <row r="53" spans="1:7" ht="12.75" thickBot="1" x14ac:dyDescent="0.25">
      <c r="B53" s="3" t="s">
        <v>184</v>
      </c>
      <c r="C53" s="82">
        <v>101</v>
      </c>
      <c r="E53" s="60">
        <f>176283-14</f>
        <v>176269</v>
      </c>
      <c r="G53" s="24" t="s">
        <v>84</v>
      </c>
    </row>
    <row r="54" spans="1:7" ht="12.75" thickBot="1" x14ac:dyDescent="0.25">
      <c r="B54" s="3" t="s">
        <v>146</v>
      </c>
      <c r="C54" s="82">
        <v>784</v>
      </c>
      <c r="E54" s="60">
        <f>3114612-588312</f>
        <v>2526300</v>
      </c>
      <c r="G54" s="78"/>
    </row>
    <row r="55" spans="1:7" ht="12.75" thickBot="1" x14ac:dyDescent="0.25">
      <c r="B55" s="3" t="s">
        <v>185</v>
      </c>
      <c r="C55" s="82">
        <v>778</v>
      </c>
      <c r="E55" s="60">
        <v>0</v>
      </c>
    </row>
    <row r="56" spans="1:7" ht="12.75" thickBot="1" x14ac:dyDescent="0.25">
      <c r="B56" s="3" t="s">
        <v>186</v>
      </c>
      <c r="C56" s="82">
        <v>816</v>
      </c>
      <c r="E56" s="60">
        <f>465097619+45459419+6818804+20231099+5592315+26744735-E55</f>
        <v>569943991</v>
      </c>
    </row>
    <row r="57" spans="1:7" ht="12.75" thickBot="1" x14ac:dyDescent="0.25">
      <c r="B57" s="3" t="s">
        <v>187</v>
      </c>
      <c r="C57" s="82">
        <v>783</v>
      </c>
      <c r="E57" s="60">
        <v>0</v>
      </c>
    </row>
    <row r="58" spans="1:7" ht="12.75" thickBot="1" x14ac:dyDescent="0.25">
      <c r="B58" s="3" t="s">
        <v>49</v>
      </c>
      <c r="C58" s="82">
        <v>129</v>
      </c>
      <c r="E58" s="60">
        <v>518860717</v>
      </c>
      <c r="G58" s="24" t="s">
        <v>84</v>
      </c>
    </row>
    <row r="59" spans="1:7" ht="12.75" thickBot="1" x14ac:dyDescent="0.25">
      <c r="B59" s="3" t="s">
        <v>55</v>
      </c>
      <c r="C59" s="82">
        <v>647</v>
      </c>
      <c r="E59" s="60">
        <f>83294913-21698151-E61</f>
        <v>61596762</v>
      </c>
      <c r="G59" s="24" t="s">
        <v>143</v>
      </c>
    </row>
    <row r="60" spans="1:7" ht="12.75" thickBot="1" x14ac:dyDescent="0.25">
      <c r="B60" s="3" t="s">
        <v>188</v>
      </c>
      <c r="C60" s="82">
        <v>785</v>
      </c>
      <c r="E60" s="60">
        <v>0</v>
      </c>
    </row>
    <row r="61" spans="1:7" ht="12.75" thickBot="1" x14ac:dyDescent="0.25">
      <c r="B61" s="3" t="s">
        <v>56</v>
      </c>
      <c r="C61" s="82">
        <v>648</v>
      </c>
      <c r="E61" s="60">
        <v>0</v>
      </c>
    </row>
    <row r="62" spans="1:7" ht="12.75" thickBot="1" x14ac:dyDescent="0.25">
      <c r="B62" s="3" t="s">
        <v>50</v>
      </c>
      <c r="C62" s="82">
        <v>122</v>
      </c>
      <c r="E62" s="60">
        <v>1937476661</v>
      </c>
      <c r="G62" s="24" t="s">
        <v>99</v>
      </c>
    </row>
    <row r="63" spans="1:7" ht="12.75" thickBot="1" x14ac:dyDescent="0.25">
      <c r="B63" s="3" t="s">
        <v>189</v>
      </c>
      <c r="C63" s="82">
        <v>779</v>
      </c>
      <c r="E63" s="60">
        <v>0</v>
      </c>
    </row>
    <row r="64" spans="1:7" ht="12.75" thickBot="1" x14ac:dyDescent="0.25">
      <c r="B64" s="3" t="s">
        <v>190</v>
      </c>
      <c r="C64" s="82">
        <v>817</v>
      </c>
      <c r="E64" s="60">
        <f>128100195+58916622+227316306+7253829+131185263-E63</f>
        <v>552772215</v>
      </c>
    </row>
    <row r="65" spans="1:7" ht="12.75" thickBot="1" x14ac:dyDescent="0.25">
      <c r="B65" s="3" t="s">
        <v>51</v>
      </c>
      <c r="C65" s="82">
        <v>123</v>
      </c>
      <c r="E65" s="60">
        <v>2411598471</v>
      </c>
      <c r="G65" s="24" t="s">
        <v>100</v>
      </c>
    </row>
    <row r="66" spans="1:7" ht="12.75" thickBot="1" x14ac:dyDescent="0.25">
      <c r="B66" s="3" t="s">
        <v>52</v>
      </c>
      <c r="C66" s="82">
        <v>102</v>
      </c>
      <c r="E66" s="60">
        <f>E62-14-588312-2260379-21698151-111118388</f>
        <v>1801811417</v>
      </c>
      <c r="G66" s="24" t="s">
        <v>110</v>
      </c>
    </row>
    <row r="67" spans="1:7" ht="12.75" thickBot="1" x14ac:dyDescent="0.25">
      <c r="B67" s="3" t="s">
        <v>53</v>
      </c>
      <c r="C67" s="82">
        <v>645</v>
      </c>
      <c r="E67" s="60">
        <f>860500854-474121810+190000000</f>
        <v>576379044</v>
      </c>
      <c r="G67" s="24" t="s">
        <v>102</v>
      </c>
    </row>
    <row r="68" spans="1:7" ht="12.75" thickBot="1" x14ac:dyDescent="0.25">
      <c r="B68" s="3" t="s">
        <v>54</v>
      </c>
      <c r="C68" s="82">
        <v>646</v>
      </c>
      <c r="E68" s="60"/>
    </row>
    <row r="70" spans="1:7" ht="12.75" thickBot="1" x14ac:dyDescent="0.25">
      <c r="A70" s="6" t="s">
        <v>57</v>
      </c>
      <c r="B70" s="3" t="s">
        <v>58</v>
      </c>
    </row>
    <row r="71" spans="1:7" ht="12.75" thickBot="1" x14ac:dyDescent="0.25">
      <c r="B71" s="3" t="s">
        <v>147</v>
      </c>
      <c r="C71" s="82">
        <v>774</v>
      </c>
      <c r="D71" s="50" t="s">
        <v>125</v>
      </c>
      <c r="E71" s="75">
        <v>0</v>
      </c>
    </row>
    <row r="72" spans="1:7" ht="12.75" thickBot="1" x14ac:dyDescent="0.25">
      <c r="B72" s="3" t="s">
        <v>148</v>
      </c>
      <c r="C72" s="82">
        <v>775</v>
      </c>
      <c r="D72" s="50" t="s">
        <v>125</v>
      </c>
      <c r="E72" s="75">
        <v>0</v>
      </c>
    </row>
    <row r="73" spans="1:7" ht="12.75" thickBot="1" x14ac:dyDescent="0.25">
      <c r="B73" s="3" t="s">
        <v>60</v>
      </c>
      <c r="C73" s="82">
        <v>284</v>
      </c>
      <c r="D73" s="50" t="s">
        <v>126</v>
      </c>
      <c r="E73" s="69">
        <f>-'AT07'!G28</f>
        <v>1114239034.0000005</v>
      </c>
    </row>
    <row r="74" spans="1:7" ht="12.75" thickBot="1" x14ac:dyDescent="0.25">
      <c r="B74" s="3" t="s">
        <v>61</v>
      </c>
      <c r="C74" s="82">
        <v>225</v>
      </c>
      <c r="D74" s="50" t="s">
        <v>125</v>
      </c>
      <c r="E74" s="71">
        <f>MAX(E50,0)</f>
        <v>0</v>
      </c>
    </row>
    <row r="75" spans="1:7" ht="12.75" thickBot="1" x14ac:dyDescent="0.25">
      <c r="B75" s="3" t="s">
        <v>62</v>
      </c>
      <c r="C75" s="82">
        <v>229</v>
      </c>
      <c r="D75" s="50" t="s">
        <v>126</v>
      </c>
      <c r="E75" s="71">
        <f>-MIN(E50,0)</f>
        <v>1112744156</v>
      </c>
    </row>
    <row r="76" spans="1:7" ht="12.75" thickBot="1" x14ac:dyDescent="0.25">
      <c r="B76" s="3" t="s">
        <v>63</v>
      </c>
      <c r="C76" s="82">
        <v>623</v>
      </c>
      <c r="D76" s="50" t="s">
        <v>126</v>
      </c>
      <c r="E76" s="75"/>
    </row>
    <row r="77" spans="1:7" ht="12.75" thickBot="1" x14ac:dyDescent="0.25">
      <c r="B77" s="3" t="s">
        <v>64</v>
      </c>
      <c r="C77" s="82">
        <v>624</v>
      </c>
      <c r="D77" s="50" t="s">
        <v>126</v>
      </c>
      <c r="E77" s="75">
        <v>0</v>
      </c>
    </row>
    <row r="78" spans="1:7" ht="12.75" thickBot="1" x14ac:dyDescent="0.25">
      <c r="B78" s="3" t="s">
        <v>65</v>
      </c>
      <c r="C78" s="82">
        <v>227</v>
      </c>
      <c r="D78" s="50" t="s">
        <v>125</v>
      </c>
      <c r="E78" s="75"/>
    </row>
    <row r="79" spans="1:7" ht="12.75" thickBot="1" x14ac:dyDescent="0.25">
      <c r="B79" s="3" t="s">
        <v>191</v>
      </c>
      <c r="C79" s="82">
        <v>776</v>
      </c>
      <c r="D79" s="100" t="s">
        <v>125</v>
      </c>
      <c r="E79" s="75"/>
    </row>
    <row r="80" spans="1:7" ht="12.75" thickBot="1" x14ac:dyDescent="0.25">
      <c r="B80" s="3" t="s">
        <v>192</v>
      </c>
      <c r="C80" s="82">
        <v>777</v>
      </c>
      <c r="D80" s="100" t="s">
        <v>125</v>
      </c>
      <c r="E80" s="71">
        <f>E49</f>
        <v>0</v>
      </c>
    </row>
    <row r="81" spans="2:7" ht="12.75" thickBot="1" x14ac:dyDescent="0.25">
      <c r="B81" s="3" t="s">
        <v>152</v>
      </c>
      <c r="C81" s="82">
        <v>782</v>
      </c>
      <c r="D81" s="50" t="s">
        <v>125</v>
      </c>
      <c r="E81" s="71">
        <f>'AT07'!G38</f>
        <v>1114239034</v>
      </c>
    </row>
    <row r="82" spans="2:7" ht="12.75" thickBot="1" x14ac:dyDescent="0.25">
      <c r="B82" s="3" t="s">
        <v>149</v>
      </c>
      <c r="C82" s="82">
        <v>791</v>
      </c>
      <c r="D82" s="50" t="s">
        <v>125</v>
      </c>
      <c r="E82" s="75">
        <v>0</v>
      </c>
    </row>
    <row r="83" spans="2:7" ht="12.75" thickBot="1" x14ac:dyDescent="0.25">
      <c r="B83" s="3" t="s">
        <v>67</v>
      </c>
      <c r="C83" s="82">
        <v>275</v>
      </c>
      <c r="D83" s="50" t="s">
        <v>126</v>
      </c>
      <c r="E83" s="75"/>
    </row>
    <row r="84" spans="2:7" ht="12.75" thickBot="1" x14ac:dyDescent="0.25">
      <c r="B84" s="3" t="s">
        <v>68</v>
      </c>
      <c r="C84" s="95">
        <v>226</v>
      </c>
      <c r="D84" s="50" t="s">
        <v>126</v>
      </c>
      <c r="E84" s="75">
        <v>0</v>
      </c>
    </row>
    <row r="85" spans="2:7" ht="12.75" thickBot="1" x14ac:dyDescent="0.25">
      <c r="B85" s="102" t="s">
        <v>69</v>
      </c>
      <c r="C85" s="82">
        <v>231</v>
      </c>
      <c r="D85" s="103" t="s">
        <v>127</v>
      </c>
      <c r="E85" s="104">
        <v>0</v>
      </c>
    </row>
    <row r="86" spans="2:7" ht="12.75" thickBot="1" x14ac:dyDescent="0.25">
      <c r="B86" s="105" t="s">
        <v>70</v>
      </c>
      <c r="C86" s="82">
        <v>318</v>
      </c>
      <c r="D86" s="101" t="s">
        <v>127</v>
      </c>
      <c r="E86" s="106">
        <v>0</v>
      </c>
    </row>
    <row r="87" spans="2:7" ht="12.75" thickBot="1" x14ac:dyDescent="0.25">
      <c r="B87" s="107" t="s">
        <v>71</v>
      </c>
      <c r="C87" s="82">
        <v>232</v>
      </c>
      <c r="D87" s="108" t="s">
        <v>127</v>
      </c>
      <c r="E87" s="109">
        <f>-(E71+E72-E73+E74-E75-E76-E77+E78+E79+E80+E81+E82-E83-E84)+E85+E86</f>
        <v>1112744156.0000005</v>
      </c>
    </row>
    <row r="88" spans="2:7" ht="12.75" thickBot="1" x14ac:dyDescent="0.25">
      <c r="B88" s="102" t="s">
        <v>74</v>
      </c>
      <c r="C88" s="82">
        <v>625</v>
      </c>
      <c r="D88" s="115" t="s">
        <v>125</v>
      </c>
      <c r="E88" s="104">
        <v>0</v>
      </c>
      <c r="G88" s="24" t="s">
        <v>85</v>
      </c>
    </row>
    <row r="89" spans="2:7" ht="12.75" thickBot="1" x14ac:dyDescent="0.25">
      <c r="B89" s="105" t="s">
        <v>75</v>
      </c>
      <c r="C89" s="82">
        <v>626</v>
      </c>
      <c r="D89" s="116" t="s">
        <v>125</v>
      </c>
      <c r="E89" s="106">
        <v>0</v>
      </c>
      <c r="G89" s="24" t="s">
        <v>86</v>
      </c>
    </row>
    <row r="90" spans="2:7" ht="12.75" thickBot="1" x14ac:dyDescent="0.25">
      <c r="B90" s="107" t="s">
        <v>76</v>
      </c>
      <c r="C90" s="82">
        <v>627</v>
      </c>
      <c r="D90" s="117" t="s">
        <v>126</v>
      </c>
      <c r="E90" s="109">
        <f>E89</f>
        <v>0</v>
      </c>
      <c r="G90" s="24" t="s">
        <v>87</v>
      </c>
    </row>
    <row r="91" spans="2:7" ht="12.75" thickBot="1" x14ac:dyDescent="0.25">
      <c r="B91" s="110" t="s">
        <v>193</v>
      </c>
      <c r="C91" s="41">
        <v>818</v>
      </c>
      <c r="D91" s="103"/>
      <c r="E91" s="113"/>
    </row>
    <row r="92" spans="2:7" ht="12.75" thickBot="1" x14ac:dyDescent="0.25">
      <c r="B92" s="111" t="s">
        <v>194</v>
      </c>
      <c r="C92" s="41">
        <v>819</v>
      </c>
      <c r="D92" s="101"/>
      <c r="E92" s="114"/>
    </row>
    <row r="93" spans="2:7" ht="12.75" thickBot="1" x14ac:dyDescent="0.25">
      <c r="B93" s="111" t="s">
        <v>195</v>
      </c>
      <c r="C93" s="41">
        <v>820</v>
      </c>
      <c r="D93" s="101"/>
      <c r="E93" s="114"/>
    </row>
    <row r="94" spans="2:7" ht="12.75" thickBot="1" x14ac:dyDescent="0.25">
      <c r="B94" s="111" t="s">
        <v>73</v>
      </c>
      <c r="C94" s="41">
        <v>228</v>
      </c>
      <c r="D94" s="101"/>
      <c r="E94" s="114"/>
    </row>
    <row r="95" spans="2:7" ht="12.75" thickBot="1" x14ac:dyDescent="0.25">
      <c r="B95" s="112" t="s">
        <v>72</v>
      </c>
      <c r="C95" s="41">
        <v>320</v>
      </c>
      <c r="D95" s="108"/>
      <c r="E95" s="109"/>
    </row>
    <row r="96" spans="2:7" x14ac:dyDescent="0.2">
      <c r="C96" s="84"/>
      <c r="E96" s="71"/>
    </row>
    <row r="97" spans="2:5" ht="12.75" thickBot="1" x14ac:dyDescent="0.25"/>
    <row r="98" spans="2:5" ht="12.75" thickBot="1" x14ac:dyDescent="0.25">
      <c r="B98" s="3" t="s">
        <v>77</v>
      </c>
      <c r="C98" s="82">
        <v>650</v>
      </c>
      <c r="E98" s="28" t="s">
        <v>157</v>
      </c>
    </row>
    <row r="99" spans="2:5" ht="12.75" thickBot="1" x14ac:dyDescent="0.25">
      <c r="B99" s="3" t="s">
        <v>78</v>
      </c>
      <c r="C99" s="82">
        <v>903</v>
      </c>
      <c r="E99" s="28" t="s">
        <v>123</v>
      </c>
    </row>
  </sheetData>
  <phoneticPr fontId="0" type="noConversion"/>
  <hyperlinks>
    <hyperlink ref="E29" r:id="rId1"/>
  </hyperlinks>
  <pageMargins left="0.19685039370078741" right="0" top="0.59055118110236227" bottom="0.19685039370078741" header="0.51181102362204722" footer="0.51181102362204722"/>
  <pageSetup scale="89" orientation="landscape" horizontalDpi="360" verticalDpi="360" r:id="rId2"/>
  <headerFooter alignWithMargins="0"/>
  <rowBreaks count="1" manualBreakCount="1">
    <brk id="51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J89"/>
  <sheetViews>
    <sheetView topLeftCell="A22" workbookViewId="0">
      <selection activeCell="E44" sqref="E44"/>
    </sheetView>
  </sheetViews>
  <sheetFormatPr baseColWidth="10" defaultColWidth="9.140625" defaultRowHeight="12" x14ac:dyDescent="0.2"/>
  <cols>
    <col min="1" max="1" width="13.85546875" style="6" customWidth="1"/>
    <col min="2" max="2" width="45" style="3" customWidth="1"/>
    <col min="3" max="3" width="5.28515625" style="80" customWidth="1"/>
    <col min="4" max="4" width="1.85546875" style="50" customWidth="1"/>
    <col min="5" max="5" width="15.7109375" style="25" customWidth="1"/>
    <col min="6" max="6" width="3" style="3" customWidth="1"/>
    <col min="7" max="7" width="11.5703125" style="24" customWidth="1"/>
    <col min="8" max="8" width="12.5703125" style="3" customWidth="1"/>
    <col min="9" max="9" width="11.42578125" style="3" bestFit="1" customWidth="1"/>
    <col min="10" max="10" width="10.42578125" style="3" bestFit="1" customWidth="1"/>
    <col min="11" max="16384" width="9.140625" style="3"/>
  </cols>
  <sheetData>
    <row r="1" spans="1:5" s="55" customFormat="1" ht="12.75" x14ac:dyDescent="0.2">
      <c r="A1" s="56" t="s">
        <v>115</v>
      </c>
      <c r="C1" s="79"/>
      <c r="D1" s="56"/>
    </row>
    <row r="2" spans="1:5" s="55" customFormat="1" ht="12.75" x14ac:dyDescent="0.2">
      <c r="A2" s="56" t="s">
        <v>114</v>
      </c>
      <c r="C2" s="79"/>
      <c r="D2" s="56"/>
    </row>
    <row r="3" spans="1:5" ht="12.75" x14ac:dyDescent="0.2">
      <c r="A3" s="2" t="str">
        <f>'AT06'!A3</f>
        <v>AÑO TRIBUTARIO 2006</v>
      </c>
    </row>
    <row r="4" spans="1:5" x14ac:dyDescent="0.2">
      <c r="A4" s="5" t="s">
        <v>0</v>
      </c>
    </row>
    <row r="5" spans="1:5" ht="12.75" thickBot="1" x14ac:dyDescent="0.25">
      <c r="A5" s="6" t="s">
        <v>1</v>
      </c>
      <c r="B5" s="3" t="s">
        <v>2</v>
      </c>
      <c r="C5" s="81" t="s">
        <v>3</v>
      </c>
      <c r="E5" s="6" t="s">
        <v>4</v>
      </c>
    </row>
    <row r="6" spans="1:5" ht="12.75" thickBot="1" x14ac:dyDescent="0.25">
      <c r="B6" s="3" t="s">
        <v>5</v>
      </c>
      <c r="C6" s="82" t="s">
        <v>6</v>
      </c>
      <c r="E6" s="25" t="str">
        <f>A2</f>
        <v>86.132.100-2</v>
      </c>
    </row>
    <row r="7" spans="1:5" ht="12.75" thickBot="1" x14ac:dyDescent="0.25">
      <c r="B7" s="3" t="s">
        <v>7</v>
      </c>
      <c r="C7" s="82" t="s">
        <v>8</v>
      </c>
      <c r="E7" s="25" t="str">
        <f>A1</f>
        <v>DEMARKA S.A.</v>
      </c>
    </row>
    <row r="8" spans="1:5" s="40" customFormat="1" ht="12.75" thickBot="1" x14ac:dyDescent="0.25">
      <c r="A8" s="39">
        <v>34</v>
      </c>
      <c r="B8" s="40" t="s">
        <v>104</v>
      </c>
      <c r="C8" s="83">
        <v>18</v>
      </c>
      <c r="D8" s="51"/>
      <c r="E8" s="74" t="str">
        <f>IF(E49&gt;0,E49,"PERDIDA")</f>
        <v>PERDIDA</v>
      </c>
    </row>
    <row r="9" spans="1:5" s="40" customFormat="1" ht="12.75" thickBot="1" x14ac:dyDescent="0.25">
      <c r="A9" s="39"/>
      <c r="B9" s="40" t="s">
        <v>105</v>
      </c>
      <c r="C9" s="83">
        <v>20</v>
      </c>
      <c r="D9" s="51"/>
      <c r="E9" s="74">
        <f>MAX(ROUND(15%*E92,0),0)</f>
        <v>0</v>
      </c>
    </row>
    <row r="10" spans="1:5" s="40" customFormat="1" ht="12.75" thickBot="1" x14ac:dyDescent="0.25">
      <c r="A10" s="39">
        <v>46</v>
      </c>
      <c r="B10" s="40" t="s">
        <v>112</v>
      </c>
      <c r="C10" s="83">
        <v>82</v>
      </c>
      <c r="D10" s="51"/>
      <c r="E10" s="71">
        <f>'AT06'!G13</f>
        <v>0</v>
      </c>
    </row>
    <row r="11" spans="1:5" s="40" customFormat="1" ht="12.75" thickBot="1" x14ac:dyDescent="0.25">
      <c r="A11" s="39">
        <v>50</v>
      </c>
      <c r="B11" s="40" t="s">
        <v>106</v>
      </c>
      <c r="C11" s="83">
        <v>167</v>
      </c>
      <c r="D11" s="51"/>
      <c r="E11" s="74">
        <f>E85</f>
        <v>0</v>
      </c>
    </row>
    <row r="12" spans="1:5" s="40" customFormat="1" ht="12.75" thickBot="1" x14ac:dyDescent="0.25">
      <c r="A12" s="39"/>
      <c r="B12" s="40" t="s">
        <v>107</v>
      </c>
      <c r="C12" s="83">
        <v>747</v>
      </c>
      <c r="D12" s="51"/>
      <c r="E12" s="74">
        <f>E11</f>
        <v>0</v>
      </c>
    </row>
    <row r="13" spans="1:5" ht="12.75" thickBot="1" x14ac:dyDescent="0.25">
      <c r="A13" s="6">
        <v>53</v>
      </c>
      <c r="B13" s="3" t="s">
        <v>9</v>
      </c>
      <c r="C13" s="82">
        <v>305</v>
      </c>
      <c r="E13" s="71">
        <f>-E10-E12</f>
        <v>0</v>
      </c>
    </row>
    <row r="14" spans="1:5" ht="12.75" thickBot="1" x14ac:dyDescent="0.25">
      <c r="A14" s="6">
        <f>IF(E13&gt;0,57,54)</f>
        <v>54</v>
      </c>
      <c r="B14" s="3" t="str">
        <f>IF(E13&gt;0,"Impuesto Adeudado","SALDO A FAVOR")</f>
        <v>SALDO A FAVOR</v>
      </c>
      <c r="C14" s="82">
        <f>IF(E13&gt;0,90,85)</f>
        <v>85</v>
      </c>
      <c r="E14" s="71">
        <f>ABS(E13)</f>
        <v>0</v>
      </c>
    </row>
    <row r="15" spans="1:5" ht="12.75" thickBot="1" x14ac:dyDescent="0.25">
      <c r="A15" s="6" t="str">
        <f>IF(E13&gt;0,58,"")</f>
        <v/>
      </c>
      <c r="B15" s="9" t="str">
        <f>IF($E$13&gt;0,0.6%,"")</f>
        <v/>
      </c>
      <c r="C15" s="82" t="str">
        <f>IF($E$13&gt;0,39,"")</f>
        <v/>
      </c>
      <c r="E15" s="71" t="str">
        <f>IF($E$13&gt;0,ROUND(B15*E14,0),"")</f>
        <v/>
      </c>
    </row>
    <row r="16" spans="1:5" ht="12.75" thickBot="1" x14ac:dyDescent="0.25">
      <c r="A16" s="6">
        <f>IF(E13&gt;0,59,56)</f>
        <v>56</v>
      </c>
      <c r="B16" s="3" t="str">
        <f>IF($E$13&gt;0,"TOTAL A PAGAR","DEVOLUCION SOLICITADA")</f>
        <v>DEVOLUCION SOLICITADA</v>
      </c>
      <c r="C16" s="82">
        <f>IF($E$13&gt;0,91,87)</f>
        <v>87</v>
      </c>
      <c r="E16" s="71">
        <f>SUM(E14:E15)</f>
        <v>0</v>
      </c>
    </row>
    <row r="17" spans="1:5" ht="12.75" thickBot="1" x14ac:dyDescent="0.25">
      <c r="B17" s="3" t="str">
        <f>IF($E$13&gt;0,"","Nombre Institución Bancaria")</f>
        <v>Nombre Institución Bancaria</v>
      </c>
      <c r="C17" s="82">
        <f>IF($E$13&gt;0,"",301)</f>
        <v>301</v>
      </c>
      <c r="E17" s="73" t="s">
        <v>116</v>
      </c>
    </row>
    <row r="18" spans="1:5" ht="12.75" thickBot="1" x14ac:dyDescent="0.25">
      <c r="B18" s="3" t="str">
        <f>IF($E$13&gt;0,"","Número de Cuenta")</f>
        <v>Número de Cuenta</v>
      </c>
      <c r="C18" s="82">
        <f>IF($E$13&gt;0,"",306)</f>
        <v>306</v>
      </c>
      <c r="E18" s="73">
        <v>12778451</v>
      </c>
    </row>
    <row r="19" spans="1:5" x14ac:dyDescent="0.2">
      <c r="C19" s="84"/>
      <c r="E19" s="26"/>
    </row>
    <row r="20" spans="1:5" ht="12.75" thickBot="1" x14ac:dyDescent="0.25">
      <c r="A20" s="5" t="s">
        <v>10</v>
      </c>
    </row>
    <row r="21" spans="1:5" ht="12.75" thickBot="1" x14ac:dyDescent="0.25">
      <c r="B21" s="3" t="s">
        <v>11</v>
      </c>
      <c r="C21" s="82" t="s">
        <v>12</v>
      </c>
      <c r="E21" s="25" t="s">
        <v>13</v>
      </c>
    </row>
    <row r="22" spans="1:5" ht="12.75" thickBot="1" x14ac:dyDescent="0.25">
      <c r="B22" s="3" t="s">
        <v>14</v>
      </c>
      <c r="C22" s="82" t="s">
        <v>15</v>
      </c>
      <c r="E22" s="25" t="s">
        <v>16</v>
      </c>
    </row>
    <row r="23" spans="1:5" ht="12.75" thickBot="1" x14ac:dyDescent="0.25">
      <c r="B23" s="3" t="s">
        <v>17</v>
      </c>
      <c r="C23" s="82">
        <v>53</v>
      </c>
      <c r="E23" s="6">
        <v>13</v>
      </c>
    </row>
    <row r="24" spans="1:5" ht="12.75" thickBot="1" x14ac:dyDescent="0.25">
      <c r="B24" s="3" t="s">
        <v>18</v>
      </c>
      <c r="C24" s="82">
        <v>13</v>
      </c>
      <c r="E24" s="62" t="s">
        <v>117</v>
      </c>
    </row>
    <row r="25" spans="1:5" ht="12.75" thickBot="1" x14ac:dyDescent="0.25">
      <c r="B25" s="3" t="s">
        <v>19</v>
      </c>
      <c r="C25" s="82">
        <v>14</v>
      </c>
      <c r="E25" s="63">
        <v>61911</v>
      </c>
    </row>
    <row r="26" spans="1:5" ht="12.75" thickBot="1" x14ac:dyDescent="0.25">
      <c r="B26" s="3" t="s">
        <v>20</v>
      </c>
      <c r="C26" s="82" t="s">
        <v>21</v>
      </c>
      <c r="E26" s="29" t="s">
        <v>79</v>
      </c>
    </row>
    <row r="27" spans="1:5" ht="12.75" thickBot="1" x14ac:dyDescent="0.25">
      <c r="B27" s="3" t="s">
        <v>22</v>
      </c>
      <c r="C27" s="82">
        <v>48</v>
      </c>
      <c r="E27" s="29" t="s">
        <v>88</v>
      </c>
    </row>
    <row r="28" spans="1:5" ht="13.5" thickBot="1" x14ac:dyDescent="0.25">
      <c r="B28" s="3" t="s">
        <v>23</v>
      </c>
      <c r="C28" s="82">
        <v>55</v>
      </c>
      <c r="E28" s="72" t="s">
        <v>154</v>
      </c>
    </row>
    <row r="29" spans="1:5" ht="12.75" thickBot="1" x14ac:dyDescent="0.25">
      <c r="B29" s="3" t="s">
        <v>24</v>
      </c>
      <c r="C29" s="82">
        <v>614</v>
      </c>
      <c r="E29" s="6" t="s">
        <v>25</v>
      </c>
    </row>
    <row r="30" spans="1:5" ht="12.75" thickBot="1" x14ac:dyDescent="0.25">
      <c r="B30" s="3" t="s">
        <v>156</v>
      </c>
      <c r="C30" s="82">
        <v>729</v>
      </c>
      <c r="E30" s="6" t="s">
        <v>25</v>
      </c>
    </row>
    <row r="32" spans="1:5" ht="12.75" thickBot="1" x14ac:dyDescent="0.25">
      <c r="A32" s="5" t="s">
        <v>138</v>
      </c>
      <c r="B32" s="3" t="s">
        <v>27</v>
      </c>
      <c r="E32" s="31"/>
    </row>
    <row r="33" spans="1:9" ht="12.75" thickBot="1" x14ac:dyDescent="0.25">
      <c r="A33" s="5"/>
      <c r="B33" s="3" t="s">
        <v>28</v>
      </c>
      <c r="C33" s="82">
        <v>628</v>
      </c>
      <c r="D33" s="50" t="s">
        <v>125</v>
      </c>
      <c r="E33" s="60">
        <f>1706250959-17581869</f>
        <v>1688669090</v>
      </c>
      <c r="G33" s="24" t="s">
        <v>101</v>
      </c>
    </row>
    <row r="34" spans="1:9" ht="12.75" thickBot="1" x14ac:dyDescent="0.25">
      <c r="A34" s="5"/>
      <c r="B34" s="3" t="s">
        <v>29</v>
      </c>
      <c r="C34" s="82">
        <v>629</v>
      </c>
      <c r="D34" s="50" t="s">
        <v>125</v>
      </c>
      <c r="E34" s="60">
        <v>84776</v>
      </c>
      <c r="G34" s="24" t="s">
        <v>83</v>
      </c>
    </row>
    <row r="35" spans="1:9" ht="12.75" thickBot="1" x14ac:dyDescent="0.25">
      <c r="A35" s="5"/>
      <c r="B35" s="3" t="s">
        <v>30</v>
      </c>
      <c r="C35" s="82">
        <v>651</v>
      </c>
      <c r="D35" s="50" t="s">
        <v>125</v>
      </c>
      <c r="E35" s="60">
        <f>111175665+21451378</f>
        <v>132627043</v>
      </c>
      <c r="G35" s="49"/>
    </row>
    <row r="36" spans="1:9" ht="12.75" thickBot="1" x14ac:dyDescent="0.25">
      <c r="A36" s="5"/>
      <c r="B36" s="3" t="s">
        <v>31</v>
      </c>
      <c r="C36" s="82">
        <v>630</v>
      </c>
      <c r="D36" s="50" t="s">
        <v>126</v>
      </c>
      <c r="E36" s="60">
        <v>955994538</v>
      </c>
      <c r="G36" s="24" t="s">
        <v>80</v>
      </c>
    </row>
    <row r="37" spans="1:9" ht="12.75" thickBot="1" x14ac:dyDescent="0.25">
      <c r="A37" s="5"/>
      <c r="B37" s="3" t="s">
        <v>32</v>
      </c>
      <c r="C37" s="82">
        <v>631</v>
      </c>
      <c r="D37" s="50" t="s">
        <v>126</v>
      </c>
      <c r="E37" s="60">
        <f>400706788+2360934+6532892</f>
        <v>409600614</v>
      </c>
      <c r="G37" s="24" t="s">
        <v>81</v>
      </c>
    </row>
    <row r="38" spans="1:9" ht="12.75" thickBot="1" x14ac:dyDescent="0.25">
      <c r="A38" s="5"/>
      <c r="B38" s="3" t="s">
        <v>33</v>
      </c>
      <c r="C38" s="82">
        <v>632</v>
      </c>
      <c r="D38" s="50" t="s">
        <v>126</v>
      </c>
      <c r="E38" s="60">
        <f>7808903-429734</f>
        <v>7379169</v>
      </c>
      <c r="G38" s="24" t="s">
        <v>82</v>
      </c>
    </row>
    <row r="39" spans="1:9" ht="12.75" thickBot="1" x14ac:dyDescent="0.25">
      <c r="A39" s="5"/>
      <c r="B39" s="3" t="s">
        <v>34</v>
      </c>
      <c r="C39" s="82">
        <v>633</v>
      </c>
      <c r="D39" s="50" t="s">
        <v>126</v>
      </c>
      <c r="E39" s="60">
        <v>44033953</v>
      </c>
      <c r="G39" s="49"/>
    </row>
    <row r="40" spans="1:9" ht="12.75" thickBot="1" x14ac:dyDescent="0.25">
      <c r="A40" s="5"/>
      <c r="B40" s="3" t="s">
        <v>35</v>
      </c>
      <c r="C40" s="82">
        <v>635</v>
      </c>
      <c r="D40" s="50" t="s">
        <v>126</v>
      </c>
      <c r="E40" s="69">
        <f>SUM(E33:E35)-SUM(E36:E39)-E42+E43-'AT06'!G12</f>
        <v>282727344</v>
      </c>
      <c r="G40" s="24" t="s">
        <v>120</v>
      </c>
    </row>
    <row r="41" spans="1:9" ht="12.75" thickBot="1" x14ac:dyDescent="0.25">
      <c r="A41" s="5"/>
      <c r="B41" s="11" t="s">
        <v>36</v>
      </c>
      <c r="C41" s="82">
        <v>636</v>
      </c>
      <c r="D41" s="52" t="s">
        <v>127</v>
      </c>
      <c r="E41" s="70">
        <f>SUM(E33:E35)-SUM(E36:E40)</f>
        <v>121645291</v>
      </c>
    </row>
    <row r="42" spans="1:9" ht="12.75" thickBot="1" x14ac:dyDescent="0.25">
      <c r="A42" s="5"/>
      <c r="B42" s="3" t="s">
        <v>37</v>
      </c>
      <c r="C42" s="82">
        <v>637</v>
      </c>
      <c r="D42" s="50" t="s">
        <v>126</v>
      </c>
      <c r="E42" s="60">
        <v>85318988</v>
      </c>
      <c r="G42" s="24" t="s">
        <v>82</v>
      </c>
    </row>
    <row r="43" spans="1:9" ht="12.75" thickBot="1" x14ac:dyDescent="0.25">
      <c r="A43" s="5"/>
      <c r="B43" s="3" t="s">
        <v>38</v>
      </c>
      <c r="C43" s="82">
        <v>638</v>
      </c>
      <c r="D43" s="50" t="s">
        <v>125</v>
      </c>
      <c r="E43" s="60">
        <v>8712467</v>
      </c>
      <c r="G43" s="24" t="s">
        <v>83</v>
      </c>
      <c r="H43" s="65"/>
      <c r="I43" s="65"/>
    </row>
    <row r="44" spans="1:9" ht="12.75" thickBot="1" x14ac:dyDescent="0.25">
      <c r="A44" s="5"/>
      <c r="B44" s="3" t="s">
        <v>39</v>
      </c>
      <c r="C44" s="82">
        <v>639</v>
      </c>
      <c r="D44" s="50" t="s">
        <v>125</v>
      </c>
      <c r="E44" s="60">
        <f>'AT06'!G13+66889433</f>
        <v>66889433</v>
      </c>
      <c r="I44" s="65"/>
    </row>
    <row r="45" spans="1:9" ht="12.75" thickBot="1" x14ac:dyDescent="0.25">
      <c r="A45" s="5"/>
      <c r="B45" s="3" t="s">
        <v>40</v>
      </c>
      <c r="C45" s="82">
        <v>634</v>
      </c>
      <c r="D45" s="50" t="s">
        <v>126</v>
      </c>
      <c r="E45" s="69">
        <f>-'AT06'!G10</f>
        <v>1092073825</v>
      </c>
    </row>
    <row r="46" spans="1:9" ht="12.75" thickBot="1" x14ac:dyDescent="0.25">
      <c r="A46" s="5"/>
      <c r="B46" s="3" t="s">
        <v>41</v>
      </c>
      <c r="C46" s="82">
        <v>640</v>
      </c>
      <c r="D46" s="50" t="s">
        <v>126</v>
      </c>
      <c r="E46" s="60">
        <v>111175665</v>
      </c>
    </row>
    <row r="47" spans="1:9" ht="12.75" thickBot="1" x14ac:dyDescent="0.25">
      <c r="A47" s="5"/>
      <c r="B47" s="3" t="s">
        <v>42</v>
      </c>
      <c r="C47" s="82">
        <v>641</v>
      </c>
      <c r="D47" s="50" t="s">
        <v>126</v>
      </c>
      <c r="E47" s="60">
        <v>0</v>
      </c>
    </row>
    <row r="48" spans="1:9" ht="12.75" thickBot="1" x14ac:dyDescent="0.25">
      <c r="A48" s="5"/>
      <c r="B48" s="3" t="s">
        <v>43</v>
      </c>
      <c r="C48" s="82">
        <v>642</v>
      </c>
      <c r="D48" s="50" t="s">
        <v>126</v>
      </c>
      <c r="E48" s="69">
        <f>-'AT04'!G16</f>
        <v>0</v>
      </c>
      <c r="H48" s="65"/>
    </row>
    <row r="49" spans="1:8" ht="12.75" thickBot="1" x14ac:dyDescent="0.25">
      <c r="A49" s="5"/>
      <c r="B49" s="11" t="s">
        <v>44</v>
      </c>
      <c r="C49" s="82">
        <v>643</v>
      </c>
      <c r="D49" s="52" t="s">
        <v>127</v>
      </c>
      <c r="E49" s="70">
        <f>E41-E42+E43+E44-SUM(E45:E48)</f>
        <v>-1091321287</v>
      </c>
      <c r="H49" s="65"/>
    </row>
    <row r="50" spans="1:8" ht="12.75" thickBot="1" x14ac:dyDescent="0.25">
      <c r="A50" s="5"/>
      <c r="B50" s="3" t="s">
        <v>45</v>
      </c>
      <c r="C50" s="82">
        <v>644</v>
      </c>
      <c r="E50" s="69"/>
      <c r="H50" s="65"/>
    </row>
    <row r="51" spans="1:8" x14ac:dyDescent="0.2">
      <c r="E51" s="69"/>
    </row>
    <row r="52" spans="1:8" ht="12.75" thickBot="1" x14ac:dyDescent="0.25">
      <c r="A52" s="5" t="s">
        <v>26</v>
      </c>
      <c r="B52" s="3" t="s">
        <v>47</v>
      </c>
      <c r="E52" s="69"/>
    </row>
    <row r="53" spans="1:8" ht="12.75" thickBot="1" x14ac:dyDescent="0.25">
      <c r="B53" s="3" t="s">
        <v>48</v>
      </c>
      <c r="C53" s="82">
        <v>101</v>
      </c>
      <c r="E53" s="60">
        <v>221322</v>
      </c>
      <c r="G53" s="24" t="s">
        <v>84</v>
      </c>
    </row>
    <row r="54" spans="1:8" ht="12.75" thickBot="1" x14ac:dyDescent="0.25">
      <c r="B54" s="3" t="s">
        <v>49</v>
      </c>
      <c r="C54" s="82">
        <v>129</v>
      </c>
      <c r="E54" s="60">
        <v>614836391</v>
      </c>
      <c r="G54" s="24" t="s">
        <v>84</v>
      </c>
    </row>
    <row r="55" spans="1:8" ht="12.75" thickBot="1" x14ac:dyDescent="0.25">
      <c r="B55" s="3" t="s">
        <v>50</v>
      </c>
      <c r="C55" s="82">
        <v>122</v>
      </c>
      <c r="E55" s="60">
        <v>2146809123</v>
      </c>
      <c r="G55" s="24" t="s">
        <v>99</v>
      </c>
    </row>
    <row r="56" spans="1:8" ht="12.75" thickBot="1" x14ac:dyDescent="0.25">
      <c r="B56" s="3" t="s">
        <v>51</v>
      </c>
      <c r="C56" s="82">
        <v>123</v>
      </c>
      <c r="E56" s="60">
        <v>2101770353</v>
      </c>
      <c r="G56" s="24" t="s">
        <v>100</v>
      </c>
    </row>
    <row r="57" spans="1:8" ht="12.75" thickBot="1" x14ac:dyDescent="0.25">
      <c r="B57" s="3" t="s">
        <v>52</v>
      </c>
      <c r="C57" s="82">
        <v>102</v>
      </c>
      <c r="E57" s="60">
        <f>2146809123-5869672-19281120-37358511-75674459</f>
        <v>2008625361</v>
      </c>
      <c r="G57" s="24" t="s">
        <v>110</v>
      </c>
    </row>
    <row r="58" spans="1:8" ht="12.75" thickBot="1" x14ac:dyDescent="0.25">
      <c r="B58" s="3" t="s">
        <v>53</v>
      </c>
      <c r="C58" s="82">
        <v>645</v>
      </c>
      <c r="E58" s="60">
        <f>+E57-1208473717</f>
        <v>800151644</v>
      </c>
      <c r="G58" s="24" t="s">
        <v>102</v>
      </c>
    </row>
    <row r="59" spans="1:8" ht="12.75" thickBot="1" x14ac:dyDescent="0.25">
      <c r="B59" s="3" t="s">
        <v>54</v>
      </c>
      <c r="C59" s="82">
        <v>646</v>
      </c>
      <c r="E59" s="60"/>
    </row>
    <row r="60" spans="1:8" ht="12.75" thickBot="1" x14ac:dyDescent="0.25">
      <c r="B60" s="3" t="s">
        <v>55</v>
      </c>
      <c r="C60" s="82">
        <v>647</v>
      </c>
      <c r="E60" s="60">
        <f>43010280-19281120-E61</f>
        <v>23729160</v>
      </c>
      <c r="G60" s="24" t="s">
        <v>143</v>
      </c>
    </row>
    <row r="61" spans="1:8" ht="12.75" thickBot="1" x14ac:dyDescent="0.25">
      <c r="B61" s="3" t="s">
        <v>56</v>
      </c>
      <c r="C61" s="82">
        <v>648</v>
      </c>
      <c r="E61" s="60">
        <v>0</v>
      </c>
    </row>
    <row r="62" spans="1:8" ht="12.75" thickBot="1" x14ac:dyDescent="0.25">
      <c r="B62" s="3" t="s">
        <v>146</v>
      </c>
      <c r="C62" s="82">
        <v>784</v>
      </c>
      <c r="E62" s="60">
        <f>-3933145+1881429-1729289+235607+1000219</f>
        <v>-2545179</v>
      </c>
      <c r="G62" s="78"/>
    </row>
    <row r="63" spans="1:8" ht="12.75" thickBot="1" x14ac:dyDescent="0.25">
      <c r="B63" s="3" t="s">
        <v>150</v>
      </c>
      <c r="C63" s="82">
        <v>778</v>
      </c>
      <c r="E63" s="60">
        <f>499681835+31171521+8462193+102284578+2603786+56367553</f>
        <v>700571466</v>
      </c>
    </row>
    <row r="64" spans="1:8" ht="12.75" thickBot="1" x14ac:dyDescent="0.25">
      <c r="B64" s="3" t="s">
        <v>151</v>
      </c>
      <c r="C64" s="82">
        <v>779</v>
      </c>
      <c r="E64" s="60">
        <f>83602012+31841531+269597669+4044592+142380001</f>
        <v>531465805</v>
      </c>
    </row>
    <row r="65" spans="1:10" x14ac:dyDescent="0.2">
      <c r="E65" s="35"/>
    </row>
    <row r="66" spans="1:10" ht="12.75" thickBot="1" x14ac:dyDescent="0.25">
      <c r="A66" s="6" t="s">
        <v>57</v>
      </c>
      <c r="B66" s="3" t="s">
        <v>58</v>
      </c>
    </row>
    <row r="67" spans="1:10" ht="12.75" thickBot="1" x14ac:dyDescent="0.25">
      <c r="B67" s="3" t="s">
        <v>147</v>
      </c>
      <c r="C67" s="82">
        <v>774</v>
      </c>
      <c r="D67" s="50" t="s">
        <v>125</v>
      </c>
      <c r="E67" s="75">
        <v>0</v>
      </c>
    </row>
    <row r="68" spans="1:10" ht="12.75" thickBot="1" x14ac:dyDescent="0.25">
      <c r="B68" s="3" t="s">
        <v>148</v>
      </c>
      <c r="C68" s="82">
        <v>775</v>
      </c>
      <c r="D68" s="50" t="s">
        <v>125</v>
      </c>
      <c r="E68" s="75">
        <v>0</v>
      </c>
    </row>
    <row r="69" spans="1:10" ht="12.75" thickBot="1" x14ac:dyDescent="0.25">
      <c r="B69" s="3" t="s">
        <v>60</v>
      </c>
      <c r="C69" s="82">
        <v>284</v>
      </c>
      <c r="D69" s="50" t="s">
        <v>126</v>
      </c>
      <c r="E69" s="69">
        <f>-'AT06'!G28</f>
        <v>1092073825.0000005</v>
      </c>
    </row>
    <row r="70" spans="1:10" ht="12.75" thickBot="1" x14ac:dyDescent="0.25">
      <c r="B70" s="3" t="s">
        <v>61</v>
      </c>
      <c r="C70" s="82">
        <v>225</v>
      </c>
      <c r="D70" s="50" t="s">
        <v>125</v>
      </c>
      <c r="E70" s="71">
        <f>MAX(E49,0)</f>
        <v>0</v>
      </c>
    </row>
    <row r="71" spans="1:10" ht="12.75" thickBot="1" x14ac:dyDescent="0.25">
      <c r="B71" s="3" t="s">
        <v>62</v>
      </c>
      <c r="C71" s="82">
        <v>229</v>
      </c>
      <c r="D71" s="50" t="s">
        <v>126</v>
      </c>
      <c r="E71" s="71">
        <f>-MIN(E49,0)</f>
        <v>1091321287</v>
      </c>
      <c r="H71" s="65"/>
      <c r="J71" s="65"/>
    </row>
    <row r="72" spans="1:10" ht="12.75" thickBot="1" x14ac:dyDescent="0.25">
      <c r="B72" s="3" t="s">
        <v>63</v>
      </c>
      <c r="C72" s="82">
        <v>623</v>
      </c>
      <c r="D72" s="50" t="s">
        <v>126</v>
      </c>
      <c r="E72" s="75"/>
      <c r="H72" s="65"/>
      <c r="J72" s="65"/>
    </row>
    <row r="73" spans="1:10" ht="12.75" thickBot="1" x14ac:dyDescent="0.25">
      <c r="B73" s="3" t="s">
        <v>64</v>
      </c>
      <c r="C73" s="82">
        <v>624</v>
      </c>
      <c r="D73" s="50" t="s">
        <v>126</v>
      </c>
      <c r="E73" s="71">
        <f>E44</f>
        <v>66889433</v>
      </c>
    </row>
    <row r="74" spans="1:10" ht="12.75" thickBot="1" x14ac:dyDescent="0.25">
      <c r="B74" s="3" t="s">
        <v>65</v>
      </c>
      <c r="C74" s="82">
        <v>227</v>
      </c>
      <c r="D74" s="50" t="s">
        <v>125</v>
      </c>
      <c r="E74" s="75"/>
    </row>
    <row r="75" spans="1:10" ht="12.75" thickBot="1" x14ac:dyDescent="0.25">
      <c r="B75" s="3" t="s">
        <v>152</v>
      </c>
      <c r="C75" s="82">
        <v>782</v>
      </c>
      <c r="D75" s="50" t="s">
        <v>125</v>
      </c>
      <c r="E75" s="71">
        <f>'AT06'!G38</f>
        <v>1092073825</v>
      </c>
    </row>
    <row r="76" spans="1:10" ht="12.75" thickBot="1" x14ac:dyDescent="0.25">
      <c r="B76" s="3" t="s">
        <v>149</v>
      </c>
      <c r="C76" s="82">
        <v>791</v>
      </c>
      <c r="D76" s="50" t="s">
        <v>125</v>
      </c>
      <c r="E76" s="71">
        <v>0</v>
      </c>
    </row>
    <row r="77" spans="1:10" ht="12.75" thickBot="1" x14ac:dyDescent="0.25">
      <c r="B77" s="3" t="s">
        <v>67</v>
      </c>
      <c r="C77" s="82">
        <v>275</v>
      </c>
      <c r="D77" s="50" t="s">
        <v>126</v>
      </c>
      <c r="E77" s="75"/>
    </row>
    <row r="78" spans="1:10" ht="12.75" thickBot="1" x14ac:dyDescent="0.25">
      <c r="B78" s="3" t="s">
        <v>68</v>
      </c>
      <c r="C78" s="82">
        <v>226</v>
      </c>
      <c r="D78" s="50" t="s">
        <v>126</v>
      </c>
      <c r="E78" s="75">
        <v>0</v>
      </c>
    </row>
    <row r="79" spans="1:10" ht="12.75" thickBot="1" x14ac:dyDescent="0.25">
      <c r="B79" s="11" t="s">
        <v>69</v>
      </c>
      <c r="C79" s="82">
        <v>231</v>
      </c>
      <c r="D79" s="52" t="s">
        <v>127</v>
      </c>
      <c r="E79" s="76">
        <v>0</v>
      </c>
    </row>
    <row r="80" spans="1:10" ht="12.75" thickBot="1" x14ac:dyDescent="0.25">
      <c r="B80" s="3" t="s">
        <v>70</v>
      </c>
      <c r="C80" s="82">
        <v>318</v>
      </c>
      <c r="D80" s="50" t="s">
        <v>127</v>
      </c>
      <c r="E80" s="75">
        <v>0</v>
      </c>
    </row>
    <row r="81" spans="2:7" ht="12.75" thickBot="1" x14ac:dyDescent="0.25">
      <c r="B81" s="3" t="s">
        <v>71</v>
      </c>
      <c r="C81" s="82">
        <v>232</v>
      </c>
      <c r="D81" s="50" t="s">
        <v>127</v>
      </c>
      <c r="E81" s="71">
        <f>+E79+E80-(E68-E69+E70-E71-E72-E73+E74+E75+E76-E77-E78)</f>
        <v>1158210720.0000005</v>
      </c>
    </row>
    <row r="82" spans="2:7" ht="12.75" thickBot="1" x14ac:dyDescent="0.25">
      <c r="B82" s="11" t="s">
        <v>72</v>
      </c>
      <c r="C82" s="82">
        <v>320</v>
      </c>
      <c r="D82" s="52"/>
      <c r="E82" s="77"/>
    </row>
    <row r="83" spans="2:7" ht="12.75" thickBot="1" x14ac:dyDescent="0.25">
      <c r="B83" s="3" t="s">
        <v>73</v>
      </c>
      <c r="C83" s="82">
        <v>228</v>
      </c>
      <c r="E83" s="75">
        <v>0</v>
      </c>
    </row>
    <row r="84" spans="2:7" ht="12.75" thickBot="1" x14ac:dyDescent="0.25">
      <c r="B84" s="11" t="s">
        <v>74</v>
      </c>
      <c r="C84" s="82">
        <v>625</v>
      </c>
      <c r="D84" s="52"/>
      <c r="E84" s="76">
        <v>0</v>
      </c>
      <c r="G84" s="24" t="s">
        <v>85</v>
      </c>
    </row>
    <row r="85" spans="2:7" ht="12.75" thickBot="1" x14ac:dyDescent="0.25">
      <c r="B85" s="3" t="s">
        <v>75</v>
      </c>
      <c r="C85" s="82">
        <v>626</v>
      </c>
      <c r="E85" s="75">
        <v>0</v>
      </c>
      <c r="G85" s="24" t="s">
        <v>86</v>
      </c>
    </row>
    <row r="86" spans="2:7" ht="12.75" thickBot="1" x14ac:dyDescent="0.25">
      <c r="B86" s="3" t="s">
        <v>76</v>
      </c>
      <c r="C86" s="82">
        <v>627</v>
      </c>
      <c r="E86" s="71">
        <f>E85</f>
        <v>0</v>
      </c>
      <c r="G86" s="24" t="s">
        <v>87</v>
      </c>
    </row>
    <row r="87" spans="2:7" ht="12.75" thickBot="1" x14ac:dyDescent="0.25"/>
    <row r="88" spans="2:7" ht="12.75" thickBot="1" x14ac:dyDescent="0.25">
      <c r="B88" s="3" t="s">
        <v>77</v>
      </c>
      <c r="C88" s="82">
        <v>650</v>
      </c>
      <c r="E88" s="28" t="s">
        <v>157</v>
      </c>
    </row>
    <row r="89" spans="2:7" ht="12.75" thickBot="1" x14ac:dyDescent="0.25">
      <c r="B89" s="3" t="s">
        <v>78</v>
      </c>
      <c r="C89" s="82">
        <v>903</v>
      </c>
      <c r="E89" s="28" t="s">
        <v>123</v>
      </c>
    </row>
  </sheetData>
  <phoneticPr fontId="0" type="noConversion"/>
  <hyperlinks>
    <hyperlink ref="E28" r:id="rId1"/>
  </hyperlinks>
  <pageMargins left="0.39370078740157483" right="0.19685039370078741" top="0.59055118110236227" bottom="0.39370078740157483" header="0.51181102362204722" footer="0.51181102362204722"/>
  <pageSetup scale="90" fitToHeight="2" orientation="landscape" horizontalDpi="360" verticalDpi="360" copies="0" r:id="rId2"/>
  <headerFooter alignWithMargins="0"/>
  <rowBreaks count="1" manualBreakCount="1">
    <brk id="51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J89"/>
  <sheetViews>
    <sheetView workbookViewId="0"/>
  </sheetViews>
  <sheetFormatPr baseColWidth="10" defaultColWidth="9.140625" defaultRowHeight="12" x14ac:dyDescent="0.2"/>
  <cols>
    <col min="1" max="1" width="13.85546875" style="6" customWidth="1"/>
    <col min="2" max="2" width="45" style="3" customWidth="1"/>
    <col min="3" max="3" width="5.28515625" style="80" customWidth="1"/>
    <col min="4" max="4" width="1.85546875" style="50" customWidth="1"/>
    <col min="5" max="5" width="15.7109375" style="25" customWidth="1"/>
    <col min="6" max="6" width="3" style="3" customWidth="1"/>
    <col min="7" max="7" width="11.5703125" style="24" customWidth="1"/>
    <col min="8" max="8" width="12.5703125" style="3" customWidth="1"/>
    <col min="9" max="9" width="11.42578125" style="3" bestFit="1" customWidth="1"/>
    <col min="10" max="10" width="10.42578125" style="3" bestFit="1" customWidth="1"/>
    <col min="11" max="16384" width="9.140625" style="3"/>
  </cols>
  <sheetData>
    <row r="1" spans="1:5" s="55" customFormat="1" ht="12.75" x14ac:dyDescent="0.2">
      <c r="A1" s="56" t="s">
        <v>115</v>
      </c>
      <c r="C1" s="79"/>
      <c r="D1" s="56"/>
    </row>
    <row r="2" spans="1:5" s="55" customFormat="1" ht="12.75" x14ac:dyDescent="0.2">
      <c r="A2" s="56" t="s">
        <v>114</v>
      </c>
      <c r="C2" s="79"/>
      <c r="D2" s="56"/>
    </row>
    <row r="3" spans="1:5" ht="12.75" x14ac:dyDescent="0.2">
      <c r="A3" s="2" t="str">
        <f>'AT05'!A3</f>
        <v>AÑO TRIBUTARIO 2005</v>
      </c>
    </row>
    <row r="4" spans="1:5" x14ac:dyDescent="0.2">
      <c r="A4" s="5" t="s">
        <v>0</v>
      </c>
    </row>
    <row r="5" spans="1:5" ht="12.75" thickBot="1" x14ac:dyDescent="0.25">
      <c r="A5" s="6" t="s">
        <v>1</v>
      </c>
      <c r="B5" s="3" t="s">
        <v>2</v>
      </c>
      <c r="C5" s="81" t="s">
        <v>3</v>
      </c>
      <c r="E5" s="6" t="s">
        <v>4</v>
      </c>
    </row>
    <row r="6" spans="1:5" ht="12.75" thickBot="1" x14ac:dyDescent="0.25">
      <c r="B6" s="3" t="s">
        <v>5</v>
      </c>
      <c r="C6" s="82" t="s">
        <v>6</v>
      </c>
      <c r="E6" s="25" t="str">
        <f>A2</f>
        <v>86.132.100-2</v>
      </c>
    </row>
    <row r="7" spans="1:5" ht="12.75" thickBot="1" x14ac:dyDescent="0.25">
      <c r="B7" s="3" t="s">
        <v>7</v>
      </c>
      <c r="C7" s="82" t="s">
        <v>8</v>
      </c>
      <c r="E7" s="25" t="str">
        <f>A1</f>
        <v>DEMARKA S.A.</v>
      </c>
    </row>
    <row r="8" spans="1:5" s="40" customFormat="1" ht="12.75" thickBot="1" x14ac:dyDescent="0.25">
      <c r="A8" s="39">
        <v>34</v>
      </c>
      <c r="B8" s="40" t="s">
        <v>104</v>
      </c>
      <c r="C8" s="83">
        <v>18</v>
      </c>
      <c r="D8" s="51"/>
      <c r="E8" s="74" t="str">
        <f>IF(E49&gt;0,E49,"PERDIDA")</f>
        <v>PERDIDA</v>
      </c>
    </row>
    <row r="9" spans="1:5" s="40" customFormat="1" ht="12.75" thickBot="1" x14ac:dyDescent="0.25">
      <c r="A9" s="39"/>
      <c r="B9" s="40" t="s">
        <v>105</v>
      </c>
      <c r="C9" s="83">
        <v>20</v>
      </c>
      <c r="D9" s="51"/>
      <c r="E9" s="74">
        <f>MAX(ROUND(15%*E92,0),0)</f>
        <v>0</v>
      </c>
    </row>
    <row r="10" spans="1:5" s="40" customFormat="1" ht="12.75" thickBot="1" x14ac:dyDescent="0.25">
      <c r="A10" s="39">
        <v>46</v>
      </c>
      <c r="B10" s="40" t="s">
        <v>112</v>
      </c>
      <c r="C10" s="83">
        <v>82</v>
      </c>
      <c r="D10" s="51"/>
      <c r="E10" s="71">
        <f>'AT05'!G13</f>
        <v>0</v>
      </c>
    </row>
    <row r="11" spans="1:5" s="40" customFormat="1" ht="12.75" thickBot="1" x14ac:dyDescent="0.25">
      <c r="A11" s="39">
        <v>50</v>
      </c>
      <c r="B11" s="40" t="s">
        <v>106</v>
      </c>
      <c r="C11" s="83">
        <v>167</v>
      </c>
      <c r="D11" s="51"/>
      <c r="E11" s="74">
        <f>E85</f>
        <v>0</v>
      </c>
    </row>
    <row r="12" spans="1:5" s="40" customFormat="1" ht="12.75" thickBot="1" x14ac:dyDescent="0.25">
      <c r="A12" s="39"/>
      <c r="B12" s="40" t="s">
        <v>107</v>
      </c>
      <c r="C12" s="83">
        <v>747</v>
      </c>
      <c r="D12" s="51"/>
      <c r="E12" s="74">
        <f>E11</f>
        <v>0</v>
      </c>
    </row>
    <row r="13" spans="1:5" ht="12.75" thickBot="1" x14ac:dyDescent="0.25">
      <c r="A13" s="6">
        <v>53</v>
      </c>
      <c r="B13" s="3" t="s">
        <v>9</v>
      </c>
      <c r="C13" s="82">
        <v>305</v>
      </c>
      <c r="E13" s="71">
        <f>-E10-E12</f>
        <v>0</v>
      </c>
    </row>
    <row r="14" spans="1:5" ht="12.75" thickBot="1" x14ac:dyDescent="0.25">
      <c r="A14" s="6">
        <f>IF(E13&gt;0,57,54)</f>
        <v>54</v>
      </c>
      <c r="B14" s="3" t="str">
        <f>IF(E13&gt;0,"Impuesto Adeudado","SALDO A FAVOR")</f>
        <v>SALDO A FAVOR</v>
      </c>
      <c r="C14" s="82">
        <f>IF(E13&gt;0,90,85)</f>
        <v>85</v>
      </c>
      <c r="E14" s="71">
        <f>ABS(E13)</f>
        <v>0</v>
      </c>
    </row>
    <row r="15" spans="1:5" ht="12.75" thickBot="1" x14ac:dyDescent="0.25">
      <c r="A15" s="6" t="str">
        <f>IF(E13&gt;0,58,"")</f>
        <v/>
      </c>
      <c r="B15" s="9" t="str">
        <f>IF($E$13&gt;0,0.6%,"")</f>
        <v/>
      </c>
      <c r="C15" s="82" t="str">
        <f>IF($E$13&gt;0,39,"")</f>
        <v/>
      </c>
      <c r="E15" s="71" t="str">
        <f>IF($E$13&gt;0,ROUND(B15*E14,0),"")</f>
        <v/>
      </c>
    </row>
    <row r="16" spans="1:5" ht="12.75" thickBot="1" x14ac:dyDescent="0.25">
      <c r="A16" s="6">
        <f>IF(E13&gt;0,59,56)</f>
        <v>56</v>
      </c>
      <c r="B16" s="3" t="str">
        <f>IF($E$13&gt;0,"TOTAL A PAGAR","DEVOLUCION SOLICITADA")</f>
        <v>DEVOLUCION SOLICITADA</v>
      </c>
      <c r="C16" s="82">
        <f>IF($E$13&gt;0,91,87)</f>
        <v>87</v>
      </c>
      <c r="E16" s="71">
        <f>SUM(E14:E15)</f>
        <v>0</v>
      </c>
    </row>
    <row r="17" spans="1:5" ht="12.75" thickBot="1" x14ac:dyDescent="0.25">
      <c r="B17" s="3" t="str">
        <f>IF($E$13&gt;0,"","Nombre Institución Bancaria")</f>
        <v>Nombre Institución Bancaria</v>
      </c>
      <c r="C17" s="82">
        <f>IF($E$13&gt;0,"",301)</f>
        <v>301</v>
      </c>
      <c r="E17" s="73" t="s">
        <v>116</v>
      </c>
    </row>
    <row r="18" spans="1:5" ht="12.75" thickBot="1" x14ac:dyDescent="0.25">
      <c r="B18" s="3" t="str">
        <f>IF($E$13&gt;0,"","Número de Cuenta")</f>
        <v>Número de Cuenta</v>
      </c>
      <c r="C18" s="82">
        <f>IF($E$13&gt;0,"",306)</f>
        <v>306</v>
      </c>
      <c r="E18" s="73">
        <v>12778451</v>
      </c>
    </row>
    <row r="19" spans="1:5" x14ac:dyDescent="0.2">
      <c r="C19" s="84"/>
      <c r="E19" s="26"/>
    </row>
    <row r="20" spans="1:5" ht="12.75" thickBot="1" x14ac:dyDescent="0.25">
      <c r="A20" s="5" t="s">
        <v>10</v>
      </c>
    </row>
    <row r="21" spans="1:5" ht="12.75" thickBot="1" x14ac:dyDescent="0.25">
      <c r="B21" s="3" t="s">
        <v>11</v>
      </c>
      <c r="C21" s="82" t="s">
        <v>12</v>
      </c>
      <c r="E21" s="25" t="s">
        <v>13</v>
      </c>
    </row>
    <row r="22" spans="1:5" ht="12.75" thickBot="1" x14ac:dyDescent="0.25">
      <c r="B22" s="3" t="s">
        <v>14</v>
      </c>
      <c r="C22" s="82" t="s">
        <v>15</v>
      </c>
      <c r="E22" s="25" t="s">
        <v>16</v>
      </c>
    </row>
    <row r="23" spans="1:5" ht="12.75" thickBot="1" x14ac:dyDescent="0.25">
      <c r="B23" s="3" t="s">
        <v>17</v>
      </c>
      <c r="C23" s="82">
        <v>53</v>
      </c>
      <c r="E23" s="6">
        <v>13</v>
      </c>
    </row>
    <row r="24" spans="1:5" ht="12.75" thickBot="1" x14ac:dyDescent="0.25">
      <c r="B24" s="3" t="s">
        <v>18</v>
      </c>
      <c r="C24" s="82">
        <v>13</v>
      </c>
      <c r="E24" s="62" t="s">
        <v>117</v>
      </c>
    </row>
    <row r="25" spans="1:5" ht="12.75" thickBot="1" x14ac:dyDescent="0.25">
      <c r="B25" s="3" t="s">
        <v>19</v>
      </c>
      <c r="C25" s="82">
        <v>14</v>
      </c>
      <c r="E25" s="63">
        <v>61911</v>
      </c>
    </row>
    <row r="26" spans="1:5" ht="12.75" thickBot="1" x14ac:dyDescent="0.25">
      <c r="B26" s="3" t="s">
        <v>20</v>
      </c>
      <c r="C26" s="82" t="s">
        <v>21</v>
      </c>
      <c r="E26" s="29" t="s">
        <v>79</v>
      </c>
    </row>
    <row r="27" spans="1:5" ht="12.75" thickBot="1" x14ac:dyDescent="0.25">
      <c r="B27" s="3" t="s">
        <v>22</v>
      </c>
      <c r="C27" s="82">
        <v>48</v>
      </c>
      <c r="E27" s="29" t="s">
        <v>88</v>
      </c>
    </row>
    <row r="28" spans="1:5" ht="13.5" thickBot="1" x14ac:dyDescent="0.25">
      <c r="B28" s="3" t="s">
        <v>23</v>
      </c>
      <c r="C28" s="82">
        <v>55</v>
      </c>
      <c r="E28" s="72" t="s">
        <v>154</v>
      </c>
    </row>
    <row r="29" spans="1:5" ht="12.75" thickBot="1" x14ac:dyDescent="0.25">
      <c r="B29" s="3" t="s">
        <v>24</v>
      </c>
      <c r="C29" s="82">
        <v>614</v>
      </c>
      <c r="E29" s="6" t="s">
        <v>25</v>
      </c>
    </row>
    <row r="30" spans="1:5" ht="12.75" thickBot="1" x14ac:dyDescent="0.25">
      <c r="B30" s="3" t="s">
        <v>156</v>
      </c>
      <c r="C30" s="82">
        <v>729</v>
      </c>
      <c r="E30" s="6" t="s">
        <v>25</v>
      </c>
    </row>
    <row r="32" spans="1:5" ht="12.75" thickBot="1" x14ac:dyDescent="0.25">
      <c r="A32" s="5" t="s">
        <v>138</v>
      </c>
      <c r="B32" s="3" t="s">
        <v>27</v>
      </c>
      <c r="E32" s="31"/>
    </row>
    <row r="33" spans="1:9" ht="12.75" thickBot="1" x14ac:dyDescent="0.25">
      <c r="A33" s="5"/>
      <c r="B33" s="3" t="s">
        <v>28</v>
      </c>
      <c r="C33" s="82">
        <v>628</v>
      </c>
      <c r="D33" s="50" t="s">
        <v>125</v>
      </c>
      <c r="E33" s="60">
        <f>2260649198-88759363</f>
        <v>2171889835</v>
      </c>
      <c r="G33" s="24" t="s">
        <v>101</v>
      </c>
    </row>
    <row r="34" spans="1:9" ht="12.75" thickBot="1" x14ac:dyDescent="0.25">
      <c r="A34" s="5"/>
      <c r="B34" s="3" t="s">
        <v>29</v>
      </c>
      <c r="C34" s="82">
        <v>629</v>
      </c>
      <c r="D34" s="50" t="s">
        <v>125</v>
      </c>
      <c r="E34" s="60">
        <v>858980</v>
      </c>
      <c r="G34" s="24" t="s">
        <v>83</v>
      </c>
    </row>
    <row r="35" spans="1:9" ht="12.75" thickBot="1" x14ac:dyDescent="0.25">
      <c r="A35" s="5"/>
      <c r="B35" s="3" t="s">
        <v>30</v>
      </c>
      <c r="C35" s="82">
        <v>651</v>
      </c>
      <c r="D35" s="50" t="s">
        <v>125</v>
      </c>
      <c r="E35" s="60">
        <v>18588680</v>
      </c>
      <c r="G35" s="49"/>
    </row>
    <row r="36" spans="1:9" ht="12.75" thickBot="1" x14ac:dyDescent="0.25">
      <c r="A36" s="5"/>
      <c r="B36" s="3" t="s">
        <v>31</v>
      </c>
      <c r="C36" s="82">
        <v>630</v>
      </c>
      <c r="D36" s="50" t="s">
        <v>126</v>
      </c>
      <c r="E36" s="60">
        <f>1321197712-134358</f>
        <v>1321063354</v>
      </c>
      <c r="G36" s="24" t="s">
        <v>80</v>
      </c>
    </row>
    <row r="37" spans="1:9" ht="12.75" thickBot="1" x14ac:dyDescent="0.25">
      <c r="A37" s="5"/>
      <c r="B37" s="3" t="s">
        <v>32</v>
      </c>
      <c r="C37" s="82">
        <v>631</v>
      </c>
      <c r="D37" s="50" t="s">
        <v>126</v>
      </c>
      <c r="E37" s="60">
        <f>423286430-1505601+4372144+6600452</f>
        <v>432753425</v>
      </c>
      <c r="G37" s="24" t="s">
        <v>81</v>
      </c>
    </row>
    <row r="38" spans="1:9" ht="12.75" thickBot="1" x14ac:dyDescent="0.25">
      <c r="A38" s="5"/>
      <c r="B38" s="3" t="s">
        <v>33</v>
      </c>
      <c r="C38" s="82">
        <v>632</v>
      </c>
      <c r="D38" s="50" t="s">
        <v>126</v>
      </c>
      <c r="E38" s="60">
        <v>8095124</v>
      </c>
      <c r="G38" s="24" t="s">
        <v>82</v>
      </c>
    </row>
    <row r="39" spans="1:9" ht="12.75" thickBot="1" x14ac:dyDescent="0.25">
      <c r="A39" s="5"/>
      <c r="B39" s="3" t="s">
        <v>34</v>
      </c>
      <c r="C39" s="82">
        <v>633</v>
      </c>
      <c r="D39" s="50" t="s">
        <v>126</v>
      </c>
      <c r="E39" s="60">
        <v>48175840</v>
      </c>
      <c r="G39" s="49"/>
    </row>
    <row r="40" spans="1:9" ht="12.75" thickBot="1" x14ac:dyDescent="0.25">
      <c r="A40" s="5"/>
      <c r="B40" s="3" t="s">
        <v>35</v>
      </c>
      <c r="C40" s="82">
        <v>635</v>
      </c>
      <c r="D40" s="50" t="s">
        <v>126</v>
      </c>
      <c r="E40" s="69">
        <f>SUM(E33:E35)-SUM(E36:E39)-E42+E43-'AT05'!G12</f>
        <v>341408498</v>
      </c>
      <c r="G40" s="24" t="s">
        <v>120</v>
      </c>
    </row>
    <row r="41" spans="1:9" ht="12.75" thickBot="1" x14ac:dyDescent="0.25">
      <c r="A41" s="5"/>
      <c r="B41" s="11" t="s">
        <v>36</v>
      </c>
      <c r="C41" s="82">
        <v>636</v>
      </c>
      <c r="D41" s="52" t="s">
        <v>127</v>
      </c>
      <c r="E41" s="70">
        <f>SUM(E33:E35)-SUM(E36:E40)</f>
        <v>39841254</v>
      </c>
    </row>
    <row r="42" spans="1:9" ht="12.75" thickBot="1" x14ac:dyDescent="0.25">
      <c r="A42" s="5"/>
      <c r="B42" s="3" t="s">
        <v>37</v>
      </c>
      <c r="C42" s="82">
        <v>637</v>
      </c>
      <c r="D42" s="50" t="s">
        <v>126</v>
      </c>
      <c r="E42" s="60">
        <v>17869138</v>
      </c>
      <c r="G42" s="24" t="s">
        <v>82</v>
      </c>
    </row>
    <row r="43" spans="1:9" ht="12.75" thickBot="1" x14ac:dyDescent="0.25">
      <c r="A43" s="5"/>
      <c r="B43" s="3" t="s">
        <v>38</v>
      </c>
      <c r="C43" s="82">
        <v>638</v>
      </c>
      <c r="D43" s="50" t="s">
        <v>125</v>
      </c>
      <c r="E43" s="60">
        <v>15435059</v>
      </c>
      <c r="G43" s="24" t="s">
        <v>83</v>
      </c>
      <c r="H43" s="65"/>
      <c r="I43" s="65"/>
    </row>
    <row r="44" spans="1:9" ht="12.75" thickBot="1" x14ac:dyDescent="0.25">
      <c r="A44" s="5"/>
      <c r="B44" s="3" t="s">
        <v>39</v>
      </c>
      <c r="C44" s="82">
        <v>639</v>
      </c>
      <c r="D44" s="50" t="s">
        <v>125</v>
      </c>
      <c r="E44" s="69">
        <f>'AT04'!G13</f>
        <v>0</v>
      </c>
      <c r="I44" s="65"/>
    </row>
    <row r="45" spans="1:9" ht="12.75" thickBot="1" x14ac:dyDescent="0.25">
      <c r="A45" s="5"/>
      <c r="B45" s="3" t="s">
        <v>40</v>
      </c>
      <c r="C45" s="82">
        <v>634</v>
      </c>
      <c r="D45" s="50" t="s">
        <v>126</v>
      </c>
      <c r="E45" s="69">
        <f>-'AT05'!G10</f>
        <v>1091532489</v>
      </c>
    </row>
    <row r="46" spans="1:9" ht="12.75" thickBot="1" x14ac:dyDescent="0.25">
      <c r="A46" s="5"/>
      <c r="B46" s="3" t="s">
        <v>41</v>
      </c>
      <c r="C46" s="82">
        <v>640</v>
      </c>
      <c r="D46" s="50" t="s">
        <v>126</v>
      </c>
      <c r="E46" s="60">
        <v>0</v>
      </c>
    </row>
    <row r="47" spans="1:9" ht="12.75" thickBot="1" x14ac:dyDescent="0.25">
      <c r="A47" s="5"/>
      <c r="B47" s="3" t="s">
        <v>42</v>
      </c>
      <c r="C47" s="82">
        <v>641</v>
      </c>
      <c r="D47" s="50" t="s">
        <v>126</v>
      </c>
      <c r="E47" s="60">
        <v>0</v>
      </c>
    </row>
    <row r="48" spans="1:9" ht="12.75" thickBot="1" x14ac:dyDescent="0.25">
      <c r="A48" s="5"/>
      <c r="B48" s="3" t="s">
        <v>43</v>
      </c>
      <c r="C48" s="82">
        <v>642</v>
      </c>
      <c r="D48" s="50" t="s">
        <v>126</v>
      </c>
      <c r="E48" s="69">
        <f>-'AT04'!G16</f>
        <v>0</v>
      </c>
      <c r="H48" s="65"/>
    </row>
    <row r="49" spans="1:8" ht="12.75" thickBot="1" x14ac:dyDescent="0.25">
      <c r="A49" s="5"/>
      <c r="B49" s="11" t="s">
        <v>44</v>
      </c>
      <c r="C49" s="82">
        <v>643</v>
      </c>
      <c r="D49" s="52" t="s">
        <v>127</v>
      </c>
      <c r="E49" s="70">
        <f>E41-E42+E43+E44-SUM(E45:E48)</f>
        <v>-1054125314</v>
      </c>
      <c r="H49" s="65"/>
    </row>
    <row r="50" spans="1:8" ht="12.75" thickBot="1" x14ac:dyDescent="0.25">
      <c r="A50" s="5"/>
      <c r="B50" s="3" t="s">
        <v>45</v>
      </c>
      <c r="C50" s="82">
        <v>644</v>
      </c>
      <c r="E50" s="69"/>
      <c r="H50" s="65"/>
    </row>
    <row r="51" spans="1:8" x14ac:dyDescent="0.2">
      <c r="E51" s="69"/>
    </row>
    <row r="52" spans="1:8" ht="12.75" thickBot="1" x14ac:dyDescent="0.25">
      <c r="A52" s="5" t="s">
        <v>26</v>
      </c>
      <c r="B52" s="3" t="s">
        <v>47</v>
      </c>
      <c r="E52" s="69"/>
    </row>
    <row r="53" spans="1:8" ht="12.75" thickBot="1" x14ac:dyDescent="0.25">
      <c r="B53" s="3" t="s">
        <v>48</v>
      </c>
      <c r="C53" s="82">
        <v>101</v>
      </c>
      <c r="E53" s="60">
        <v>239085</v>
      </c>
      <c r="G53" s="24" t="s">
        <v>84</v>
      </c>
    </row>
    <row r="54" spans="1:8" ht="12.75" thickBot="1" x14ac:dyDescent="0.25">
      <c r="B54" s="3" t="s">
        <v>49</v>
      </c>
      <c r="C54" s="82">
        <v>129</v>
      </c>
      <c r="E54" s="60">
        <f>626470408-216</f>
        <v>626470192</v>
      </c>
      <c r="G54" s="24" t="s">
        <v>84</v>
      </c>
    </row>
    <row r="55" spans="1:8" ht="12.75" thickBot="1" x14ac:dyDescent="0.25">
      <c r="B55" s="3" t="s">
        <v>50</v>
      </c>
      <c r="C55" s="82">
        <v>122</v>
      </c>
      <c r="E55" s="60">
        <v>2273973204</v>
      </c>
      <c r="G55" s="24" t="s">
        <v>99</v>
      </c>
    </row>
    <row r="56" spans="1:8" ht="12.75" thickBot="1" x14ac:dyDescent="0.25">
      <c r="B56" s="3" t="s">
        <v>51</v>
      </c>
      <c r="C56" s="82">
        <v>123</v>
      </c>
      <c r="E56" s="60">
        <v>2236566029</v>
      </c>
      <c r="G56" s="24" t="s">
        <v>100</v>
      </c>
    </row>
    <row r="57" spans="1:8" ht="12.75" thickBot="1" x14ac:dyDescent="0.25">
      <c r="B57" s="3" t="s">
        <v>52</v>
      </c>
      <c r="C57" s="82">
        <v>102</v>
      </c>
      <c r="E57" s="60">
        <f>2273973204-6843178-30109673-23218678-294703616</f>
        <v>1919098059</v>
      </c>
      <c r="G57" s="24" t="s">
        <v>110</v>
      </c>
    </row>
    <row r="58" spans="1:8" ht="12.75" thickBot="1" x14ac:dyDescent="0.25">
      <c r="B58" s="3" t="s">
        <v>53</v>
      </c>
      <c r="C58" s="82">
        <v>645</v>
      </c>
      <c r="E58" s="60">
        <f>+E57-1178861664</f>
        <v>740236395</v>
      </c>
      <c r="G58" s="24" t="s">
        <v>102</v>
      </c>
    </row>
    <row r="59" spans="1:8" ht="12.75" thickBot="1" x14ac:dyDescent="0.25">
      <c r="B59" s="3" t="s">
        <v>54</v>
      </c>
      <c r="C59" s="82">
        <v>646</v>
      </c>
      <c r="E59" s="60"/>
    </row>
    <row r="60" spans="1:8" ht="12.75" thickBot="1" x14ac:dyDescent="0.25">
      <c r="B60" s="3" t="s">
        <v>55</v>
      </c>
      <c r="C60" s="82">
        <v>647</v>
      </c>
      <c r="E60" s="60">
        <f>68573817-30109673-E61</f>
        <v>16488264</v>
      </c>
      <c r="G60" s="24" t="s">
        <v>143</v>
      </c>
    </row>
    <row r="61" spans="1:8" ht="12.75" thickBot="1" x14ac:dyDescent="0.25">
      <c r="B61" s="3" t="s">
        <v>56</v>
      </c>
      <c r="C61" s="82">
        <v>648</v>
      </c>
      <c r="E61" s="60">
        <v>21975880</v>
      </c>
    </row>
    <row r="62" spans="1:8" ht="12.75" thickBot="1" x14ac:dyDescent="0.25">
      <c r="B62" s="3" t="s">
        <v>146</v>
      </c>
      <c r="C62" s="82">
        <v>784</v>
      </c>
      <c r="E62" s="60">
        <f>-4242874+3137854+65205-905379+24525600</f>
        <v>22580406</v>
      </c>
      <c r="G62" s="78"/>
    </row>
    <row r="63" spans="1:8" ht="12.75" thickBot="1" x14ac:dyDescent="0.25">
      <c r="B63" s="3" t="s">
        <v>150</v>
      </c>
      <c r="C63" s="82">
        <v>778</v>
      </c>
      <c r="E63" s="60">
        <f>684194813+39608188+5446528+9345335+101317090+2362102+111692696</f>
        <v>953966752</v>
      </c>
    </row>
    <row r="64" spans="1:8" ht="12.75" thickBot="1" x14ac:dyDescent="0.25">
      <c r="B64" s="3" t="s">
        <v>151</v>
      </c>
      <c r="C64" s="82">
        <v>779</v>
      </c>
      <c r="E64" s="60">
        <f>75185115+24541777+249993273+1760353+183308337</f>
        <v>534788855</v>
      </c>
    </row>
    <row r="65" spans="1:10" x14ac:dyDescent="0.2">
      <c r="E65" s="35"/>
    </row>
    <row r="66" spans="1:10" ht="12.75" thickBot="1" x14ac:dyDescent="0.25">
      <c r="A66" s="6" t="s">
        <v>57</v>
      </c>
      <c r="B66" s="3" t="s">
        <v>58</v>
      </c>
    </row>
    <row r="67" spans="1:10" ht="12.75" thickBot="1" x14ac:dyDescent="0.25">
      <c r="B67" s="3" t="s">
        <v>147</v>
      </c>
      <c r="C67" s="82">
        <v>774</v>
      </c>
      <c r="D67" s="50" t="s">
        <v>125</v>
      </c>
      <c r="E67" s="75">
        <v>0</v>
      </c>
    </row>
    <row r="68" spans="1:10" ht="12.75" thickBot="1" x14ac:dyDescent="0.25">
      <c r="B68" s="3" t="s">
        <v>148</v>
      </c>
      <c r="C68" s="82">
        <v>775</v>
      </c>
      <c r="D68" s="50" t="s">
        <v>125</v>
      </c>
      <c r="E68" s="75">
        <v>0</v>
      </c>
    </row>
    <row r="69" spans="1:10" ht="12.75" thickBot="1" x14ac:dyDescent="0.25">
      <c r="B69" s="3" t="s">
        <v>60</v>
      </c>
      <c r="C69" s="82">
        <v>284</v>
      </c>
      <c r="D69" s="50" t="s">
        <v>126</v>
      </c>
      <c r="E69" s="69">
        <f>-'AT05'!G26</f>
        <v>1091532489.0000005</v>
      </c>
    </row>
    <row r="70" spans="1:10" ht="12.75" thickBot="1" x14ac:dyDescent="0.25">
      <c r="B70" s="3" t="s">
        <v>61</v>
      </c>
      <c r="C70" s="82">
        <v>225</v>
      </c>
      <c r="D70" s="50" t="s">
        <v>125</v>
      </c>
      <c r="E70" s="71">
        <f>MAX(E49,0)</f>
        <v>0</v>
      </c>
    </row>
    <row r="71" spans="1:10" ht="12.75" thickBot="1" x14ac:dyDescent="0.25">
      <c r="B71" s="3" t="s">
        <v>62</v>
      </c>
      <c r="C71" s="82">
        <v>229</v>
      </c>
      <c r="D71" s="50" t="s">
        <v>126</v>
      </c>
      <c r="E71" s="71">
        <f>-MIN(E49,0)</f>
        <v>1054125314</v>
      </c>
      <c r="H71" s="65"/>
      <c r="J71" s="65"/>
    </row>
    <row r="72" spans="1:10" ht="12.75" thickBot="1" x14ac:dyDescent="0.25">
      <c r="B72" s="3" t="s">
        <v>63</v>
      </c>
      <c r="C72" s="82">
        <v>623</v>
      </c>
      <c r="D72" s="50" t="s">
        <v>126</v>
      </c>
      <c r="E72" s="75"/>
      <c r="H72" s="65"/>
      <c r="J72" s="65"/>
    </row>
    <row r="73" spans="1:10" ht="12.75" thickBot="1" x14ac:dyDescent="0.25">
      <c r="B73" s="3" t="s">
        <v>64</v>
      </c>
      <c r="C73" s="82">
        <v>624</v>
      </c>
      <c r="D73" s="50" t="s">
        <v>126</v>
      </c>
      <c r="E73" s="71">
        <f>E44</f>
        <v>0</v>
      </c>
    </row>
    <row r="74" spans="1:10" ht="12.75" thickBot="1" x14ac:dyDescent="0.25">
      <c r="B74" s="3" t="s">
        <v>65</v>
      </c>
      <c r="C74" s="82">
        <v>227</v>
      </c>
      <c r="D74" s="50" t="s">
        <v>125</v>
      </c>
      <c r="E74" s="75"/>
    </row>
    <row r="75" spans="1:10" ht="12.75" thickBot="1" x14ac:dyDescent="0.25">
      <c r="B75" s="3" t="s">
        <v>152</v>
      </c>
      <c r="C75" s="82">
        <v>782</v>
      </c>
      <c r="D75" s="50" t="s">
        <v>125</v>
      </c>
      <c r="E75" s="71">
        <f>'AT05'!G36</f>
        <v>1091532489</v>
      </c>
    </row>
    <row r="76" spans="1:10" ht="12.75" thickBot="1" x14ac:dyDescent="0.25">
      <c r="B76" s="3" t="s">
        <v>149</v>
      </c>
      <c r="C76" s="82">
        <v>791</v>
      </c>
      <c r="D76" s="50" t="s">
        <v>125</v>
      </c>
      <c r="E76" s="71">
        <v>0</v>
      </c>
    </row>
    <row r="77" spans="1:10" ht="12.75" thickBot="1" x14ac:dyDescent="0.25">
      <c r="B77" s="3" t="s">
        <v>67</v>
      </c>
      <c r="C77" s="82">
        <v>275</v>
      </c>
      <c r="D77" s="50" t="s">
        <v>126</v>
      </c>
      <c r="E77" s="75"/>
    </row>
    <row r="78" spans="1:10" ht="12.75" thickBot="1" x14ac:dyDescent="0.25">
      <c r="B78" s="3" t="s">
        <v>68</v>
      </c>
      <c r="C78" s="82">
        <v>226</v>
      </c>
      <c r="D78" s="50" t="s">
        <v>126</v>
      </c>
      <c r="E78" s="75">
        <v>0</v>
      </c>
    </row>
    <row r="79" spans="1:10" ht="12.75" thickBot="1" x14ac:dyDescent="0.25">
      <c r="B79" s="11" t="s">
        <v>69</v>
      </c>
      <c r="C79" s="82">
        <v>231</v>
      </c>
      <c r="D79" s="52" t="s">
        <v>127</v>
      </c>
      <c r="E79" s="76">
        <v>0</v>
      </c>
    </row>
    <row r="80" spans="1:10" ht="12.75" thickBot="1" x14ac:dyDescent="0.25">
      <c r="B80" s="3" t="s">
        <v>70</v>
      </c>
      <c r="C80" s="82">
        <v>318</v>
      </c>
      <c r="D80" s="50" t="s">
        <v>127</v>
      </c>
      <c r="E80" s="75">
        <v>0</v>
      </c>
    </row>
    <row r="81" spans="2:7" ht="12.75" thickBot="1" x14ac:dyDescent="0.25">
      <c r="B81" s="3" t="s">
        <v>71</v>
      </c>
      <c r="C81" s="82">
        <v>232</v>
      </c>
      <c r="D81" s="50" t="s">
        <v>127</v>
      </c>
      <c r="E81" s="71">
        <f>+E79+E80-(E68-E69+E70-E71-E72-E73+E74+E75+E76-E77-E78)</f>
        <v>1054125314.0000005</v>
      </c>
    </row>
    <row r="82" spans="2:7" ht="12.75" thickBot="1" x14ac:dyDescent="0.25">
      <c r="B82" s="11" t="s">
        <v>72</v>
      </c>
      <c r="C82" s="82">
        <v>320</v>
      </c>
      <c r="D82" s="52"/>
      <c r="E82" s="77"/>
    </row>
    <row r="83" spans="2:7" ht="12.75" thickBot="1" x14ac:dyDescent="0.25">
      <c r="B83" s="3" t="s">
        <v>73</v>
      </c>
      <c r="C83" s="82">
        <v>228</v>
      </c>
      <c r="E83" s="75">
        <v>0</v>
      </c>
    </row>
    <row r="84" spans="2:7" ht="12.75" thickBot="1" x14ac:dyDescent="0.25">
      <c r="B84" s="11" t="s">
        <v>74</v>
      </c>
      <c r="C84" s="82">
        <v>625</v>
      </c>
      <c r="D84" s="52"/>
      <c r="E84" s="76">
        <v>0</v>
      </c>
      <c r="G84" s="24" t="s">
        <v>85</v>
      </c>
    </row>
    <row r="85" spans="2:7" ht="12.75" thickBot="1" x14ac:dyDescent="0.25">
      <c r="B85" s="3" t="s">
        <v>75</v>
      </c>
      <c r="C85" s="82">
        <v>626</v>
      </c>
      <c r="E85" s="75">
        <v>0</v>
      </c>
      <c r="G85" s="24" t="s">
        <v>86</v>
      </c>
    </row>
    <row r="86" spans="2:7" ht="12.75" thickBot="1" x14ac:dyDescent="0.25">
      <c r="B86" s="3" t="s">
        <v>76</v>
      </c>
      <c r="C86" s="82">
        <v>627</v>
      </c>
      <c r="E86" s="71">
        <f>E85</f>
        <v>0</v>
      </c>
      <c r="G86" s="24" t="s">
        <v>87</v>
      </c>
    </row>
    <row r="87" spans="2:7" ht="12.75" thickBot="1" x14ac:dyDescent="0.25"/>
    <row r="88" spans="2:7" ht="12.75" thickBot="1" x14ac:dyDescent="0.25">
      <c r="B88" s="3" t="s">
        <v>77</v>
      </c>
      <c r="C88" s="82">
        <v>650</v>
      </c>
      <c r="E88" s="28" t="s">
        <v>157</v>
      </c>
    </row>
    <row r="89" spans="2:7" ht="12.75" thickBot="1" x14ac:dyDescent="0.25">
      <c r="B89" s="3" t="s">
        <v>78</v>
      </c>
      <c r="C89" s="82">
        <v>903</v>
      </c>
      <c r="E89" s="28" t="s">
        <v>123</v>
      </c>
    </row>
  </sheetData>
  <phoneticPr fontId="0" type="noConversion"/>
  <hyperlinks>
    <hyperlink ref="E28" r:id="rId1"/>
  </hyperlinks>
  <pageMargins left="0.39370078740157483" right="0.19685039370078741" top="0.59055118110236227" bottom="0.39370078740157483" header="0.51181102362204722" footer="0.51181102362204722"/>
  <pageSetup scale="90" fitToHeight="2" orientation="landscape" horizontalDpi="360" verticalDpi="360" copies="0" r:id="rId2"/>
  <headerFooter alignWithMargins="0"/>
  <rowBreaks count="1" manualBreakCount="1">
    <brk id="51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J88"/>
  <sheetViews>
    <sheetView workbookViewId="0"/>
  </sheetViews>
  <sheetFormatPr baseColWidth="10" defaultColWidth="9.140625" defaultRowHeight="12" x14ac:dyDescent="0.2"/>
  <cols>
    <col min="1" max="1" width="13.85546875" style="6" customWidth="1"/>
    <col min="2" max="2" width="45" style="3" customWidth="1"/>
    <col min="3" max="3" width="5.28515625" style="4" customWidth="1"/>
    <col min="4" max="4" width="1.85546875" style="50" customWidth="1"/>
    <col min="5" max="5" width="15.7109375" style="25" customWidth="1"/>
    <col min="6" max="6" width="3" style="3" customWidth="1"/>
    <col min="7" max="7" width="11.5703125" style="24" customWidth="1"/>
    <col min="8" max="8" width="12.5703125" style="3" customWidth="1"/>
    <col min="9" max="9" width="11.42578125" style="3" bestFit="1" customWidth="1"/>
    <col min="10" max="10" width="10.42578125" style="3" bestFit="1" customWidth="1"/>
    <col min="11" max="16384" width="9.140625" style="3"/>
  </cols>
  <sheetData>
    <row r="1" spans="1:5" s="55" customFormat="1" ht="12.75" x14ac:dyDescent="0.2">
      <c r="A1" s="56" t="s">
        <v>115</v>
      </c>
      <c r="D1" s="56"/>
    </row>
    <row r="2" spans="1:5" s="55" customFormat="1" ht="12.75" x14ac:dyDescent="0.2">
      <c r="A2" s="56" t="s">
        <v>114</v>
      </c>
      <c r="D2" s="56"/>
    </row>
    <row r="3" spans="1:5" ht="12.75" x14ac:dyDescent="0.2">
      <c r="A3" s="2" t="str">
        <f>'AT04'!A3</f>
        <v>AÑO TRIBUTARIO 2004</v>
      </c>
    </row>
    <row r="4" spans="1:5" x14ac:dyDescent="0.2">
      <c r="A4" s="5" t="s">
        <v>0</v>
      </c>
    </row>
    <row r="5" spans="1:5" ht="12.75" thickBot="1" x14ac:dyDescent="0.25">
      <c r="A5" s="6" t="s">
        <v>1</v>
      </c>
      <c r="B5" s="3" t="s">
        <v>2</v>
      </c>
      <c r="C5" s="7" t="s">
        <v>3</v>
      </c>
      <c r="E5" s="6" t="s">
        <v>4</v>
      </c>
    </row>
    <row r="6" spans="1:5" ht="12.75" thickBot="1" x14ac:dyDescent="0.25">
      <c r="B6" s="3" t="s">
        <v>5</v>
      </c>
      <c r="C6" s="8" t="s">
        <v>6</v>
      </c>
      <c r="E6" s="25" t="str">
        <f>A2</f>
        <v>86.132.100-2</v>
      </c>
    </row>
    <row r="7" spans="1:5" ht="12.75" thickBot="1" x14ac:dyDescent="0.25">
      <c r="B7" s="3" t="s">
        <v>7</v>
      </c>
      <c r="C7" s="8" t="s">
        <v>8</v>
      </c>
      <c r="E7" s="25" t="str">
        <f>A1</f>
        <v>DEMARKA S.A.</v>
      </c>
    </row>
    <row r="8" spans="1:5" s="40" customFormat="1" ht="12.75" thickBot="1" x14ac:dyDescent="0.25">
      <c r="A8" s="39">
        <v>34</v>
      </c>
      <c r="B8" s="40" t="s">
        <v>104</v>
      </c>
      <c r="C8" s="41">
        <v>18</v>
      </c>
      <c r="D8" s="51"/>
      <c r="E8" s="44" t="str">
        <f>IF(E48&gt;0,E48,"PERDIDA")</f>
        <v>PERDIDA</v>
      </c>
    </row>
    <row r="9" spans="1:5" s="40" customFormat="1" ht="12.75" thickBot="1" x14ac:dyDescent="0.25">
      <c r="A9" s="39"/>
      <c r="B9" s="40" t="s">
        <v>105</v>
      </c>
      <c r="C9" s="41">
        <v>20</v>
      </c>
      <c r="D9" s="51"/>
      <c r="E9" s="44">
        <f>MAX(ROUND(15%*E91,0),0)</f>
        <v>0</v>
      </c>
    </row>
    <row r="10" spans="1:5" s="40" customFormat="1" ht="12.75" thickBot="1" x14ac:dyDescent="0.25">
      <c r="A10" s="39">
        <v>46</v>
      </c>
      <c r="B10" s="40" t="s">
        <v>112</v>
      </c>
      <c r="C10" s="41">
        <v>82</v>
      </c>
      <c r="D10" s="51"/>
      <c r="E10" s="26">
        <f>'AT04'!G13</f>
        <v>0</v>
      </c>
    </row>
    <row r="11" spans="1:5" s="40" customFormat="1" ht="12.75" thickBot="1" x14ac:dyDescent="0.25">
      <c r="A11" s="39">
        <v>50</v>
      </c>
      <c r="B11" s="40" t="s">
        <v>106</v>
      </c>
      <c r="C11" s="41">
        <v>167</v>
      </c>
      <c r="D11" s="51"/>
      <c r="E11" s="44">
        <f>E84</f>
        <v>0</v>
      </c>
    </row>
    <row r="12" spans="1:5" s="40" customFormat="1" ht="12.75" thickBot="1" x14ac:dyDescent="0.25">
      <c r="A12" s="39"/>
      <c r="B12" s="40" t="s">
        <v>107</v>
      </c>
      <c r="C12" s="41">
        <v>747</v>
      </c>
      <c r="D12" s="51"/>
      <c r="E12" s="44">
        <f>E11</f>
        <v>0</v>
      </c>
    </row>
    <row r="13" spans="1:5" ht="12.75" thickBot="1" x14ac:dyDescent="0.25">
      <c r="A13" s="6">
        <v>53</v>
      </c>
      <c r="B13" s="3" t="s">
        <v>9</v>
      </c>
      <c r="C13" s="8">
        <v>305</v>
      </c>
      <c r="E13" s="26">
        <f>-E10-E12</f>
        <v>0</v>
      </c>
    </row>
    <row r="14" spans="1:5" ht="12.75" thickBot="1" x14ac:dyDescent="0.25">
      <c r="A14" s="6">
        <f>IF(E13&gt;0,57,54)</f>
        <v>54</v>
      </c>
      <c r="B14" s="3" t="str">
        <f>IF(E13&gt;0,"Impuesto Adeudado","SALDO A FAVOR")</f>
        <v>SALDO A FAVOR</v>
      </c>
      <c r="C14" s="8">
        <f>IF(E13&gt;0,90,85)</f>
        <v>85</v>
      </c>
      <c r="E14" s="26">
        <f>ABS(E13)</f>
        <v>0</v>
      </c>
    </row>
    <row r="15" spans="1:5" ht="12.75" thickBot="1" x14ac:dyDescent="0.25">
      <c r="A15" s="6" t="str">
        <f>IF(E13&gt;0,58,"")</f>
        <v/>
      </c>
      <c r="B15" s="9" t="str">
        <f>IF($E$13&gt;0,0.6%,"")</f>
        <v/>
      </c>
      <c r="C15" s="8" t="str">
        <f>IF($E$13&gt;0,39,"")</f>
        <v/>
      </c>
      <c r="E15" s="26" t="str">
        <f>IF($E$13&gt;0,ROUND(B15*E14,0),"")</f>
        <v/>
      </c>
    </row>
    <row r="16" spans="1:5" ht="12.75" thickBot="1" x14ac:dyDescent="0.25">
      <c r="A16" s="6">
        <f>IF(E13&gt;0,59,56)</f>
        <v>56</v>
      </c>
      <c r="B16" s="3" t="str">
        <f>IF($E$13&gt;0,"TOTAL A PAGAR","DEVOLUCION SOLICITADA")</f>
        <v>DEVOLUCION SOLICITADA</v>
      </c>
      <c r="C16" s="8">
        <f>IF($E$13&gt;0,91,87)</f>
        <v>87</v>
      </c>
      <c r="E16" s="26">
        <f>SUM(E14:E15)</f>
        <v>0</v>
      </c>
    </row>
    <row r="17" spans="1:7" ht="12.75" thickBot="1" x14ac:dyDescent="0.25">
      <c r="B17" s="3" t="str">
        <f>IF($E$13&gt;0,"","Nombre Institución Bancaria")</f>
        <v>Nombre Institución Bancaria</v>
      </c>
      <c r="C17" s="8">
        <f>IF($E$13&gt;0,"",301)</f>
        <v>301</v>
      </c>
      <c r="E17" s="54" t="s">
        <v>116</v>
      </c>
    </row>
    <row r="18" spans="1:7" ht="12.75" thickBot="1" x14ac:dyDescent="0.25">
      <c r="B18" s="3" t="str">
        <f>IF($E$13&gt;0,"","Número de Cuenta")</f>
        <v>Número de Cuenta</v>
      </c>
      <c r="C18" s="8">
        <f>IF($E$13&gt;0,"",306)</f>
        <v>306</v>
      </c>
      <c r="E18" s="54">
        <v>12778451</v>
      </c>
    </row>
    <row r="19" spans="1:7" x14ac:dyDescent="0.2">
      <c r="C19" s="10"/>
      <c r="E19" s="26"/>
    </row>
    <row r="20" spans="1:7" ht="12.75" thickBot="1" x14ac:dyDescent="0.25">
      <c r="A20" s="5" t="s">
        <v>10</v>
      </c>
    </row>
    <row r="21" spans="1:7" ht="12.75" thickBot="1" x14ac:dyDescent="0.25">
      <c r="B21" s="3" t="s">
        <v>11</v>
      </c>
      <c r="C21" s="8" t="s">
        <v>12</v>
      </c>
      <c r="E21" s="25" t="s">
        <v>13</v>
      </c>
    </row>
    <row r="22" spans="1:7" ht="12.75" thickBot="1" x14ac:dyDescent="0.25">
      <c r="B22" s="3" t="s">
        <v>14</v>
      </c>
      <c r="C22" s="8" t="s">
        <v>15</v>
      </c>
      <c r="E22" s="25" t="s">
        <v>16</v>
      </c>
    </row>
    <row r="23" spans="1:7" ht="12.75" thickBot="1" x14ac:dyDescent="0.25">
      <c r="B23" s="3" t="s">
        <v>17</v>
      </c>
      <c r="C23" s="8">
        <v>53</v>
      </c>
      <c r="E23" s="6">
        <v>13</v>
      </c>
    </row>
    <row r="24" spans="1:7" ht="12.75" thickBot="1" x14ac:dyDescent="0.25">
      <c r="B24" s="3" t="s">
        <v>18</v>
      </c>
      <c r="C24" s="8">
        <v>13</v>
      </c>
      <c r="E24" s="62" t="s">
        <v>117</v>
      </c>
    </row>
    <row r="25" spans="1:7" ht="12.75" thickBot="1" x14ac:dyDescent="0.25">
      <c r="B25" s="3" t="s">
        <v>19</v>
      </c>
      <c r="C25" s="8">
        <v>14</v>
      </c>
      <c r="E25" s="63">
        <v>61911</v>
      </c>
    </row>
    <row r="26" spans="1:7" ht="12.75" thickBot="1" x14ac:dyDescent="0.25">
      <c r="B26" s="3" t="s">
        <v>20</v>
      </c>
      <c r="C26" s="8" t="s">
        <v>21</v>
      </c>
      <c r="E26" s="29" t="s">
        <v>79</v>
      </c>
    </row>
    <row r="27" spans="1:7" ht="12.75" thickBot="1" x14ac:dyDescent="0.25">
      <c r="B27" s="3" t="s">
        <v>22</v>
      </c>
      <c r="C27" s="8">
        <v>48</v>
      </c>
      <c r="E27" s="29" t="s">
        <v>88</v>
      </c>
    </row>
    <row r="28" spans="1:7" ht="12.75" thickBot="1" x14ac:dyDescent="0.25">
      <c r="B28" s="3" t="s">
        <v>23</v>
      </c>
      <c r="C28" s="8">
        <v>55</v>
      </c>
      <c r="E28" s="66" t="s">
        <v>145</v>
      </c>
    </row>
    <row r="29" spans="1:7" ht="12.75" thickBot="1" x14ac:dyDescent="0.25">
      <c r="B29" s="3" t="s">
        <v>24</v>
      </c>
      <c r="C29" s="8">
        <v>614</v>
      </c>
      <c r="E29" s="6" t="s">
        <v>25</v>
      </c>
    </row>
    <row r="31" spans="1:7" ht="12.75" thickBot="1" x14ac:dyDescent="0.25">
      <c r="A31" s="5" t="s">
        <v>138</v>
      </c>
      <c r="B31" s="3" t="s">
        <v>27</v>
      </c>
      <c r="E31" s="31"/>
    </row>
    <row r="32" spans="1:7" ht="12.75" thickBot="1" x14ac:dyDescent="0.25">
      <c r="A32" s="5"/>
      <c r="B32" s="3" t="s">
        <v>28</v>
      </c>
      <c r="C32" s="8">
        <v>628</v>
      </c>
      <c r="D32" s="50" t="s">
        <v>125</v>
      </c>
      <c r="E32" s="60">
        <v>2570138933.1111112</v>
      </c>
      <c r="G32" s="24" t="s">
        <v>101</v>
      </c>
    </row>
    <row r="33" spans="1:9" ht="12.75" thickBot="1" x14ac:dyDescent="0.25">
      <c r="A33" s="5"/>
      <c r="B33" s="3" t="s">
        <v>29</v>
      </c>
      <c r="C33" s="8">
        <v>629</v>
      </c>
      <c r="D33" s="50" t="s">
        <v>125</v>
      </c>
      <c r="E33" s="60">
        <v>0</v>
      </c>
      <c r="G33" s="24" t="s">
        <v>83</v>
      </c>
    </row>
    <row r="34" spans="1:9" ht="12.75" thickBot="1" x14ac:dyDescent="0.25">
      <c r="A34" s="5"/>
      <c r="B34" s="3" t="s">
        <v>30</v>
      </c>
      <c r="C34" s="8">
        <v>651</v>
      </c>
      <c r="D34" s="50" t="s">
        <v>125</v>
      </c>
      <c r="E34" s="60">
        <v>546953</v>
      </c>
      <c r="G34" s="49"/>
    </row>
    <row r="35" spans="1:9" ht="12.75" thickBot="1" x14ac:dyDescent="0.25">
      <c r="A35" s="5"/>
      <c r="B35" s="3" t="s">
        <v>31</v>
      </c>
      <c r="C35" s="8">
        <v>630</v>
      </c>
      <c r="D35" s="50" t="s">
        <v>126</v>
      </c>
      <c r="E35" s="60">
        <f>1436093994-4571908</f>
        <v>1431522086</v>
      </c>
      <c r="G35" s="24" t="s">
        <v>80</v>
      </c>
    </row>
    <row r="36" spans="1:9" ht="12.75" thickBot="1" x14ac:dyDescent="0.25">
      <c r="A36" s="5"/>
      <c r="B36" s="3" t="s">
        <v>32</v>
      </c>
      <c r="C36" s="8">
        <v>631</v>
      </c>
      <c r="D36" s="50" t="s">
        <v>126</v>
      </c>
      <c r="E36" s="60">
        <f>640862048+7778916+7912351</f>
        <v>656553315</v>
      </c>
      <c r="G36" s="24" t="s">
        <v>81</v>
      </c>
    </row>
    <row r="37" spans="1:9" ht="12.75" thickBot="1" x14ac:dyDescent="0.25">
      <c r="A37" s="5"/>
      <c r="B37" s="3" t="s">
        <v>33</v>
      </c>
      <c r="C37" s="8">
        <v>632</v>
      </c>
      <c r="D37" s="50" t="s">
        <v>126</v>
      </c>
      <c r="E37" s="60">
        <f>712224+4781317+931698+3232471+3289610</f>
        <v>12947320</v>
      </c>
      <c r="G37" s="24" t="s">
        <v>82</v>
      </c>
    </row>
    <row r="38" spans="1:9" ht="12.75" thickBot="1" x14ac:dyDescent="0.25">
      <c r="A38" s="5"/>
      <c r="B38" s="3" t="s">
        <v>34</v>
      </c>
      <c r="C38" s="8">
        <v>633</v>
      </c>
      <c r="D38" s="50" t="s">
        <v>126</v>
      </c>
      <c r="E38" s="60">
        <v>42863559</v>
      </c>
      <c r="G38" s="49"/>
    </row>
    <row r="39" spans="1:9" ht="12.75" thickBot="1" x14ac:dyDescent="0.25">
      <c r="A39" s="5"/>
      <c r="B39" s="3" t="s">
        <v>35</v>
      </c>
      <c r="C39" s="8">
        <v>635</v>
      </c>
      <c r="D39" s="50" t="s">
        <v>126</v>
      </c>
      <c r="E39" s="69">
        <f>SUM(E32:E34)-SUM(E35:E38)-E41+E42-'AT04'!G12</f>
        <v>592928199.11111116</v>
      </c>
      <c r="G39" s="24" t="s">
        <v>120</v>
      </c>
    </row>
    <row r="40" spans="1:9" ht="12.75" thickBot="1" x14ac:dyDescent="0.25">
      <c r="A40" s="5"/>
      <c r="B40" s="11" t="s">
        <v>36</v>
      </c>
      <c r="C40" s="8">
        <v>636</v>
      </c>
      <c r="D40" s="52" t="s">
        <v>127</v>
      </c>
      <c r="E40" s="70">
        <f>SUM(E32:E34)-SUM(E35:E39)</f>
        <v>-166128593</v>
      </c>
    </row>
    <row r="41" spans="1:9" ht="12.75" thickBot="1" x14ac:dyDescent="0.25">
      <c r="A41" s="5"/>
      <c r="B41" s="3" t="s">
        <v>37</v>
      </c>
      <c r="C41" s="8">
        <v>637</v>
      </c>
      <c r="D41" s="50" t="s">
        <v>126</v>
      </c>
      <c r="E41" s="60">
        <v>8700416</v>
      </c>
      <c r="G41" s="24" t="s">
        <v>82</v>
      </c>
    </row>
    <row r="42" spans="1:9" ht="12.75" thickBot="1" x14ac:dyDescent="0.25">
      <c r="A42" s="5"/>
      <c r="B42" s="3" t="s">
        <v>38</v>
      </c>
      <c r="C42" s="8">
        <v>638</v>
      </c>
      <c r="D42" s="50" t="s">
        <v>125</v>
      </c>
      <c r="E42" s="60">
        <v>10757574</v>
      </c>
      <c r="G42" s="24" t="s">
        <v>83</v>
      </c>
      <c r="H42" s="65"/>
      <c r="I42" s="65"/>
    </row>
    <row r="43" spans="1:9" ht="12.75" thickBot="1" x14ac:dyDescent="0.25">
      <c r="A43" s="5"/>
      <c r="B43" s="3" t="s">
        <v>39</v>
      </c>
      <c r="C43" s="8">
        <v>639</v>
      </c>
      <c r="D43" s="50" t="s">
        <v>125</v>
      </c>
      <c r="E43" s="69">
        <f>'AT04'!G13</f>
        <v>0</v>
      </c>
      <c r="I43" s="65"/>
    </row>
    <row r="44" spans="1:9" ht="12.75" thickBot="1" x14ac:dyDescent="0.25">
      <c r="A44" s="5"/>
      <c r="B44" s="3" t="s">
        <v>40</v>
      </c>
      <c r="C44" s="8">
        <v>634</v>
      </c>
      <c r="D44" s="50" t="s">
        <v>126</v>
      </c>
      <c r="E44" s="69">
        <f>-'AT04'!G10</f>
        <v>2263039692</v>
      </c>
    </row>
    <row r="45" spans="1:9" ht="12.75" thickBot="1" x14ac:dyDescent="0.25">
      <c r="A45" s="5"/>
      <c r="B45" s="3" t="s">
        <v>41</v>
      </c>
      <c r="C45" s="8">
        <v>640</v>
      </c>
      <c r="D45" s="50" t="s">
        <v>126</v>
      </c>
      <c r="E45" s="60">
        <v>0</v>
      </c>
    </row>
    <row r="46" spans="1:9" ht="12.75" thickBot="1" x14ac:dyDescent="0.25">
      <c r="A46" s="5"/>
      <c r="B46" s="3" t="s">
        <v>42</v>
      </c>
      <c r="C46" s="8">
        <v>641</v>
      </c>
      <c r="D46" s="50" t="s">
        <v>126</v>
      </c>
      <c r="E46" s="60">
        <v>0</v>
      </c>
    </row>
    <row r="47" spans="1:9" ht="12.75" thickBot="1" x14ac:dyDescent="0.25">
      <c r="A47" s="5"/>
      <c r="B47" s="3" t="s">
        <v>43</v>
      </c>
      <c r="C47" s="8">
        <v>642</v>
      </c>
      <c r="D47" s="50" t="s">
        <v>126</v>
      </c>
      <c r="E47" s="69">
        <f>-'AT04'!G16</f>
        <v>0</v>
      </c>
      <c r="H47" s="65"/>
    </row>
    <row r="48" spans="1:9" ht="12.75" thickBot="1" x14ac:dyDescent="0.25">
      <c r="A48" s="5"/>
      <c r="B48" s="11" t="s">
        <v>44</v>
      </c>
      <c r="C48" s="8">
        <v>643</v>
      </c>
      <c r="D48" s="52" t="s">
        <v>127</v>
      </c>
      <c r="E48" s="70">
        <f>E40-E41+E42+E43-SUM(E44:E47)</f>
        <v>-2427111127</v>
      </c>
      <c r="H48" s="65"/>
    </row>
    <row r="49" spans="1:8" ht="12.75" thickBot="1" x14ac:dyDescent="0.25">
      <c r="A49" s="5"/>
      <c r="B49" s="3" t="s">
        <v>45</v>
      </c>
      <c r="C49" s="8">
        <v>644</v>
      </c>
      <c r="E49" s="69"/>
      <c r="H49" s="65"/>
    </row>
    <row r="50" spans="1:8" x14ac:dyDescent="0.2">
      <c r="E50" s="69"/>
    </row>
    <row r="51" spans="1:8" ht="12.75" thickBot="1" x14ac:dyDescent="0.25">
      <c r="A51" s="5" t="s">
        <v>26</v>
      </c>
      <c r="B51" s="3" t="s">
        <v>47</v>
      </c>
      <c r="E51" s="69"/>
    </row>
    <row r="52" spans="1:8" ht="12.75" thickBot="1" x14ac:dyDescent="0.25">
      <c r="B52" s="3" t="s">
        <v>48</v>
      </c>
      <c r="C52" s="8">
        <v>101</v>
      </c>
      <c r="E52" s="60">
        <v>1431</v>
      </c>
      <c r="G52" s="24" t="s">
        <v>84</v>
      </c>
    </row>
    <row r="53" spans="1:8" ht="12.75" thickBot="1" x14ac:dyDescent="0.25">
      <c r="B53" s="3" t="s">
        <v>49</v>
      </c>
      <c r="C53" s="8">
        <v>129</v>
      </c>
      <c r="E53" s="60">
        <f>797222280-94869</f>
        <v>797127411</v>
      </c>
      <c r="G53" s="24" t="s">
        <v>84</v>
      </c>
    </row>
    <row r="54" spans="1:8" ht="12.75" thickBot="1" x14ac:dyDescent="0.25">
      <c r="B54" s="3" t="s">
        <v>50</v>
      </c>
      <c r="C54" s="8">
        <v>122</v>
      </c>
      <c r="E54" s="60">
        <f>E55-164071435</f>
        <v>2552179585</v>
      </c>
      <c r="G54" s="24" t="s">
        <v>99</v>
      </c>
    </row>
    <row r="55" spans="1:8" ht="12.75" thickBot="1" x14ac:dyDescent="0.25">
      <c r="B55" s="3" t="s">
        <v>51</v>
      </c>
      <c r="C55" s="8">
        <v>123</v>
      </c>
      <c r="E55" s="60">
        <v>2716251020</v>
      </c>
      <c r="G55" s="24" t="s">
        <v>100</v>
      </c>
    </row>
    <row r="56" spans="1:8" ht="12.75" thickBot="1" x14ac:dyDescent="0.25">
      <c r="B56" s="3" t="s">
        <v>52</v>
      </c>
      <c r="C56" s="8">
        <v>102</v>
      </c>
      <c r="E56" s="60">
        <f>2552179585-37390904-28905866-22479094-142970667</f>
        <v>2320433054</v>
      </c>
      <c r="G56" s="24" t="s">
        <v>110</v>
      </c>
    </row>
    <row r="57" spans="1:8" ht="12.75" thickBot="1" x14ac:dyDescent="0.25">
      <c r="B57" s="3" t="s">
        <v>53</v>
      </c>
      <c r="C57" s="8">
        <v>645</v>
      </c>
      <c r="E57" s="60">
        <f>+E56-1664616786</f>
        <v>655816268</v>
      </c>
      <c r="G57" s="24" t="s">
        <v>102</v>
      </c>
    </row>
    <row r="58" spans="1:8" ht="12.75" thickBot="1" x14ac:dyDescent="0.25">
      <c r="B58" s="3" t="s">
        <v>54</v>
      </c>
      <c r="C58" s="8">
        <v>646</v>
      </c>
      <c r="E58" s="32"/>
    </row>
    <row r="59" spans="1:8" ht="12.75" thickBot="1" x14ac:dyDescent="0.25">
      <c r="B59" s="3" t="s">
        <v>55</v>
      </c>
      <c r="C59" s="8">
        <v>647</v>
      </c>
      <c r="E59" s="60">
        <f>2833001+3327473+23480921+6329235+27978995+13136406-792167-2502820-13136938-2826783-6357548-3289610</f>
        <v>48180165</v>
      </c>
      <c r="G59" s="24" t="s">
        <v>143</v>
      </c>
    </row>
    <row r="60" spans="1:8" ht="12.75" thickBot="1" x14ac:dyDescent="0.25">
      <c r="B60" s="3" t="s">
        <v>56</v>
      </c>
      <c r="C60" s="8">
        <v>648</v>
      </c>
      <c r="E60" s="60">
        <v>22382134</v>
      </c>
    </row>
    <row r="61" spans="1:8" ht="12.75" thickBot="1" x14ac:dyDescent="0.25">
      <c r="B61" s="3" t="s">
        <v>146</v>
      </c>
      <c r="C61" s="8">
        <v>784</v>
      </c>
      <c r="E61" s="67">
        <f>3336663+9328460+219265+5833876</f>
        <v>18718264</v>
      </c>
    </row>
    <row r="62" spans="1:8" ht="12.75" thickBot="1" x14ac:dyDescent="0.25">
      <c r="B62" s="3" t="s">
        <v>150</v>
      </c>
      <c r="C62" s="8">
        <v>778</v>
      </c>
      <c r="E62" s="60">
        <f>1010823475+127019915+4526150+11802541+90430493+2641665+114903981</f>
        <v>1362148220</v>
      </c>
    </row>
    <row r="63" spans="1:8" ht="12.75" thickBot="1" x14ac:dyDescent="0.25">
      <c r="B63" s="3" t="s">
        <v>151</v>
      </c>
      <c r="C63" s="8">
        <v>779</v>
      </c>
      <c r="E63" s="60">
        <f>180269970+102275921+505320580+26358220+192336398</f>
        <v>1006561089</v>
      </c>
    </row>
    <row r="64" spans="1:8" x14ac:dyDescent="0.2">
      <c r="E64" s="35"/>
    </row>
    <row r="65" spans="1:10" ht="12.75" thickBot="1" x14ac:dyDescent="0.25">
      <c r="A65" s="6" t="s">
        <v>57</v>
      </c>
      <c r="B65" s="3" t="s">
        <v>58</v>
      </c>
    </row>
    <row r="66" spans="1:10" ht="12.75" thickBot="1" x14ac:dyDescent="0.25">
      <c r="B66" s="3" t="s">
        <v>147</v>
      </c>
      <c r="C66" s="8">
        <v>774</v>
      </c>
      <c r="D66" s="50" t="s">
        <v>125</v>
      </c>
      <c r="E66" s="36">
        <v>0</v>
      </c>
    </row>
    <row r="67" spans="1:10" ht="12.75" thickBot="1" x14ac:dyDescent="0.25">
      <c r="B67" s="3" t="s">
        <v>148</v>
      </c>
      <c r="C67" s="8">
        <v>775</v>
      </c>
      <c r="D67" s="50" t="s">
        <v>125</v>
      </c>
      <c r="E67" s="36">
        <v>0</v>
      </c>
    </row>
    <row r="68" spans="1:10" ht="12.75" thickBot="1" x14ac:dyDescent="0.25">
      <c r="B68" s="3" t="s">
        <v>60</v>
      </c>
      <c r="C68" s="8">
        <v>284</v>
      </c>
      <c r="D68" s="50" t="s">
        <v>126</v>
      </c>
      <c r="E68" s="31">
        <f>-'AT04'!G26</f>
        <v>2087224458</v>
      </c>
    </row>
    <row r="69" spans="1:10" ht="12.75" thickBot="1" x14ac:dyDescent="0.25">
      <c r="B69" s="3" t="s">
        <v>61</v>
      </c>
      <c r="C69" s="8">
        <v>225</v>
      </c>
      <c r="D69" s="50" t="s">
        <v>125</v>
      </c>
      <c r="E69" s="26">
        <f>MAX(E48,0)</f>
        <v>0</v>
      </c>
    </row>
    <row r="70" spans="1:10" ht="12.75" thickBot="1" x14ac:dyDescent="0.25">
      <c r="B70" s="3" t="s">
        <v>62</v>
      </c>
      <c r="C70" s="8">
        <v>229</v>
      </c>
      <c r="D70" s="50" t="s">
        <v>126</v>
      </c>
      <c r="E70" s="26">
        <f>-MIN(E48,0)</f>
        <v>2427111127</v>
      </c>
      <c r="J70" s="65"/>
    </row>
    <row r="71" spans="1:10" ht="12.75" thickBot="1" x14ac:dyDescent="0.25">
      <c r="B71" s="3" t="s">
        <v>63</v>
      </c>
      <c r="C71" s="8">
        <v>623</v>
      </c>
      <c r="D71" s="50" t="s">
        <v>126</v>
      </c>
      <c r="E71" s="36"/>
      <c r="H71" s="65"/>
      <c r="J71" s="65"/>
    </row>
    <row r="72" spans="1:10" ht="12.75" thickBot="1" x14ac:dyDescent="0.25">
      <c r="B72" s="3" t="s">
        <v>64</v>
      </c>
      <c r="C72" s="8">
        <v>624</v>
      </c>
      <c r="D72" s="50" t="s">
        <v>126</v>
      </c>
      <c r="E72" s="26">
        <f>E43</f>
        <v>0</v>
      </c>
    </row>
    <row r="73" spans="1:10" ht="12.75" thickBot="1" x14ac:dyDescent="0.25">
      <c r="B73" s="3" t="s">
        <v>65</v>
      </c>
      <c r="C73" s="8">
        <v>227</v>
      </c>
      <c r="D73" s="50" t="s">
        <v>125</v>
      </c>
      <c r="E73" s="36"/>
    </row>
    <row r="74" spans="1:10" ht="12.75" thickBot="1" x14ac:dyDescent="0.25">
      <c r="B74" s="3" t="s">
        <v>152</v>
      </c>
      <c r="C74" s="8">
        <v>782</v>
      </c>
      <c r="D74" s="50" t="s">
        <v>125</v>
      </c>
      <c r="E74" s="71">
        <f>'AT04'!G36</f>
        <v>2263039692</v>
      </c>
    </row>
    <row r="75" spans="1:10" ht="12.75" thickBot="1" x14ac:dyDescent="0.25">
      <c r="B75" s="3" t="s">
        <v>149</v>
      </c>
      <c r="C75" s="8">
        <v>791</v>
      </c>
      <c r="D75" s="50" t="s">
        <v>125</v>
      </c>
      <c r="E75" s="26">
        <v>0</v>
      </c>
    </row>
    <row r="76" spans="1:10" ht="12.75" thickBot="1" x14ac:dyDescent="0.25">
      <c r="B76" s="3" t="s">
        <v>67</v>
      </c>
      <c r="C76" s="8">
        <v>275</v>
      </c>
      <c r="D76" s="50" t="s">
        <v>126</v>
      </c>
      <c r="E76" s="36"/>
    </row>
    <row r="77" spans="1:10" ht="12.75" thickBot="1" x14ac:dyDescent="0.25">
      <c r="B77" s="3" t="s">
        <v>68</v>
      </c>
      <c r="C77" s="8">
        <v>226</v>
      </c>
      <c r="D77" s="50" t="s">
        <v>126</v>
      </c>
      <c r="E77" s="36">
        <v>0</v>
      </c>
    </row>
    <row r="78" spans="1:10" ht="12.75" thickBot="1" x14ac:dyDescent="0.25">
      <c r="B78" s="11" t="s">
        <v>69</v>
      </c>
      <c r="C78" s="8">
        <v>231</v>
      </c>
      <c r="D78" s="52" t="s">
        <v>127</v>
      </c>
      <c r="E78" s="37">
        <v>0</v>
      </c>
    </row>
    <row r="79" spans="1:10" ht="12.75" thickBot="1" x14ac:dyDescent="0.25">
      <c r="B79" s="3" t="s">
        <v>70</v>
      </c>
      <c r="C79" s="8">
        <v>318</v>
      </c>
      <c r="D79" s="50" t="s">
        <v>127</v>
      </c>
      <c r="E79" s="36">
        <v>0</v>
      </c>
    </row>
    <row r="80" spans="1:10" ht="12.75" thickBot="1" x14ac:dyDescent="0.25">
      <c r="B80" s="3" t="s">
        <v>71</v>
      </c>
      <c r="C80" s="8">
        <v>232</v>
      </c>
      <c r="D80" s="50" t="s">
        <v>127</v>
      </c>
      <c r="E80" s="26">
        <f>+E78+E79-(E67-E68+E69-E70-E71-E72+E73+E74+E75-E76-E77)</f>
        <v>2251295893</v>
      </c>
    </row>
    <row r="81" spans="2:7" ht="12.75" thickBot="1" x14ac:dyDescent="0.25">
      <c r="B81" s="11" t="s">
        <v>72</v>
      </c>
      <c r="C81" s="8">
        <v>320</v>
      </c>
      <c r="D81" s="52"/>
      <c r="E81" s="38"/>
    </row>
    <row r="82" spans="2:7" ht="12.75" thickBot="1" x14ac:dyDescent="0.25">
      <c r="B82" s="3" t="s">
        <v>73</v>
      </c>
      <c r="C82" s="8">
        <v>228</v>
      </c>
      <c r="E82" s="36">
        <v>0</v>
      </c>
    </row>
    <row r="83" spans="2:7" ht="12.75" thickBot="1" x14ac:dyDescent="0.25">
      <c r="B83" s="11" t="s">
        <v>74</v>
      </c>
      <c r="C83" s="8">
        <v>625</v>
      </c>
      <c r="D83" s="52"/>
      <c r="E83" s="37">
        <v>0</v>
      </c>
      <c r="G83" s="24" t="s">
        <v>85</v>
      </c>
    </row>
    <row r="84" spans="2:7" ht="12.75" thickBot="1" x14ac:dyDescent="0.25">
      <c r="B84" s="3" t="s">
        <v>75</v>
      </c>
      <c r="C84" s="8">
        <v>626</v>
      </c>
      <c r="E84" s="36">
        <v>0</v>
      </c>
      <c r="G84" s="24" t="s">
        <v>86</v>
      </c>
    </row>
    <row r="85" spans="2:7" ht="12.75" thickBot="1" x14ac:dyDescent="0.25">
      <c r="B85" s="3" t="s">
        <v>76</v>
      </c>
      <c r="C85" s="8">
        <v>627</v>
      </c>
      <c r="E85" s="26">
        <f>E84</f>
        <v>0</v>
      </c>
      <c r="G85" s="24" t="s">
        <v>87</v>
      </c>
    </row>
    <row r="86" spans="2:7" ht="12.75" thickBot="1" x14ac:dyDescent="0.25"/>
    <row r="87" spans="2:7" ht="12.75" thickBot="1" x14ac:dyDescent="0.25">
      <c r="B87" s="3" t="s">
        <v>77</v>
      </c>
      <c r="C87" s="8">
        <v>650</v>
      </c>
      <c r="E87" s="28" t="s">
        <v>89</v>
      </c>
    </row>
    <row r="88" spans="2:7" ht="12.75" thickBot="1" x14ac:dyDescent="0.25">
      <c r="B88" s="3" t="s">
        <v>78</v>
      </c>
      <c r="C88" s="8">
        <v>903</v>
      </c>
      <c r="E88" s="28" t="s">
        <v>89</v>
      </c>
    </row>
  </sheetData>
  <phoneticPr fontId="0" type="noConversion"/>
  <pageMargins left="0.39370078740157483" right="0.19685039370078741" top="0.59055118110236227" bottom="0.39370078740157483" header="0.51181102362204722" footer="0.51181102362204722"/>
  <pageSetup scale="90" fitToHeight="2" orientation="landscape" horizontalDpi="360" verticalDpi="360" copies="0" r:id="rId1"/>
  <headerFooter alignWithMargins="0"/>
  <rowBreaks count="1" manualBreakCount="1">
    <brk id="50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H83"/>
  <sheetViews>
    <sheetView topLeftCell="A48" workbookViewId="0">
      <selection activeCell="E54" sqref="E54"/>
    </sheetView>
  </sheetViews>
  <sheetFormatPr baseColWidth="10" defaultColWidth="9.140625" defaultRowHeight="12" x14ac:dyDescent="0.2"/>
  <cols>
    <col min="1" max="1" width="13.85546875" style="6" customWidth="1"/>
    <col min="2" max="2" width="45" style="3" customWidth="1"/>
    <col min="3" max="3" width="5.28515625" style="4" customWidth="1"/>
    <col min="4" max="4" width="1.85546875" style="50" customWidth="1"/>
    <col min="5" max="5" width="23" style="25" customWidth="1"/>
    <col min="6" max="6" width="3" style="3" customWidth="1"/>
    <col min="7" max="7" width="11.5703125" style="24" customWidth="1"/>
    <col min="8" max="8" width="12.5703125" style="3" customWidth="1"/>
    <col min="9" max="16384" width="9.140625" style="3"/>
  </cols>
  <sheetData>
    <row r="1" spans="1:5" s="55" customFormat="1" ht="12.75" x14ac:dyDescent="0.2">
      <c r="A1" s="56" t="s">
        <v>115</v>
      </c>
      <c r="D1" s="56"/>
    </row>
    <row r="2" spans="1:5" s="55" customFormat="1" ht="12.75" x14ac:dyDescent="0.2">
      <c r="A2" s="56" t="s">
        <v>114</v>
      </c>
      <c r="D2" s="56"/>
    </row>
    <row r="3" spans="1:5" ht="12.75" x14ac:dyDescent="0.2">
      <c r="A3" s="2" t="str">
        <f>'AT03'!A3</f>
        <v>AÑO TRIBUTARIO 2003</v>
      </c>
    </row>
    <row r="4" spans="1:5" x14ac:dyDescent="0.2">
      <c r="A4" s="5" t="s">
        <v>0</v>
      </c>
    </row>
    <row r="5" spans="1:5" ht="12.75" thickBot="1" x14ac:dyDescent="0.25">
      <c r="A5" s="6" t="s">
        <v>1</v>
      </c>
      <c r="B5" s="3" t="s">
        <v>2</v>
      </c>
      <c r="C5" s="7" t="s">
        <v>3</v>
      </c>
      <c r="E5" s="6" t="s">
        <v>4</v>
      </c>
    </row>
    <row r="6" spans="1:5" ht="12.75" thickBot="1" x14ac:dyDescent="0.25">
      <c r="B6" s="3" t="s">
        <v>5</v>
      </c>
      <c r="C6" s="8" t="s">
        <v>6</v>
      </c>
      <c r="E6" s="25" t="str">
        <f>A2</f>
        <v>86.132.100-2</v>
      </c>
    </row>
    <row r="7" spans="1:5" ht="12.75" thickBot="1" x14ac:dyDescent="0.25">
      <c r="B7" s="3" t="s">
        <v>7</v>
      </c>
      <c r="C7" s="8" t="s">
        <v>8</v>
      </c>
      <c r="E7" s="25" t="str">
        <f>A1</f>
        <v>DEMARKA S.A.</v>
      </c>
    </row>
    <row r="8" spans="1:5" s="40" customFormat="1" ht="12.75" thickBot="1" x14ac:dyDescent="0.25">
      <c r="A8" s="39">
        <v>34</v>
      </c>
      <c r="B8" s="40" t="s">
        <v>104</v>
      </c>
      <c r="C8" s="41">
        <v>18</v>
      </c>
      <c r="D8" s="51"/>
      <c r="E8" s="44" t="str">
        <f>IF(E48&gt;0,E48,"PERDIDA")</f>
        <v>PERDIDA</v>
      </c>
    </row>
    <row r="9" spans="1:5" s="40" customFormat="1" ht="12.75" thickBot="1" x14ac:dyDescent="0.25">
      <c r="A9" s="39"/>
      <c r="B9" s="40" t="s">
        <v>105</v>
      </c>
      <c r="C9" s="41">
        <v>20</v>
      </c>
      <c r="D9" s="51"/>
      <c r="E9" s="44">
        <f>MAX(ROUND(15%*E86,0),0)</f>
        <v>0</v>
      </c>
    </row>
    <row r="10" spans="1:5" s="40" customFormat="1" ht="12.75" thickBot="1" x14ac:dyDescent="0.25">
      <c r="A10" s="39">
        <v>46</v>
      </c>
      <c r="B10" s="40" t="s">
        <v>112</v>
      </c>
      <c r="C10" s="41">
        <v>82</v>
      </c>
      <c r="D10" s="51"/>
      <c r="E10" s="26">
        <f>'AT03'!G13</f>
        <v>4000000</v>
      </c>
    </row>
    <row r="11" spans="1:5" s="40" customFormat="1" ht="12.75" thickBot="1" x14ac:dyDescent="0.25">
      <c r="A11" s="39">
        <v>50</v>
      </c>
      <c r="B11" s="40" t="s">
        <v>106</v>
      </c>
      <c r="C11" s="41">
        <v>167</v>
      </c>
      <c r="D11" s="51"/>
      <c r="E11" s="44">
        <f>E79</f>
        <v>0</v>
      </c>
    </row>
    <row r="12" spans="1:5" s="40" customFormat="1" ht="12.75" thickBot="1" x14ac:dyDescent="0.25">
      <c r="A12" s="39"/>
      <c r="B12" s="40" t="s">
        <v>107</v>
      </c>
      <c r="C12" s="41">
        <v>747</v>
      </c>
      <c r="D12" s="51"/>
      <c r="E12" s="44">
        <f>E11</f>
        <v>0</v>
      </c>
    </row>
    <row r="13" spans="1:5" ht="12.75" thickBot="1" x14ac:dyDescent="0.25">
      <c r="A13" s="6">
        <v>53</v>
      </c>
      <c r="B13" s="3" t="s">
        <v>9</v>
      </c>
      <c r="C13" s="8">
        <v>305</v>
      </c>
      <c r="E13" s="26">
        <f>-E10-E12</f>
        <v>-4000000</v>
      </c>
    </row>
    <row r="14" spans="1:5" ht="12.75" thickBot="1" x14ac:dyDescent="0.25">
      <c r="A14" s="6">
        <f>IF(E13&gt;0,57,54)</f>
        <v>54</v>
      </c>
      <c r="B14" s="3" t="str">
        <f>IF(E13&gt;0,"Impuesto Adeudado","SALDO A FAVOR")</f>
        <v>SALDO A FAVOR</v>
      </c>
      <c r="C14" s="8">
        <f>IF(E13&gt;0,90,85)</f>
        <v>85</v>
      </c>
      <c r="E14" s="26">
        <f>ABS(E13)</f>
        <v>4000000</v>
      </c>
    </row>
    <row r="15" spans="1:5" ht="12.75" thickBot="1" x14ac:dyDescent="0.25">
      <c r="A15" s="6" t="str">
        <f>IF(E13&gt;0,58,"")</f>
        <v/>
      </c>
      <c r="B15" s="9" t="str">
        <f>IF($E$13&gt;0,0.6%,"")</f>
        <v/>
      </c>
      <c r="C15" s="8" t="str">
        <f>IF($E$13&gt;0,39,"")</f>
        <v/>
      </c>
      <c r="E15" s="26" t="str">
        <f>IF($E$13&gt;0,ROUND(B15*E14,0),"")</f>
        <v/>
      </c>
    </row>
    <row r="16" spans="1:5" ht="12.75" thickBot="1" x14ac:dyDescent="0.25">
      <c r="A16" s="6">
        <f>IF(E13&gt;0,59,56)</f>
        <v>56</v>
      </c>
      <c r="B16" s="3" t="str">
        <f>IF($E$13&gt;0,"TOTAL A PAGAR","DEVOLUCION SOLICITADA")</f>
        <v>DEVOLUCION SOLICITADA</v>
      </c>
      <c r="C16" s="8">
        <f>IF($E$13&gt;0,91,87)</f>
        <v>87</v>
      </c>
      <c r="E16" s="26">
        <f>SUM(E14:E15)</f>
        <v>4000000</v>
      </c>
    </row>
    <row r="17" spans="1:7" ht="12.75" thickBot="1" x14ac:dyDescent="0.25">
      <c r="B17" s="3" t="str">
        <f>IF($E$13&gt;0,"","Nombre Institución Bancaria")</f>
        <v>Nombre Institución Bancaria</v>
      </c>
      <c r="C17" s="8">
        <f>IF($E$13&gt;0,"",301)</f>
        <v>301</v>
      </c>
      <c r="E17" s="54" t="s">
        <v>116</v>
      </c>
    </row>
    <row r="18" spans="1:7" ht="12.75" thickBot="1" x14ac:dyDescent="0.25">
      <c r="B18" s="3" t="str">
        <f>IF($E$13&gt;0,"","Número de Cuenta")</f>
        <v>Número de Cuenta</v>
      </c>
      <c r="C18" s="8">
        <f>IF($E$13&gt;0,"",306)</f>
        <v>306</v>
      </c>
      <c r="E18" s="54">
        <v>12778451</v>
      </c>
    </row>
    <row r="19" spans="1:7" x14ac:dyDescent="0.2">
      <c r="C19" s="10"/>
      <c r="E19" s="26"/>
    </row>
    <row r="20" spans="1:7" ht="12.75" thickBot="1" x14ac:dyDescent="0.25">
      <c r="A20" s="5" t="s">
        <v>10</v>
      </c>
    </row>
    <row r="21" spans="1:7" ht="12.75" thickBot="1" x14ac:dyDescent="0.25">
      <c r="B21" s="3" t="s">
        <v>11</v>
      </c>
      <c r="C21" s="8" t="s">
        <v>12</v>
      </c>
      <c r="E21" s="25" t="s">
        <v>13</v>
      </c>
    </row>
    <row r="22" spans="1:7" ht="12.75" thickBot="1" x14ac:dyDescent="0.25">
      <c r="B22" s="3" t="s">
        <v>14</v>
      </c>
      <c r="C22" s="8" t="s">
        <v>15</v>
      </c>
      <c r="E22" s="25" t="s">
        <v>16</v>
      </c>
    </row>
    <row r="23" spans="1:7" ht="12.75" thickBot="1" x14ac:dyDescent="0.25">
      <c r="B23" s="3" t="s">
        <v>17</v>
      </c>
      <c r="C23" s="8">
        <v>53</v>
      </c>
      <c r="E23" s="6">
        <v>13</v>
      </c>
    </row>
    <row r="24" spans="1:7" ht="12.75" thickBot="1" x14ac:dyDescent="0.25">
      <c r="B24" s="3" t="s">
        <v>18</v>
      </c>
      <c r="C24" s="8">
        <v>13</v>
      </c>
      <c r="E24" s="62" t="s">
        <v>117</v>
      </c>
    </row>
    <row r="25" spans="1:7" ht="12.75" thickBot="1" x14ac:dyDescent="0.25">
      <c r="B25" s="3" t="s">
        <v>19</v>
      </c>
      <c r="C25" s="8">
        <v>14</v>
      </c>
      <c r="E25" s="63">
        <v>61911</v>
      </c>
    </row>
    <row r="26" spans="1:7" ht="12.75" thickBot="1" x14ac:dyDescent="0.25">
      <c r="B26" s="3" t="s">
        <v>20</v>
      </c>
      <c r="C26" s="8" t="s">
        <v>21</v>
      </c>
      <c r="E26" s="29" t="s">
        <v>79</v>
      </c>
    </row>
    <row r="27" spans="1:7" ht="12.75" thickBot="1" x14ac:dyDescent="0.25">
      <c r="B27" s="3" t="s">
        <v>22</v>
      </c>
      <c r="C27" s="8">
        <v>48</v>
      </c>
      <c r="E27" s="29" t="s">
        <v>88</v>
      </c>
    </row>
    <row r="28" spans="1:7" ht="12.75" thickBot="1" x14ac:dyDescent="0.25">
      <c r="B28" s="3" t="s">
        <v>23</v>
      </c>
      <c r="C28" s="8">
        <v>55</v>
      </c>
      <c r="E28" s="64" t="s">
        <v>118</v>
      </c>
    </row>
    <row r="29" spans="1:7" ht="12.75" thickBot="1" x14ac:dyDescent="0.25">
      <c r="B29" s="3" t="s">
        <v>24</v>
      </c>
      <c r="C29" s="8">
        <v>614</v>
      </c>
      <c r="E29" s="6" t="s">
        <v>25</v>
      </c>
    </row>
    <row r="31" spans="1:7" ht="12.75" thickBot="1" x14ac:dyDescent="0.25">
      <c r="A31" s="5" t="s">
        <v>138</v>
      </c>
      <c r="B31" s="3" t="s">
        <v>27</v>
      </c>
      <c r="E31" s="31"/>
    </row>
    <row r="32" spans="1:7" ht="12.75" thickBot="1" x14ac:dyDescent="0.25">
      <c r="A32" s="5"/>
      <c r="B32" s="3" t="s">
        <v>28</v>
      </c>
      <c r="C32" s="8">
        <v>628</v>
      </c>
      <c r="D32" s="50" t="s">
        <v>125</v>
      </c>
      <c r="E32" s="60">
        <v>2553817311</v>
      </c>
      <c r="G32" s="24" t="s">
        <v>101</v>
      </c>
    </row>
    <row r="33" spans="1:8" ht="12.75" thickBot="1" x14ac:dyDescent="0.25">
      <c r="A33" s="5"/>
      <c r="B33" s="3" t="s">
        <v>29</v>
      </c>
      <c r="C33" s="8">
        <v>629</v>
      </c>
      <c r="D33" s="50" t="s">
        <v>125</v>
      </c>
      <c r="E33" s="60">
        <v>0</v>
      </c>
      <c r="G33" s="24" t="s">
        <v>83</v>
      </c>
    </row>
    <row r="34" spans="1:8" ht="12.75" thickBot="1" x14ac:dyDescent="0.25">
      <c r="A34" s="5"/>
      <c r="B34" s="3" t="s">
        <v>30</v>
      </c>
      <c r="C34" s="8">
        <v>651</v>
      </c>
      <c r="D34" s="50" t="s">
        <v>125</v>
      </c>
      <c r="E34" s="60">
        <v>453883</v>
      </c>
      <c r="G34" s="49"/>
    </row>
    <row r="35" spans="1:8" ht="12.75" thickBot="1" x14ac:dyDescent="0.25">
      <c r="A35" s="5"/>
      <c r="B35" s="3" t="s">
        <v>31</v>
      </c>
      <c r="C35" s="8">
        <v>630</v>
      </c>
      <c r="D35" s="50" t="s">
        <v>126</v>
      </c>
      <c r="E35" s="60">
        <v>1258592049</v>
      </c>
      <c r="G35" s="24" t="s">
        <v>80</v>
      </c>
    </row>
    <row r="36" spans="1:8" ht="12.75" thickBot="1" x14ac:dyDescent="0.25">
      <c r="A36" s="5"/>
      <c r="B36" s="3" t="s">
        <v>32</v>
      </c>
      <c r="C36" s="8">
        <v>631</v>
      </c>
      <c r="D36" s="50" t="s">
        <v>126</v>
      </c>
      <c r="E36" s="60">
        <v>623627976</v>
      </c>
      <c r="G36" s="24" t="s">
        <v>81</v>
      </c>
    </row>
    <row r="37" spans="1:8" ht="12.75" thickBot="1" x14ac:dyDescent="0.25">
      <c r="A37" s="5"/>
      <c r="B37" s="3" t="s">
        <v>33</v>
      </c>
      <c r="C37" s="8">
        <v>632</v>
      </c>
      <c r="D37" s="50" t="s">
        <v>126</v>
      </c>
      <c r="E37" s="60">
        <v>11253896</v>
      </c>
      <c r="G37" s="24" t="s">
        <v>82</v>
      </c>
    </row>
    <row r="38" spans="1:8" ht="12.75" thickBot="1" x14ac:dyDescent="0.25">
      <c r="A38" s="5"/>
      <c r="B38" s="3" t="s">
        <v>34</v>
      </c>
      <c r="C38" s="8">
        <v>633</v>
      </c>
      <c r="D38" s="50" t="s">
        <v>126</v>
      </c>
      <c r="E38" s="60">
        <v>44688677</v>
      </c>
      <c r="G38" s="49"/>
    </row>
    <row r="39" spans="1:8" ht="12.75" thickBot="1" x14ac:dyDescent="0.25">
      <c r="A39" s="5"/>
      <c r="B39" s="3" t="s">
        <v>35</v>
      </c>
      <c r="C39" s="8">
        <v>635</v>
      </c>
      <c r="D39" s="50" t="s">
        <v>126</v>
      </c>
      <c r="E39" s="31">
        <f>SUM(E32:E34)-SUM(E35:E38)-E41+E42-'AT03'!G12</f>
        <v>584631633</v>
      </c>
      <c r="G39" s="24" t="s">
        <v>120</v>
      </c>
    </row>
    <row r="40" spans="1:8" ht="12.75" thickBot="1" x14ac:dyDescent="0.25">
      <c r="A40" s="5"/>
      <c r="B40" s="11" t="s">
        <v>36</v>
      </c>
      <c r="C40" s="8">
        <v>636</v>
      </c>
      <c r="D40" s="52" t="s">
        <v>127</v>
      </c>
      <c r="E40" s="33">
        <f>SUM(E32:E34)-SUM(E35:E39)</f>
        <v>31476963</v>
      </c>
    </row>
    <row r="41" spans="1:8" ht="12.75" thickBot="1" x14ac:dyDescent="0.25">
      <c r="A41" s="5"/>
      <c r="B41" s="3" t="s">
        <v>37</v>
      </c>
      <c r="C41" s="8">
        <v>637</v>
      </c>
      <c r="D41" s="50" t="s">
        <v>126</v>
      </c>
      <c r="E41" s="60">
        <v>23896961</v>
      </c>
      <c r="G41" s="24" t="s">
        <v>82</v>
      </c>
    </row>
    <row r="42" spans="1:8" ht="12.75" thickBot="1" x14ac:dyDescent="0.25">
      <c r="A42" s="5"/>
      <c r="B42" s="3" t="s">
        <v>38</v>
      </c>
      <c r="C42" s="8">
        <v>638</v>
      </c>
      <c r="D42" s="50" t="s">
        <v>125</v>
      </c>
      <c r="E42" s="60">
        <v>42094048</v>
      </c>
      <c r="G42" s="24" t="s">
        <v>83</v>
      </c>
    </row>
    <row r="43" spans="1:8" ht="12.75" thickBot="1" x14ac:dyDescent="0.25">
      <c r="A43" s="5"/>
      <c r="B43" s="3" t="s">
        <v>39</v>
      </c>
      <c r="C43" s="8">
        <v>639</v>
      </c>
      <c r="D43" s="50" t="s">
        <v>125</v>
      </c>
      <c r="E43" s="31">
        <f>'AT03'!G13</f>
        <v>4000000</v>
      </c>
    </row>
    <row r="44" spans="1:8" ht="12.75" thickBot="1" x14ac:dyDescent="0.25">
      <c r="A44" s="5"/>
      <c r="B44" s="3" t="s">
        <v>40</v>
      </c>
      <c r="C44" s="8">
        <v>634</v>
      </c>
      <c r="D44" s="50" t="s">
        <v>126</v>
      </c>
      <c r="E44" s="31">
        <f>-'AT03'!G10</f>
        <v>2294307408</v>
      </c>
      <c r="G44" s="68"/>
    </row>
    <row r="45" spans="1:8" ht="12.75" thickBot="1" x14ac:dyDescent="0.25">
      <c r="A45" s="5"/>
      <c r="B45" s="3" t="s">
        <v>41</v>
      </c>
      <c r="C45" s="8">
        <v>640</v>
      </c>
      <c r="D45" s="50" t="s">
        <v>126</v>
      </c>
      <c r="E45" s="32">
        <v>0</v>
      </c>
    </row>
    <row r="46" spans="1:8" ht="12.75" thickBot="1" x14ac:dyDescent="0.25">
      <c r="A46" s="5"/>
      <c r="B46" s="3" t="s">
        <v>42</v>
      </c>
      <c r="C46" s="8">
        <v>641</v>
      </c>
      <c r="D46" s="50" t="s">
        <v>126</v>
      </c>
      <c r="E46" s="32">
        <v>0</v>
      </c>
    </row>
    <row r="47" spans="1:8" ht="12.75" thickBot="1" x14ac:dyDescent="0.25">
      <c r="A47" s="5"/>
      <c r="B47" s="3" t="s">
        <v>43</v>
      </c>
      <c r="C47" s="8">
        <v>642</v>
      </c>
      <c r="D47" s="50" t="s">
        <v>126</v>
      </c>
      <c r="E47" s="31">
        <f>-'AT03'!G16</f>
        <v>0</v>
      </c>
      <c r="H47" s="65">
        <f>379939996+3566123+206396098+272394537+454543584+2268997+993255+10212+491651+4761602+1975553+7995+1808996+849731+47604737+52722+14050000+35332435+8290554+142084292</f>
        <v>1577423070</v>
      </c>
    </row>
    <row r="48" spans="1:8" ht="12.75" thickBot="1" x14ac:dyDescent="0.25">
      <c r="A48" s="5"/>
      <c r="B48" s="11" t="s">
        <v>44</v>
      </c>
      <c r="C48" s="8">
        <v>643</v>
      </c>
      <c r="D48" s="52" t="s">
        <v>127</v>
      </c>
      <c r="E48" s="33">
        <f>E40-E41+E42+E43-SUM(E44:E47)</f>
        <v>-2240633358</v>
      </c>
      <c r="H48" s="65"/>
    </row>
    <row r="49" spans="1:8" ht="12.75" thickBot="1" x14ac:dyDescent="0.25">
      <c r="A49" s="5"/>
      <c r="B49" s="3" t="s">
        <v>45</v>
      </c>
      <c r="C49" s="8">
        <v>644</v>
      </c>
      <c r="E49" s="31"/>
      <c r="H49" s="65"/>
    </row>
    <row r="50" spans="1:8" x14ac:dyDescent="0.2">
      <c r="E50" s="31"/>
    </row>
    <row r="51" spans="1:8" ht="12.75" thickBot="1" x14ac:dyDescent="0.25">
      <c r="A51" s="5" t="s">
        <v>26</v>
      </c>
      <c r="B51" s="3" t="s">
        <v>47</v>
      </c>
      <c r="E51" s="31"/>
    </row>
    <row r="52" spans="1:8" ht="12.75" thickBot="1" x14ac:dyDescent="0.25">
      <c r="B52" s="3" t="s">
        <v>48</v>
      </c>
      <c r="C52" s="8">
        <v>101</v>
      </c>
      <c r="E52" s="60">
        <v>262738</v>
      </c>
      <c r="G52" s="24" t="s">
        <v>84</v>
      </c>
    </row>
    <row r="53" spans="1:8" ht="12.75" thickBot="1" x14ac:dyDescent="0.25">
      <c r="B53" s="3" t="s">
        <v>49</v>
      </c>
      <c r="C53" s="8">
        <v>129</v>
      </c>
      <c r="E53" s="60">
        <v>866168126</v>
      </c>
      <c r="G53" s="24" t="s">
        <v>84</v>
      </c>
    </row>
    <row r="54" spans="1:8" ht="12.75" thickBot="1" x14ac:dyDescent="0.25">
      <c r="B54" s="3" t="s">
        <v>50</v>
      </c>
      <c r="C54" s="8">
        <v>122</v>
      </c>
      <c r="E54" s="60">
        <v>3238372463</v>
      </c>
      <c r="G54" s="24" t="s">
        <v>99</v>
      </c>
    </row>
    <row r="55" spans="1:8" ht="12.75" thickBot="1" x14ac:dyDescent="0.25">
      <c r="B55" s="3" t="s">
        <v>51</v>
      </c>
      <c r="C55" s="8">
        <v>123</v>
      </c>
      <c r="E55" s="60">
        <f>+E54-49674050</f>
        <v>3188698413</v>
      </c>
      <c r="G55" s="24" t="s">
        <v>100</v>
      </c>
    </row>
    <row r="56" spans="1:8" ht="12.75" thickBot="1" x14ac:dyDescent="0.25">
      <c r="B56" s="3" t="s">
        <v>52</v>
      </c>
      <c r="C56" s="8">
        <v>102</v>
      </c>
      <c r="E56" s="60">
        <f>3238372463-69042088-18061379-20244094-682023435</f>
        <v>2449001467</v>
      </c>
      <c r="G56" s="24" t="s">
        <v>110</v>
      </c>
    </row>
    <row r="57" spans="1:8" ht="12.75" thickBot="1" x14ac:dyDescent="0.25">
      <c r="B57" s="3" t="s">
        <v>53</v>
      </c>
      <c r="C57" s="8">
        <v>645</v>
      </c>
      <c r="E57" s="60">
        <f>+E56-1638302041</f>
        <v>810699426</v>
      </c>
      <c r="G57" s="24" t="s">
        <v>102</v>
      </c>
    </row>
    <row r="58" spans="1:8" ht="12.75" thickBot="1" x14ac:dyDescent="0.25">
      <c r="B58" s="3" t="s">
        <v>54</v>
      </c>
      <c r="C58" s="8">
        <v>646</v>
      </c>
      <c r="E58" s="32"/>
    </row>
    <row r="59" spans="1:8" ht="12.75" thickBot="1" x14ac:dyDescent="0.25">
      <c r="B59" s="3" t="s">
        <v>55</v>
      </c>
      <c r="C59" s="8">
        <v>647</v>
      </c>
      <c r="E59" s="60">
        <v>40745455</v>
      </c>
      <c r="G59" s="24" t="s">
        <v>143</v>
      </c>
    </row>
    <row r="60" spans="1:8" ht="12.75" thickBot="1" x14ac:dyDescent="0.25">
      <c r="B60" s="3" t="s">
        <v>56</v>
      </c>
      <c r="C60" s="8">
        <v>648</v>
      </c>
      <c r="E60" s="60">
        <v>20085065</v>
      </c>
    </row>
    <row r="61" spans="1:8" x14ac:dyDescent="0.2">
      <c r="E61" s="35"/>
    </row>
    <row r="62" spans="1:8" ht="12.75" thickBot="1" x14ac:dyDescent="0.25">
      <c r="A62" s="6" t="s">
        <v>57</v>
      </c>
      <c r="B62" s="3" t="s">
        <v>58</v>
      </c>
    </row>
    <row r="63" spans="1:8" ht="12.75" thickBot="1" x14ac:dyDescent="0.25">
      <c r="B63" s="3" t="s">
        <v>59</v>
      </c>
      <c r="C63" s="8">
        <v>341</v>
      </c>
      <c r="D63" s="50" t="s">
        <v>125</v>
      </c>
      <c r="E63" s="36">
        <v>0</v>
      </c>
    </row>
    <row r="64" spans="1:8" ht="12.75" thickBot="1" x14ac:dyDescent="0.25">
      <c r="B64" s="3" t="s">
        <v>60</v>
      </c>
      <c r="C64" s="8">
        <v>284</v>
      </c>
      <c r="D64" s="50" t="s">
        <v>126</v>
      </c>
      <c r="E64" s="31">
        <f>-'AT03'!G26</f>
        <v>2120232919</v>
      </c>
    </row>
    <row r="65" spans="2:7" ht="12.75" thickBot="1" x14ac:dyDescent="0.25">
      <c r="B65" s="3" t="s">
        <v>61</v>
      </c>
      <c r="C65" s="8">
        <v>225</v>
      </c>
      <c r="D65" s="50" t="s">
        <v>125</v>
      </c>
      <c r="E65" s="26">
        <f>MAX(E48,0)</f>
        <v>0</v>
      </c>
    </row>
    <row r="66" spans="2:7" ht="12.75" thickBot="1" x14ac:dyDescent="0.25">
      <c r="B66" s="3" t="s">
        <v>62</v>
      </c>
      <c r="C66" s="8">
        <v>229</v>
      </c>
      <c r="D66" s="50" t="s">
        <v>126</v>
      </c>
      <c r="E66" s="26">
        <f>-MIN(E48,0)</f>
        <v>2240633358</v>
      </c>
    </row>
    <row r="67" spans="2:7" ht="12.75" thickBot="1" x14ac:dyDescent="0.25">
      <c r="B67" s="3" t="s">
        <v>63</v>
      </c>
      <c r="C67" s="8">
        <v>623</v>
      </c>
      <c r="D67" s="50" t="s">
        <v>126</v>
      </c>
      <c r="E67" s="36"/>
    </row>
    <row r="68" spans="2:7" ht="12.75" thickBot="1" x14ac:dyDescent="0.25">
      <c r="B68" s="3" t="s">
        <v>64</v>
      </c>
      <c r="C68" s="8">
        <v>624</v>
      </c>
      <c r="D68" s="50" t="s">
        <v>126</v>
      </c>
      <c r="E68" s="26">
        <f>E43</f>
        <v>4000000</v>
      </c>
    </row>
    <row r="69" spans="2:7" ht="12.75" thickBot="1" x14ac:dyDescent="0.25">
      <c r="B69" s="3" t="s">
        <v>65</v>
      </c>
      <c r="C69" s="8">
        <v>227</v>
      </c>
      <c r="D69" s="50" t="s">
        <v>125</v>
      </c>
      <c r="E69" s="36"/>
    </row>
    <row r="70" spans="2:7" ht="12.75" thickBot="1" x14ac:dyDescent="0.25">
      <c r="B70" s="3" t="s">
        <v>66</v>
      </c>
      <c r="C70" s="8">
        <v>242</v>
      </c>
      <c r="D70" s="50" t="s">
        <v>125</v>
      </c>
      <c r="E70" s="26">
        <f>'AT03'!G36</f>
        <v>2294307408</v>
      </c>
    </row>
    <row r="71" spans="2:7" ht="12.75" thickBot="1" x14ac:dyDescent="0.25">
      <c r="B71" s="3" t="s">
        <v>67</v>
      </c>
      <c r="C71" s="8">
        <v>275</v>
      </c>
      <c r="D71" s="50" t="s">
        <v>126</v>
      </c>
      <c r="E71" s="36"/>
    </row>
    <row r="72" spans="2:7" ht="12.75" thickBot="1" x14ac:dyDescent="0.25">
      <c r="B72" s="3" t="s">
        <v>68</v>
      </c>
      <c r="C72" s="8">
        <v>226</v>
      </c>
      <c r="D72" s="50" t="s">
        <v>126</v>
      </c>
      <c r="E72" s="36">
        <v>0</v>
      </c>
    </row>
    <row r="73" spans="2:7" ht="12.75" thickBot="1" x14ac:dyDescent="0.25">
      <c r="B73" s="11" t="s">
        <v>69</v>
      </c>
      <c r="C73" s="8">
        <v>231</v>
      </c>
      <c r="D73" s="52" t="s">
        <v>127</v>
      </c>
      <c r="E73" s="37">
        <v>0</v>
      </c>
    </row>
    <row r="74" spans="2:7" ht="12.75" thickBot="1" x14ac:dyDescent="0.25">
      <c r="B74" s="3" t="s">
        <v>70</v>
      </c>
      <c r="C74" s="8">
        <v>318</v>
      </c>
      <c r="D74" s="50" t="s">
        <v>127</v>
      </c>
      <c r="E74" s="36">
        <v>0</v>
      </c>
    </row>
    <row r="75" spans="2:7" ht="12.75" thickBot="1" x14ac:dyDescent="0.25">
      <c r="B75" s="3" t="s">
        <v>71</v>
      </c>
      <c r="C75" s="8">
        <v>232</v>
      </c>
      <c r="D75" s="50" t="s">
        <v>127</v>
      </c>
      <c r="E75" s="26">
        <f>+E73+E74-(E63-E64+E65-E66-E67-E68+E69+E70-E71-E72)</f>
        <v>2070558869</v>
      </c>
    </row>
    <row r="76" spans="2:7" ht="12.75" thickBot="1" x14ac:dyDescent="0.25">
      <c r="B76" s="11" t="s">
        <v>72</v>
      </c>
      <c r="C76" s="8">
        <v>320</v>
      </c>
      <c r="D76" s="52"/>
      <c r="E76" s="38"/>
    </row>
    <row r="77" spans="2:7" ht="12.75" thickBot="1" x14ac:dyDescent="0.25">
      <c r="B77" s="3" t="s">
        <v>73</v>
      </c>
      <c r="C77" s="8">
        <v>228</v>
      </c>
      <c r="E77" s="36">
        <v>0</v>
      </c>
    </row>
    <row r="78" spans="2:7" ht="12.75" thickBot="1" x14ac:dyDescent="0.25">
      <c r="B78" s="11" t="s">
        <v>74</v>
      </c>
      <c r="C78" s="8">
        <v>625</v>
      </c>
      <c r="D78" s="52"/>
      <c r="E78" s="37">
        <v>0</v>
      </c>
      <c r="G78" s="24" t="s">
        <v>85</v>
      </c>
    </row>
    <row r="79" spans="2:7" ht="12.75" thickBot="1" x14ac:dyDescent="0.25">
      <c r="B79" s="3" t="s">
        <v>75</v>
      </c>
      <c r="C79" s="8">
        <v>626</v>
      </c>
      <c r="E79" s="36">
        <v>0</v>
      </c>
      <c r="G79" s="24" t="s">
        <v>86</v>
      </c>
    </row>
    <row r="80" spans="2:7" ht="12.75" thickBot="1" x14ac:dyDescent="0.25">
      <c r="B80" s="3" t="s">
        <v>76</v>
      </c>
      <c r="C80" s="8">
        <v>627</v>
      </c>
      <c r="E80" s="26">
        <f>E79</f>
        <v>0</v>
      </c>
      <c r="G80" s="24" t="s">
        <v>87</v>
      </c>
    </row>
    <row r="81" spans="2:5" ht="12.75" thickBot="1" x14ac:dyDescent="0.25"/>
    <row r="82" spans="2:5" ht="12.75" thickBot="1" x14ac:dyDescent="0.25">
      <c r="B82" s="3" t="s">
        <v>77</v>
      </c>
      <c r="C82" s="8">
        <v>650</v>
      </c>
      <c r="E82" s="28" t="s">
        <v>89</v>
      </c>
    </row>
    <row r="83" spans="2:5" ht="12.75" thickBot="1" x14ac:dyDescent="0.25">
      <c r="B83" s="3" t="s">
        <v>78</v>
      </c>
      <c r="C83" s="8">
        <v>903</v>
      </c>
      <c r="E83" s="28" t="s">
        <v>89</v>
      </c>
    </row>
  </sheetData>
  <phoneticPr fontId="0" type="noConversion"/>
  <pageMargins left="0.39370078740157483" right="0.19685039370078741" top="0.59055118110236227" bottom="0.39370078740157483" header="0.51181102362204722" footer="0.51181102362204722"/>
  <pageSetup scale="90" fitToHeight="2" orientation="landscape" horizontalDpi="360" verticalDpi="360" copies="0" r:id="rId1"/>
  <headerFooter alignWithMargins="0"/>
  <rowBreaks count="1" manualBreakCount="1">
    <brk id="50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1"/>
  <dimension ref="A1:G83"/>
  <sheetViews>
    <sheetView workbookViewId="0"/>
  </sheetViews>
  <sheetFormatPr baseColWidth="10" defaultColWidth="9.140625" defaultRowHeight="12" x14ac:dyDescent="0.2"/>
  <cols>
    <col min="1" max="1" width="13.85546875" style="6" customWidth="1"/>
    <col min="2" max="2" width="45" style="3" customWidth="1"/>
    <col min="3" max="3" width="5.28515625" style="4" customWidth="1"/>
    <col min="4" max="4" width="1.85546875" style="50" customWidth="1"/>
    <col min="5" max="5" width="13.42578125" style="25" customWidth="1"/>
    <col min="6" max="6" width="3" style="3" customWidth="1"/>
    <col min="7" max="7" width="11.5703125" style="24" customWidth="1"/>
    <col min="8" max="16384" width="9.140625" style="3"/>
  </cols>
  <sheetData>
    <row r="1" spans="1:5" s="55" customFormat="1" ht="12.75" x14ac:dyDescent="0.2">
      <c r="A1" s="56" t="s">
        <v>115</v>
      </c>
      <c r="D1" s="56"/>
    </row>
    <row r="2" spans="1:5" s="55" customFormat="1" ht="12.75" x14ac:dyDescent="0.2">
      <c r="A2" s="56" t="s">
        <v>114</v>
      </c>
      <c r="D2" s="56"/>
    </row>
    <row r="3" spans="1:5" ht="12.75" x14ac:dyDescent="0.2">
      <c r="A3" s="2" t="str">
        <f>'AT02'!A3</f>
        <v>AÑO TRIBUTARIO 2002</v>
      </c>
    </row>
    <row r="4" spans="1:5" x14ac:dyDescent="0.2">
      <c r="A4" s="5" t="s">
        <v>0</v>
      </c>
    </row>
    <row r="5" spans="1:5" ht="12.75" thickBot="1" x14ac:dyDescent="0.25">
      <c r="A5" s="6" t="s">
        <v>1</v>
      </c>
      <c r="B5" s="3" t="s">
        <v>2</v>
      </c>
      <c r="C5" s="7" t="s">
        <v>3</v>
      </c>
      <c r="E5" s="6" t="s">
        <v>4</v>
      </c>
    </row>
    <row r="6" spans="1:5" ht="12.75" thickBot="1" x14ac:dyDescent="0.25">
      <c r="B6" s="3" t="s">
        <v>5</v>
      </c>
      <c r="C6" s="8" t="s">
        <v>6</v>
      </c>
      <c r="E6" s="25" t="str">
        <f>A2</f>
        <v>86.132.100-2</v>
      </c>
    </row>
    <row r="7" spans="1:5" ht="12.75" thickBot="1" x14ac:dyDescent="0.25">
      <c r="B7" s="3" t="s">
        <v>7</v>
      </c>
      <c r="C7" s="8" t="s">
        <v>8</v>
      </c>
      <c r="E7" s="25" t="str">
        <f>A1</f>
        <v>DEMARKA S.A.</v>
      </c>
    </row>
    <row r="8" spans="1:5" s="40" customFormat="1" ht="12.75" thickBot="1" x14ac:dyDescent="0.25">
      <c r="A8" s="39">
        <v>34</v>
      </c>
      <c r="B8" s="40" t="s">
        <v>104</v>
      </c>
      <c r="C8" s="41">
        <v>18</v>
      </c>
      <c r="D8" s="51"/>
      <c r="E8" s="44" t="str">
        <f>IF(E48&gt;0,E48,"PERDIDA")</f>
        <v>PERDIDA</v>
      </c>
    </row>
    <row r="9" spans="1:5" s="40" customFormat="1" ht="12.75" thickBot="1" x14ac:dyDescent="0.25">
      <c r="A9" s="39"/>
      <c r="B9" s="40" t="s">
        <v>105</v>
      </c>
      <c r="C9" s="41">
        <v>20</v>
      </c>
      <c r="D9" s="51"/>
      <c r="E9" s="44">
        <f>MAX(ROUND(15%*E86,0),0)</f>
        <v>0</v>
      </c>
    </row>
    <row r="10" spans="1:5" s="40" customFormat="1" ht="12.75" thickBot="1" x14ac:dyDescent="0.25">
      <c r="A10" s="39">
        <v>46</v>
      </c>
      <c r="B10" s="40" t="s">
        <v>112</v>
      </c>
      <c r="C10" s="41">
        <v>82</v>
      </c>
      <c r="D10" s="51"/>
      <c r="E10" s="26">
        <f>'AT02'!G13</f>
        <v>3225636</v>
      </c>
    </row>
    <row r="11" spans="1:5" s="40" customFormat="1" ht="12.75" thickBot="1" x14ac:dyDescent="0.25">
      <c r="A11" s="39">
        <v>50</v>
      </c>
      <c r="B11" s="40" t="s">
        <v>106</v>
      </c>
      <c r="C11" s="41">
        <v>167</v>
      </c>
      <c r="D11" s="51"/>
      <c r="E11" s="44">
        <f>E79</f>
        <v>0</v>
      </c>
    </row>
    <row r="12" spans="1:5" s="40" customFormat="1" ht="12.75" thickBot="1" x14ac:dyDescent="0.25">
      <c r="A12" s="39"/>
      <c r="B12" s="40" t="s">
        <v>107</v>
      </c>
      <c r="C12" s="41">
        <v>747</v>
      </c>
      <c r="D12" s="51"/>
      <c r="E12" s="44">
        <f>E11</f>
        <v>0</v>
      </c>
    </row>
    <row r="13" spans="1:5" ht="12.75" thickBot="1" x14ac:dyDescent="0.25">
      <c r="A13" s="6">
        <v>53</v>
      </c>
      <c r="B13" s="3" t="s">
        <v>9</v>
      </c>
      <c r="C13" s="8">
        <v>305</v>
      </c>
      <c r="E13" s="26">
        <f>-E10-E12</f>
        <v>-3225636</v>
      </c>
    </row>
    <row r="14" spans="1:5" ht="12.75" thickBot="1" x14ac:dyDescent="0.25">
      <c r="A14" s="6">
        <f>IF(E13&gt;0,57,54)</f>
        <v>54</v>
      </c>
      <c r="B14" s="3" t="str">
        <f>IF(E13&gt;0,"Impuesto Adeudado","SALDO A FAVOR")</f>
        <v>SALDO A FAVOR</v>
      </c>
      <c r="C14" s="8">
        <f>IF(E13&gt;0,90,85)</f>
        <v>85</v>
      </c>
      <c r="E14" s="26">
        <f>ABS(E13)</f>
        <v>3225636</v>
      </c>
    </row>
    <row r="15" spans="1:5" ht="12.75" thickBot="1" x14ac:dyDescent="0.25">
      <c r="A15" s="6" t="str">
        <f>IF(E13&gt;0,58,"")</f>
        <v/>
      </c>
      <c r="B15" s="9" t="str">
        <f>IF($E$13&gt;0,0.6%,"")</f>
        <v/>
      </c>
      <c r="C15" s="8" t="str">
        <f>IF($E$13&gt;0,39,"")</f>
        <v/>
      </c>
      <c r="E15" s="26" t="str">
        <f>IF($E$13&gt;0,ROUND(B15*E14,0),"")</f>
        <v/>
      </c>
    </row>
    <row r="16" spans="1:5" ht="12.75" thickBot="1" x14ac:dyDescent="0.25">
      <c r="A16" s="6">
        <f>IF(E13&gt;0,59,56)</f>
        <v>56</v>
      </c>
      <c r="B16" s="3" t="str">
        <f>IF($E$13&gt;0,"TOTAL A PAGAR","DEVOLUCION SOLICITADA")</f>
        <v>DEVOLUCION SOLICITADA</v>
      </c>
      <c r="C16" s="8">
        <f>IF($E$13&gt;0,91,87)</f>
        <v>87</v>
      </c>
      <c r="E16" s="26">
        <f>SUM(E14:E15)</f>
        <v>3225636</v>
      </c>
    </row>
    <row r="17" spans="1:7" ht="12.75" thickBot="1" x14ac:dyDescent="0.25">
      <c r="B17" s="3" t="str">
        <f>IF($E$13&gt;0,"","Nombre Institución Bancaria")</f>
        <v>Nombre Institución Bancaria</v>
      </c>
      <c r="C17" s="8">
        <f>IF($E$13&gt;0,"",301)</f>
        <v>301</v>
      </c>
      <c r="E17" s="28" t="s">
        <v>116</v>
      </c>
    </row>
    <row r="18" spans="1:7" ht="12.75" thickBot="1" x14ac:dyDescent="0.25">
      <c r="B18" s="3" t="str">
        <f>IF($E$13&gt;0,"","Número de Cuenta")</f>
        <v>Número de Cuenta</v>
      </c>
      <c r="C18" s="8">
        <f>IF($E$13&gt;0,"",306)</f>
        <v>306</v>
      </c>
      <c r="E18" s="28">
        <v>12778451</v>
      </c>
    </row>
    <row r="19" spans="1:7" x14ac:dyDescent="0.2">
      <c r="C19" s="10"/>
      <c r="E19" s="26"/>
    </row>
    <row r="20" spans="1:7" ht="12.75" thickBot="1" x14ac:dyDescent="0.25">
      <c r="A20" s="5" t="s">
        <v>10</v>
      </c>
    </row>
    <row r="21" spans="1:7" ht="12.75" thickBot="1" x14ac:dyDescent="0.25">
      <c r="B21" s="3" t="s">
        <v>11</v>
      </c>
      <c r="C21" s="8" t="s">
        <v>12</v>
      </c>
      <c r="E21" s="25" t="s">
        <v>13</v>
      </c>
    </row>
    <row r="22" spans="1:7" ht="12.75" thickBot="1" x14ac:dyDescent="0.25">
      <c r="B22" s="3" t="s">
        <v>14</v>
      </c>
      <c r="C22" s="8" t="s">
        <v>15</v>
      </c>
      <c r="E22" s="25" t="s">
        <v>16</v>
      </c>
    </row>
    <row r="23" spans="1:7" ht="12.75" thickBot="1" x14ac:dyDescent="0.25">
      <c r="B23" s="3" t="s">
        <v>17</v>
      </c>
      <c r="C23" s="8">
        <v>53</v>
      </c>
      <c r="E23" s="6">
        <v>13</v>
      </c>
    </row>
    <row r="24" spans="1:7" ht="12.75" thickBot="1" x14ac:dyDescent="0.25">
      <c r="B24" s="3" t="s">
        <v>18</v>
      </c>
      <c r="C24" s="8">
        <v>13</v>
      </c>
      <c r="E24" s="27" t="s">
        <v>117</v>
      </c>
    </row>
    <row r="25" spans="1:7" ht="12.75" thickBot="1" x14ac:dyDescent="0.25">
      <c r="B25" s="3" t="s">
        <v>19</v>
      </c>
      <c r="C25" s="8">
        <v>14</v>
      </c>
      <c r="E25" s="28">
        <v>61911</v>
      </c>
    </row>
    <row r="26" spans="1:7" ht="12.75" thickBot="1" x14ac:dyDescent="0.25">
      <c r="B26" s="3" t="s">
        <v>20</v>
      </c>
      <c r="C26" s="8" t="s">
        <v>21</v>
      </c>
      <c r="E26" s="29" t="s">
        <v>79</v>
      </c>
    </row>
    <row r="27" spans="1:7" ht="12.75" thickBot="1" x14ac:dyDescent="0.25">
      <c r="B27" s="3" t="s">
        <v>22</v>
      </c>
      <c r="C27" s="8">
        <v>48</v>
      </c>
      <c r="E27" s="29" t="s">
        <v>88</v>
      </c>
    </row>
    <row r="28" spans="1:7" ht="12.75" thickBot="1" x14ac:dyDescent="0.25">
      <c r="B28" s="3" t="s">
        <v>23</v>
      </c>
      <c r="C28" s="8">
        <v>55</v>
      </c>
      <c r="E28" s="30" t="s">
        <v>118</v>
      </c>
    </row>
    <row r="29" spans="1:7" ht="12.75" thickBot="1" x14ac:dyDescent="0.25">
      <c r="B29" s="3" t="s">
        <v>24</v>
      </c>
      <c r="C29" s="8">
        <v>614</v>
      </c>
      <c r="E29" s="6" t="s">
        <v>25</v>
      </c>
    </row>
    <row r="31" spans="1:7" ht="12.75" thickBot="1" x14ac:dyDescent="0.25">
      <c r="A31" s="5" t="s">
        <v>138</v>
      </c>
      <c r="B31" s="3" t="s">
        <v>27</v>
      </c>
      <c r="E31" s="31"/>
    </row>
    <row r="32" spans="1:7" ht="12.75" thickBot="1" x14ac:dyDescent="0.25">
      <c r="A32" s="5"/>
      <c r="B32" s="3" t="s">
        <v>28</v>
      </c>
      <c r="C32" s="8">
        <v>628</v>
      </c>
      <c r="D32" s="50" t="s">
        <v>125</v>
      </c>
      <c r="E32" s="60">
        <v>2319499736</v>
      </c>
      <c r="G32" s="24" t="s">
        <v>101</v>
      </c>
    </row>
    <row r="33" spans="1:7" ht="12.75" thickBot="1" x14ac:dyDescent="0.25">
      <c r="A33" s="5"/>
      <c r="B33" s="3" t="s">
        <v>29</v>
      </c>
      <c r="C33" s="8">
        <v>629</v>
      </c>
      <c r="D33" s="50" t="s">
        <v>125</v>
      </c>
      <c r="E33" s="60">
        <v>80798</v>
      </c>
      <c r="G33" s="24" t="s">
        <v>83</v>
      </c>
    </row>
    <row r="34" spans="1:7" ht="12.75" thickBot="1" x14ac:dyDescent="0.25">
      <c r="A34" s="5"/>
      <c r="B34" s="3" t="s">
        <v>30</v>
      </c>
      <c r="C34" s="8">
        <v>651</v>
      </c>
      <c r="D34" s="50" t="s">
        <v>125</v>
      </c>
      <c r="E34" s="60">
        <f>1580421+5536435+663167</f>
        <v>7780023</v>
      </c>
      <c r="G34" s="49" t="s">
        <v>139</v>
      </c>
    </row>
    <row r="35" spans="1:7" ht="12.75" thickBot="1" x14ac:dyDescent="0.25">
      <c r="A35" s="5"/>
      <c r="B35" s="3" t="s">
        <v>31</v>
      </c>
      <c r="C35" s="8">
        <v>630</v>
      </c>
      <c r="D35" s="50" t="s">
        <v>126</v>
      </c>
      <c r="E35" s="60">
        <v>1190516595</v>
      </c>
      <c r="G35" s="24" t="s">
        <v>80</v>
      </c>
    </row>
    <row r="36" spans="1:7" ht="12.75" thickBot="1" x14ac:dyDescent="0.25">
      <c r="A36" s="5"/>
      <c r="B36" s="3" t="s">
        <v>32</v>
      </c>
      <c r="C36" s="8">
        <v>631</v>
      </c>
      <c r="D36" s="50" t="s">
        <v>126</v>
      </c>
      <c r="E36" s="60">
        <f>529962276+7768064+3653852</f>
        <v>541384192</v>
      </c>
      <c r="G36" s="24" t="s">
        <v>81</v>
      </c>
    </row>
    <row r="37" spans="1:7" ht="12.75" thickBot="1" x14ac:dyDescent="0.25">
      <c r="A37" s="5"/>
      <c r="B37" s="3" t="s">
        <v>33</v>
      </c>
      <c r="C37" s="8">
        <v>632</v>
      </c>
      <c r="D37" s="50" t="s">
        <v>126</v>
      </c>
      <c r="E37" s="60">
        <v>12694226</v>
      </c>
      <c r="G37" s="24" t="s">
        <v>82</v>
      </c>
    </row>
    <row r="38" spans="1:7" ht="12.75" thickBot="1" x14ac:dyDescent="0.25">
      <c r="A38" s="5"/>
      <c r="B38" s="3" t="s">
        <v>34</v>
      </c>
      <c r="C38" s="8">
        <v>633</v>
      </c>
      <c r="D38" s="50" t="s">
        <v>126</v>
      </c>
      <c r="E38" s="60">
        <f>26621136+300000</f>
        <v>26921136</v>
      </c>
      <c r="G38" s="49" t="s">
        <v>141</v>
      </c>
    </row>
    <row r="39" spans="1:7" ht="12.75" thickBot="1" x14ac:dyDescent="0.25">
      <c r="A39" s="5"/>
      <c r="B39" s="3" t="s">
        <v>35</v>
      </c>
      <c r="C39" s="8">
        <v>635</v>
      </c>
      <c r="D39" s="50" t="s">
        <v>126</v>
      </c>
      <c r="E39" s="31">
        <f>SUM(E32:E34)-SUM(E35:E38)-E41+E42-'AT02'!G12</f>
        <v>467598587</v>
      </c>
      <c r="G39" s="24" t="s">
        <v>120</v>
      </c>
    </row>
    <row r="40" spans="1:7" ht="12.75" thickBot="1" x14ac:dyDescent="0.25">
      <c r="A40" s="5"/>
      <c r="B40" s="11" t="s">
        <v>36</v>
      </c>
      <c r="C40" s="8">
        <v>636</v>
      </c>
      <c r="D40" s="52" t="s">
        <v>127</v>
      </c>
      <c r="E40" s="33">
        <f>SUM(E32:E34)-SUM(E35:E39)</f>
        <v>88245821</v>
      </c>
    </row>
    <row r="41" spans="1:7" ht="12.75" thickBot="1" x14ac:dyDescent="0.25">
      <c r="A41" s="5"/>
      <c r="B41" s="3" t="s">
        <v>37</v>
      </c>
      <c r="C41" s="8">
        <v>637</v>
      </c>
      <c r="D41" s="50" t="s">
        <v>126</v>
      </c>
      <c r="E41" s="32">
        <f>32464+172901+21908237</f>
        <v>22113602</v>
      </c>
      <c r="G41" s="24" t="s">
        <v>82</v>
      </c>
    </row>
    <row r="42" spans="1:7" ht="12.75" thickBot="1" x14ac:dyDescent="0.25">
      <c r="A42" s="5"/>
      <c r="B42" s="3" t="s">
        <v>38</v>
      </c>
      <c r="C42" s="8">
        <v>638</v>
      </c>
      <c r="D42" s="50" t="s">
        <v>125</v>
      </c>
      <c r="E42" s="32">
        <f>291017+900022+616586</f>
        <v>1807625</v>
      </c>
      <c r="G42" s="24" t="s">
        <v>83</v>
      </c>
    </row>
    <row r="43" spans="1:7" ht="12.75" thickBot="1" x14ac:dyDescent="0.25">
      <c r="A43" s="5"/>
      <c r="B43" s="3" t="s">
        <v>39</v>
      </c>
      <c r="C43" s="8">
        <v>639</v>
      </c>
      <c r="D43" s="50" t="s">
        <v>125</v>
      </c>
      <c r="E43" s="31">
        <f>'AT02'!G13</f>
        <v>3225636</v>
      </c>
    </row>
    <row r="44" spans="1:7" ht="12.75" thickBot="1" x14ac:dyDescent="0.25">
      <c r="A44" s="5"/>
      <c r="B44" s="3" t="s">
        <v>40</v>
      </c>
      <c r="C44" s="8">
        <v>634</v>
      </c>
      <c r="D44" s="50" t="s">
        <v>126</v>
      </c>
      <c r="E44" s="31">
        <f>-'AT02'!G10</f>
        <v>2298648400</v>
      </c>
    </row>
    <row r="45" spans="1:7" ht="12.75" thickBot="1" x14ac:dyDescent="0.25">
      <c r="A45" s="5"/>
      <c r="B45" s="3" t="s">
        <v>41</v>
      </c>
      <c r="C45" s="8">
        <v>640</v>
      </c>
      <c r="D45" s="50" t="s">
        <v>126</v>
      </c>
      <c r="E45" s="32">
        <v>0</v>
      </c>
    </row>
    <row r="46" spans="1:7" ht="12.75" thickBot="1" x14ac:dyDescent="0.25">
      <c r="A46" s="5"/>
      <c r="B46" s="3" t="s">
        <v>42</v>
      </c>
      <c r="C46" s="8">
        <v>641</v>
      </c>
      <c r="D46" s="50" t="s">
        <v>126</v>
      </c>
      <c r="E46" s="32">
        <v>0</v>
      </c>
    </row>
    <row r="47" spans="1:7" ht="12.75" thickBot="1" x14ac:dyDescent="0.25">
      <c r="A47" s="5"/>
      <c r="B47" s="3" t="s">
        <v>43</v>
      </c>
      <c r="C47" s="8">
        <v>642</v>
      </c>
      <c r="D47" s="50" t="s">
        <v>126</v>
      </c>
      <c r="E47" s="31">
        <f>-'AT02'!G16</f>
        <v>0</v>
      </c>
    </row>
    <row r="48" spans="1:7" ht="12.75" thickBot="1" x14ac:dyDescent="0.25">
      <c r="A48" s="5"/>
      <c r="B48" s="11" t="s">
        <v>44</v>
      </c>
      <c r="C48" s="8">
        <v>643</v>
      </c>
      <c r="D48" s="52" t="s">
        <v>127</v>
      </c>
      <c r="E48" s="33">
        <f>E40-E41+E42+E43-SUM(E44:E47)</f>
        <v>-2227482920</v>
      </c>
    </row>
    <row r="49" spans="1:7" ht="12.75" thickBot="1" x14ac:dyDescent="0.25">
      <c r="A49" s="5"/>
      <c r="B49" s="3" t="s">
        <v>45</v>
      </c>
      <c r="C49" s="8">
        <v>644</v>
      </c>
      <c r="E49" s="31"/>
    </row>
    <row r="50" spans="1:7" x14ac:dyDescent="0.2">
      <c r="E50" s="31"/>
    </row>
    <row r="51" spans="1:7" ht="12.75" thickBot="1" x14ac:dyDescent="0.25">
      <c r="A51" s="5" t="s">
        <v>26</v>
      </c>
      <c r="B51" s="3" t="s">
        <v>47</v>
      </c>
      <c r="E51" s="31"/>
    </row>
    <row r="52" spans="1:7" ht="12.75" thickBot="1" x14ac:dyDescent="0.25">
      <c r="B52" s="3" t="s">
        <v>48</v>
      </c>
      <c r="C52" s="8">
        <v>101</v>
      </c>
      <c r="E52" s="60">
        <v>491958</v>
      </c>
      <c r="G52" s="24" t="s">
        <v>84</v>
      </c>
    </row>
    <row r="53" spans="1:7" ht="12.75" thickBot="1" x14ac:dyDescent="0.25">
      <c r="B53" s="3" t="s">
        <v>49</v>
      </c>
      <c r="C53" s="8">
        <v>129</v>
      </c>
      <c r="E53" s="60">
        <v>653672124</v>
      </c>
      <c r="G53" s="24" t="s">
        <v>84</v>
      </c>
    </row>
    <row r="54" spans="1:7" ht="12.75" thickBot="1" x14ac:dyDescent="0.25">
      <c r="B54" s="3" t="s">
        <v>50</v>
      </c>
      <c r="C54" s="8">
        <v>122</v>
      </c>
      <c r="E54" s="60">
        <v>2413053615</v>
      </c>
      <c r="G54" s="24" t="s">
        <v>99</v>
      </c>
    </row>
    <row r="55" spans="1:7" ht="12.75" thickBot="1" x14ac:dyDescent="0.25">
      <c r="B55" s="3" t="s">
        <v>51</v>
      </c>
      <c r="C55" s="8">
        <v>123</v>
      </c>
      <c r="E55" s="60">
        <f>E54-67939844</f>
        <v>2345113771</v>
      </c>
      <c r="G55" s="24" t="s">
        <v>100</v>
      </c>
    </row>
    <row r="56" spans="1:7" ht="12.75" thickBot="1" x14ac:dyDescent="0.25">
      <c r="B56" s="3" t="s">
        <v>52</v>
      </c>
      <c r="C56" s="8">
        <v>102</v>
      </c>
      <c r="E56" s="60">
        <f>2413053615-62571874-193265247-22211046</f>
        <v>2135005448</v>
      </c>
      <c r="G56" s="24" t="s">
        <v>142</v>
      </c>
    </row>
    <row r="57" spans="1:7" ht="12.75" thickBot="1" x14ac:dyDescent="0.25">
      <c r="B57" s="3" t="s">
        <v>53</v>
      </c>
      <c r="C57" s="8">
        <v>645</v>
      </c>
      <c r="E57" s="60">
        <f>E56-1385754239</f>
        <v>749251209</v>
      </c>
      <c r="G57" s="24" t="s">
        <v>102</v>
      </c>
    </row>
    <row r="58" spans="1:7" ht="12.75" thickBot="1" x14ac:dyDescent="0.25">
      <c r="B58" s="3" t="s">
        <v>54</v>
      </c>
      <c r="C58" s="8">
        <v>646</v>
      </c>
      <c r="E58" s="61"/>
    </row>
    <row r="59" spans="1:7" ht="12.75" thickBot="1" x14ac:dyDescent="0.25">
      <c r="B59" s="3" t="s">
        <v>55</v>
      </c>
      <c r="C59" s="8">
        <v>647</v>
      </c>
      <c r="E59" s="60">
        <f>39272170-16835096</f>
        <v>22437074</v>
      </c>
      <c r="G59" s="24" t="s">
        <v>103</v>
      </c>
    </row>
    <row r="60" spans="1:7" ht="12.75" thickBot="1" x14ac:dyDescent="0.25">
      <c r="B60" s="3" t="s">
        <v>56</v>
      </c>
      <c r="C60" s="8">
        <v>648</v>
      </c>
      <c r="E60" s="60">
        <v>16835096</v>
      </c>
    </row>
    <row r="61" spans="1:7" x14ac:dyDescent="0.2">
      <c r="E61" s="35"/>
    </row>
    <row r="62" spans="1:7" ht="12.75" thickBot="1" x14ac:dyDescent="0.25">
      <c r="A62" s="6" t="s">
        <v>57</v>
      </c>
      <c r="B62" s="3" t="s">
        <v>58</v>
      </c>
    </row>
    <row r="63" spans="1:7" ht="12.75" thickBot="1" x14ac:dyDescent="0.25">
      <c r="B63" s="3" t="s">
        <v>59</v>
      </c>
      <c r="C63" s="8">
        <v>341</v>
      </c>
      <c r="D63" s="50" t="s">
        <v>125</v>
      </c>
      <c r="E63" s="36">
        <v>0</v>
      </c>
    </row>
    <row r="64" spans="1:7" ht="12.75" thickBot="1" x14ac:dyDescent="0.25">
      <c r="B64" s="3" t="s">
        <v>60</v>
      </c>
      <c r="C64" s="8">
        <v>284</v>
      </c>
      <c r="D64" s="50" t="s">
        <v>126</v>
      </c>
      <c r="E64" s="31">
        <f>-'AT02'!G26</f>
        <v>2129644042</v>
      </c>
    </row>
    <row r="65" spans="2:7" ht="12.75" thickBot="1" x14ac:dyDescent="0.25">
      <c r="B65" s="3" t="s">
        <v>61</v>
      </c>
      <c r="C65" s="8">
        <v>225</v>
      </c>
      <c r="D65" s="50" t="s">
        <v>125</v>
      </c>
      <c r="E65" s="26">
        <f>MAX(E48,0)</f>
        <v>0</v>
      </c>
    </row>
    <row r="66" spans="2:7" ht="12.75" thickBot="1" x14ac:dyDescent="0.25">
      <c r="B66" s="3" t="s">
        <v>62</v>
      </c>
      <c r="C66" s="8">
        <v>229</v>
      </c>
      <c r="D66" s="50" t="s">
        <v>126</v>
      </c>
      <c r="E66" s="26">
        <f>-MIN(E48,0)</f>
        <v>2227482920</v>
      </c>
    </row>
    <row r="67" spans="2:7" ht="12.75" thickBot="1" x14ac:dyDescent="0.25">
      <c r="B67" s="3" t="s">
        <v>63</v>
      </c>
      <c r="C67" s="8">
        <v>623</v>
      </c>
      <c r="D67" s="50" t="s">
        <v>126</v>
      </c>
      <c r="E67" s="36"/>
    </row>
    <row r="68" spans="2:7" ht="12.75" thickBot="1" x14ac:dyDescent="0.25">
      <c r="B68" s="3" t="s">
        <v>64</v>
      </c>
      <c r="C68" s="8">
        <v>624</v>
      </c>
      <c r="D68" s="50" t="s">
        <v>126</v>
      </c>
      <c r="E68" s="26">
        <f>E43</f>
        <v>3225636</v>
      </c>
    </row>
    <row r="69" spans="2:7" ht="12.75" thickBot="1" x14ac:dyDescent="0.25">
      <c r="B69" s="3" t="s">
        <v>65</v>
      </c>
      <c r="C69" s="8">
        <v>227</v>
      </c>
      <c r="D69" s="50" t="s">
        <v>125</v>
      </c>
      <c r="E69" s="36"/>
    </row>
    <row r="70" spans="2:7" ht="12.75" thickBot="1" x14ac:dyDescent="0.25">
      <c r="B70" s="3" t="s">
        <v>66</v>
      </c>
      <c r="C70" s="8">
        <v>242</v>
      </c>
      <c r="D70" s="50" t="s">
        <v>125</v>
      </c>
      <c r="E70" s="26">
        <f>'AT02'!G36</f>
        <v>2298648400</v>
      </c>
    </row>
    <row r="71" spans="2:7" ht="12.75" thickBot="1" x14ac:dyDescent="0.25">
      <c r="B71" s="3" t="s">
        <v>67</v>
      </c>
      <c r="C71" s="8">
        <v>275</v>
      </c>
      <c r="D71" s="50" t="s">
        <v>126</v>
      </c>
      <c r="E71" s="36"/>
    </row>
    <row r="72" spans="2:7" ht="12.75" thickBot="1" x14ac:dyDescent="0.25">
      <c r="B72" s="3" t="s">
        <v>68</v>
      </c>
      <c r="C72" s="8">
        <v>226</v>
      </c>
      <c r="D72" s="50" t="s">
        <v>126</v>
      </c>
      <c r="E72" s="36">
        <v>0</v>
      </c>
    </row>
    <row r="73" spans="2:7" ht="12.75" thickBot="1" x14ac:dyDescent="0.25">
      <c r="B73" s="11" t="s">
        <v>69</v>
      </c>
      <c r="C73" s="8">
        <v>231</v>
      </c>
      <c r="D73" s="52" t="s">
        <v>127</v>
      </c>
      <c r="E73" s="37">
        <v>0</v>
      </c>
    </row>
    <row r="74" spans="2:7" ht="12.75" thickBot="1" x14ac:dyDescent="0.25">
      <c r="B74" s="3" t="s">
        <v>70</v>
      </c>
      <c r="C74" s="8">
        <v>318</v>
      </c>
      <c r="D74" s="50" t="s">
        <v>127</v>
      </c>
      <c r="E74" s="36">
        <v>0</v>
      </c>
    </row>
    <row r="75" spans="2:7" ht="12.75" thickBot="1" x14ac:dyDescent="0.25">
      <c r="B75" s="3" t="s">
        <v>71</v>
      </c>
      <c r="C75" s="8">
        <v>232</v>
      </c>
      <c r="D75" s="50" t="s">
        <v>127</v>
      </c>
      <c r="E75" s="26">
        <f>+E73+E74-(E63-E64+E65-E66-E67-E68+E69+E70-E71-E72)</f>
        <v>2061704198</v>
      </c>
    </row>
    <row r="76" spans="2:7" ht="12.75" thickBot="1" x14ac:dyDescent="0.25">
      <c r="B76" s="11" t="s">
        <v>72</v>
      </c>
      <c r="C76" s="8">
        <v>320</v>
      </c>
      <c r="D76" s="52"/>
      <c r="E76" s="38"/>
    </row>
    <row r="77" spans="2:7" ht="12.75" thickBot="1" x14ac:dyDescent="0.25">
      <c r="B77" s="3" t="s">
        <v>73</v>
      </c>
      <c r="C77" s="8">
        <v>228</v>
      </c>
      <c r="E77" s="36">
        <v>0</v>
      </c>
    </row>
    <row r="78" spans="2:7" ht="12.75" thickBot="1" x14ac:dyDescent="0.25">
      <c r="B78" s="11" t="s">
        <v>74</v>
      </c>
      <c r="C78" s="8">
        <v>625</v>
      </c>
      <c r="D78" s="52"/>
      <c r="E78" s="37">
        <v>0</v>
      </c>
      <c r="G78" s="24" t="s">
        <v>85</v>
      </c>
    </row>
    <row r="79" spans="2:7" ht="12.75" thickBot="1" x14ac:dyDescent="0.25">
      <c r="B79" s="3" t="s">
        <v>75</v>
      </c>
      <c r="C79" s="8">
        <v>626</v>
      </c>
      <c r="E79" s="36">
        <v>0</v>
      </c>
      <c r="G79" s="24" t="s">
        <v>86</v>
      </c>
    </row>
    <row r="80" spans="2:7" ht="12.75" thickBot="1" x14ac:dyDescent="0.25">
      <c r="B80" s="3" t="s">
        <v>76</v>
      </c>
      <c r="C80" s="8">
        <v>627</v>
      </c>
      <c r="E80" s="26">
        <f>E79</f>
        <v>0</v>
      </c>
      <c r="G80" s="24" t="s">
        <v>87</v>
      </c>
    </row>
    <row r="81" spans="2:5" ht="12.75" thickBot="1" x14ac:dyDescent="0.25"/>
    <row r="82" spans="2:5" ht="12.75" thickBot="1" x14ac:dyDescent="0.25">
      <c r="B82" s="3" t="s">
        <v>77</v>
      </c>
      <c r="C82" s="8">
        <v>650</v>
      </c>
      <c r="E82" s="28" t="s">
        <v>89</v>
      </c>
    </row>
    <row r="83" spans="2:5" ht="12.75" thickBot="1" x14ac:dyDescent="0.25">
      <c r="B83" s="3" t="s">
        <v>78</v>
      </c>
      <c r="C83" s="8">
        <v>903</v>
      </c>
      <c r="E83" s="28" t="s">
        <v>89</v>
      </c>
    </row>
  </sheetData>
  <phoneticPr fontId="0" type="noConversion"/>
  <pageMargins left="0.39370078740157483" right="0.19685039370078741" top="0.59055118110236227" bottom="0.39370078740157483" header="0.51181102362204722" footer="0.51181102362204722"/>
  <pageSetup scale="90" fitToHeight="2" orientation="landscape" horizontalDpi="360" verticalDpi="360" copies="0" r:id="rId1"/>
  <headerFooter alignWithMargins="0"/>
  <rowBreaks count="1" manualBreakCount="1">
    <brk id="50" max="16383" man="1"/>
  </rowBreaks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G83"/>
  <sheetViews>
    <sheetView topLeftCell="A65" workbookViewId="0"/>
  </sheetViews>
  <sheetFormatPr baseColWidth="10" defaultColWidth="9.140625" defaultRowHeight="12" x14ac:dyDescent="0.2"/>
  <cols>
    <col min="1" max="1" width="13.85546875" style="6" customWidth="1"/>
    <col min="2" max="2" width="45" style="3" customWidth="1"/>
    <col min="3" max="3" width="5.28515625" style="4" customWidth="1"/>
    <col min="4" max="4" width="1.85546875" style="50" customWidth="1"/>
    <col min="5" max="5" width="13.42578125" style="25" customWidth="1"/>
    <col min="6" max="6" width="3" style="3" customWidth="1"/>
    <col min="7" max="7" width="11.5703125" style="24" customWidth="1"/>
    <col min="8" max="16384" width="9.140625" style="3"/>
  </cols>
  <sheetData>
    <row r="1" spans="1:5" s="55" customFormat="1" ht="12.75" x14ac:dyDescent="0.2">
      <c r="A1" s="56" t="s">
        <v>115</v>
      </c>
      <c r="D1" s="56"/>
    </row>
    <row r="2" spans="1:5" s="55" customFormat="1" ht="12.75" x14ac:dyDescent="0.2">
      <c r="A2" s="56" t="s">
        <v>114</v>
      </c>
      <c r="D2" s="56"/>
    </row>
    <row r="3" spans="1:5" ht="12.75" x14ac:dyDescent="0.2">
      <c r="A3" s="2" t="str">
        <f>'AT01'!A3</f>
        <v>AÑO TRIBUTARIO 2001</v>
      </c>
    </row>
    <row r="4" spans="1:5" x14ac:dyDescent="0.2">
      <c r="A4" s="5" t="s">
        <v>0</v>
      </c>
    </row>
    <row r="5" spans="1:5" ht="12.75" thickBot="1" x14ac:dyDescent="0.25">
      <c r="A5" s="6" t="s">
        <v>1</v>
      </c>
      <c r="B5" s="3" t="s">
        <v>2</v>
      </c>
      <c r="C5" s="7" t="s">
        <v>3</v>
      </c>
      <c r="E5" s="6" t="s">
        <v>4</v>
      </c>
    </row>
    <row r="6" spans="1:5" ht="12.75" thickBot="1" x14ac:dyDescent="0.25">
      <c r="B6" s="3" t="s">
        <v>5</v>
      </c>
      <c r="C6" s="8" t="s">
        <v>6</v>
      </c>
      <c r="E6" s="25" t="str">
        <f>A2</f>
        <v>86.132.100-2</v>
      </c>
    </row>
    <row r="7" spans="1:5" ht="12.75" thickBot="1" x14ac:dyDescent="0.25">
      <c r="B7" s="3" t="s">
        <v>7</v>
      </c>
      <c r="C7" s="8" t="s">
        <v>8</v>
      </c>
      <c r="E7" s="25" t="str">
        <f>A1</f>
        <v>DEMARKA S.A.</v>
      </c>
    </row>
    <row r="8" spans="1:5" s="40" customFormat="1" ht="12.75" thickBot="1" x14ac:dyDescent="0.25">
      <c r="A8" s="39">
        <v>34</v>
      </c>
      <c r="B8" s="40" t="s">
        <v>104</v>
      </c>
      <c r="C8" s="41">
        <v>18</v>
      </c>
      <c r="D8" s="51"/>
      <c r="E8" s="44" t="str">
        <f>IF(E48&gt;0,E48,"PERDIDA")</f>
        <v>PERDIDA</v>
      </c>
    </row>
    <row r="9" spans="1:5" s="40" customFormat="1" ht="12.75" thickBot="1" x14ac:dyDescent="0.25">
      <c r="A9" s="39"/>
      <c r="B9" s="40" t="s">
        <v>105</v>
      </c>
      <c r="C9" s="41">
        <v>20</v>
      </c>
      <c r="D9" s="51"/>
      <c r="E9" s="44">
        <f>MAX(ROUND(15%*E86,0),0)</f>
        <v>0</v>
      </c>
    </row>
    <row r="10" spans="1:5" s="40" customFormat="1" ht="12.75" thickBot="1" x14ac:dyDescent="0.25">
      <c r="A10" s="39">
        <v>46</v>
      </c>
      <c r="B10" s="40" t="s">
        <v>112</v>
      </c>
      <c r="C10" s="41">
        <v>82</v>
      </c>
      <c r="D10" s="51"/>
      <c r="E10" s="44">
        <f>'AT01'!G13</f>
        <v>1546400</v>
      </c>
    </row>
    <row r="11" spans="1:5" s="40" customFormat="1" ht="12.75" thickBot="1" x14ac:dyDescent="0.25">
      <c r="A11" s="39">
        <v>50</v>
      </c>
      <c r="B11" s="40" t="s">
        <v>106</v>
      </c>
      <c r="C11" s="41">
        <v>167</v>
      </c>
      <c r="D11" s="51"/>
      <c r="E11" s="44">
        <f>E79</f>
        <v>0</v>
      </c>
    </row>
    <row r="12" spans="1:5" s="40" customFormat="1" ht="12.75" thickBot="1" x14ac:dyDescent="0.25">
      <c r="A12" s="39"/>
      <c r="B12" s="40" t="s">
        <v>107</v>
      </c>
      <c r="C12" s="41">
        <v>747</v>
      </c>
      <c r="D12" s="51"/>
      <c r="E12" s="44">
        <f>E11</f>
        <v>0</v>
      </c>
    </row>
    <row r="13" spans="1:5" ht="12.75" thickBot="1" x14ac:dyDescent="0.25">
      <c r="A13" s="6">
        <v>53</v>
      </c>
      <c r="B13" s="3" t="s">
        <v>9</v>
      </c>
      <c r="C13" s="8">
        <v>305</v>
      </c>
      <c r="E13" s="26">
        <f>-E10-E12</f>
        <v>-1546400</v>
      </c>
    </row>
    <row r="14" spans="1:5" ht="12.75" thickBot="1" x14ac:dyDescent="0.25">
      <c r="A14" s="6">
        <f>IF(E13&gt;0,57,54)</f>
        <v>54</v>
      </c>
      <c r="B14" s="3" t="str">
        <f>IF(E13&gt;0,"Impuesto Adeudado","SALDO A FAVOR")</f>
        <v>SALDO A FAVOR</v>
      </c>
      <c r="C14" s="8">
        <f>IF(E13&gt;0,90,85)</f>
        <v>85</v>
      </c>
      <c r="E14" s="26">
        <f>ABS(E13)</f>
        <v>1546400</v>
      </c>
    </row>
    <row r="15" spans="1:5" ht="12.75" thickBot="1" x14ac:dyDescent="0.25">
      <c r="A15" s="6" t="str">
        <f>IF(E13&gt;0,58,"")</f>
        <v/>
      </c>
      <c r="B15" s="9" t="str">
        <f>IF($E$13&gt;0,0.6%,"")</f>
        <v/>
      </c>
      <c r="C15" s="8" t="str">
        <f>IF($E$13&gt;0,39,"")</f>
        <v/>
      </c>
      <c r="E15" s="26" t="str">
        <f>IF($E$13&gt;0,ROUND(B15*E14,0),"")</f>
        <v/>
      </c>
    </row>
    <row r="16" spans="1:5" ht="12.75" thickBot="1" x14ac:dyDescent="0.25">
      <c r="A16" s="6">
        <f>IF(E13&gt;0,59,56)</f>
        <v>56</v>
      </c>
      <c r="B16" s="3" t="str">
        <f>IF($E$13&gt;0,"TOTAL A PAGAR","DEVOLUCION SOLICITADA")</f>
        <v>DEVOLUCION SOLICITADA</v>
      </c>
      <c r="C16" s="8">
        <f>IF($E$13&gt;0,91,87)</f>
        <v>87</v>
      </c>
      <c r="E16" s="26">
        <f>SUM(E14:E15)</f>
        <v>1546400</v>
      </c>
    </row>
    <row r="17" spans="1:7" ht="12.75" thickBot="1" x14ac:dyDescent="0.25">
      <c r="B17" s="3" t="str">
        <f>IF($E$13&gt;0,"","Nombre Institución Bancaria")</f>
        <v>Nombre Institución Bancaria</v>
      </c>
      <c r="C17" s="8">
        <f>IF($E$13&gt;0,"",301)</f>
        <v>301</v>
      </c>
      <c r="E17" s="28" t="s">
        <v>116</v>
      </c>
    </row>
    <row r="18" spans="1:7" ht="12.75" thickBot="1" x14ac:dyDescent="0.25">
      <c r="B18" s="3" t="str">
        <f>IF($E$13&gt;0,"","Número de Cuenta")</f>
        <v>Número de Cuenta</v>
      </c>
      <c r="C18" s="8">
        <f>IF($E$13&gt;0,"",306)</f>
        <v>306</v>
      </c>
      <c r="E18" s="28">
        <v>12778451</v>
      </c>
    </row>
    <row r="19" spans="1:7" x14ac:dyDescent="0.2">
      <c r="C19" s="10"/>
      <c r="E19" s="26"/>
    </row>
    <row r="20" spans="1:7" ht="12.75" thickBot="1" x14ac:dyDescent="0.25">
      <c r="A20" s="5" t="s">
        <v>10</v>
      </c>
    </row>
    <row r="21" spans="1:7" ht="12.75" thickBot="1" x14ac:dyDescent="0.25">
      <c r="B21" s="3" t="s">
        <v>11</v>
      </c>
      <c r="C21" s="8" t="s">
        <v>12</v>
      </c>
      <c r="E21" s="25" t="s">
        <v>13</v>
      </c>
    </row>
    <row r="22" spans="1:7" ht="12.75" thickBot="1" x14ac:dyDescent="0.25">
      <c r="B22" s="3" t="s">
        <v>14</v>
      </c>
      <c r="C22" s="8" t="s">
        <v>15</v>
      </c>
      <c r="E22" s="25" t="s">
        <v>16</v>
      </c>
    </row>
    <row r="23" spans="1:7" ht="12.75" thickBot="1" x14ac:dyDescent="0.25">
      <c r="B23" s="3" t="s">
        <v>17</v>
      </c>
      <c r="C23" s="8">
        <v>53</v>
      </c>
      <c r="E23" s="6">
        <v>13</v>
      </c>
    </row>
    <row r="24" spans="1:7" ht="12.75" thickBot="1" x14ac:dyDescent="0.25">
      <c r="B24" s="3" t="s">
        <v>18</v>
      </c>
      <c r="C24" s="8">
        <v>13</v>
      </c>
      <c r="E24" s="27" t="s">
        <v>117</v>
      </c>
    </row>
    <row r="25" spans="1:7" ht="12.75" thickBot="1" x14ac:dyDescent="0.25">
      <c r="B25" s="3" t="s">
        <v>19</v>
      </c>
      <c r="C25" s="8">
        <v>14</v>
      </c>
      <c r="E25" s="28">
        <v>61911</v>
      </c>
    </row>
    <row r="26" spans="1:7" ht="12.75" thickBot="1" x14ac:dyDescent="0.25">
      <c r="B26" s="3" t="s">
        <v>20</v>
      </c>
      <c r="C26" s="8" t="s">
        <v>21</v>
      </c>
      <c r="E26" s="29" t="s">
        <v>79</v>
      </c>
    </row>
    <row r="27" spans="1:7" ht="12.75" thickBot="1" x14ac:dyDescent="0.25">
      <c r="B27" s="3" t="s">
        <v>22</v>
      </c>
      <c r="C27" s="8">
        <v>48</v>
      </c>
      <c r="E27" s="29" t="s">
        <v>88</v>
      </c>
    </row>
    <row r="28" spans="1:7" ht="12.75" thickBot="1" x14ac:dyDescent="0.25">
      <c r="B28" s="3" t="s">
        <v>23</v>
      </c>
      <c r="C28" s="8">
        <v>55</v>
      </c>
      <c r="E28" s="30" t="s">
        <v>118</v>
      </c>
    </row>
    <row r="29" spans="1:7" ht="12.75" thickBot="1" x14ac:dyDescent="0.25">
      <c r="B29" s="3" t="s">
        <v>24</v>
      </c>
      <c r="C29" s="8">
        <v>614</v>
      </c>
      <c r="E29" s="6" t="s">
        <v>25</v>
      </c>
    </row>
    <row r="31" spans="1:7" ht="12.75" thickBot="1" x14ac:dyDescent="0.25">
      <c r="A31" s="5" t="s">
        <v>26</v>
      </c>
      <c r="B31" s="3" t="s">
        <v>27</v>
      </c>
      <c r="E31" s="31"/>
    </row>
    <row r="32" spans="1:7" ht="12.75" thickBot="1" x14ac:dyDescent="0.25">
      <c r="A32" s="5"/>
      <c r="B32" s="3" t="s">
        <v>28</v>
      </c>
      <c r="C32" s="8">
        <v>628</v>
      </c>
      <c r="D32" s="50" t="s">
        <v>125</v>
      </c>
      <c r="E32" s="32">
        <v>1891383284</v>
      </c>
      <c r="G32" s="24" t="s">
        <v>101</v>
      </c>
    </row>
    <row r="33" spans="1:7" ht="12.75" thickBot="1" x14ac:dyDescent="0.25">
      <c r="A33" s="5"/>
      <c r="B33" s="3" t="s">
        <v>29</v>
      </c>
      <c r="C33" s="8">
        <v>629</v>
      </c>
      <c r="D33" s="50" t="s">
        <v>125</v>
      </c>
      <c r="E33" s="32">
        <v>98350</v>
      </c>
      <c r="G33" s="24" t="s">
        <v>83</v>
      </c>
    </row>
    <row r="34" spans="1:7" ht="12.75" thickBot="1" x14ac:dyDescent="0.25">
      <c r="A34" s="5"/>
      <c r="B34" s="3" t="s">
        <v>30</v>
      </c>
      <c r="C34" s="8">
        <v>651</v>
      </c>
      <c r="D34" s="50" t="s">
        <v>125</v>
      </c>
      <c r="E34" s="32">
        <f>66618+10681+203692</f>
        <v>280991</v>
      </c>
      <c r="G34" s="49" t="s">
        <v>119</v>
      </c>
    </row>
    <row r="35" spans="1:7" ht="12.75" thickBot="1" x14ac:dyDescent="0.25">
      <c r="A35" s="5"/>
      <c r="B35" s="3" t="s">
        <v>31</v>
      </c>
      <c r="C35" s="8">
        <v>630</v>
      </c>
      <c r="D35" s="50" t="s">
        <v>126</v>
      </c>
      <c r="E35" s="32">
        <v>1032126995</v>
      </c>
      <c r="G35" s="24" t="s">
        <v>80</v>
      </c>
    </row>
    <row r="36" spans="1:7" ht="12.75" thickBot="1" x14ac:dyDescent="0.25">
      <c r="A36" s="5"/>
      <c r="B36" s="3" t="s">
        <v>32</v>
      </c>
      <c r="C36" s="8">
        <v>631</v>
      </c>
      <c r="D36" s="50" t="s">
        <v>126</v>
      </c>
      <c r="E36" s="32">
        <v>502691417</v>
      </c>
      <c r="G36" s="24" t="s">
        <v>81</v>
      </c>
    </row>
    <row r="37" spans="1:7" ht="12.75" thickBot="1" x14ac:dyDescent="0.25">
      <c r="A37" s="5"/>
      <c r="B37" s="3" t="s">
        <v>33</v>
      </c>
      <c r="C37" s="8">
        <v>632</v>
      </c>
      <c r="D37" s="50" t="s">
        <v>126</v>
      </c>
      <c r="E37" s="32">
        <v>13587455</v>
      </c>
      <c r="G37" s="24" t="s">
        <v>82</v>
      </c>
    </row>
    <row r="38" spans="1:7" ht="12.75" thickBot="1" x14ac:dyDescent="0.25">
      <c r="A38" s="5"/>
      <c r="B38" s="3" t="s">
        <v>34</v>
      </c>
      <c r="C38" s="8">
        <v>633</v>
      </c>
      <c r="D38" s="50" t="s">
        <v>126</v>
      </c>
      <c r="E38" s="32">
        <f>5524515+32072681</f>
        <v>37597196</v>
      </c>
      <c r="G38" s="49" t="s">
        <v>140</v>
      </c>
    </row>
    <row r="39" spans="1:7" ht="12.75" thickBot="1" x14ac:dyDescent="0.25">
      <c r="A39" s="5"/>
      <c r="B39" s="3" t="s">
        <v>35</v>
      </c>
      <c r="C39" s="8">
        <v>635</v>
      </c>
      <c r="D39" s="50" t="s">
        <v>126</v>
      </c>
      <c r="E39" s="31">
        <f>SUM(E32:E34)-SUM(E35:E38)-E41+E42-'AT01'!G12</f>
        <v>245520311</v>
      </c>
      <c r="G39" s="24" t="s">
        <v>120</v>
      </c>
    </row>
    <row r="40" spans="1:7" ht="12.75" thickBot="1" x14ac:dyDescent="0.25">
      <c r="A40" s="5"/>
      <c r="B40" s="11" t="s">
        <v>36</v>
      </c>
      <c r="C40" s="8">
        <v>636</v>
      </c>
      <c r="D40" s="52" t="s">
        <v>127</v>
      </c>
      <c r="E40" s="33">
        <f>SUM(E32:E34)-SUM(E35:E39)</f>
        <v>60239251</v>
      </c>
    </row>
    <row r="41" spans="1:7" ht="12.75" thickBot="1" x14ac:dyDescent="0.25">
      <c r="A41" s="5"/>
      <c r="B41" s="3" t="s">
        <v>37</v>
      </c>
      <c r="C41" s="8">
        <v>637</v>
      </c>
      <c r="D41" s="50" t="s">
        <v>126</v>
      </c>
      <c r="E41" s="32">
        <f>12831657+29383698</f>
        <v>42215355</v>
      </c>
      <c r="G41" s="24" t="s">
        <v>82</v>
      </c>
    </row>
    <row r="42" spans="1:7" ht="12.75" thickBot="1" x14ac:dyDescent="0.25">
      <c r="A42" s="5"/>
      <c r="B42" s="3" t="s">
        <v>38</v>
      </c>
      <c r="C42" s="8">
        <v>638</v>
      </c>
      <c r="D42" s="50" t="s">
        <v>125</v>
      </c>
      <c r="E42" s="32">
        <v>4249644</v>
      </c>
      <c r="G42" s="24" t="s">
        <v>83</v>
      </c>
    </row>
    <row r="43" spans="1:7" ht="12.75" thickBot="1" x14ac:dyDescent="0.25">
      <c r="A43" s="5"/>
      <c r="B43" s="3" t="s">
        <v>39</v>
      </c>
      <c r="C43" s="8">
        <v>639</v>
      </c>
      <c r="D43" s="50" t="s">
        <v>125</v>
      </c>
      <c r="E43" s="31">
        <f>'AT01'!G13</f>
        <v>1546400</v>
      </c>
    </row>
    <row r="44" spans="1:7" ht="12.75" thickBot="1" x14ac:dyDescent="0.25">
      <c r="A44" s="5"/>
      <c r="B44" s="3" t="s">
        <v>40</v>
      </c>
      <c r="C44" s="8">
        <v>634</v>
      </c>
      <c r="D44" s="50" t="s">
        <v>126</v>
      </c>
      <c r="E44" s="31">
        <f>-'AT01'!G10</f>
        <v>2253352821</v>
      </c>
    </row>
    <row r="45" spans="1:7" ht="12.75" thickBot="1" x14ac:dyDescent="0.25">
      <c r="A45" s="5"/>
      <c r="B45" s="3" t="s">
        <v>41</v>
      </c>
      <c r="C45" s="8">
        <v>640</v>
      </c>
      <c r="D45" s="50" t="s">
        <v>126</v>
      </c>
      <c r="E45" s="32">
        <v>0</v>
      </c>
    </row>
    <row r="46" spans="1:7" ht="12.75" thickBot="1" x14ac:dyDescent="0.25">
      <c r="A46" s="5"/>
      <c r="B46" s="3" t="s">
        <v>42</v>
      </c>
      <c r="C46" s="8">
        <v>641</v>
      </c>
      <c r="D46" s="50" t="s">
        <v>126</v>
      </c>
      <c r="E46" s="32">
        <v>0</v>
      </c>
    </row>
    <row r="47" spans="1:7" ht="12.75" thickBot="1" x14ac:dyDescent="0.25">
      <c r="A47" s="5"/>
      <c r="B47" s="3" t="s">
        <v>43</v>
      </c>
      <c r="C47" s="8">
        <v>642</v>
      </c>
      <c r="D47" s="50" t="s">
        <v>126</v>
      </c>
      <c r="E47" s="31">
        <f>-'AT01'!G16</f>
        <v>0</v>
      </c>
    </row>
    <row r="48" spans="1:7" ht="12.75" thickBot="1" x14ac:dyDescent="0.25">
      <c r="A48" s="5"/>
      <c r="B48" s="11" t="s">
        <v>44</v>
      </c>
      <c r="C48" s="8">
        <v>643</v>
      </c>
      <c r="D48" s="52" t="s">
        <v>127</v>
      </c>
      <c r="E48" s="33">
        <f>E40-E41+E42+E43-SUM(E44:E47)</f>
        <v>-2229532881</v>
      </c>
    </row>
    <row r="49" spans="1:7" ht="12.75" thickBot="1" x14ac:dyDescent="0.25">
      <c r="A49" s="5"/>
      <c r="B49" s="3" t="s">
        <v>45</v>
      </c>
      <c r="C49" s="8">
        <v>644</v>
      </c>
      <c r="E49" s="31"/>
    </row>
    <row r="50" spans="1:7" x14ac:dyDescent="0.2">
      <c r="E50" s="31"/>
    </row>
    <row r="51" spans="1:7" ht="12.75" thickBot="1" x14ac:dyDescent="0.25">
      <c r="A51" s="5" t="s">
        <v>46</v>
      </c>
      <c r="B51" s="3" t="s">
        <v>47</v>
      </c>
      <c r="E51" s="31"/>
    </row>
    <row r="52" spans="1:7" ht="12.75" thickBot="1" x14ac:dyDescent="0.25">
      <c r="B52" s="3" t="s">
        <v>48</v>
      </c>
      <c r="C52" s="8">
        <v>101</v>
      </c>
      <c r="E52" s="32">
        <v>0</v>
      </c>
      <c r="G52" s="24" t="s">
        <v>84</v>
      </c>
    </row>
    <row r="53" spans="1:7" ht="12.75" thickBot="1" x14ac:dyDescent="0.25">
      <c r="B53" s="3" t="s">
        <v>49</v>
      </c>
      <c r="C53" s="8">
        <v>129</v>
      </c>
      <c r="E53" s="32">
        <v>556681571</v>
      </c>
      <c r="G53" s="24" t="s">
        <v>84</v>
      </c>
    </row>
    <row r="54" spans="1:7" ht="12.75" thickBot="1" x14ac:dyDescent="0.25">
      <c r="B54" s="3" t="s">
        <v>50</v>
      </c>
      <c r="C54" s="8">
        <v>122</v>
      </c>
      <c r="E54" s="32">
        <v>1769247101</v>
      </c>
      <c r="G54" s="24" t="s">
        <v>99</v>
      </c>
    </row>
    <row r="55" spans="1:7" ht="12.75" thickBot="1" x14ac:dyDescent="0.25">
      <c r="B55" s="3" t="s">
        <v>51</v>
      </c>
      <c r="C55" s="8">
        <v>123</v>
      </c>
      <c r="E55" s="32">
        <f>1769247101-22273540</f>
        <v>1746973561</v>
      </c>
      <c r="G55" s="24" t="s">
        <v>100</v>
      </c>
    </row>
    <row r="56" spans="1:7" ht="12.75" thickBot="1" x14ac:dyDescent="0.25">
      <c r="B56" s="3" t="s">
        <v>52</v>
      </c>
      <c r="C56" s="8">
        <v>102</v>
      </c>
      <c r="E56" s="32">
        <f>1769247101-175165450-14944588</f>
        <v>1579137063</v>
      </c>
      <c r="G56" s="24" t="s">
        <v>110</v>
      </c>
    </row>
    <row r="57" spans="1:7" ht="12.75" thickBot="1" x14ac:dyDescent="0.25">
      <c r="B57" s="3" t="s">
        <v>53</v>
      </c>
      <c r="C57" s="8">
        <v>645</v>
      </c>
      <c r="E57" s="32">
        <f>E56-860099681</f>
        <v>719037382</v>
      </c>
      <c r="G57" s="24" t="s">
        <v>102</v>
      </c>
    </row>
    <row r="58" spans="1:7" ht="12.75" thickBot="1" x14ac:dyDescent="0.25">
      <c r="B58" s="3" t="s">
        <v>54</v>
      </c>
      <c r="C58" s="8">
        <v>646</v>
      </c>
      <c r="E58" s="34"/>
    </row>
    <row r="59" spans="1:7" ht="12.75" thickBot="1" x14ac:dyDescent="0.25">
      <c r="B59" s="3" t="s">
        <v>55</v>
      </c>
      <c r="C59" s="8">
        <v>647</v>
      </c>
      <c r="E59" s="32">
        <f>40814787-14944588</f>
        <v>25870199</v>
      </c>
      <c r="G59" s="24" t="s">
        <v>103</v>
      </c>
    </row>
    <row r="60" spans="1:7" ht="12.75" thickBot="1" x14ac:dyDescent="0.25">
      <c r="B60" s="3" t="s">
        <v>56</v>
      </c>
      <c r="C60" s="8">
        <v>648</v>
      </c>
      <c r="E60" s="34"/>
    </row>
    <row r="61" spans="1:7" x14ac:dyDescent="0.2">
      <c r="E61" s="35"/>
    </row>
    <row r="62" spans="1:7" ht="12.75" thickBot="1" x14ac:dyDescent="0.25">
      <c r="A62" s="6" t="s">
        <v>57</v>
      </c>
      <c r="B62" s="3" t="s">
        <v>58</v>
      </c>
    </row>
    <row r="63" spans="1:7" ht="12.75" thickBot="1" x14ac:dyDescent="0.25">
      <c r="B63" s="3" t="s">
        <v>59</v>
      </c>
      <c r="C63" s="8">
        <v>341</v>
      </c>
      <c r="D63" s="50" t="s">
        <v>125</v>
      </c>
      <c r="E63" s="36">
        <v>0</v>
      </c>
    </row>
    <row r="64" spans="1:7" ht="12.75" thickBot="1" x14ac:dyDescent="0.25">
      <c r="B64" s="3" t="s">
        <v>60</v>
      </c>
      <c r="C64" s="8">
        <v>284</v>
      </c>
      <c r="D64" s="50" t="s">
        <v>126</v>
      </c>
      <c r="E64" s="31">
        <f>-'AT01'!G26</f>
        <v>2089430068</v>
      </c>
    </row>
    <row r="65" spans="2:7" ht="12.75" thickBot="1" x14ac:dyDescent="0.25">
      <c r="B65" s="3" t="s">
        <v>61</v>
      </c>
      <c r="C65" s="8">
        <v>225</v>
      </c>
      <c r="D65" s="50" t="s">
        <v>125</v>
      </c>
      <c r="E65" s="26">
        <f>MAX(E48,0)</f>
        <v>0</v>
      </c>
    </row>
    <row r="66" spans="2:7" ht="12.75" thickBot="1" x14ac:dyDescent="0.25">
      <c r="B66" s="3" t="s">
        <v>62</v>
      </c>
      <c r="C66" s="8">
        <v>229</v>
      </c>
      <c r="D66" s="50" t="s">
        <v>126</v>
      </c>
      <c r="E66" s="26">
        <f>-MIN(E48,0)</f>
        <v>2229532881</v>
      </c>
    </row>
    <row r="67" spans="2:7" ht="12.75" thickBot="1" x14ac:dyDescent="0.25">
      <c r="B67" s="3" t="s">
        <v>63</v>
      </c>
      <c r="C67" s="8">
        <v>623</v>
      </c>
      <c r="D67" s="50" t="s">
        <v>126</v>
      </c>
      <c r="E67" s="36"/>
    </row>
    <row r="68" spans="2:7" ht="12.75" thickBot="1" x14ac:dyDescent="0.25">
      <c r="B68" s="3" t="s">
        <v>64</v>
      </c>
      <c r="C68" s="8">
        <v>624</v>
      </c>
      <c r="D68" s="50" t="s">
        <v>126</v>
      </c>
      <c r="E68" s="26">
        <f>-'AT01'!G31</f>
        <v>1546400</v>
      </c>
    </row>
    <row r="69" spans="2:7" ht="12.75" thickBot="1" x14ac:dyDescent="0.25">
      <c r="B69" s="3" t="s">
        <v>65</v>
      </c>
      <c r="C69" s="8">
        <v>227</v>
      </c>
      <c r="D69" s="50" t="s">
        <v>125</v>
      </c>
      <c r="E69" s="36"/>
    </row>
    <row r="70" spans="2:7" ht="12.75" thickBot="1" x14ac:dyDescent="0.25">
      <c r="B70" s="3" t="s">
        <v>66</v>
      </c>
      <c r="C70" s="8">
        <v>242</v>
      </c>
      <c r="D70" s="50" t="s">
        <v>125</v>
      </c>
      <c r="E70" s="26">
        <f>'AT01'!G36</f>
        <v>2254899221</v>
      </c>
    </row>
    <row r="71" spans="2:7" ht="12.75" thickBot="1" x14ac:dyDescent="0.25">
      <c r="B71" s="3" t="s">
        <v>67</v>
      </c>
      <c r="C71" s="8">
        <v>275</v>
      </c>
      <c r="D71" s="50" t="s">
        <v>126</v>
      </c>
      <c r="E71" s="36"/>
    </row>
    <row r="72" spans="2:7" ht="12.75" thickBot="1" x14ac:dyDescent="0.25">
      <c r="B72" s="3" t="s">
        <v>68</v>
      </c>
      <c r="C72" s="8">
        <v>226</v>
      </c>
      <c r="D72" s="50" t="s">
        <v>126</v>
      </c>
      <c r="E72" s="36">
        <v>0</v>
      </c>
    </row>
    <row r="73" spans="2:7" ht="12.75" thickBot="1" x14ac:dyDescent="0.25">
      <c r="B73" s="11" t="s">
        <v>69</v>
      </c>
      <c r="C73" s="8">
        <v>231</v>
      </c>
      <c r="D73" s="52" t="s">
        <v>127</v>
      </c>
      <c r="E73" s="37">
        <v>0</v>
      </c>
    </row>
    <row r="74" spans="2:7" ht="12.75" thickBot="1" x14ac:dyDescent="0.25">
      <c r="B74" s="3" t="s">
        <v>70</v>
      </c>
      <c r="C74" s="8">
        <v>318</v>
      </c>
      <c r="D74" s="50" t="s">
        <v>127</v>
      </c>
      <c r="E74" s="36">
        <v>0</v>
      </c>
    </row>
    <row r="75" spans="2:7" ht="12.75" thickBot="1" x14ac:dyDescent="0.25">
      <c r="B75" s="3" t="s">
        <v>71</v>
      </c>
      <c r="C75" s="8">
        <v>232</v>
      </c>
      <c r="D75" s="50" t="s">
        <v>127</v>
      </c>
      <c r="E75" s="26">
        <f>+E73+E74-(E63-E64+E65-E66-E67-E68+E69+E70-E71-E72)</f>
        <v>2065610128</v>
      </c>
    </row>
    <row r="76" spans="2:7" ht="12.75" thickBot="1" x14ac:dyDescent="0.25">
      <c r="B76" s="11" t="s">
        <v>72</v>
      </c>
      <c r="C76" s="8">
        <v>320</v>
      </c>
      <c r="D76" s="52"/>
      <c r="E76" s="38"/>
    </row>
    <row r="77" spans="2:7" ht="12.75" thickBot="1" x14ac:dyDescent="0.25">
      <c r="B77" s="3" t="s">
        <v>73</v>
      </c>
      <c r="C77" s="8">
        <v>228</v>
      </c>
      <c r="E77" s="36">
        <v>0</v>
      </c>
    </row>
    <row r="78" spans="2:7" ht="12.75" thickBot="1" x14ac:dyDescent="0.25">
      <c r="B78" s="11" t="s">
        <v>74</v>
      </c>
      <c r="C78" s="8">
        <v>625</v>
      </c>
      <c r="D78" s="52"/>
      <c r="E78" s="37">
        <v>0</v>
      </c>
      <c r="G78" s="24" t="s">
        <v>85</v>
      </c>
    </row>
    <row r="79" spans="2:7" ht="12.75" thickBot="1" x14ac:dyDescent="0.25">
      <c r="B79" s="3" t="s">
        <v>75</v>
      </c>
      <c r="C79" s="8">
        <v>626</v>
      </c>
      <c r="E79" s="36">
        <v>0</v>
      </c>
      <c r="G79" s="24" t="s">
        <v>86</v>
      </c>
    </row>
    <row r="80" spans="2:7" ht="12.75" thickBot="1" x14ac:dyDescent="0.25">
      <c r="B80" s="3" t="s">
        <v>76</v>
      </c>
      <c r="C80" s="8">
        <v>627</v>
      </c>
      <c r="E80" s="26">
        <f>E79</f>
        <v>0</v>
      </c>
      <c r="G80" s="24" t="s">
        <v>87</v>
      </c>
    </row>
    <row r="81" spans="2:5" ht="12.75" thickBot="1" x14ac:dyDescent="0.25"/>
    <row r="82" spans="2:5" ht="12.75" thickBot="1" x14ac:dyDescent="0.25">
      <c r="B82" s="3" t="s">
        <v>77</v>
      </c>
      <c r="C82" s="8">
        <v>650</v>
      </c>
      <c r="E82" s="28" t="s">
        <v>89</v>
      </c>
    </row>
    <row r="83" spans="2:5" ht="12.75" thickBot="1" x14ac:dyDescent="0.25">
      <c r="B83" s="3" t="s">
        <v>78</v>
      </c>
      <c r="C83" s="8">
        <v>903</v>
      </c>
      <c r="E83" s="28" t="s">
        <v>89</v>
      </c>
    </row>
  </sheetData>
  <phoneticPr fontId="0" type="noConversion"/>
  <pageMargins left="0.39370078740157483" right="0.19685039370078741" top="0.59055118110236227" bottom="0.39370078740157483" header="0.51181102362204722" footer="0.51181102362204722"/>
  <pageSetup scale="90" fitToHeight="2" orientation="landscape" horizontalDpi="360" verticalDpi="360" copies="0" r:id="rId1"/>
  <headerFooter alignWithMargins="0"/>
  <rowBreaks count="1" manualBreakCount="1">
    <brk id="50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G83"/>
  <sheetViews>
    <sheetView workbookViewId="0"/>
  </sheetViews>
  <sheetFormatPr baseColWidth="10" defaultColWidth="9.140625" defaultRowHeight="12" x14ac:dyDescent="0.2"/>
  <cols>
    <col min="1" max="1" width="13.85546875" style="6" customWidth="1"/>
    <col min="2" max="2" width="45" style="3" customWidth="1"/>
    <col min="3" max="3" width="5.28515625" style="4" customWidth="1"/>
    <col min="4" max="4" width="1.85546875" style="50" customWidth="1"/>
    <col min="5" max="5" width="13.42578125" style="25" customWidth="1"/>
    <col min="6" max="6" width="3" style="3" customWidth="1"/>
    <col min="7" max="7" width="11.5703125" style="24" customWidth="1"/>
    <col min="8" max="16384" width="9.140625" style="3"/>
  </cols>
  <sheetData>
    <row r="1" spans="1:5" s="55" customFormat="1" ht="12.75" x14ac:dyDescent="0.2">
      <c r="A1" s="56" t="s">
        <v>115</v>
      </c>
      <c r="D1" s="56"/>
    </row>
    <row r="2" spans="1:5" s="55" customFormat="1" ht="12.75" x14ac:dyDescent="0.2">
      <c r="A2" s="56" t="s">
        <v>114</v>
      </c>
      <c r="D2" s="56"/>
    </row>
    <row r="3" spans="1:5" ht="12.75" x14ac:dyDescent="0.2">
      <c r="A3" s="2" t="str">
        <f>AT00!A3</f>
        <v>AÑO TRIBUTARIO 2000</v>
      </c>
    </row>
    <row r="4" spans="1:5" x14ac:dyDescent="0.2">
      <c r="A4" s="5" t="s">
        <v>0</v>
      </c>
    </row>
    <row r="5" spans="1:5" ht="12.75" thickBot="1" x14ac:dyDescent="0.25">
      <c r="A5" s="6" t="s">
        <v>1</v>
      </c>
      <c r="B5" s="3" t="s">
        <v>2</v>
      </c>
      <c r="C5" s="7" t="s">
        <v>3</v>
      </c>
      <c r="E5" s="6" t="s">
        <v>4</v>
      </c>
    </row>
    <row r="6" spans="1:5" ht="12.75" thickBot="1" x14ac:dyDescent="0.25">
      <c r="B6" s="3" t="s">
        <v>5</v>
      </c>
      <c r="C6" s="8" t="s">
        <v>6</v>
      </c>
      <c r="E6" s="25" t="str">
        <f>A2</f>
        <v>86.132.100-2</v>
      </c>
    </row>
    <row r="7" spans="1:5" ht="12.75" thickBot="1" x14ac:dyDescent="0.25">
      <c r="B7" s="3" t="s">
        <v>7</v>
      </c>
      <c r="C7" s="8" t="s">
        <v>8</v>
      </c>
      <c r="E7" s="25" t="str">
        <f>A1</f>
        <v>DEMARKA S.A.</v>
      </c>
    </row>
    <row r="8" spans="1:5" s="40" customFormat="1" ht="12.75" thickBot="1" x14ac:dyDescent="0.25">
      <c r="A8" s="39">
        <v>34</v>
      </c>
      <c r="B8" s="40" t="s">
        <v>104</v>
      </c>
      <c r="C8" s="41">
        <v>18</v>
      </c>
      <c r="D8" s="51"/>
      <c r="E8" s="44" t="str">
        <f>IF(E48&gt;0,E48,"PERDIDA")</f>
        <v>PERDIDA</v>
      </c>
    </row>
    <row r="9" spans="1:5" s="40" customFormat="1" ht="12.75" thickBot="1" x14ac:dyDescent="0.25">
      <c r="A9" s="39"/>
      <c r="B9" s="40" t="s">
        <v>105</v>
      </c>
      <c r="C9" s="41">
        <v>20</v>
      </c>
      <c r="D9" s="51"/>
      <c r="E9" s="44">
        <f>MAX(ROUND(15%*E86,0),0)</f>
        <v>0</v>
      </c>
    </row>
    <row r="10" spans="1:5" s="40" customFormat="1" ht="12.75" thickBot="1" x14ac:dyDescent="0.25">
      <c r="A10" s="39">
        <v>44</v>
      </c>
      <c r="B10" s="40" t="s">
        <v>112</v>
      </c>
      <c r="C10" s="41">
        <v>82</v>
      </c>
      <c r="D10" s="51"/>
      <c r="E10" s="44">
        <f>AT00!G13</f>
        <v>2036150</v>
      </c>
    </row>
    <row r="11" spans="1:5" s="40" customFormat="1" ht="12.75" thickBot="1" x14ac:dyDescent="0.25">
      <c r="A11" s="39">
        <v>49</v>
      </c>
      <c r="B11" s="40" t="s">
        <v>106</v>
      </c>
      <c r="C11" s="41">
        <v>167</v>
      </c>
      <c r="D11" s="51"/>
      <c r="E11" s="44">
        <f>E79</f>
        <v>0</v>
      </c>
    </row>
    <row r="12" spans="1:5" s="40" customFormat="1" ht="12.75" thickBot="1" x14ac:dyDescent="0.25">
      <c r="A12" s="39"/>
      <c r="B12" s="40" t="s">
        <v>107</v>
      </c>
      <c r="C12" s="41">
        <v>747</v>
      </c>
      <c r="D12" s="51"/>
      <c r="E12" s="44">
        <f>E11</f>
        <v>0</v>
      </c>
    </row>
    <row r="13" spans="1:5" ht="12.75" thickBot="1" x14ac:dyDescent="0.25">
      <c r="A13" s="6">
        <v>53</v>
      </c>
      <c r="B13" s="3" t="s">
        <v>9</v>
      </c>
      <c r="C13" s="8">
        <v>305</v>
      </c>
      <c r="E13" s="26">
        <f>-E10-E12</f>
        <v>-2036150</v>
      </c>
    </row>
    <row r="14" spans="1:5" ht="12.75" thickBot="1" x14ac:dyDescent="0.25">
      <c r="A14" s="6">
        <f>IF(E13&gt;0,57,54)</f>
        <v>54</v>
      </c>
      <c r="B14" s="3" t="str">
        <f>IF(E13&gt;0,"Impuesto Adeudado","SALDO A FAVOR")</f>
        <v>SALDO A FAVOR</v>
      </c>
      <c r="C14" s="8">
        <f>IF(E13&gt;0,90,85)</f>
        <v>85</v>
      </c>
      <c r="E14" s="26">
        <f>ABS(E13)</f>
        <v>2036150</v>
      </c>
    </row>
    <row r="15" spans="1:5" ht="12.75" thickBot="1" x14ac:dyDescent="0.25">
      <c r="A15" s="6" t="str">
        <f>IF(E13&gt;0,58,"")</f>
        <v/>
      </c>
      <c r="B15" s="9" t="str">
        <f>IF($E$13&gt;0,0.6%,"")</f>
        <v/>
      </c>
      <c r="C15" s="8" t="str">
        <f>IF($E$13&gt;0,39,"")</f>
        <v/>
      </c>
      <c r="E15" s="26" t="str">
        <f>IF($E$13&gt;0,ROUND(B15*E14,0),"")</f>
        <v/>
      </c>
    </row>
    <row r="16" spans="1:5" ht="12.75" thickBot="1" x14ac:dyDescent="0.25">
      <c r="A16" s="6">
        <f>IF(E13&gt;0,59,56)</f>
        <v>56</v>
      </c>
      <c r="B16" s="3" t="str">
        <f>IF($E$13&gt;0,"TOTAL A PAGAR","DEVOLUCION SOLICITADA")</f>
        <v>DEVOLUCION SOLICITADA</v>
      </c>
      <c r="C16" s="8">
        <f>IF($E$13&gt;0,91,87)</f>
        <v>87</v>
      </c>
      <c r="E16" s="26">
        <f>SUM(E14:E15)</f>
        <v>2036150</v>
      </c>
    </row>
    <row r="17" spans="1:7" ht="12.75" thickBot="1" x14ac:dyDescent="0.25">
      <c r="B17" s="3" t="str">
        <f>IF($E$13&gt;0,"","Nombre Institución Bancaria")</f>
        <v>Nombre Institución Bancaria</v>
      </c>
      <c r="C17" s="8">
        <f>IF($E$13&gt;0,"",301)</f>
        <v>301</v>
      </c>
      <c r="E17" s="28" t="s">
        <v>121</v>
      </c>
    </row>
    <row r="18" spans="1:7" ht="12.75" thickBot="1" x14ac:dyDescent="0.25">
      <c r="B18" s="3" t="str">
        <f>IF($E$13&gt;0,"","Número de Cuenta")</f>
        <v>Número de Cuenta</v>
      </c>
      <c r="C18" s="8">
        <f>IF($E$13&gt;0,"",306)</f>
        <v>306</v>
      </c>
      <c r="E18" s="28" t="s">
        <v>122</v>
      </c>
    </row>
    <row r="19" spans="1:7" x14ac:dyDescent="0.2">
      <c r="C19" s="10"/>
      <c r="E19" s="26"/>
    </row>
    <row r="20" spans="1:7" ht="12.75" thickBot="1" x14ac:dyDescent="0.25">
      <c r="A20" s="5" t="s">
        <v>10</v>
      </c>
    </row>
    <row r="21" spans="1:7" ht="12.75" thickBot="1" x14ac:dyDescent="0.25">
      <c r="B21" s="3" t="s">
        <v>11</v>
      </c>
      <c r="C21" s="8" t="s">
        <v>12</v>
      </c>
      <c r="E21" s="25" t="s">
        <v>13</v>
      </c>
    </row>
    <row r="22" spans="1:7" ht="12.75" thickBot="1" x14ac:dyDescent="0.25">
      <c r="B22" s="3" t="s">
        <v>14</v>
      </c>
      <c r="C22" s="8" t="s">
        <v>15</v>
      </c>
      <c r="E22" s="25" t="s">
        <v>16</v>
      </c>
    </row>
    <row r="23" spans="1:7" ht="12.75" thickBot="1" x14ac:dyDescent="0.25">
      <c r="B23" s="3" t="s">
        <v>17</v>
      </c>
      <c r="C23" s="8">
        <v>53</v>
      </c>
      <c r="E23" s="6">
        <v>13</v>
      </c>
    </row>
    <row r="24" spans="1:7" ht="12.75" thickBot="1" x14ac:dyDescent="0.25">
      <c r="B24" s="3" t="s">
        <v>18</v>
      </c>
      <c r="C24" s="8">
        <v>13</v>
      </c>
      <c r="E24" s="27" t="s">
        <v>117</v>
      </c>
    </row>
    <row r="25" spans="1:7" ht="12.75" thickBot="1" x14ac:dyDescent="0.25">
      <c r="B25" s="3" t="s">
        <v>19</v>
      </c>
      <c r="C25" s="8">
        <v>14</v>
      </c>
      <c r="E25" s="28">
        <v>61911</v>
      </c>
    </row>
    <row r="26" spans="1:7" ht="12.75" thickBot="1" x14ac:dyDescent="0.25">
      <c r="B26" s="3" t="s">
        <v>20</v>
      </c>
      <c r="C26" s="8" t="s">
        <v>21</v>
      </c>
      <c r="E26" s="29" t="s">
        <v>79</v>
      </c>
    </row>
    <row r="27" spans="1:7" ht="12.75" thickBot="1" x14ac:dyDescent="0.25">
      <c r="B27" s="3" t="s">
        <v>22</v>
      </c>
      <c r="C27" s="8">
        <v>48</v>
      </c>
      <c r="E27" s="29" t="s">
        <v>88</v>
      </c>
    </row>
    <row r="28" spans="1:7" ht="12.75" thickBot="1" x14ac:dyDescent="0.25">
      <c r="B28" s="3" t="s">
        <v>23</v>
      </c>
      <c r="C28" s="8">
        <v>55</v>
      </c>
      <c r="E28" s="30" t="s">
        <v>124</v>
      </c>
    </row>
    <row r="29" spans="1:7" ht="12.75" thickBot="1" x14ac:dyDescent="0.25">
      <c r="B29" s="3" t="s">
        <v>24</v>
      </c>
      <c r="C29" s="8">
        <v>614</v>
      </c>
      <c r="E29" s="6" t="s">
        <v>25</v>
      </c>
    </row>
    <row r="31" spans="1:7" ht="12.75" thickBot="1" x14ac:dyDescent="0.25">
      <c r="A31" s="5" t="s">
        <v>26</v>
      </c>
      <c r="B31" s="3" t="s">
        <v>27</v>
      </c>
      <c r="E31" s="31"/>
    </row>
    <row r="32" spans="1:7" ht="12.75" thickBot="1" x14ac:dyDescent="0.25">
      <c r="A32" s="5"/>
      <c r="B32" s="3" t="s">
        <v>28</v>
      </c>
      <c r="C32" s="8">
        <v>628</v>
      </c>
      <c r="D32" s="50" t="s">
        <v>125</v>
      </c>
      <c r="E32" s="32">
        <v>1546925931</v>
      </c>
      <c r="G32" s="24" t="s">
        <v>101</v>
      </c>
    </row>
    <row r="33" spans="1:7" ht="12.75" thickBot="1" x14ac:dyDescent="0.25">
      <c r="A33" s="5"/>
      <c r="B33" s="3" t="s">
        <v>29</v>
      </c>
      <c r="C33" s="8">
        <v>629</v>
      </c>
      <c r="D33" s="50" t="s">
        <v>125</v>
      </c>
      <c r="E33" s="32">
        <v>922862</v>
      </c>
      <c r="G33" s="24" t="s">
        <v>83</v>
      </c>
    </row>
    <row r="34" spans="1:7" ht="12.75" thickBot="1" x14ac:dyDescent="0.25">
      <c r="A34" s="5"/>
      <c r="B34" s="3" t="s">
        <v>30</v>
      </c>
      <c r="C34" s="8">
        <v>651</v>
      </c>
      <c r="D34" s="50" t="s">
        <v>125</v>
      </c>
      <c r="E34" s="32">
        <v>5284619</v>
      </c>
      <c r="G34" s="24" t="s">
        <v>83</v>
      </c>
    </row>
    <row r="35" spans="1:7" ht="12.75" thickBot="1" x14ac:dyDescent="0.25">
      <c r="A35" s="5"/>
      <c r="B35" s="3" t="s">
        <v>31</v>
      </c>
      <c r="C35" s="8">
        <v>630</v>
      </c>
      <c r="D35" s="50" t="s">
        <v>126</v>
      </c>
      <c r="E35" s="32">
        <v>782148147</v>
      </c>
      <c r="G35" s="24" t="s">
        <v>80</v>
      </c>
    </row>
    <row r="36" spans="1:7" ht="12.75" thickBot="1" x14ac:dyDescent="0.25">
      <c r="A36" s="5"/>
      <c r="B36" s="3" t="s">
        <v>32</v>
      </c>
      <c r="C36" s="8">
        <v>631</v>
      </c>
      <c r="D36" s="50" t="s">
        <v>126</v>
      </c>
      <c r="E36" s="32">
        <v>496584111</v>
      </c>
      <c r="G36" s="24" t="s">
        <v>81</v>
      </c>
    </row>
    <row r="37" spans="1:7" ht="12.75" thickBot="1" x14ac:dyDescent="0.25">
      <c r="A37" s="5"/>
      <c r="B37" s="3" t="s">
        <v>33</v>
      </c>
      <c r="C37" s="8">
        <v>632</v>
      </c>
      <c r="D37" s="50" t="s">
        <v>126</v>
      </c>
      <c r="E37" s="32">
        <v>12323351</v>
      </c>
      <c r="G37" s="24" t="s">
        <v>82</v>
      </c>
    </row>
    <row r="38" spans="1:7" ht="12.75" thickBot="1" x14ac:dyDescent="0.25">
      <c r="A38" s="5"/>
      <c r="B38" s="3" t="s">
        <v>34</v>
      </c>
      <c r="C38" s="8">
        <v>633</v>
      </c>
      <c r="D38" s="50" t="s">
        <v>126</v>
      </c>
      <c r="E38" s="32">
        <v>30005226</v>
      </c>
      <c r="G38" s="24" t="s">
        <v>82</v>
      </c>
    </row>
    <row r="39" spans="1:7" ht="12.75" thickBot="1" x14ac:dyDescent="0.25">
      <c r="A39" s="5"/>
      <c r="B39" s="3" t="s">
        <v>35</v>
      </c>
      <c r="C39" s="8">
        <v>635</v>
      </c>
      <c r="D39" s="50" t="s">
        <v>126</v>
      </c>
      <c r="E39" s="31">
        <f>SUM(E32:E34)-SUM(E35:E38)-E41+E42-AT00!G12</f>
        <v>181122014</v>
      </c>
      <c r="G39" s="24" t="s">
        <v>120</v>
      </c>
    </row>
    <row r="40" spans="1:7" ht="12.75" thickBot="1" x14ac:dyDescent="0.25">
      <c r="A40" s="5"/>
      <c r="B40" s="11" t="s">
        <v>36</v>
      </c>
      <c r="C40" s="8">
        <v>636</v>
      </c>
      <c r="D40" s="52" t="s">
        <v>127</v>
      </c>
      <c r="E40" s="33">
        <f>SUM(E32:E34)-SUM(E35:E39)</f>
        <v>50950563</v>
      </c>
    </row>
    <row r="41" spans="1:7" ht="12.75" thickBot="1" x14ac:dyDescent="0.25">
      <c r="A41" s="5"/>
      <c r="B41" s="3" t="s">
        <v>37</v>
      </c>
      <c r="C41" s="8">
        <v>637</v>
      </c>
      <c r="D41" s="50" t="s">
        <v>126</v>
      </c>
      <c r="E41" s="32">
        <v>25041439</v>
      </c>
      <c r="G41" s="24" t="s">
        <v>82</v>
      </c>
    </row>
    <row r="42" spans="1:7" ht="12.75" thickBot="1" x14ac:dyDescent="0.25">
      <c r="A42" s="5"/>
      <c r="B42" s="3" t="s">
        <v>38</v>
      </c>
      <c r="C42" s="8">
        <v>638</v>
      </c>
      <c r="D42" s="50" t="s">
        <v>125</v>
      </c>
      <c r="E42" s="32">
        <v>0</v>
      </c>
      <c r="G42" s="24" t="s">
        <v>83</v>
      </c>
    </row>
    <row r="43" spans="1:7" ht="12.75" thickBot="1" x14ac:dyDescent="0.25">
      <c r="A43" s="5"/>
      <c r="B43" s="3" t="s">
        <v>39</v>
      </c>
      <c r="C43" s="8">
        <v>639</v>
      </c>
      <c r="D43" s="50" t="s">
        <v>125</v>
      </c>
      <c r="E43" s="31">
        <f>AT00!G13</f>
        <v>2036150</v>
      </c>
    </row>
    <row r="44" spans="1:7" ht="12.75" thickBot="1" x14ac:dyDescent="0.25">
      <c r="A44" s="5"/>
      <c r="B44" s="3" t="s">
        <v>40</v>
      </c>
      <c r="C44" s="8">
        <v>634</v>
      </c>
      <c r="D44" s="50" t="s">
        <v>126</v>
      </c>
      <c r="E44" s="31">
        <f>-AT00!G10</f>
        <v>2180144721</v>
      </c>
    </row>
    <row r="45" spans="1:7" ht="12.75" thickBot="1" x14ac:dyDescent="0.25">
      <c r="A45" s="5"/>
      <c r="B45" s="3" t="s">
        <v>41</v>
      </c>
      <c r="C45" s="8">
        <v>640</v>
      </c>
      <c r="D45" s="50" t="s">
        <v>126</v>
      </c>
      <c r="E45" s="32">
        <v>0</v>
      </c>
    </row>
    <row r="46" spans="1:7" ht="12.75" thickBot="1" x14ac:dyDescent="0.25">
      <c r="A46" s="5"/>
      <c r="B46" s="3" t="s">
        <v>42</v>
      </c>
      <c r="C46" s="8">
        <v>641</v>
      </c>
      <c r="D46" s="50" t="s">
        <v>126</v>
      </c>
      <c r="E46" s="32">
        <v>0</v>
      </c>
    </row>
    <row r="47" spans="1:7" ht="12.75" thickBot="1" x14ac:dyDescent="0.25">
      <c r="A47" s="5"/>
      <c r="B47" s="3" t="s">
        <v>43</v>
      </c>
      <c r="C47" s="8">
        <v>642</v>
      </c>
      <c r="D47" s="50" t="s">
        <v>126</v>
      </c>
      <c r="E47" s="31">
        <f>-AT00!G16</f>
        <v>0</v>
      </c>
    </row>
    <row r="48" spans="1:7" ht="12.75" thickBot="1" x14ac:dyDescent="0.25">
      <c r="A48" s="5"/>
      <c r="B48" s="11" t="s">
        <v>44</v>
      </c>
      <c r="C48" s="8">
        <v>643</v>
      </c>
      <c r="D48" s="52" t="s">
        <v>127</v>
      </c>
      <c r="E48" s="33">
        <f>E40-E41+E42+E43-SUM(E44:E47)</f>
        <v>-2152199447</v>
      </c>
    </row>
    <row r="49" spans="1:7" ht="12.75" thickBot="1" x14ac:dyDescent="0.25">
      <c r="A49" s="5"/>
      <c r="B49" s="3" t="s">
        <v>45</v>
      </c>
      <c r="C49" s="8">
        <v>644</v>
      </c>
      <c r="E49" s="31"/>
    </row>
    <row r="50" spans="1:7" x14ac:dyDescent="0.2">
      <c r="E50" s="31"/>
    </row>
    <row r="51" spans="1:7" ht="12.75" thickBot="1" x14ac:dyDescent="0.25">
      <c r="A51" s="5" t="s">
        <v>46</v>
      </c>
      <c r="B51" s="3" t="s">
        <v>47</v>
      </c>
      <c r="E51" s="31"/>
    </row>
    <row r="52" spans="1:7" ht="12.75" thickBot="1" x14ac:dyDescent="0.25">
      <c r="B52" s="3" t="s">
        <v>48</v>
      </c>
      <c r="C52" s="8">
        <v>101</v>
      </c>
      <c r="E52" s="32">
        <v>17654</v>
      </c>
      <c r="G52" s="24" t="s">
        <v>84</v>
      </c>
    </row>
    <row r="53" spans="1:7" ht="12.75" thickBot="1" x14ac:dyDescent="0.25">
      <c r="B53" s="3" t="s">
        <v>49</v>
      </c>
      <c r="C53" s="8">
        <v>129</v>
      </c>
      <c r="E53" s="32">
        <v>509323542</v>
      </c>
      <c r="G53" s="24" t="s">
        <v>84</v>
      </c>
    </row>
    <row r="54" spans="1:7" ht="12.75" thickBot="1" x14ac:dyDescent="0.25">
      <c r="B54" s="3" t="s">
        <v>50</v>
      </c>
      <c r="C54" s="8">
        <v>122</v>
      </c>
      <c r="E54" s="32">
        <v>1380373382</v>
      </c>
      <c r="G54" s="24" t="s">
        <v>99</v>
      </c>
    </row>
    <row r="55" spans="1:7" ht="12.75" thickBot="1" x14ac:dyDescent="0.25">
      <c r="B55" s="3" t="s">
        <v>51</v>
      </c>
      <c r="C55" s="8">
        <v>123</v>
      </c>
      <c r="E55" s="32">
        <v>1354464258</v>
      </c>
      <c r="G55" s="24" t="s">
        <v>100</v>
      </c>
    </row>
    <row r="56" spans="1:7" ht="12.75" thickBot="1" x14ac:dyDescent="0.25">
      <c r="B56" s="3" t="s">
        <v>52</v>
      </c>
      <c r="C56" s="8">
        <v>102</v>
      </c>
      <c r="E56" s="32">
        <v>1379795259</v>
      </c>
      <c r="G56" s="24" t="s">
        <v>110</v>
      </c>
    </row>
    <row r="57" spans="1:7" ht="12.75" thickBot="1" x14ac:dyDescent="0.25">
      <c r="B57" s="3" t="s">
        <v>53</v>
      </c>
      <c r="C57" s="8">
        <v>645</v>
      </c>
      <c r="E57" s="32">
        <v>493871603</v>
      </c>
      <c r="G57" s="24" t="s">
        <v>102</v>
      </c>
    </row>
    <row r="58" spans="1:7" ht="12.75" thickBot="1" x14ac:dyDescent="0.25">
      <c r="B58" s="3" t="s">
        <v>54</v>
      </c>
      <c r="C58" s="8">
        <v>646</v>
      </c>
      <c r="E58" s="34"/>
    </row>
    <row r="59" spans="1:7" ht="12.75" thickBot="1" x14ac:dyDescent="0.25">
      <c r="B59" s="3" t="s">
        <v>55</v>
      </c>
      <c r="C59" s="8">
        <v>647</v>
      </c>
      <c r="E59" s="32">
        <v>44445683</v>
      </c>
      <c r="G59" s="24" t="s">
        <v>103</v>
      </c>
    </row>
    <row r="60" spans="1:7" ht="12.75" thickBot="1" x14ac:dyDescent="0.25">
      <c r="B60" s="3" t="s">
        <v>56</v>
      </c>
      <c r="C60" s="8">
        <v>648</v>
      </c>
      <c r="E60" s="34"/>
    </row>
    <row r="61" spans="1:7" x14ac:dyDescent="0.2">
      <c r="E61" s="35"/>
    </row>
    <row r="62" spans="1:7" ht="12.75" thickBot="1" x14ac:dyDescent="0.25">
      <c r="A62" s="6" t="s">
        <v>57</v>
      </c>
      <c r="B62" s="3" t="s">
        <v>58</v>
      </c>
    </row>
    <row r="63" spans="1:7" ht="12.75" thickBot="1" x14ac:dyDescent="0.25">
      <c r="B63" s="3" t="s">
        <v>59</v>
      </c>
      <c r="C63" s="8">
        <v>341</v>
      </c>
      <c r="D63" s="50" t="s">
        <v>125</v>
      </c>
      <c r="E63" s="36">
        <v>0</v>
      </c>
    </row>
    <row r="64" spans="1:7" ht="12.75" thickBot="1" x14ac:dyDescent="0.25">
      <c r="B64" s="3" t="s">
        <v>60</v>
      </c>
      <c r="C64" s="8">
        <v>284</v>
      </c>
      <c r="D64" s="50" t="s">
        <v>126</v>
      </c>
      <c r="E64" s="31">
        <f>-AT00!G26</f>
        <v>2023580487</v>
      </c>
    </row>
    <row r="65" spans="2:7" ht="12.75" thickBot="1" x14ac:dyDescent="0.25">
      <c r="B65" s="3" t="s">
        <v>61</v>
      </c>
      <c r="C65" s="8">
        <v>225</v>
      </c>
      <c r="D65" s="50" t="s">
        <v>125</v>
      </c>
      <c r="E65" s="26">
        <f>MAX(E48,0)</f>
        <v>0</v>
      </c>
    </row>
    <row r="66" spans="2:7" ht="12.75" thickBot="1" x14ac:dyDescent="0.25">
      <c r="B66" s="3" t="s">
        <v>62</v>
      </c>
      <c r="C66" s="8">
        <v>229</v>
      </c>
      <c r="D66" s="50" t="s">
        <v>126</v>
      </c>
      <c r="E66" s="26">
        <f>-MIN(E48,0)</f>
        <v>2152199447</v>
      </c>
    </row>
    <row r="67" spans="2:7" ht="12.75" thickBot="1" x14ac:dyDescent="0.25">
      <c r="B67" s="3" t="s">
        <v>63</v>
      </c>
      <c r="C67" s="8">
        <v>623</v>
      </c>
      <c r="D67" s="50" t="s">
        <v>126</v>
      </c>
      <c r="E67" s="36"/>
    </row>
    <row r="68" spans="2:7" ht="12.75" thickBot="1" x14ac:dyDescent="0.25">
      <c r="B68" s="3" t="s">
        <v>64</v>
      </c>
      <c r="C68" s="8">
        <v>624</v>
      </c>
      <c r="D68" s="50" t="s">
        <v>126</v>
      </c>
      <c r="E68" s="26">
        <f>-AT00!G31</f>
        <v>2036150</v>
      </c>
    </row>
    <row r="69" spans="2:7" ht="12.75" thickBot="1" x14ac:dyDescent="0.25">
      <c r="B69" s="3" t="s">
        <v>65</v>
      </c>
      <c r="C69" s="8">
        <v>227</v>
      </c>
      <c r="D69" s="50" t="s">
        <v>125</v>
      </c>
      <c r="E69" s="36"/>
    </row>
    <row r="70" spans="2:7" ht="12.75" thickBot="1" x14ac:dyDescent="0.25">
      <c r="B70" s="3" t="s">
        <v>66</v>
      </c>
      <c r="C70" s="8">
        <v>242</v>
      </c>
      <c r="D70" s="50" t="s">
        <v>125</v>
      </c>
      <c r="E70" s="26">
        <f>AT00!G36</f>
        <v>2182180871</v>
      </c>
    </row>
    <row r="71" spans="2:7" ht="12.75" thickBot="1" x14ac:dyDescent="0.25">
      <c r="B71" s="3" t="s">
        <v>67</v>
      </c>
      <c r="C71" s="8">
        <v>275</v>
      </c>
      <c r="D71" s="50" t="s">
        <v>126</v>
      </c>
      <c r="E71" s="36"/>
    </row>
    <row r="72" spans="2:7" ht="12.75" thickBot="1" x14ac:dyDescent="0.25">
      <c r="B72" s="3" t="s">
        <v>68</v>
      </c>
      <c r="C72" s="8">
        <v>226</v>
      </c>
      <c r="D72" s="50" t="s">
        <v>126</v>
      </c>
      <c r="E72" s="36">
        <v>0</v>
      </c>
    </row>
    <row r="73" spans="2:7" ht="12.75" thickBot="1" x14ac:dyDescent="0.25">
      <c r="B73" s="11" t="s">
        <v>69</v>
      </c>
      <c r="C73" s="8">
        <v>231</v>
      </c>
      <c r="D73" s="52" t="s">
        <v>127</v>
      </c>
      <c r="E73" s="37">
        <v>0</v>
      </c>
    </row>
    <row r="74" spans="2:7" ht="12.75" thickBot="1" x14ac:dyDescent="0.25">
      <c r="B74" s="3" t="s">
        <v>70</v>
      </c>
      <c r="C74" s="8">
        <v>318</v>
      </c>
      <c r="D74" s="50" t="s">
        <v>127</v>
      </c>
      <c r="E74" s="36">
        <v>0</v>
      </c>
    </row>
    <row r="75" spans="2:7" ht="12.75" thickBot="1" x14ac:dyDescent="0.25">
      <c r="B75" s="3" t="s">
        <v>71</v>
      </c>
      <c r="C75" s="8">
        <v>232</v>
      </c>
      <c r="D75" s="50" t="s">
        <v>127</v>
      </c>
      <c r="E75" s="26">
        <f>+E73+E74-(E63-E64+E65-E66-E67-E68+E69+E70-E71-E72)</f>
        <v>1995635213</v>
      </c>
    </row>
    <row r="76" spans="2:7" ht="12.75" thickBot="1" x14ac:dyDescent="0.25">
      <c r="B76" s="11" t="s">
        <v>72</v>
      </c>
      <c r="C76" s="8">
        <v>320</v>
      </c>
      <c r="D76" s="52"/>
      <c r="E76" s="38"/>
    </row>
    <row r="77" spans="2:7" ht="12.75" thickBot="1" x14ac:dyDescent="0.25">
      <c r="B77" s="3" t="s">
        <v>73</v>
      </c>
      <c r="C77" s="8">
        <v>228</v>
      </c>
      <c r="E77" s="36">
        <v>0</v>
      </c>
    </row>
    <row r="78" spans="2:7" ht="12.75" thickBot="1" x14ac:dyDescent="0.25">
      <c r="B78" s="11" t="s">
        <v>74</v>
      </c>
      <c r="C78" s="8">
        <v>625</v>
      </c>
      <c r="D78" s="52"/>
      <c r="E78" s="37">
        <v>0</v>
      </c>
      <c r="G78" s="24" t="s">
        <v>85</v>
      </c>
    </row>
    <row r="79" spans="2:7" ht="12.75" thickBot="1" x14ac:dyDescent="0.25">
      <c r="B79" s="3" t="s">
        <v>75</v>
      </c>
      <c r="C79" s="8">
        <v>626</v>
      </c>
      <c r="E79" s="36">
        <v>0</v>
      </c>
      <c r="G79" s="24" t="s">
        <v>86</v>
      </c>
    </row>
    <row r="80" spans="2:7" ht="12.75" thickBot="1" x14ac:dyDescent="0.25">
      <c r="B80" s="3" t="s">
        <v>76</v>
      </c>
      <c r="C80" s="8">
        <v>627</v>
      </c>
      <c r="E80" s="26">
        <f>E79</f>
        <v>0</v>
      </c>
      <c r="G80" s="24" t="s">
        <v>87</v>
      </c>
    </row>
    <row r="81" spans="2:5" ht="12.75" thickBot="1" x14ac:dyDescent="0.25"/>
    <row r="82" spans="2:5" ht="12.75" thickBot="1" x14ac:dyDescent="0.25">
      <c r="B82" s="3" t="s">
        <v>77</v>
      </c>
      <c r="C82" s="8">
        <v>650</v>
      </c>
      <c r="E82" s="28" t="s">
        <v>89</v>
      </c>
    </row>
    <row r="83" spans="2:5" ht="12.75" thickBot="1" x14ac:dyDescent="0.25">
      <c r="B83" s="3" t="s">
        <v>78</v>
      </c>
      <c r="C83" s="8">
        <v>903</v>
      </c>
      <c r="E83" s="28" t="s">
        <v>123</v>
      </c>
    </row>
  </sheetData>
  <phoneticPr fontId="0" type="noConversion"/>
  <pageMargins left="0.39370078740157483" right="0.19685039370078741" top="0.59055118110236227" bottom="0.39370078740157483" header="0.51181102362204722" footer="0.51181102362204722"/>
  <pageSetup scale="90" fitToHeight="2" orientation="landscape" horizontalDpi="360" verticalDpi="360" copies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G83"/>
  <sheetViews>
    <sheetView workbookViewId="0"/>
  </sheetViews>
  <sheetFormatPr baseColWidth="10" defaultColWidth="9.140625" defaultRowHeight="12" x14ac:dyDescent="0.2"/>
  <cols>
    <col min="1" max="1" width="13.85546875" style="6" customWidth="1"/>
    <col min="2" max="2" width="45" style="3" customWidth="1"/>
    <col min="3" max="3" width="5.28515625" style="4" customWidth="1"/>
    <col min="4" max="4" width="1.85546875" style="50" customWidth="1"/>
    <col min="5" max="5" width="13.42578125" style="25" customWidth="1"/>
    <col min="6" max="6" width="3" style="3" customWidth="1"/>
    <col min="7" max="7" width="11.5703125" style="24" customWidth="1"/>
    <col min="8" max="16384" width="9.140625" style="3"/>
  </cols>
  <sheetData>
    <row r="1" spans="1:5" s="55" customFormat="1" ht="12.75" x14ac:dyDescent="0.2">
      <c r="A1" s="56" t="s">
        <v>115</v>
      </c>
      <c r="D1" s="56"/>
    </row>
    <row r="2" spans="1:5" s="55" customFormat="1" ht="12.75" x14ac:dyDescent="0.2">
      <c r="A2" s="56" t="s">
        <v>114</v>
      </c>
      <c r="D2" s="56"/>
    </row>
    <row r="3" spans="1:5" ht="12.75" x14ac:dyDescent="0.2">
      <c r="A3" s="2" t="str">
        <f>'AT99'!A3</f>
        <v>AÑO TRIBUTARIO 1999</v>
      </c>
    </row>
    <row r="4" spans="1:5" x14ac:dyDescent="0.2">
      <c r="A4" s="5" t="s">
        <v>0</v>
      </c>
    </row>
    <row r="5" spans="1:5" ht="12.75" thickBot="1" x14ac:dyDescent="0.25">
      <c r="A5" s="6" t="s">
        <v>1</v>
      </c>
      <c r="B5" s="3" t="s">
        <v>2</v>
      </c>
      <c r="C5" s="7" t="s">
        <v>3</v>
      </c>
      <c r="E5" s="6" t="s">
        <v>4</v>
      </c>
    </row>
    <row r="6" spans="1:5" ht="12.75" thickBot="1" x14ac:dyDescent="0.25">
      <c r="B6" s="3" t="s">
        <v>5</v>
      </c>
      <c r="C6" s="8" t="s">
        <v>6</v>
      </c>
      <c r="E6" s="25" t="str">
        <f>A2</f>
        <v>86.132.100-2</v>
      </c>
    </row>
    <row r="7" spans="1:5" ht="12.75" thickBot="1" x14ac:dyDescent="0.25">
      <c r="B7" s="3" t="s">
        <v>7</v>
      </c>
      <c r="C7" s="8" t="s">
        <v>8</v>
      </c>
      <c r="E7" s="25" t="str">
        <f>A1</f>
        <v>DEMARKA S.A.</v>
      </c>
    </row>
    <row r="8" spans="1:5" s="40" customFormat="1" ht="12.75" thickBot="1" x14ac:dyDescent="0.25">
      <c r="A8" s="39">
        <v>34</v>
      </c>
      <c r="B8" s="40" t="s">
        <v>104</v>
      </c>
      <c r="C8" s="41">
        <v>18</v>
      </c>
      <c r="D8" s="51"/>
      <c r="E8" s="44" t="str">
        <f>IF(E48&gt;0,E48,"PERDIDA")</f>
        <v>PERDIDA</v>
      </c>
    </row>
    <row r="9" spans="1:5" s="40" customFormat="1" ht="12.75" thickBot="1" x14ac:dyDescent="0.25">
      <c r="A9" s="39"/>
      <c r="B9" s="40" t="s">
        <v>105</v>
      </c>
      <c r="C9" s="41">
        <v>20</v>
      </c>
      <c r="D9" s="51"/>
      <c r="E9" s="44">
        <f>MAX(ROUND(15%*E86,0),0)</f>
        <v>0</v>
      </c>
    </row>
    <row r="10" spans="1:5" s="40" customFormat="1" ht="12.75" thickBot="1" x14ac:dyDescent="0.25">
      <c r="A10" s="39">
        <v>44</v>
      </c>
      <c r="B10" s="40" t="s">
        <v>112</v>
      </c>
      <c r="C10" s="41">
        <v>82</v>
      </c>
      <c r="D10" s="51"/>
      <c r="E10" s="44">
        <f>'AT99'!G13</f>
        <v>2311475</v>
      </c>
    </row>
    <row r="11" spans="1:5" s="40" customFormat="1" ht="12.75" thickBot="1" x14ac:dyDescent="0.25">
      <c r="A11" s="39">
        <v>49</v>
      </c>
      <c r="B11" s="40" t="s">
        <v>106</v>
      </c>
      <c r="C11" s="41">
        <v>167</v>
      </c>
      <c r="D11" s="51"/>
      <c r="E11" s="44">
        <f>E79</f>
        <v>0</v>
      </c>
    </row>
    <row r="12" spans="1:5" s="40" customFormat="1" ht="12.75" thickBot="1" x14ac:dyDescent="0.25">
      <c r="A12" s="39"/>
      <c r="B12" s="40" t="s">
        <v>107</v>
      </c>
      <c r="C12" s="41">
        <v>747</v>
      </c>
      <c r="D12" s="51"/>
      <c r="E12" s="44">
        <f>E11</f>
        <v>0</v>
      </c>
    </row>
    <row r="13" spans="1:5" ht="12.75" thickBot="1" x14ac:dyDescent="0.25">
      <c r="A13" s="6">
        <v>53</v>
      </c>
      <c r="B13" s="3" t="s">
        <v>9</v>
      </c>
      <c r="C13" s="8">
        <v>305</v>
      </c>
      <c r="E13" s="26">
        <f>-E10-E12</f>
        <v>-2311475</v>
      </c>
    </row>
    <row r="14" spans="1:5" ht="12.75" thickBot="1" x14ac:dyDescent="0.25">
      <c r="A14" s="6">
        <f>IF(E13&gt;0,57,54)</f>
        <v>54</v>
      </c>
      <c r="B14" s="3" t="str">
        <f>IF(E13&gt;0,"Impuesto Adeudado","SALDO A FAVOR")</f>
        <v>SALDO A FAVOR</v>
      </c>
      <c r="C14" s="8">
        <f>IF(E13&gt;0,90,85)</f>
        <v>85</v>
      </c>
      <c r="E14" s="26">
        <f>ABS(E13)</f>
        <v>2311475</v>
      </c>
    </row>
    <row r="15" spans="1:5" ht="12.75" thickBot="1" x14ac:dyDescent="0.25">
      <c r="A15" s="6" t="str">
        <f>IF(E13&gt;0,58,"")</f>
        <v/>
      </c>
      <c r="B15" s="9" t="str">
        <f>IF($E$13&gt;0,0.6%,"")</f>
        <v/>
      </c>
      <c r="C15" s="8" t="str">
        <f>IF($E$13&gt;0,39,"")</f>
        <v/>
      </c>
      <c r="E15" s="26" t="str">
        <f>IF($E$13&gt;0,ROUND(B15*E14,0),"")</f>
        <v/>
      </c>
    </row>
    <row r="16" spans="1:5" ht="12.75" thickBot="1" x14ac:dyDescent="0.25">
      <c r="A16" s="6">
        <f>IF(E13&gt;0,59,56)</f>
        <v>56</v>
      </c>
      <c r="B16" s="3" t="str">
        <f>IF($E$13&gt;0,"TOTAL A PAGAR","DEVOLUCION SOLICITADA")</f>
        <v>DEVOLUCION SOLICITADA</v>
      </c>
      <c r="C16" s="8">
        <f>IF($E$13&gt;0,91,87)</f>
        <v>87</v>
      </c>
      <c r="E16" s="26">
        <f>SUM(E14:E15)</f>
        <v>2311475</v>
      </c>
    </row>
    <row r="17" spans="1:7" ht="12.75" thickBot="1" x14ac:dyDescent="0.25">
      <c r="B17" s="3" t="str">
        <f>IF($E$13&gt;0,"","Nombre Institución Bancaria")</f>
        <v>Nombre Institución Bancaria</v>
      </c>
      <c r="C17" s="8">
        <f>IF($E$13&gt;0,"",301)</f>
        <v>301</v>
      </c>
      <c r="E17" s="28" t="s">
        <v>116</v>
      </c>
    </row>
    <row r="18" spans="1:7" ht="12.75" thickBot="1" x14ac:dyDescent="0.25">
      <c r="B18" s="3" t="str">
        <f>IF($E$13&gt;0,"","Número de Cuenta")</f>
        <v>Número de Cuenta</v>
      </c>
      <c r="C18" s="8">
        <f>IF($E$13&gt;0,"",306)</f>
        <v>306</v>
      </c>
      <c r="E18" s="28">
        <v>12778451</v>
      </c>
    </row>
    <row r="19" spans="1:7" x14ac:dyDescent="0.2">
      <c r="C19" s="10"/>
      <c r="E19" s="26"/>
    </row>
    <row r="20" spans="1:7" ht="12.75" thickBot="1" x14ac:dyDescent="0.25">
      <c r="A20" s="5" t="s">
        <v>10</v>
      </c>
    </row>
    <row r="21" spans="1:7" ht="12.75" thickBot="1" x14ac:dyDescent="0.25">
      <c r="B21" s="3" t="s">
        <v>11</v>
      </c>
      <c r="C21" s="8" t="s">
        <v>12</v>
      </c>
      <c r="E21" s="25" t="s">
        <v>13</v>
      </c>
    </row>
    <row r="22" spans="1:7" ht="12.75" thickBot="1" x14ac:dyDescent="0.25">
      <c r="B22" s="3" t="s">
        <v>14</v>
      </c>
      <c r="C22" s="8" t="s">
        <v>15</v>
      </c>
      <c r="E22" s="25" t="s">
        <v>16</v>
      </c>
    </row>
    <row r="23" spans="1:7" ht="12.75" thickBot="1" x14ac:dyDescent="0.25">
      <c r="B23" s="3" t="s">
        <v>17</v>
      </c>
      <c r="C23" s="8">
        <v>53</v>
      </c>
      <c r="E23" s="6">
        <v>13</v>
      </c>
    </row>
    <row r="24" spans="1:7" ht="12.75" thickBot="1" x14ac:dyDescent="0.25">
      <c r="B24" s="3" t="s">
        <v>18</v>
      </c>
      <c r="C24" s="8">
        <v>13</v>
      </c>
      <c r="E24" s="27" t="s">
        <v>117</v>
      </c>
    </row>
    <row r="25" spans="1:7" ht="12.75" thickBot="1" x14ac:dyDescent="0.25">
      <c r="B25" s="3" t="s">
        <v>19</v>
      </c>
      <c r="C25" s="8">
        <v>14</v>
      </c>
      <c r="E25" s="28">
        <v>61911</v>
      </c>
    </row>
    <row r="26" spans="1:7" ht="12.75" thickBot="1" x14ac:dyDescent="0.25">
      <c r="B26" s="3" t="s">
        <v>20</v>
      </c>
      <c r="C26" s="8" t="s">
        <v>21</v>
      </c>
      <c r="E26" s="29" t="s">
        <v>79</v>
      </c>
    </row>
    <row r="27" spans="1:7" ht="12.75" thickBot="1" x14ac:dyDescent="0.25">
      <c r="B27" s="3" t="s">
        <v>22</v>
      </c>
      <c r="C27" s="8">
        <v>48</v>
      </c>
      <c r="E27" s="29" t="s">
        <v>88</v>
      </c>
    </row>
    <row r="28" spans="1:7" ht="12.75" thickBot="1" x14ac:dyDescent="0.25">
      <c r="B28" s="3" t="s">
        <v>23</v>
      </c>
      <c r="C28" s="8">
        <v>55</v>
      </c>
      <c r="E28" s="30"/>
    </row>
    <row r="29" spans="1:7" ht="12.75" thickBot="1" x14ac:dyDescent="0.25">
      <c r="B29" s="3" t="s">
        <v>24</v>
      </c>
      <c r="C29" s="8">
        <v>614</v>
      </c>
      <c r="E29" s="6" t="s">
        <v>25</v>
      </c>
    </row>
    <row r="31" spans="1:7" ht="12.75" thickBot="1" x14ac:dyDescent="0.25">
      <c r="A31" s="5" t="s">
        <v>26</v>
      </c>
      <c r="B31" s="3" t="s">
        <v>27</v>
      </c>
      <c r="E31" s="31"/>
    </row>
    <row r="32" spans="1:7" ht="12.75" thickBot="1" x14ac:dyDescent="0.25">
      <c r="A32" s="5"/>
      <c r="B32" s="3" t="s">
        <v>28</v>
      </c>
      <c r="C32" s="8">
        <v>628</v>
      </c>
      <c r="D32" s="50" t="s">
        <v>125</v>
      </c>
      <c r="E32" s="32">
        <v>1674115078</v>
      </c>
      <c r="G32" s="24" t="s">
        <v>101</v>
      </c>
    </row>
    <row r="33" spans="1:7" ht="12.75" thickBot="1" x14ac:dyDescent="0.25">
      <c r="A33" s="5"/>
      <c r="B33" s="3" t="s">
        <v>29</v>
      </c>
      <c r="C33" s="8">
        <v>629</v>
      </c>
      <c r="D33" s="50" t="s">
        <v>125</v>
      </c>
      <c r="E33" s="32">
        <v>3506952</v>
      </c>
      <c r="G33" s="24" t="s">
        <v>83</v>
      </c>
    </row>
    <row r="34" spans="1:7" ht="12.75" thickBot="1" x14ac:dyDescent="0.25">
      <c r="A34" s="5"/>
      <c r="B34" s="3" t="s">
        <v>30</v>
      </c>
      <c r="C34" s="8">
        <v>651</v>
      </c>
      <c r="D34" s="50" t="s">
        <v>125</v>
      </c>
      <c r="E34" s="32">
        <v>18976149</v>
      </c>
      <c r="G34" s="24" t="s">
        <v>83</v>
      </c>
    </row>
    <row r="35" spans="1:7" ht="12.75" thickBot="1" x14ac:dyDescent="0.25">
      <c r="A35" s="5"/>
      <c r="B35" s="3" t="s">
        <v>31</v>
      </c>
      <c r="C35" s="8">
        <v>630</v>
      </c>
      <c r="D35" s="50" t="s">
        <v>126</v>
      </c>
      <c r="E35" s="32">
        <v>844053821</v>
      </c>
      <c r="G35" s="24" t="s">
        <v>80</v>
      </c>
    </row>
    <row r="36" spans="1:7" ht="12.75" thickBot="1" x14ac:dyDescent="0.25">
      <c r="A36" s="5"/>
      <c r="B36" s="3" t="s">
        <v>32</v>
      </c>
      <c r="C36" s="8">
        <v>631</v>
      </c>
      <c r="D36" s="50" t="s">
        <v>126</v>
      </c>
      <c r="E36" s="32">
        <v>482027027</v>
      </c>
      <c r="G36" s="24" t="s">
        <v>81</v>
      </c>
    </row>
    <row r="37" spans="1:7" ht="12.75" thickBot="1" x14ac:dyDescent="0.25">
      <c r="A37" s="5"/>
      <c r="B37" s="3" t="s">
        <v>33</v>
      </c>
      <c r="C37" s="8">
        <v>632</v>
      </c>
      <c r="D37" s="50" t="s">
        <v>126</v>
      </c>
      <c r="E37" s="32">
        <v>15583554</v>
      </c>
      <c r="G37" s="24" t="s">
        <v>82</v>
      </c>
    </row>
    <row r="38" spans="1:7" ht="12.75" thickBot="1" x14ac:dyDescent="0.25">
      <c r="A38" s="5"/>
      <c r="B38" s="3" t="s">
        <v>34</v>
      </c>
      <c r="C38" s="8">
        <v>633</v>
      </c>
      <c r="D38" s="50" t="s">
        <v>126</v>
      </c>
      <c r="E38" s="32">
        <v>44819204</v>
      </c>
      <c r="G38" s="24" t="s">
        <v>82</v>
      </c>
    </row>
    <row r="39" spans="1:7" ht="12.75" thickBot="1" x14ac:dyDescent="0.25">
      <c r="A39" s="5"/>
      <c r="B39" s="3" t="s">
        <v>35</v>
      </c>
      <c r="C39" s="8">
        <v>635</v>
      </c>
      <c r="D39" s="50" t="s">
        <v>126</v>
      </c>
      <c r="E39" s="31">
        <f>SUM(E32:E34)-SUM(E35:E38)-E41+E42-'AT99'!G12</f>
        <v>271382480</v>
      </c>
      <c r="G39" s="24" t="s">
        <v>120</v>
      </c>
    </row>
    <row r="40" spans="1:7" ht="12.75" thickBot="1" x14ac:dyDescent="0.25">
      <c r="A40" s="5"/>
      <c r="B40" s="11" t="s">
        <v>36</v>
      </c>
      <c r="C40" s="8">
        <v>636</v>
      </c>
      <c r="D40" s="52" t="s">
        <v>127</v>
      </c>
      <c r="E40" s="33">
        <f>SUM(E32:E34)-SUM(E35:E39)</f>
        <v>38732093</v>
      </c>
    </row>
    <row r="41" spans="1:7" ht="12.75" thickBot="1" x14ac:dyDescent="0.25">
      <c r="A41" s="5"/>
      <c r="B41" s="3" t="s">
        <v>37</v>
      </c>
      <c r="C41" s="8">
        <v>637</v>
      </c>
      <c r="D41" s="50" t="s">
        <v>126</v>
      </c>
      <c r="E41" s="32">
        <v>27945335</v>
      </c>
      <c r="G41" s="24" t="s">
        <v>82</v>
      </c>
    </row>
    <row r="42" spans="1:7" ht="12.75" thickBot="1" x14ac:dyDescent="0.25">
      <c r="A42" s="5"/>
      <c r="B42" s="3" t="s">
        <v>38</v>
      </c>
      <c r="C42" s="8">
        <v>638</v>
      </c>
      <c r="D42" s="50" t="s">
        <v>125</v>
      </c>
      <c r="E42" s="32">
        <v>0</v>
      </c>
      <c r="G42" s="24" t="s">
        <v>83</v>
      </c>
    </row>
    <row r="43" spans="1:7" ht="12.75" thickBot="1" x14ac:dyDescent="0.25">
      <c r="A43" s="5"/>
      <c r="B43" s="3" t="s">
        <v>39</v>
      </c>
      <c r="C43" s="8">
        <v>639</v>
      </c>
      <c r="D43" s="50" t="s">
        <v>125</v>
      </c>
      <c r="E43" s="31">
        <f>'AT99'!G13</f>
        <v>2311475</v>
      </c>
    </row>
    <row r="44" spans="1:7" ht="12.75" thickBot="1" x14ac:dyDescent="0.25">
      <c r="A44" s="5"/>
      <c r="B44" s="3" t="s">
        <v>40</v>
      </c>
      <c r="C44" s="8">
        <v>634</v>
      </c>
      <c r="D44" s="50" t="s">
        <v>126</v>
      </c>
      <c r="E44" s="31">
        <f>-'AT99'!G10</f>
        <v>2137995622</v>
      </c>
    </row>
    <row r="45" spans="1:7" ht="12.75" thickBot="1" x14ac:dyDescent="0.25">
      <c r="A45" s="5"/>
      <c r="B45" s="3" t="s">
        <v>41</v>
      </c>
      <c r="C45" s="8">
        <v>640</v>
      </c>
      <c r="D45" s="50" t="s">
        <v>126</v>
      </c>
      <c r="E45" s="32">
        <v>0</v>
      </c>
    </row>
    <row r="46" spans="1:7" ht="12.75" thickBot="1" x14ac:dyDescent="0.25">
      <c r="A46" s="5"/>
      <c r="B46" s="3" t="s">
        <v>42</v>
      </c>
      <c r="C46" s="8">
        <v>641</v>
      </c>
      <c r="D46" s="50" t="s">
        <v>126</v>
      </c>
      <c r="E46" s="32">
        <v>0</v>
      </c>
    </row>
    <row r="47" spans="1:7" ht="12.75" thickBot="1" x14ac:dyDescent="0.25">
      <c r="A47" s="5"/>
      <c r="B47" s="3" t="s">
        <v>43</v>
      </c>
      <c r="C47" s="8">
        <v>642</v>
      </c>
      <c r="D47" s="50" t="s">
        <v>126</v>
      </c>
      <c r="E47" s="31">
        <f>-'AT99'!G16</f>
        <v>0</v>
      </c>
    </row>
    <row r="48" spans="1:7" ht="12.75" thickBot="1" x14ac:dyDescent="0.25">
      <c r="A48" s="5"/>
      <c r="B48" s="11" t="s">
        <v>44</v>
      </c>
      <c r="C48" s="8">
        <v>643</v>
      </c>
      <c r="D48" s="52" t="s">
        <v>127</v>
      </c>
      <c r="E48" s="33">
        <f>E40-E41+E42+E43-SUM(E44:E47)</f>
        <v>-2124897389</v>
      </c>
    </row>
    <row r="49" spans="1:7" ht="12.75" thickBot="1" x14ac:dyDescent="0.25">
      <c r="A49" s="5"/>
      <c r="B49" s="3" t="s">
        <v>45</v>
      </c>
      <c r="C49" s="8">
        <v>644</v>
      </c>
      <c r="E49" s="31"/>
    </row>
    <row r="50" spans="1:7" x14ac:dyDescent="0.2">
      <c r="E50" s="31"/>
    </row>
    <row r="51" spans="1:7" ht="12.75" thickBot="1" x14ac:dyDescent="0.25">
      <c r="A51" s="5" t="s">
        <v>46</v>
      </c>
      <c r="B51" s="3" t="s">
        <v>47</v>
      </c>
      <c r="E51" s="31"/>
    </row>
    <row r="52" spans="1:7" ht="12.75" thickBot="1" x14ac:dyDescent="0.25">
      <c r="B52" s="3" t="s">
        <v>48</v>
      </c>
      <c r="C52" s="8">
        <v>101</v>
      </c>
      <c r="E52" s="32">
        <v>17654</v>
      </c>
      <c r="G52" s="24" t="s">
        <v>84</v>
      </c>
    </row>
    <row r="53" spans="1:7" ht="12.75" thickBot="1" x14ac:dyDescent="0.25">
      <c r="B53" s="3" t="s">
        <v>49</v>
      </c>
      <c r="C53" s="8">
        <v>129</v>
      </c>
      <c r="E53" s="32">
        <v>483822400</v>
      </c>
      <c r="G53" s="24" t="s">
        <v>84</v>
      </c>
    </row>
    <row r="54" spans="1:7" ht="12.75" thickBot="1" x14ac:dyDescent="0.25">
      <c r="B54" s="3" t="s">
        <v>50</v>
      </c>
      <c r="C54" s="8">
        <v>122</v>
      </c>
      <c r="E54" s="32">
        <v>1432663723</v>
      </c>
      <c r="G54" s="24" t="s">
        <v>99</v>
      </c>
    </row>
    <row r="55" spans="1:7" ht="12.75" thickBot="1" x14ac:dyDescent="0.25">
      <c r="B55" s="3" t="s">
        <v>51</v>
      </c>
      <c r="C55" s="8">
        <v>123</v>
      </c>
      <c r="E55" s="32">
        <v>1421876965</v>
      </c>
      <c r="G55" s="24" t="s">
        <v>100</v>
      </c>
    </row>
    <row r="56" spans="1:7" ht="12.75" thickBot="1" x14ac:dyDescent="0.25">
      <c r="B56" s="3" t="s">
        <v>52</v>
      </c>
      <c r="C56" s="8">
        <v>102</v>
      </c>
      <c r="E56" s="32">
        <v>371187624</v>
      </c>
      <c r="G56" s="24" t="s">
        <v>110</v>
      </c>
    </row>
    <row r="57" spans="1:7" ht="12.75" thickBot="1" x14ac:dyDescent="0.25">
      <c r="B57" s="3" t="s">
        <v>53</v>
      </c>
      <c r="C57" s="8">
        <v>645</v>
      </c>
      <c r="E57" s="32">
        <v>466735168</v>
      </c>
      <c r="G57" s="24" t="s">
        <v>102</v>
      </c>
    </row>
    <row r="58" spans="1:7" ht="12.75" thickBot="1" x14ac:dyDescent="0.25">
      <c r="B58" s="3" t="s">
        <v>54</v>
      </c>
      <c r="C58" s="8">
        <v>646</v>
      </c>
      <c r="E58" s="34"/>
    </row>
    <row r="59" spans="1:7" ht="12.75" thickBot="1" x14ac:dyDescent="0.25">
      <c r="B59" s="3" t="s">
        <v>55</v>
      </c>
      <c r="C59" s="8">
        <v>647</v>
      </c>
      <c r="E59" s="32">
        <v>195712857</v>
      </c>
      <c r="G59" s="24" t="s">
        <v>103</v>
      </c>
    </row>
    <row r="60" spans="1:7" ht="12.75" thickBot="1" x14ac:dyDescent="0.25">
      <c r="B60" s="3" t="s">
        <v>56</v>
      </c>
      <c r="C60" s="8">
        <v>648</v>
      </c>
      <c r="E60" s="34"/>
    </row>
    <row r="61" spans="1:7" x14ac:dyDescent="0.2">
      <c r="E61" s="35"/>
    </row>
    <row r="62" spans="1:7" ht="12.75" thickBot="1" x14ac:dyDescent="0.25">
      <c r="A62" s="6" t="s">
        <v>57</v>
      </c>
      <c r="B62" s="3" t="s">
        <v>58</v>
      </c>
    </row>
    <row r="63" spans="1:7" ht="12.75" thickBot="1" x14ac:dyDescent="0.25">
      <c r="B63" s="3" t="s">
        <v>59</v>
      </c>
      <c r="C63" s="8">
        <v>341</v>
      </c>
      <c r="D63" s="50" t="s">
        <v>125</v>
      </c>
      <c r="E63" s="36">
        <v>0</v>
      </c>
    </row>
    <row r="64" spans="1:7" ht="12.75" thickBot="1" x14ac:dyDescent="0.25">
      <c r="B64" s="3" t="s">
        <v>60</v>
      </c>
      <c r="C64" s="8">
        <v>284</v>
      </c>
      <c r="D64" s="50" t="s">
        <v>126</v>
      </c>
      <c r="E64" s="31">
        <f>-'AT99'!G26</f>
        <v>1985398903</v>
      </c>
    </row>
    <row r="65" spans="2:7" ht="12.75" thickBot="1" x14ac:dyDescent="0.25">
      <c r="B65" s="3" t="s">
        <v>61</v>
      </c>
      <c r="C65" s="8">
        <v>225</v>
      </c>
      <c r="D65" s="50" t="s">
        <v>125</v>
      </c>
      <c r="E65" s="26">
        <f>MAX(E48,0)</f>
        <v>0</v>
      </c>
    </row>
    <row r="66" spans="2:7" ht="12.75" thickBot="1" x14ac:dyDescent="0.25">
      <c r="B66" s="3" t="s">
        <v>62</v>
      </c>
      <c r="C66" s="8">
        <v>229</v>
      </c>
      <c r="D66" s="50" t="s">
        <v>126</v>
      </c>
      <c r="E66" s="26">
        <f>-MIN(E48,0)</f>
        <v>2124897389</v>
      </c>
    </row>
    <row r="67" spans="2:7" ht="12.75" thickBot="1" x14ac:dyDescent="0.25">
      <c r="B67" s="3" t="s">
        <v>63</v>
      </c>
      <c r="C67" s="8">
        <v>623</v>
      </c>
      <c r="D67" s="50" t="s">
        <v>126</v>
      </c>
      <c r="E67" s="36"/>
    </row>
    <row r="68" spans="2:7" ht="12.75" thickBot="1" x14ac:dyDescent="0.25">
      <c r="B68" s="3" t="s">
        <v>64</v>
      </c>
      <c r="C68" s="8">
        <v>624</v>
      </c>
      <c r="D68" s="50" t="s">
        <v>126</v>
      </c>
      <c r="E68" s="26">
        <f>-'AT99'!G31</f>
        <v>2311475</v>
      </c>
    </row>
    <row r="69" spans="2:7" ht="12.75" thickBot="1" x14ac:dyDescent="0.25">
      <c r="B69" s="3" t="s">
        <v>65</v>
      </c>
      <c r="C69" s="8">
        <v>227</v>
      </c>
      <c r="D69" s="50" t="s">
        <v>125</v>
      </c>
      <c r="E69" s="36"/>
    </row>
    <row r="70" spans="2:7" ht="12.75" thickBot="1" x14ac:dyDescent="0.25">
      <c r="B70" s="3" t="s">
        <v>66</v>
      </c>
      <c r="C70" s="8">
        <v>242</v>
      </c>
      <c r="D70" s="50" t="s">
        <v>125</v>
      </c>
      <c r="E70" s="26">
        <f>'AT99'!G36</f>
        <v>2140307097</v>
      </c>
    </row>
    <row r="71" spans="2:7" ht="12.75" thickBot="1" x14ac:dyDescent="0.25">
      <c r="B71" s="3" t="s">
        <v>67</v>
      </c>
      <c r="C71" s="8">
        <v>275</v>
      </c>
      <c r="D71" s="50" t="s">
        <v>126</v>
      </c>
      <c r="E71" s="36"/>
    </row>
    <row r="72" spans="2:7" ht="12.75" thickBot="1" x14ac:dyDescent="0.25">
      <c r="B72" s="3" t="s">
        <v>68</v>
      </c>
      <c r="C72" s="8">
        <v>226</v>
      </c>
      <c r="D72" s="50" t="s">
        <v>126</v>
      </c>
      <c r="E72" s="36">
        <v>0</v>
      </c>
    </row>
    <row r="73" spans="2:7" ht="12.75" thickBot="1" x14ac:dyDescent="0.25">
      <c r="B73" s="11" t="s">
        <v>69</v>
      </c>
      <c r="C73" s="8">
        <v>231</v>
      </c>
      <c r="D73" s="52" t="s">
        <v>127</v>
      </c>
      <c r="E73" s="37">
        <v>0</v>
      </c>
    </row>
    <row r="74" spans="2:7" ht="12.75" thickBot="1" x14ac:dyDescent="0.25">
      <c r="B74" s="3" t="s">
        <v>70</v>
      </c>
      <c r="C74" s="8">
        <v>318</v>
      </c>
      <c r="D74" s="50" t="s">
        <v>127</v>
      </c>
      <c r="E74" s="36">
        <v>0</v>
      </c>
    </row>
    <row r="75" spans="2:7" ht="12.75" thickBot="1" x14ac:dyDescent="0.25">
      <c r="B75" s="3" t="s">
        <v>71</v>
      </c>
      <c r="C75" s="8">
        <v>232</v>
      </c>
      <c r="D75" s="50" t="s">
        <v>127</v>
      </c>
      <c r="E75" s="26">
        <f>+E73+E74-(E63-E64+E65-E66-E67-E68+E69+E70-E71-E72)</f>
        <v>1972300670</v>
      </c>
    </row>
    <row r="76" spans="2:7" ht="12.75" thickBot="1" x14ac:dyDescent="0.25">
      <c r="B76" s="11" t="s">
        <v>72</v>
      </c>
      <c r="C76" s="8">
        <v>320</v>
      </c>
      <c r="D76" s="52"/>
      <c r="E76" s="38"/>
    </row>
    <row r="77" spans="2:7" ht="12.75" thickBot="1" x14ac:dyDescent="0.25">
      <c r="B77" s="3" t="s">
        <v>73</v>
      </c>
      <c r="C77" s="8">
        <v>228</v>
      </c>
      <c r="E77" s="36">
        <v>0</v>
      </c>
    </row>
    <row r="78" spans="2:7" ht="12.75" thickBot="1" x14ac:dyDescent="0.25">
      <c r="B78" s="11" t="s">
        <v>74</v>
      </c>
      <c r="C78" s="8">
        <v>625</v>
      </c>
      <c r="D78" s="52"/>
      <c r="E78" s="37">
        <v>0</v>
      </c>
      <c r="G78" s="24" t="s">
        <v>85</v>
      </c>
    </row>
    <row r="79" spans="2:7" ht="12.75" thickBot="1" x14ac:dyDescent="0.25">
      <c r="B79" s="3" t="s">
        <v>75</v>
      </c>
      <c r="C79" s="8">
        <v>626</v>
      </c>
      <c r="E79" s="36">
        <v>0</v>
      </c>
      <c r="G79" s="24" t="s">
        <v>86</v>
      </c>
    </row>
    <row r="80" spans="2:7" ht="12.75" thickBot="1" x14ac:dyDescent="0.25">
      <c r="B80" s="3" t="s">
        <v>76</v>
      </c>
      <c r="C80" s="8">
        <v>627</v>
      </c>
      <c r="E80" s="26">
        <f>E79</f>
        <v>0</v>
      </c>
      <c r="G80" s="24" t="s">
        <v>87</v>
      </c>
    </row>
    <row r="81" spans="2:5" ht="12.75" thickBot="1" x14ac:dyDescent="0.25"/>
    <row r="82" spans="2:5" ht="12.75" thickBot="1" x14ac:dyDescent="0.25">
      <c r="B82" s="3" t="s">
        <v>77</v>
      </c>
      <c r="C82" s="8">
        <v>650</v>
      </c>
      <c r="E82" s="28" t="s">
        <v>89</v>
      </c>
    </row>
    <row r="83" spans="2:5" ht="12.75" thickBot="1" x14ac:dyDescent="0.25">
      <c r="B83" s="3" t="s">
        <v>78</v>
      </c>
      <c r="C83" s="8">
        <v>903</v>
      </c>
      <c r="E83" s="28" t="s">
        <v>89</v>
      </c>
    </row>
  </sheetData>
  <phoneticPr fontId="0" type="noConversion"/>
  <pageMargins left="0.39370078740157483" right="0.19685039370078741" top="0.59055118110236227" bottom="0.39370078740157483" header="0.51181102362204722" footer="0.51181102362204722"/>
  <pageSetup scale="90" fitToHeight="2" orientation="landscape" horizontalDpi="360" verticalDpi="360" copies="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P57"/>
  <sheetViews>
    <sheetView topLeftCell="A25" workbookViewId="0">
      <selection activeCell="P25" sqref="P25"/>
    </sheetView>
  </sheetViews>
  <sheetFormatPr baseColWidth="10" defaultColWidth="9.140625" defaultRowHeight="12" x14ac:dyDescent="0.2"/>
  <cols>
    <col min="1" max="1" width="4.42578125" customWidth="1"/>
    <col min="2" max="6" width="9.140625" customWidth="1"/>
    <col min="7" max="7" width="15.5703125" bestFit="1" customWidth="1"/>
    <col min="8" max="8" width="9.140625" customWidth="1"/>
    <col min="9" max="9" width="5.140625" bestFit="1" customWidth="1"/>
    <col min="10" max="14" width="3.5703125" customWidth="1"/>
    <col min="16" max="16" width="16.42578125" customWidth="1"/>
  </cols>
  <sheetData>
    <row r="1" spans="1:16" s="57" customFormat="1" ht="12.75" x14ac:dyDescent="0.2">
      <c r="A1" s="58" t="s">
        <v>115</v>
      </c>
    </row>
    <row r="2" spans="1:16" s="57" customFormat="1" ht="12.75" x14ac:dyDescent="0.2">
      <c r="A2" s="58" t="s">
        <v>114</v>
      </c>
    </row>
    <row r="3" spans="1:16" ht="15" x14ac:dyDescent="0.25">
      <c r="A3" s="13" t="s">
        <v>256</v>
      </c>
    </row>
    <row r="4" spans="1:16" x14ac:dyDescent="0.2">
      <c r="A4" t="s">
        <v>94</v>
      </c>
      <c r="C4">
        <f>RIGHT(A3,4)-1</f>
        <v>2015</v>
      </c>
    </row>
    <row r="6" spans="1:16" x14ac:dyDescent="0.2">
      <c r="A6" s="12" t="s">
        <v>92</v>
      </c>
      <c r="G6" s="16"/>
    </row>
    <row r="7" spans="1:16" x14ac:dyDescent="0.2">
      <c r="A7" s="1"/>
      <c r="G7" s="16"/>
    </row>
    <row r="8" spans="1:16" x14ac:dyDescent="0.2">
      <c r="A8" t="str">
        <f>A6&amp;" de Arrastre al 31/12/"&amp;RIGHT($C$4-1,2)</f>
        <v>Pérdida Tributaria de Arrastre al 31/12/14</v>
      </c>
      <c r="G8" s="173">
        <v>0</v>
      </c>
    </row>
    <row r="9" spans="1:16" ht="12.75" thickBot="1" x14ac:dyDescent="0.25">
      <c r="A9" s="14" t="s">
        <v>90</v>
      </c>
      <c r="B9" t="str">
        <f>"Reajuste "&amp;$C$4&amp;":"</f>
        <v>Reajuste 2015:</v>
      </c>
      <c r="D9" s="88">
        <v>5.7000000000000002E-2</v>
      </c>
      <c r="G9" s="16">
        <f>ROUND(G8*D9,0)</f>
        <v>0</v>
      </c>
    </row>
    <row r="10" spans="1:16" ht="12.75" thickBot="1" x14ac:dyDescent="0.25">
      <c r="A10" t="str">
        <f>LEFT(A8,LEN(A8)-12)&amp;", reajustada"</f>
        <v>Pérdida Tributaria de Arrastre, reajustada</v>
      </c>
      <c r="G10" s="17">
        <f>SUM(G8:G9)</f>
        <v>0</v>
      </c>
      <c r="I10" s="8">
        <v>634</v>
      </c>
    </row>
    <row r="11" spans="1:16" x14ac:dyDescent="0.2">
      <c r="G11" s="23"/>
      <c r="P11" s="177"/>
    </row>
    <row r="12" spans="1:16" x14ac:dyDescent="0.2">
      <c r="A12" s="14" t="s">
        <v>90</v>
      </c>
      <c r="B12" t="str">
        <f>"Utilidad Tributaria según balance al 31/12/"&amp;RIGHT($C$4,2)</f>
        <v>Utilidad Tributaria según balance al 31/12/15</v>
      </c>
      <c r="G12" s="204">
        <v>365577670</v>
      </c>
      <c r="P12" s="177"/>
    </row>
    <row r="13" spans="1:16" ht="12.75" thickBot="1" x14ac:dyDescent="0.25">
      <c r="A13" s="14" t="s">
        <v>90</v>
      </c>
      <c r="B13" t="s">
        <v>222</v>
      </c>
      <c r="G13" s="204">
        <v>93165364</v>
      </c>
    </row>
    <row r="14" spans="1:16" ht="12.75" thickBot="1" x14ac:dyDescent="0.25">
      <c r="A14" s="14" t="s">
        <v>90</v>
      </c>
      <c r="B14" s="47" t="s">
        <v>112</v>
      </c>
      <c r="C14" s="45"/>
      <c r="D14" s="45"/>
      <c r="E14" s="1"/>
      <c r="F14" s="1"/>
      <c r="G14" s="204">
        <v>166641</v>
      </c>
      <c r="I14" s="8">
        <v>82</v>
      </c>
      <c r="K14" s="8">
        <v>769</v>
      </c>
      <c r="P14" s="177"/>
    </row>
    <row r="15" spans="1:16" ht="12.75" thickBot="1" x14ac:dyDescent="0.25">
      <c r="A15" s="14" t="s">
        <v>90</v>
      </c>
      <c r="B15" s="178" t="s">
        <v>229</v>
      </c>
      <c r="C15" s="45"/>
      <c r="D15" s="45"/>
      <c r="E15" s="1"/>
      <c r="F15" s="1"/>
      <c r="G15" s="204">
        <v>24320884</v>
      </c>
      <c r="I15" s="8"/>
      <c r="K15" s="10"/>
      <c r="O15" s="14" t="s">
        <v>90</v>
      </c>
      <c r="P15" s="178" t="s">
        <v>230</v>
      </c>
    </row>
    <row r="16" spans="1:16" ht="12.75" thickBot="1" x14ac:dyDescent="0.25">
      <c r="A16" s="14" t="s">
        <v>90</v>
      </c>
      <c r="B16" s="197" t="s">
        <v>230</v>
      </c>
      <c r="C16" s="45"/>
      <c r="D16" s="45"/>
      <c r="E16" s="1"/>
      <c r="F16" s="1"/>
      <c r="G16" s="204">
        <v>0</v>
      </c>
      <c r="I16" s="8"/>
      <c r="K16" s="10"/>
      <c r="P16" s="177"/>
    </row>
    <row r="17" spans="1:16" ht="12.75" thickBot="1" x14ac:dyDescent="0.25">
      <c r="A17" s="14" t="s">
        <v>90</v>
      </c>
      <c r="B17" s="47" t="s">
        <v>217</v>
      </c>
      <c r="C17" s="45"/>
      <c r="D17" s="45"/>
      <c r="E17" s="1"/>
      <c r="F17" s="1"/>
      <c r="G17" s="204">
        <v>20551333</v>
      </c>
      <c r="I17" s="8">
        <v>639</v>
      </c>
      <c r="K17" s="10"/>
      <c r="P17" s="177"/>
    </row>
    <row r="18" spans="1:16" ht="12.75" thickBot="1" x14ac:dyDescent="0.25">
      <c r="A18" s="14" t="s">
        <v>90</v>
      </c>
      <c r="B18" s="197" t="s">
        <v>232</v>
      </c>
      <c r="C18" s="45"/>
      <c r="D18" s="45"/>
      <c r="E18" s="1"/>
      <c r="F18" s="1"/>
      <c r="G18" s="204">
        <v>27455565</v>
      </c>
      <c r="H18" s="196"/>
      <c r="I18" s="8"/>
      <c r="K18" s="10"/>
      <c r="P18" s="177"/>
    </row>
    <row r="19" spans="1:16" ht="12.75" thickBot="1" x14ac:dyDescent="0.25">
      <c r="A19" s="14" t="s">
        <v>90</v>
      </c>
      <c r="B19" s="197" t="s">
        <v>237</v>
      </c>
      <c r="C19" s="45"/>
      <c r="D19" s="45"/>
      <c r="E19" s="1"/>
      <c r="F19" s="1"/>
      <c r="G19" s="204">
        <v>6920906</v>
      </c>
      <c r="H19" s="196"/>
      <c r="I19" s="8"/>
      <c r="K19" s="10"/>
      <c r="P19" s="177"/>
    </row>
    <row r="20" spans="1:16" ht="12.75" thickBot="1" x14ac:dyDescent="0.25">
      <c r="A20" s="195" t="s">
        <v>90</v>
      </c>
      <c r="B20" s="197" t="s">
        <v>253</v>
      </c>
      <c r="C20" s="45"/>
      <c r="D20" s="45"/>
      <c r="E20" s="1"/>
      <c r="F20" s="1"/>
      <c r="G20" s="204">
        <v>16191914</v>
      </c>
      <c r="H20" s="196"/>
      <c r="I20" s="8"/>
      <c r="K20" s="10"/>
    </row>
    <row r="21" spans="1:16" ht="12.75" thickBot="1" x14ac:dyDescent="0.25">
      <c r="A21" s="195" t="s">
        <v>90</v>
      </c>
      <c r="B21" s="197" t="s">
        <v>254</v>
      </c>
      <c r="C21" s="45"/>
      <c r="D21" s="45"/>
      <c r="E21" s="1"/>
      <c r="F21" s="1"/>
      <c r="G21" s="204">
        <v>109965</v>
      </c>
      <c r="H21" s="196"/>
      <c r="I21" s="8"/>
      <c r="K21" s="10"/>
    </row>
    <row r="22" spans="1:16" ht="12.75" thickBot="1" x14ac:dyDescent="0.25">
      <c r="A22" s="195" t="s">
        <v>97</v>
      </c>
      <c r="B22" s="197" t="s">
        <v>235</v>
      </c>
      <c r="C22" s="45"/>
      <c r="D22" s="45"/>
      <c r="E22" s="1"/>
      <c r="F22" s="1"/>
      <c r="G22" s="206">
        <v>166641</v>
      </c>
      <c r="H22" s="196"/>
      <c r="I22" s="8"/>
      <c r="K22" s="10"/>
    </row>
    <row r="23" spans="1:16" ht="12.75" thickBot="1" x14ac:dyDescent="0.25">
      <c r="A23" s="195" t="s">
        <v>97</v>
      </c>
      <c r="B23" s="197" t="s">
        <v>236</v>
      </c>
      <c r="C23" s="45"/>
      <c r="D23" s="45"/>
      <c r="E23" s="1"/>
      <c r="F23" s="1"/>
      <c r="G23" s="206">
        <v>66581019</v>
      </c>
      <c r="H23" s="196"/>
      <c r="I23" s="8"/>
      <c r="K23" s="10"/>
    </row>
    <row r="24" spans="1:16" ht="12.75" thickBot="1" x14ac:dyDescent="0.25">
      <c r="A24" s="195" t="s">
        <v>97</v>
      </c>
      <c r="B24" s="197" t="s">
        <v>231</v>
      </c>
      <c r="C24" s="45"/>
      <c r="D24" s="45"/>
      <c r="E24" s="1"/>
      <c r="F24" s="1"/>
      <c r="G24" s="206">
        <v>27509006</v>
      </c>
      <c r="H24" s="196"/>
      <c r="I24" s="8"/>
      <c r="K24" s="10"/>
    </row>
    <row r="25" spans="1:16" ht="12.75" thickBot="1" x14ac:dyDescent="0.25">
      <c r="A25" s="195" t="s">
        <v>97</v>
      </c>
      <c r="B25" s="197" t="s">
        <v>257</v>
      </c>
      <c r="C25" s="45"/>
      <c r="D25" s="45"/>
      <c r="E25" s="1"/>
      <c r="F25" s="1"/>
      <c r="G25" s="206">
        <v>4501770</v>
      </c>
      <c r="H25" s="196"/>
      <c r="I25" s="8"/>
      <c r="K25" s="10"/>
    </row>
    <row r="26" spans="1:16" ht="12.75" thickBot="1" x14ac:dyDescent="0.25">
      <c r="A26" s="195"/>
      <c r="B26" s="197"/>
      <c r="C26" s="45"/>
      <c r="D26" s="45"/>
      <c r="E26" s="1"/>
      <c r="F26" s="1"/>
      <c r="G26" s="206">
        <v>2274398</v>
      </c>
      <c r="H26" s="196"/>
      <c r="I26" s="8"/>
      <c r="K26" s="10"/>
    </row>
    <row r="27" spans="1:16" ht="12.75" thickBot="1" x14ac:dyDescent="0.25">
      <c r="A27" s="195"/>
      <c r="B27" s="197"/>
      <c r="C27" s="45"/>
      <c r="D27" s="45"/>
      <c r="E27" s="1"/>
      <c r="F27" s="1"/>
      <c r="G27" s="206">
        <v>1296756</v>
      </c>
      <c r="H27" s="196"/>
      <c r="I27" s="8"/>
      <c r="K27" s="10"/>
    </row>
    <row r="28" spans="1:16" ht="12.75" thickBot="1" x14ac:dyDescent="0.25">
      <c r="A28" s="195" t="s">
        <v>97</v>
      </c>
      <c r="B28" s="197" t="s">
        <v>255</v>
      </c>
      <c r="C28" s="45"/>
      <c r="D28" s="45"/>
      <c r="E28" s="1"/>
      <c r="F28" s="1"/>
      <c r="G28" s="206">
        <v>280073</v>
      </c>
      <c r="H28" s="196"/>
      <c r="I28" s="8"/>
      <c r="K28" s="10"/>
    </row>
    <row r="29" spans="1:16" ht="12.75" thickBot="1" x14ac:dyDescent="0.25">
      <c r="A29" s="14"/>
      <c r="B29" s="47"/>
      <c r="C29" s="45"/>
      <c r="D29" s="45"/>
      <c r="E29" s="1"/>
      <c r="F29" s="1"/>
      <c r="G29" s="59"/>
      <c r="I29" s="8"/>
      <c r="K29" s="10"/>
      <c r="P29" s="177"/>
    </row>
    <row r="30" spans="1:16" ht="12.75" thickBot="1" x14ac:dyDescent="0.25">
      <c r="A30" s="18" t="str">
        <f>A6&amp;" al 31/12/"&amp;RIGHT($C$4,2)</f>
        <v>Pérdida Tributaria al 31/12/15</v>
      </c>
      <c r="B30" s="18"/>
      <c r="C30" s="18"/>
      <c r="D30" s="18"/>
      <c r="E30" s="1"/>
      <c r="F30" s="1"/>
      <c r="G30" s="19">
        <f>SUM(G10:G21)-SUM(G22:G29)</f>
        <v>451850579</v>
      </c>
      <c r="P30" s="177"/>
    </row>
    <row r="31" spans="1:16" ht="13.5" thickTop="1" thickBot="1" x14ac:dyDescent="0.25">
      <c r="A31" s="47"/>
      <c r="B31" s="47"/>
      <c r="C31" s="45"/>
      <c r="D31" s="45"/>
      <c r="E31" s="1"/>
      <c r="F31" s="1"/>
      <c r="G31" s="46"/>
      <c r="P31" s="177"/>
    </row>
    <row r="32" spans="1:16" ht="12.75" thickBot="1" x14ac:dyDescent="0.25">
      <c r="A32" s="14" t="s">
        <v>97</v>
      </c>
      <c r="B32" t="s">
        <v>108</v>
      </c>
      <c r="G32" s="22">
        <v>0</v>
      </c>
      <c r="I32" s="8">
        <v>642</v>
      </c>
      <c r="P32" s="177"/>
    </row>
    <row r="33" spans="1:9" ht="12.75" thickBot="1" x14ac:dyDescent="0.25">
      <c r="A33" s="15" t="s">
        <v>91</v>
      </c>
      <c r="B33" s="18" t="str">
        <f>"RLI del ejercicio "&amp;$C$4</f>
        <v>RLI del ejercicio 2015</v>
      </c>
      <c r="C33" s="18"/>
      <c r="D33" s="18"/>
      <c r="E33" s="1"/>
      <c r="F33" s="1"/>
      <c r="G33" s="19">
        <f>IF(G32&gt;0,"¡signo del dividendo!",SUM(G30:G32))</f>
        <v>451850579</v>
      </c>
      <c r="I33" s="8">
        <v>643</v>
      </c>
    </row>
    <row r="34" spans="1:9" ht="12.75" thickTop="1" x14ac:dyDescent="0.2">
      <c r="G34" s="16"/>
    </row>
    <row r="35" spans="1:9" x14ac:dyDescent="0.2">
      <c r="G35" s="16"/>
    </row>
    <row r="36" spans="1:9" x14ac:dyDescent="0.2">
      <c r="G36" s="16"/>
    </row>
    <row r="37" spans="1:9" x14ac:dyDescent="0.2">
      <c r="G37" s="16"/>
    </row>
    <row r="38" spans="1:9" x14ac:dyDescent="0.2">
      <c r="A38" s="12" t="s">
        <v>93</v>
      </c>
      <c r="G38" s="16"/>
    </row>
    <row r="39" spans="1:9" x14ac:dyDescent="0.2">
      <c r="G39" s="16"/>
    </row>
    <row r="40" spans="1:9" x14ac:dyDescent="0.2">
      <c r="A40" t="str">
        <f>"Saldo "&amp;A38&amp;RIGHT($A$8,12)</f>
        <v>Saldo F.U.T. al 31/12/14</v>
      </c>
      <c r="G40" s="173">
        <f>'AT14'!G44</f>
        <v>345410707.99999952</v>
      </c>
    </row>
    <row r="41" spans="1:9" ht="12.75" thickBot="1" x14ac:dyDescent="0.25">
      <c r="A41" s="14" t="s">
        <v>90</v>
      </c>
      <c r="B41" t="str">
        <f>B9</f>
        <v>Reajuste 2015:</v>
      </c>
      <c r="D41" s="21">
        <v>5.7000000000000002E-2</v>
      </c>
      <c r="G41" s="16">
        <f>ROUND(G40*D41,0)</f>
        <v>19688410</v>
      </c>
    </row>
    <row r="42" spans="1:9" ht="12.75" thickBot="1" x14ac:dyDescent="0.25">
      <c r="A42" t="str">
        <f>LEFT(A40,LEN(A40)-12)&amp;", reajustado"</f>
        <v>Saldo F.U.T., reajustado</v>
      </c>
      <c r="G42" s="17">
        <f>SUM(G40:G41)</f>
        <v>365099117.99999952</v>
      </c>
      <c r="I42" s="8">
        <v>284</v>
      </c>
    </row>
    <row r="43" spans="1:9" ht="12.75" thickBot="1" x14ac:dyDescent="0.25">
      <c r="G43" s="23"/>
    </row>
    <row r="44" spans="1:9" ht="12.75" thickBot="1" x14ac:dyDescent="0.25">
      <c r="A44" s="14" t="s">
        <v>97</v>
      </c>
      <c r="B44" t="s">
        <v>98</v>
      </c>
      <c r="G44" s="23">
        <f>G33</f>
        <v>451850579</v>
      </c>
      <c r="I44" s="8">
        <v>229</v>
      </c>
    </row>
    <row r="45" spans="1:9" x14ac:dyDescent="0.2">
      <c r="A45" t="str">
        <f>"Subtotal "&amp;RIGHT(A40,LEN(A40)-6)</f>
        <v>Subtotal F.U.T. al 31/12/14</v>
      </c>
      <c r="G45" s="17">
        <f>SUM(G42:G44)</f>
        <v>816949696.99999952</v>
      </c>
    </row>
    <row r="46" spans="1:9" ht="12.75" thickBot="1" x14ac:dyDescent="0.25">
      <c r="G46" s="23"/>
    </row>
    <row r="47" spans="1:9" ht="12.75" thickBot="1" x14ac:dyDescent="0.25">
      <c r="A47" s="14" t="s">
        <v>97</v>
      </c>
      <c r="B47" t="s">
        <v>111</v>
      </c>
      <c r="G47" s="23">
        <v>0</v>
      </c>
      <c r="I47" s="8">
        <v>624</v>
      </c>
    </row>
    <row r="48" spans="1:9" x14ac:dyDescent="0.2">
      <c r="G48" s="23"/>
    </row>
    <row r="49" spans="1:9" x14ac:dyDescent="0.2">
      <c r="A49" s="14" t="s">
        <v>90</v>
      </c>
      <c r="B49" t="str">
        <f>A10</f>
        <v>Pérdida Tributaria de Arrastre, reajustada</v>
      </c>
      <c r="G49" s="16">
        <f>-G10</f>
        <v>0</v>
      </c>
    </row>
    <row r="50" spans="1:9" ht="12.75" thickBot="1" x14ac:dyDescent="0.25">
      <c r="A50" s="14"/>
      <c r="G50" s="16"/>
    </row>
    <row r="51" spans="1:9" ht="12.75" thickBot="1" x14ac:dyDescent="0.25">
      <c r="A51" s="14" t="s">
        <v>90</v>
      </c>
      <c r="B51" t="s">
        <v>108</v>
      </c>
      <c r="G51" s="16">
        <f>-G29</f>
        <v>0</v>
      </c>
      <c r="I51" s="8">
        <v>642</v>
      </c>
    </row>
    <row r="52" spans="1:9" ht="12.75" thickBot="1" x14ac:dyDescent="0.25">
      <c r="A52" s="14"/>
      <c r="G52" s="16"/>
    </row>
    <row r="53" spans="1:9" ht="12.75" thickBot="1" x14ac:dyDescent="0.25">
      <c r="A53" s="14" t="s">
        <v>97</v>
      </c>
      <c r="B53" t="s">
        <v>225</v>
      </c>
      <c r="G53" s="16">
        <v>-185000000</v>
      </c>
      <c r="I53" s="8">
        <v>642</v>
      </c>
    </row>
    <row r="54" spans="1:9" ht="12.75" thickBot="1" x14ac:dyDescent="0.25">
      <c r="A54" s="14"/>
      <c r="G54" s="16"/>
      <c r="I54" s="8"/>
    </row>
    <row r="55" spans="1:9" ht="12.75" thickBot="1" x14ac:dyDescent="0.25">
      <c r="A55" s="43" t="s">
        <v>109</v>
      </c>
      <c r="G55" s="42">
        <f>SUM(G49:G52)</f>
        <v>0</v>
      </c>
      <c r="I55" s="8">
        <v>782</v>
      </c>
    </row>
    <row r="56" spans="1:9" ht="12.75" thickBot="1" x14ac:dyDescent="0.25">
      <c r="A56" s="18" t="str">
        <f>LEFT(A40,LEN(A40)-2)&amp;RIGHT($C$4,2)</f>
        <v>Saldo F.U.T. al 31/12/15</v>
      </c>
      <c r="B56" s="18"/>
      <c r="C56" s="18"/>
      <c r="D56" s="18"/>
      <c r="E56" s="1"/>
      <c r="F56" s="1"/>
      <c r="G56" s="19">
        <f>G45+G47+G55+G53</f>
        <v>631949696.99999952</v>
      </c>
      <c r="I56" s="8">
        <v>232</v>
      </c>
    </row>
    <row r="57" spans="1:9" ht="12.75" thickTop="1" x14ac:dyDescent="0.2">
      <c r="G57" s="16"/>
    </row>
  </sheetData>
  <pageMargins left="0.74803149606299213" right="0.74803149606299213" top="0.98425196850393704" bottom="0.98425196850393704" header="0.51181102362204722" footer="0.51181102362204722"/>
  <pageSetup orientation="portrait" horizontalDpi="360" verticalDpi="36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101"/>
  <sheetViews>
    <sheetView topLeftCell="A43" workbookViewId="0">
      <selection activeCell="J71" sqref="J71"/>
    </sheetView>
  </sheetViews>
  <sheetFormatPr baseColWidth="10" defaultColWidth="9.140625" defaultRowHeight="12" x14ac:dyDescent="0.2"/>
  <cols>
    <col min="1" max="1" width="13.85546875" style="134" customWidth="1"/>
    <col min="2" max="2" width="45" style="126" customWidth="1"/>
    <col min="3" max="3" width="5.28515625" style="80" customWidth="1"/>
    <col min="4" max="4" width="1.85546875" style="131" customWidth="1"/>
    <col min="5" max="5" width="15.7109375" style="124" customWidth="1"/>
    <col min="6" max="6" width="3" style="126" customWidth="1"/>
    <col min="7" max="7" width="11.5703125" style="78" customWidth="1"/>
    <col min="8" max="8" width="9.140625" style="126" customWidth="1"/>
    <col min="9" max="9" width="13.42578125" style="126" customWidth="1"/>
    <col min="10" max="10" width="12.28515625" style="126" customWidth="1"/>
    <col min="11" max="11" width="13.7109375" style="126" customWidth="1"/>
    <col min="12" max="12" width="13.28515625" style="126" customWidth="1"/>
    <col min="13" max="13" width="14.85546875" style="126" customWidth="1"/>
    <col min="14" max="16384" width="9.140625" style="126"/>
  </cols>
  <sheetData>
    <row r="1" spans="1:14" s="79" customFormat="1" ht="12.75" x14ac:dyDescent="0.2">
      <c r="A1" s="129" t="s">
        <v>115</v>
      </c>
      <c r="D1" s="129"/>
    </row>
    <row r="2" spans="1:14" s="79" customFormat="1" ht="12.75" x14ac:dyDescent="0.2">
      <c r="A2" s="129" t="s">
        <v>114</v>
      </c>
      <c r="D2" s="129"/>
    </row>
    <row r="3" spans="1:14" ht="12.75" x14ac:dyDescent="0.2">
      <c r="A3" s="130" t="str">
        <f>'AT13'!A3</f>
        <v>AÑO TRIBUTARIO 2013</v>
      </c>
    </row>
    <row r="4" spans="1:14" x14ac:dyDescent="0.2">
      <c r="A4" s="132" t="s">
        <v>0</v>
      </c>
      <c r="L4" s="133"/>
      <c r="M4" s="133"/>
      <c r="N4" s="133"/>
    </row>
    <row r="5" spans="1:14" ht="12.75" thickBot="1" x14ac:dyDescent="0.25">
      <c r="A5" s="134" t="s">
        <v>1</v>
      </c>
      <c r="B5" s="126" t="s">
        <v>2</v>
      </c>
      <c r="C5" s="81" t="s">
        <v>3</v>
      </c>
      <c r="E5" s="134" t="s">
        <v>4</v>
      </c>
      <c r="L5" s="135"/>
      <c r="M5" s="135"/>
      <c r="N5" s="133"/>
    </row>
    <row r="6" spans="1:14" ht="12.75" thickBot="1" x14ac:dyDescent="0.25">
      <c r="B6" s="126" t="s">
        <v>5</v>
      </c>
      <c r="C6" s="82" t="s">
        <v>6</v>
      </c>
      <c r="E6" s="124" t="str">
        <f>A2</f>
        <v>86.132.100-2</v>
      </c>
      <c r="L6" s="135"/>
      <c r="M6" s="135"/>
      <c r="N6" s="133"/>
    </row>
    <row r="7" spans="1:14" ht="12.75" thickBot="1" x14ac:dyDescent="0.25">
      <c r="B7" s="126" t="s">
        <v>7</v>
      </c>
      <c r="C7" s="82" t="s">
        <v>8</v>
      </c>
      <c r="E7" s="124" t="str">
        <f>A1</f>
        <v>DEMARKA S.A.</v>
      </c>
      <c r="L7" s="135"/>
      <c r="M7" s="135"/>
      <c r="N7" s="133"/>
    </row>
    <row r="8" spans="1:14" s="137" customFormat="1" ht="12.75" thickBot="1" x14ac:dyDescent="0.25">
      <c r="A8" s="136">
        <v>34</v>
      </c>
      <c r="B8" s="137" t="s">
        <v>104</v>
      </c>
      <c r="C8" s="83">
        <v>18</v>
      </c>
      <c r="D8" s="138"/>
      <c r="E8" s="191">
        <f>IF(E52&gt;0,E52,"PERDIDA")</f>
        <v>285137540</v>
      </c>
      <c r="L8" s="139"/>
      <c r="M8" s="139"/>
      <c r="N8" s="93"/>
    </row>
    <row r="9" spans="1:14" s="137" customFormat="1" ht="12.75" thickBot="1" x14ac:dyDescent="0.25">
      <c r="A9" s="136"/>
      <c r="B9" s="93" t="s">
        <v>179</v>
      </c>
      <c r="C9" s="83">
        <v>19</v>
      </c>
      <c r="D9" s="138"/>
      <c r="E9" s="181">
        <v>0</v>
      </c>
      <c r="L9" s="139"/>
      <c r="M9" s="139"/>
      <c r="N9" s="93"/>
    </row>
    <row r="10" spans="1:14" s="137" customFormat="1" ht="12.75" thickBot="1" x14ac:dyDescent="0.25">
      <c r="A10" s="136"/>
      <c r="B10" s="137" t="s">
        <v>105</v>
      </c>
      <c r="C10" s="83">
        <v>20</v>
      </c>
      <c r="D10" s="138"/>
      <c r="E10" s="191">
        <f>MAX(ROUND(21%*E52-E9,0),0)</f>
        <v>59878883</v>
      </c>
      <c r="L10" s="139"/>
      <c r="M10" s="139"/>
      <c r="N10" s="93"/>
    </row>
    <row r="11" spans="1:14" s="137" customFormat="1" ht="12.75" thickBot="1" x14ac:dyDescent="0.25">
      <c r="A11" s="136">
        <v>48</v>
      </c>
      <c r="B11" s="137" t="s">
        <v>112</v>
      </c>
      <c r="C11" s="83">
        <v>82</v>
      </c>
      <c r="D11" s="138"/>
      <c r="E11" s="71">
        <v>7867021</v>
      </c>
      <c r="F11" s="71"/>
      <c r="L11" s="139"/>
      <c r="M11" s="139"/>
      <c r="N11" s="93"/>
    </row>
    <row r="12" spans="1:14" s="137" customFormat="1" ht="12.75" thickBot="1" x14ac:dyDescent="0.25">
      <c r="A12" s="136"/>
      <c r="B12" s="156" t="s">
        <v>220</v>
      </c>
      <c r="C12" s="83">
        <v>36</v>
      </c>
      <c r="D12" s="138"/>
      <c r="E12" s="71">
        <v>79305407</v>
      </c>
      <c r="F12" s="71"/>
      <c r="L12" s="139"/>
      <c r="M12" s="139"/>
      <c r="N12" s="93"/>
    </row>
    <row r="13" spans="1:14" s="137" customFormat="1" ht="12.75" thickBot="1" x14ac:dyDescent="0.25">
      <c r="A13" s="136">
        <v>52</v>
      </c>
      <c r="B13" s="137" t="s">
        <v>106</v>
      </c>
      <c r="C13" s="83">
        <v>167</v>
      </c>
      <c r="D13" s="138"/>
      <c r="E13" s="180">
        <f>E88</f>
        <v>54630406</v>
      </c>
      <c r="L13" s="139"/>
      <c r="M13" s="139"/>
      <c r="N13" s="93"/>
    </row>
    <row r="14" spans="1:14" s="137" customFormat="1" ht="12.75" thickBot="1" x14ac:dyDescent="0.25">
      <c r="A14" s="136"/>
      <c r="B14" s="137" t="s">
        <v>107</v>
      </c>
      <c r="C14" s="83">
        <v>747</v>
      </c>
      <c r="D14" s="138"/>
      <c r="E14" s="180">
        <f>E13</f>
        <v>54630406</v>
      </c>
      <c r="L14" s="139"/>
      <c r="M14" s="139"/>
      <c r="N14" s="93"/>
    </row>
    <row r="15" spans="1:14" ht="12.75" thickBot="1" x14ac:dyDescent="0.25">
      <c r="A15" s="134">
        <v>55</v>
      </c>
      <c r="B15" s="126" t="s">
        <v>9</v>
      </c>
      <c r="C15" s="82">
        <v>305</v>
      </c>
      <c r="E15" s="182">
        <f>E10-E11-E14-E12</f>
        <v>-81923951</v>
      </c>
      <c r="L15" s="135"/>
      <c r="M15" s="135"/>
      <c r="N15" s="133"/>
    </row>
    <row r="16" spans="1:14" ht="12.75" thickBot="1" x14ac:dyDescent="0.25">
      <c r="A16" s="134">
        <v>56</v>
      </c>
      <c r="B16" s="126" t="str">
        <f>IF(E15&gt;0,"Impuesto Adeudado","SALDO A FAVOR")</f>
        <v>SALDO A FAVOR</v>
      </c>
      <c r="C16" s="82">
        <f>IF(E15&gt;0,90,85)</f>
        <v>85</v>
      </c>
      <c r="E16" s="182">
        <f>ABS(E15)</f>
        <v>81923951</v>
      </c>
      <c r="L16" s="135"/>
      <c r="M16" s="135"/>
      <c r="N16" s="133"/>
    </row>
    <row r="17" spans="1:14" ht="12.75" thickBot="1" x14ac:dyDescent="0.25">
      <c r="A17" s="134" t="str">
        <f>IF(E15&gt;0,59,"")</f>
        <v/>
      </c>
      <c r="B17" s="140" t="str">
        <f>IF($E$15&gt;0,2.1%,"")</f>
        <v/>
      </c>
      <c r="C17" s="82" t="str">
        <f>IF($E$15&gt;0,39,"")</f>
        <v/>
      </c>
      <c r="E17" s="182" t="str">
        <f>IF($E$15&gt;0,ROUND(B17*E16,0),"")</f>
        <v/>
      </c>
      <c r="L17" s="135"/>
      <c r="M17" s="135"/>
      <c r="N17" s="133"/>
    </row>
    <row r="18" spans="1:14" ht="12.75" thickBot="1" x14ac:dyDescent="0.25">
      <c r="A18" s="134">
        <v>58</v>
      </c>
      <c r="B18" s="126" t="str">
        <f>IF($E$15&gt;0,"TOTAL A PAGAR","DEVOLUCION SOLICITADA")</f>
        <v>DEVOLUCION SOLICITADA</v>
      </c>
      <c r="C18" s="82">
        <f>IF($E$15&gt;0,91,87)</f>
        <v>87</v>
      </c>
      <c r="E18" s="182">
        <f>SUM(E16:E17)</f>
        <v>81923951</v>
      </c>
      <c r="L18" s="135"/>
      <c r="M18" s="135"/>
      <c r="N18" s="133"/>
    </row>
    <row r="19" spans="1:14" ht="12.75" thickBot="1" x14ac:dyDescent="0.25">
      <c r="B19" s="126" t="str">
        <f>IF($E$15&gt;0,"","Nombre Institución Bancaria")</f>
        <v>Nombre Institución Bancaria</v>
      </c>
      <c r="C19" s="82">
        <f>IF($E$15&gt;0,"",301)</f>
        <v>301</v>
      </c>
      <c r="E19" s="73" t="s">
        <v>208</v>
      </c>
      <c r="L19" s="135"/>
      <c r="M19" s="135"/>
      <c r="N19" s="133"/>
    </row>
    <row r="20" spans="1:14" ht="12.75" thickBot="1" x14ac:dyDescent="0.25">
      <c r="B20" s="126" t="str">
        <f>IF($E$15&gt;0,"","Número de Cuenta")</f>
        <v>Número de Cuenta</v>
      </c>
      <c r="C20" s="82">
        <f>IF($E$15&gt;0,"",306)</f>
        <v>306</v>
      </c>
      <c r="E20" s="73">
        <v>1800188107</v>
      </c>
      <c r="L20" s="135"/>
      <c r="M20" s="135"/>
      <c r="N20" s="133"/>
    </row>
    <row r="21" spans="1:14" x14ac:dyDescent="0.2">
      <c r="C21" s="84"/>
      <c r="E21" s="71"/>
      <c r="L21" s="135"/>
      <c r="M21" s="135"/>
      <c r="N21" s="133"/>
    </row>
    <row r="22" spans="1:14" ht="12.75" thickBot="1" x14ac:dyDescent="0.25">
      <c r="A22" s="132" t="s">
        <v>10</v>
      </c>
      <c r="L22" s="135"/>
      <c r="M22" s="135"/>
      <c r="N22" s="133"/>
    </row>
    <row r="23" spans="1:14" ht="12.75" thickBot="1" x14ac:dyDescent="0.25">
      <c r="B23" s="126" t="s">
        <v>11</v>
      </c>
      <c r="C23" s="82" t="s">
        <v>12</v>
      </c>
      <c r="E23" s="124" t="s">
        <v>13</v>
      </c>
      <c r="L23" s="135"/>
      <c r="M23" s="135"/>
      <c r="N23" s="133"/>
    </row>
    <row r="24" spans="1:14" ht="12.75" thickBot="1" x14ac:dyDescent="0.25">
      <c r="B24" s="126" t="s">
        <v>14</v>
      </c>
      <c r="C24" s="82" t="s">
        <v>15</v>
      </c>
      <c r="E24" s="124" t="s">
        <v>16</v>
      </c>
      <c r="L24" s="135"/>
      <c r="M24" s="135"/>
      <c r="N24" s="133"/>
    </row>
    <row r="25" spans="1:14" ht="12.75" thickBot="1" x14ac:dyDescent="0.25">
      <c r="B25" s="126" t="s">
        <v>17</v>
      </c>
      <c r="C25" s="82">
        <v>53</v>
      </c>
      <c r="E25" s="134">
        <v>13</v>
      </c>
      <c r="L25" s="135"/>
      <c r="M25" s="135"/>
      <c r="N25" s="133"/>
    </row>
    <row r="26" spans="1:14" ht="12.75" thickBot="1" x14ac:dyDescent="0.25">
      <c r="B26" s="126" t="s">
        <v>18</v>
      </c>
      <c r="C26" s="82">
        <v>13</v>
      </c>
      <c r="E26" s="141" t="s">
        <v>117</v>
      </c>
      <c r="I26" s="142"/>
      <c r="L26" s="133"/>
      <c r="M26" s="133"/>
      <c r="N26" s="133"/>
    </row>
    <row r="27" spans="1:14" ht="12.75" thickBot="1" x14ac:dyDescent="0.25">
      <c r="B27" s="126" t="s">
        <v>19</v>
      </c>
      <c r="C27" s="82">
        <v>14</v>
      </c>
      <c r="E27" s="128">
        <v>61911</v>
      </c>
      <c r="I27" s="142"/>
      <c r="J27" s="142"/>
      <c r="K27" s="142"/>
      <c r="L27" s="133"/>
      <c r="M27" s="133"/>
      <c r="N27" s="133"/>
    </row>
    <row r="28" spans="1:14" ht="12.75" thickBot="1" x14ac:dyDescent="0.25">
      <c r="B28" s="126" t="s">
        <v>20</v>
      </c>
      <c r="C28" s="82" t="s">
        <v>21</v>
      </c>
      <c r="E28" s="134" t="s">
        <v>250</v>
      </c>
      <c r="I28" s="142"/>
      <c r="L28" s="133"/>
      <c r="M28" s="133"/>
      <c r="N28" s="133"/>
    </row>
    <row r="29" spans="1:14" ht="12.75" thickBot="1" x14ac:dyDescent="0.25">
      <c r="B29" s="126" t="s">
        <v>22</v>
      </c>
      <c r="C29" s="82">
        <v>48</v>
      </c>
      <c r="E29" s="134" t="s">
        <v>251</v>
      </c>
      <c r="I29" s="142"/>
      <c r="J29" s="142"/>
      <c r="K29" s="133"/>
      <c r="L29" s="135"/>
      <c r="M29" s="133"/>
      <c r="N29" s="133"/>
    </row>
    <row r="30" spans="1:14" ht="13.5" thickBot="1" x14ac:dyDescent="0.25">
      <c r="B30" s="126" t="s">
        <v>23</v>
      </c>
      <c r="C30" s="82">
        <v>55</v>
      </c>
      <c r="E30" s="143" t="s">
        <v>154</v>
      </c>
      <c r="I30" s="142"/>
      <c r="J30" s="142"/>
      <c r="K30" s="133"/>
      <c r="L30" s="133"/>
      <c r="M30" s="133"/>
      <c r="N30" s="133"/>
    </row>
    <row r="31" spans="1:14" ht="12.75" thickBot="1" x14ac:dyDescent="0.25">
      <c r="B31" s="126" t="s">
        <v>24</v>
      </c>
      <c r="C31" s="82">
        <v>614</v>
      </c>
      <c r="E31" s="134" t="s">
        <v>25</v>
      </c>
      <c r="K31" s="133"/>
      <c r="L31" s="133"/>
      <c r="M31" s="133"/>
      <c r="N31" s="133"/>
    </row>
    <row r="32" spans="1:14" x14ac:dyDescent="0.2">
      <c r="I32" s="142"/>
      <c r="K32" s="133"/>
      <c r="L32" s="133"/>
      <c r="M32" s="133"/>
      <c r="N32" s="133"/>
    </row>
    <row r="33" spans="1:14" ht="12.75" thickBot="1" x14ac:dyDescent="0.25">
      <c r="A33" s="132" t="s">
        <v>138</v>
      </c>
      <c r="B33" s="126" t="s">
        <v>27</v>
      </c>
      <c r="E33" s="69"/>
      <c r="K33" s="133"/>
      <c r="L33" s="133"/>
      <c r="M33" s="133"/>
      <c r="N33" s="133"/>
    </row>
    <row r="34" spans="1:14" ht="12.75" thickBot="1" x14ac:dyDescent="0.25">
      <c r="A34" s="132"/>
      <c r="B34" s="126" t="s">
        <v>28</v>
      </c>
      <c r="C34" s="82">
        <v>628</v>
      </c>
      <c r="D34" s="131" t="s">
        <v>125</v>
      </c>
      <c r="E34" s="60">
        <v>4895494440</v>
      </c>
      <c r="G34" s="78" t="s">
        <v>101</v>
      </c>
      <c r="I34" s="142"/>
      <c r="K34" s="135"/>
      <c r="L34" s="135"/>
      <c r="M34" s="135"/>
      <c r="N34" s="135"/>
    </row>
    <row r="35" spans="1:14" ht="12.75" thickBot="1" x14ac:dyDescent="0.25">
      <c r="A35" s="132"/>
      <c r="B35" s="126" t="s">
        <v>29</v>
      </c>
      <c r="C35" s="82">
        <v>629</v>
      </c>
      <c r="D35" s="131" t="s">
        <v>125</v>
      </c>
      <c r="E35" s="60">
        <f>4793645+7756782</f>
        <v>12550427</v>
      </c>
      <c r="G35" s="78" t="s">
        <v>83</v>
      </c>
      <c r="K35" s="133"/>
      <c r="L35" s="133"/>
      <c r="M35" s="135"/>
      <c r="N35" s="133"/>
    </row>
    <row r="36" spans="1:14" ht="12.75" thickBot="1" x14ac:dyDescent="0.25">
      <c r="A36" s="132"/>
      <c r="B36" s="126" t="s">
        <v>30</v>
      </c>
      <c r="C36" s="82">
        <v>651</v>
      </c>
      <c r="D36" s="131" t="s">
        <v>125</v>
      </c>
      <c r="E36" s="60">
        <f>22065496+1085998</f>
        <v>23151494</v>
      </c>
      <c r="G36" s="144"/>
      <c r="K36" s="135"/>
      <c r="L36" s="135"/>
      <c r="M36" s="135"/>
      <c r="N36" s="135"/>
    </row>
    <row r="37" spans="1:14" ht="12.75" thickBot="1" x14ac:dyDescent="0.25">
      <c r="A37" s="132"/>
      <c r="B37" s="126" t="s">
        <v>31</v>
      </c>
      <c r="C37" s="82">
        <v>630</v>
      </c>
      <c r="D37" s="131" t="s">
        <v>126</v>
      </c>
      <c r="E37" s="60">
        <v>2447704658</v>
      </c>
      <c r="G37" s="78" t="s">
        <v>80</v>
      </c>
      <c r="K37" s="135"/>
      <c r="L37" s="135"/>
      <c r="M37" s="135"/>
      <c r="N37" s="135"/>
    </row>
    <row r="38" spans="1:14" ht="12.75" thickBot="1" x14ac:dyDescent="0.25">
      <c r="A38" s="132"/>
      <c r="B38" s="126" t="s">
        <v>32</v>
      </c>
      <c r="C38" s="82">
        <v>631</v>
      </c>
      <c r="D38" s="131" t="s">
        <v>126</v>
      </c>
      <c r="E38" s="60">
        <v>948673082</v>
      </c>
      <c r="G38" s="78" t="s">
        <v>81</v>
      </c>
      <c r="K38" s="135"/>
      <c r="L38" s="135"/>
      <c r="M38" s="135"/>
      <c r="N38" s="135"/>
    </row>
    <row r="39" spans="1:14" ht="12.75" thickBot="1" x14ac:dyDescent="0.25">
      <c r="A39" s="132"/>
      <c r="B39" s="126" t="s">
        <v>33</v>
      </c>
      <c r="C39" s="82">
        <v>632</v>
      </c>
      <c r="D39" s="131" t="s">
        <v>126</v>
      </c>
      <c r="E39" s="60">
        <v>60513091</v>
      </c>
      <c r="G39" s="78" t="s">
        <v>82</v>
      </c>
      <c r="K39" s="135"/>
      <c r="L39" s="135"/>
      <c r="M39" s="135"/>
      <c r="N39" s="135"/>
    </row>
    <row r="40" spans="1:14" ht="12.75" thickBot="1" x14ac:dyDescent="0.25">
      <c r="A40" s="132"/>
      <c r="B40" s="126" t="s">
        <v>34</v>
      </c>
      <c r="C40" s="82">
        <v>633</v>
      </c>
      <c r="D40" s="131" t="s">
        <v>126</v>
      </c>
      <c r="E40" s="60">
        <v>10056615</v>
      </c>
      <c r="G40" s="144"/>
      <c r="K40" s="135"/>
      <c r="L40" s="135"/>
      <c r="M40" s="135"/>
      <c r="N40" s="135"/>
    </row>
    <row r="41" spans="1:14" ht="12.75" thickBot="1" x14ac:dyDescent="0.25">
      <c r="A41" s="132"/>
      <c r="B41" s="126" t="s">
        <v>216</v>
      </c>
      <c r="C41" s="95">
        <v>792</v>
      </c>
      <c r="D41" s="131" t="s">
        <v>126</v>
      </c>
      <c r="E41" s="60">
        <v>0</v>
      </c>
      <c r="G41" s="144"/>
      <c r="K41" s="135"/>
      <c r="L41" s="135"/>
      <c r="M41" s="135"/>
      <c r="N41" s="135"/>
    </row>
    <row r="42" spans="1:14" ht="12.75" thickBot="1" x14ac:dyDescent="0.25">
      <c r="A42" s="132"/>
      <c r="B42" s="126" t="s">
        <v>35</v>
      </c>
      <c r="C42" s="95">
        <v>635</v>
      </c>
      <c r="D42" s="131" t="s">
        <v>126</v>
      </c>
      <c r="E42" s="192">
        <f>SUM(E34:E36)-SUM(E37:E41)-E44+E45-SUM('AT15'!G12:'AT15'!G15)+E46</f>
        <v>1164535351</v>
      </c>
      <c r="G42" s="78" t="s">
        <v>120</v>
      </c>
      <c r="K42" s="135">
        <f>+E42-850612001</f>
        <v>313923350</v>
      </c>
      <c r="L42" s="135"/>
      <c r="M42" s="135"/>
      <c r="N42" s="135"/>
    </row>
    <row r="43" spans="1:14" ht="12.75" thickBot="1" x14ac:dyDescent="0.25">
      <c r="A43" s="132"/>
      <c r="B43" s="145" t="s">
        <v>36</v>
      </c>
      <c r="C43" s="82">
        <v>636</v>
      </c>
      <c r="D43" s="146" t="s">
        <v>127</v>
      </c>
      <c r="E43" s="99">
        <f>SUM(E34:E36)-SUM(E37:E42)</f>
        <v>299713564</v>
      </c>
      <c r="K43" s="135">
        <f>+E43-299713564</f>
        <v>0</v>
      </c>
      <c r="L43" s="135"/>
      <c r="M43" s="135"/>
      <c r="N43" s="135"/>
    </row>
    <row r="44" spans="1:14" ht="12.75" thickBot="1" x14ac:dyDescent="0.25">
      <c r="A44" s="132"/>
      <c r="B44" s="126" t="s">
        <v>37</v>
      </c>
      <c r="C44" s="96">
        <v>637</v>
      </c>
      <c r="D44" s="131" t="s">
        <v>126</v>
      </c>
      <c r="E44" s="60">
        <v>83668266</v>
      </c>
      <c r="G44" s="78" t="s">
        <v>82</v>
      </c>
      <c r="I44" s="147"/>
      <c r="J44" s="148">
        <f>+E44-E45</f>
        <v>83668266</v>
      </c>
      <c r="K44" s="135"/>
      <c r="L44" s="135"/>
      <c r="M44" s="135"/>
      <c r="N44" s="135"/>
    </row>
    <row r="45" spans="1:14" ht="12.75" thickBot="1" x14ac:dyDescent="0.25">
      <c r="A45" s="132"/>
      <c r="B45" s="126" t="s">
        <v>38</v>
      </c>
      <c r="C45" s="82">
        <v>638</v>
      </c>
      <c r="D45" s="131" t="s">
        <v>125</v>
      </c>
      <c r="E45" s="60">
        <v>0</v>
      </c>
      <c r="G45" s="78" t="s">
        <v>83</v>
      </c>
      <c r="I45" s="148"/>
      <c r="J45" s="148"/>
      <c r="K45" s="135"/>
      <c r="L45" s="135"/>
      <c r="M45" s="135"/>
      <c r="N45" s="135"/>
    </row>
    <row r="46" spans="1:14" ht="12.75" thickBot="1" x14ac:dyDescent="0.25">
      <c r="A46" s="132"/>
      <c r="B46" s="126" t="s">
        <v>180</v>
      </c>
      <c r="C46" s="82">
        <v>639</v>
      </c>
      <c r="D46" s="131" t="s">
        <v>125</v>
      </c>
      <c r="E46" s="184">
        <v>69092242</v>
      </c>
      <c r="I46" s="148"/>
      <c r="K46" s="135"/>
      <c r="L46" s="135"/>
      <c r="M46" s="135"/>
      <c r="N46" s="135"/>
    </row>
    <row r="47" spans="1:14" ht="12.75" thickBot="1" x14ac:dyDescent="0.25">
      <c r="A47" s="132"/>
      <c r="B47" s="126" t="s">
        <v>181</v>
      </c>
      <c r="C47" s="82">
        <v>634</v>
      </c>
      <c r="D47" s="131" t="s">
        <v>126</v>
      </c>
      <c r="E47" s="193">
        <f>-'AT15'!G10</f>
        <v>0</v>
      </c>
      <c r="I47" s="142"/>
      <c r="K47" s="135"/>
      <c r="L47" s="135"/>
      <c r="M47" s="135"/>
      <c r="N47" s="135"/>
    </row>
    <row r="48" spans="1:14" ht="12.75" thickBot="1" x14ac:dyDescent="0.25">
      <c r="A48" s="132"/>
      <c r="B48" s="126" t="s">
        <v>182</v>
      </c>
      <c r="C48" s="82">
        <v>640</v>
      </c>
      <c r="D48" s="131" t="s">
        <v>126</v>
      </c>
      <c r="E48" s="193">
        <v>0</v>
      </c>
      <c r="G48" s="78" t="s">
        <v>177</v>
      </c>
      <c r="I48" s="142"/>
      <c r="K48" s="135"/>
      <c r="L48" s="135"/>
      <c r="M48" s="135"/>
      <c r="N48" s="135"/>
    </row>
    <row r="49" spans="1:14" ht="12.75" thickBot="1" x14ac:dyDescent="0.25">
      <c r="A49" s="132"/>
      <c r="B49" s="126" t="s">
        <v>183</v>
      </c>
      <c r="C49" s="82">
        <v>807</v>
      </c>
      <c r="D49" s="149" t="s">
        <v>126</v>
      </c>
      <c r="E49" s="184">
        <v>0</v>
      </c>
      <c r="I49" s="142"/>
      <c r="K49" s="135"/>
      <c r="L49" s="135"/>
      <c r="M49" s="135"/>
      <c r="N49" s="135"/>
    </row>
    <row r="50" spans="1:14" ht="12.75" thickBot="1" x14ac:dyDescent="0.25">
      <c r="A50" s="132"/>
      <c r="B50" s="126" t="s">
        <v>42</v>
      </c>
      <c r="C50" s="82">
        <v>641</v>
      </c>
      <c r="D50" s="131" t="s">
        <v>126</v>
      </c>
      <c r="E50" s="60">
        <v>0</v>
      </c>
      <c r="I50" s="142"/>
      <c r="M50" s="142"/>
    </row>
    <row r="51" spans="1:14" ht="12.75" thickBot="1" x14ac:dyDescent="0.25">
      <c r="A51" s="132"/>
      <c r="B51" s="126" t="s">
        <v>43</v>
      </c>
      <c r="C51" s="95">
        <v>642</v>
      </c>
      <c r="D51" s="131" t="s">
        <v>126</v>
      </c>
      <c r="E51" s="69">
        <v>0</v>
      </c>
      <c r="I51" s="142"/>
    </row>
    <row r="52" spans="1:14" ht="12.75" thickBot="1" x14ac:dyDescent="0.25">
      <c r="A52" s="132"/>
      <c r="B52" s="145" t="s">
        <v>44</v>
      </c>
      <c r="C52" s="82">
        <v>643</v>
      </c>
      <c r="D52" s="146" t="s">
        <v>127</v>
      </c>
      <c r="E52" s="99">
        <f>E43-E44+E45+E46-SUM(E47:E51)</f>
        <v>285137540</v>
      </c>
      <c r="G52" s="198"/>
      <c r="I52" s="142">
        <v>285137540</v>
      </c>
    </row>
    <row r="53" spans="1:14" x14ac:dyDescent="0.2">
      <c r="E53" s="69"/>
      <c r="I53" s="142"/>
    </row>
    <row r="54" spans="1:14" ht="12.75" thickBot="1" x14ac:dyDescent="0.25">
      <c r="A54" s="132" t="s">
        <v>26</v>
      </c>
      <c r="B54" s="126" t="s">
        <v>47</v>
      </c>
      <c r="E54" s="69"/>
      <c r="I54" s="142"/>
      <c r="K54" s="148"/>
    </row>
    <row r="55" spans="1:14" ht="12.75" thickBot="1" x14ac:dyDescent="0.25">
      <c r="B55" s="126" t="s">
        <v>184</v>
      </c>
      <c r="C55" s="82">
        <v>101</v>
      </c>
      <c r="E55" s="60">
        <f>115074+760000+931</f>
        <v>876005</v>
      </c>
      <c r="G55" s="78" t="s">
        <v>84</v>
      </c>
      <c r="I55" s="142"/>
    </row>
    <row r="56" spans="1:14" ht="12.75" thickBot="1" x14ac:dyDescent="0.25">
      <c r="B56" s="126" t="s">
        <v>146</v>
      </c>
      <c r="C56" s="82">
        <v>784</v>
      </c>
      <c r="E56" s="60">
        <f>19649002+14119725+21332643+88610+49488+128959+(2566.89*606.75)</f>
        <v>56925887.5075</v>
      </c>
      <c r="I56" s="142"/>
    </row>
    <row r="57" spans="1:14" ht="12.75" thickBot="1" x14ac:dyDescent="0.25">
      <c r="B57" s="126" t="s">
        <v>187</v>
      </c>
      <c r="C57" s="82">
        <v>783</v>
      </c>
      <c r="E57" s="123">
        <v>0</v>
      </c>
      <c r="I57" s="142"/>
    </row>
    <row r="58" spans="1:14" ht="12.75" thickBot="1" x14ac:dyDescent="0.25">
      <c r="B58" s="126" t="s">
        <v>49</v>
      </c>
      <c r="C58" s="82">
        <v>129</v>
      </c>
      <c r="E58" s="60">
        <v>1193910753</v>
      </c>
      <c r="G58" s="78" t="s">
        <v>84</v>
      </c>
      <c r="I58" s="142"/>
    </row>
    <row r="59" spans="1:14" ht="12.75" thickBot="1" x14ac:dyDescent="0.25">
      <c r="B59" s="126" t="s">
        <v>55</v>
      </c>
      <c r="C59" s="82">
        <v>647</v>
      </c>
      <c r="E59" s="60">
        <f>2833001+16+106122944+33283318-792167-79364718-15768150</f>
        <v>46314244</v>
      </c>
      <c r="G59" s="78" t="s">
        <v>143</v>
      </c>
      <c r="I59" s="142"/>
    </row>
    <row r="60" spans="1:14" ht="12.75" thickBot="1" x14ac:dyDescent="0.25">
      <c r="B60" s="126" t="s">
        <v>209</v>
      </c>
      <c r="C60" s="82">
        <v>785</v>
      </c>
      <c r="E60" s="60">
        <f>E39</f>
        <v>60513091</v>
      </c>
      <c r="G60" s="78" t="s">
        <v>211</v>
      </c>
      <c r="I60" s="142"/>
    </row>
    <row r="61" spans="1:14" ht="12.75" thickBot="1" x14ac:dyDescent="0.25">
      <c r="B61" s="126" t="s">
        <v>56</v>
      </c>
      <c r="C61" s="82">
        <v>648</v>
      </c>
      <c r="E61" s="60">
        <v>63619931</v>
      </c>
      <c r="I61" s="142"/>
    </row>
    <row r="62" spans="1:14" ht="12.75" thickBot="1" x14ac:dyDescent="0.25">
      <c r="B62" s="126" t="s">
        <v>50</v>
      </c>
      <c r="C62" s="82">
        <v>122</v>
      </c>
      <c r="E62" s="60">
        <v>3155091326</v>
      </c>
      <c r="G62" s="78" t="s">
        <v>99</v>
      </c>
      <c r="I62" s="142"/>
    </row>
    <row r="63" spans="1:14" ht="12.75" thickBot="1" x14ac:dyDescent="0.25">
      <c r="B63" s="126" t="s">
        <v>51</v>
      </c>
      <c r="C63" s="82">
        <v>123</v>
      </c>
      <c r="E63" s="60">
        <v>2939046028</v>
      </c>
      <c r="G63" s="78" t="s">
        <v>100</v>
      </c>
      <c r="I63" s="142"/>
    </row>
    <row r="64" spans="1:14" ht="12.75" thickBot="1" x14ac:dyDescent="0.25">
      <c r="B64" s="126" t="s">
        <v>52</v>
      </c>
      <c r="C64" s="82">
        <v>102</v>
      </c>
      <c r="E64" s="60">
        <f>3155091326-0-191730708</f>
        <v>2963360618</v>
      </c>
      <c r="G64" s="78" t="s">
        <v>110</v>
      </c>
      <c r="I64" s="142"/>
    </row>
    <row r="65" spans="1:13" ht="12.75" thickBot="1" x14ac:dyDescent="0.25">
      <c r="B65" s="126" t="s">
        <v>53</v>
      </c>
      <c r="C65" s="82">
        <v>645</v>
      </c>
      <c r="E65" s="60">
        <f>+E64-1040464935</f>
        <v>1922895683</v>
      </c>
      <c r="G65" s="78" t="s">
        <v>102</v>
      </c>
      <c r="I65" s="142"/>
    </row>
    <row r="66" spans="1:13" ht="12.75" thickBot="1" x14ac:dyDescent="0.25">
      <c r="B66" s="126" t="s">
        <v>54</v>
      </c>
      <c r="C66" s="82">
        <v>646</v>
      </c>
      <c r="E66" s="60">
        <v>0</v>
      </c>
      <c r="I66" s="142"/>
    </row>
    <row r="67" spans="1:13" ht="12.75" thickBot="1" x14ac:dyDescent="0.25">
      <c r="B67" s="126" t="s">
        <v>200</v>
      </c>
      <c r="C67" s="82">
        <v>843</v>
      </c>
      <c r="E67" s="69">
        <f>E65</f>
        <v>1922895683</v>
      </c>
      <c r="I67" s="142"/>
    </row>
    <row r="68" spans="1:13" x14ac:dyDescent="0.2">
      <c r="I68" s="142"/>
    </row>
    <row r="69" spans="1:13" ht="12.75" thickBot="1" x14ac:dyDescent="0.25">
      <c r="A69" s="134" t="s">
        <v>201</v>
      </c>
      <c r="B69" s="126" t="s">
        <v>58</v>
      </c>
      <c r="I69" s="142"/>
    </row>
    <row r="70" spans="1:13" ht="12.75" thickBot="1" x14ac:dyDescent="0.25">
      <c r="B70" s="126" t="s">
        <v>147</v>
      </c>
      <c r="C70" s="82">
        <v>774</v>
      </c>
      <c r="D70" s="131" t="s">
        <v>125</v>
      </c>
      <c r="E70" s="185">
        <v>283251181</v>
      </c>
      <c r="G70" s="78">
        <v>240167839</v>
      </c>
      <c r="H70" s="126">
        <v>1.024</v>
      </c>
      <c r="I70" s="142">
        <f>+G70*H70</f>
        <v>245931867.13600001</v>
      </c>
    </row>
    <row r="71" spans="1:13" ht="12.75" thickBot="1" x14ac:dyDescent="0.25">
      <c r="B71" s="126" t="s">
        <v>148</v>
      </c>
      <c r="C71" s="82">
        <v>775</v>
      </c>
      <c r="D71" s="131" t="s">
        <v>125</v>
      </c>
      <c r="E71" s="185">
        <v>0</v>
      </c>
      <c r="G71" s="78">
        <v>60041960</v>
      </c>
      <c r="H71" s="126">
        <v>1.024</v>
      </c>
      <c r="I71" s="142">
        <f>+G71*H71</f>
        <v>61482967.039999999</v>
      </c>
    </row>
    <row r="72" spans="1:13" ht="12.75" thickBot="1" x14ac:dyDescent="0.25">
      <c r="B72" s="126" t="s">
        <v>60</v>
      </c>
      <c r="C72" s="82">
        <v>284</v>
      </c>
      <c r="D72" s="131" t="s">
        <v>126</v>
      </c>
      <c r="E72" s="183">
        <f>-'AT15'!G53</f>
        <v>0</v>
      </c>
      <c r="I72" s="142"/>
    </row>
    <row r="73" spans="1:13" ht="12.75" thickBot="1" x14ac:dyDescent="0.25">
      <c r="B73" s="126" t="s">
        <v>61</v>
      </c>
      <c r="C73" s="82">
        <v>225</v>
      </c>
      <c r="D73" s="131" t="s">
        <v>125</v>
      </c>
      <c r="E73" s="71">
        <f>MAX(E52,0)</f>
        <v>285137540</v>
      </c>
      <c r="I73" s="142"/>
    </row>
    <row r="74" spans="1:13" ht="12.75" thickBot="1" x14ac:dyDescent="0.25">
      <c r="B74" s="126" t="s">
        <v>62</v>
      </c>
      <c r="C74" s="82">
        <v>229</v>
      </c>
      <c r="D74" s="131" t="s">
        <v>126</v>
      </c>
      <c r="E74" s="71">
        <f>-MIN(E52,0)</f>
        <v>0</v>
      </c>
      <c r="I74" s="142"/>
    </row>
    <row r="75" spans="1:13" ht="12.75" thickBot="1" x14ac:dyDescent="0.25">
      <c r="B75" s="126" t="s">
        <v>63</v>
      </c>
      <c r="C75" s="82">
        <v>623</v>
      </c>
      <c r="D75" s="131" t="s">
        <v>126</v>
      </c>
      <c r="E75" s="185"/>
      <c r="I75" s="142"/>
    </row>
    <row r="76" spans="1:13" ht="12.75" thickBot="1" x14ac:dyDescent="0.25">
      <c r="B76" s="126" t="s">
        <v>64</v>
      </c>
      <c r="C76" s="82">
        <v>624</v>
      </c>
      <c r="D76" s="131" t="s">
        <v>126</v>
      </c>
      <c r="E76" s="185">
        <v>54630406</v>
      </c>
      <c r="I76" s="142"/>
    </row>
    <row r="77" spans="1:13" ht="12.75" thickBot="1" x14ac:dyDescent="0.25">
      <c r="B77" s="126" t="s">
        <v>65</v>
      </c>
      <c r="C77" s="82">
        <v>227</v>
      </c>
      <c r="D77" s="131" t="s">
        <v>125</v>
      </c>
      <c r="E77" s="185"/>
      <c r="I77" s="142"/>
      <c r="M77" s="126">
        <v>260144789</v>
      </c>
    </row>
    <row r="78" spans="1:13" ht="12.75" thickBot="1" x14ac:dyDescent="0.25">
      <c r="B78" s="126" t="s">
        <v>191</v>
      </c>
      <c r="C78" s="82">
        <v>776</v>
      </c>
      <c r="D78" s="149" t="s">
        <v>125</v>
      </c>
      <c r="E78" s="185"/>
      <c r="I78" s="142"/>
      <c r="M78" s="199">
        <v>0.21</v>
      </c>
    </row>
    <row r="79" spans="1:13" ht="12.75" thickBot="1" x14ac:dyDescent="0.25">
      <c r="B79" s="126" t="s">
        <v>192</v>
      </c>
      <c r="C79" s="82">
        <v>777</v>
      </c>
      <c r="D79" s="149" t="s">
        <v>125</v>
      </c>
      <c r="E79" s="71">
        <f>E51</f>
        <v>0</v>
      </c>
      <c r="M79" s="126">
        <f>+M77*M78</f>
        <v>54630405.689999998</v>
      </c>
    </row>
    <row r="80" spans="1:13" ht="12.75" thickBot="1" x14ac:dyDescent="0.25">
      <c r="B80" s="126" t="s">
        <v>152</v>
      </c>
      <c r="C80" s="82">
        <v>782</v>
      </c>
      <c r="D80" s="131" t="s">
        <v>125</v>
      </c>
      <c r="E80" s="194">
        <f>'AT15'!G66</f>
        <v>0</v>
      </c>
    </row>
    <row r="81" spans="2:11" ht="12.75" thickBot="1" x14ac:dyDescent="0.25">
      <c r="B81" s="126" t="s">
        <v>149</v>
      </c>
      <c r="C81" s="82">
        <v>791</v>
      </c>
      <c r="D81" s="131" t="s">
        <v>125</v>
      </c>
      <c r="E81" s="185">
        <v>0</v>
      </c>
    </row>
    <row r="82" spans="2:11" ht="12.75" thickBot="1" x14ac:dyDescent="0.25">
      <c r="B82" s="126" t="s">
        <v>67</v>
      </c>
      <c r="C82" s="82">
        <v>275</v>
      </c>
      <c r="D82" s="131" t="s">
        <v>126</v>
      </c>
      <c r="E82" s="185"/>
    </row>
    <row r="83" spans="2:11" ht="12.75" thickBot="1" x14ac:dyDescent="0.25">
      <c r="B83" s="126" t="s">
        <v>68</v>
      </c>
      <c r="C83" s="95">
        <v>226</v>
      </c>
      <c r="D83" s="131" t="s">
        <v>126</v>
      </c>
      <c r="E83" s="75">
        <f>37524825+19743831+67352250+67814094</f>
        <v>192435000</v>
      </c>
      <c r="K83" s="126">
        <v>129375000</v>
      </c>
    </row>
    <row r="84" spans="2:11" ht="12.75" thickBot="1" x14ac:dyDescent="0.25">
      <c r="B84" s="150" t="s">
        <v>69</v>
      </c>
      <c r="C84" s="83">
        <v>231</v>
      </c>
      <c r="D84" s="151" t="s">
        <v>127</v>
      </c>
      <c r="E84" s="186">
        <v>289368569</v>
      </c>
      <c r="K84" s="126">
        <v>63060000</v>
      </c>
    </row>
    <row r="85" spans="2:11" ht="12.75" thickBot="1" x14ac:dyDescent="0.25">
      <c r="B85" s="121" t="s">
        <v>70</v>
      </c>
      <c r="C85" s="83">
        <v>318</v>
      </c>
      <c r="D85" s="152" t="s">
        <v>127</v>
      </c>
      <c r="E85" s="187">
        <v>0</v>
      </c>
    </row>
    <row r="86" spans="2:11" ht="12.75" thickBot="1" x14ac:dyDescent="0.25">
      <c r="B86" s="122" t="s">
        <v>71</v>
      </c>
      <c r="C86" s="83">
        <v>232</v>
      </c>
      <c r="D86" s="153" t="s">
        <v>127</v>
      </c>
      <c r="E86" s="188">
        <v>0</v>
      </c>
      <c r="K86" s="126">
        <f>SUM(K83:K85)</f>
        <v>192435000</v>
      </c>
    </row>
    <row r="87" spans="2:11" ht="12.75" thickBot="1" x14ac:dyDescent="0.25">
      <c r="B87" s="150" t="s">
        <v>74</v>
      </c>
      <c r="C87" s="83">
        <v>625</v>
      </c>
      <c r="D87" s="154" t="s">
        <v>125</v>
      </c>
      <c r="E87" s="186">
        <v>0</v>
      </c>
      <c r="G87" s="78" t="s">
        <v>85</v>
      </c>
    </row>
    <row r="88" spans="2:11" ht="12.75" thickBot="1" x14ac:dyDescent="0.25">
      <c r="B88" s="121" t="s">
        <v>75</v>
      </c>
      <c r="C88" s="83">
        <v>626</v>
      </c>
      <c r="D88" s="155" t="s">
        <v>125</v>
      </c>
      <c r="E88" s="187">
        <v>54630406</v>
      </c>
      <c r="G88" s="78" t="s">
        <v>86</v>
      </c>
    </row>
    <row r="89" spans="2:11" ht="12.75" thickBot="1" x14ac:dyDescent="0.25">
      <c r="B89" s="121" t="s">
        <v>76</v>
      </c>
      <c r="C89" s="83">
        <v>627</v>
      </c>
      <c r="D89" s="155" t="s">
        <v>126</v>
      </c>
      <c r="E89" s="114">
        <f>E88</f>
        <v>54630406</v>
      </c>
      <c r="G89" s="78" t="s">
        <v>87</v>
      </c>
    </row>
    <row r="90" spans="2:11" ht="12.75" thickBot="1" x14ac:dyDescent="0.25">
      <c r="B90" s="119" t="s">
        <v>202</v>
      </c>
      <c r="C90" s="120">
        <v>838</v>
      </c>
      <c r="D90" s="153" t="s">
        <v>127</v>
      </c>
      <c r="E90" s="109">
        <f>+E87+E88-E89</f>
        <v>0</v>
      </c>
    </row>
    <row r="91" spans="2:11" ht="12.75" thickBot="1" x14ac:dyDescent="0.25">
      <c r="B91" s="150" t="s">
        <v>193</v>
      </c>
      <c r="C91" s="83">
        <v>818</v>
      </c>
      <c r="D91" s="151" t="s">
        <v>125</v>
      </c>
      <c r="E91" s="190"/>
    </row>
    <row r="92" spans="2:11" ht="12.75" thickBot="1" x14ac:dyDescent="0.25">
      <c r="B92" s="121" t="s">
        <v>203</v>
      </c>
      <c r="C92" s="83">
        <v>842</v>
      </c>
      <c r="D92" s="152" t="s">
        <v>126</v>
      </c>
      <c r="E92" s="189"/>
    </row>
    <row r="93" spans="2:11" ht="12.75" thickBot="1" x14ac:dyDescent="0.25">
      <c r="B93" s="121" t="s">
        <v>204</v>
      </c>
      <c r="C93" s="83">
        <v>819</v>
      </c>
      <c r="D93" s="152" t="s">
        <v>125</v>
      </c>
      <c r="E93" s="189"/>
    </row>
    <row r="94" spans="2:11" ht="12.75" thickBot="1" x14ac:dyDescent="0.25">
      <c r="B94" s="121" t="s">
        <v>205</v>
      </c>
      <c r="C94" s="83">
        <v>837</v>
      </c>
      <c r="D94" s="152" t="s">
        <v>126</v>
      </c>
      <c r="E94" s="189"/>
    </row>
    <row r="95" spans="2:11" ht="12.75" thickBot="1" x14ac:dyDescent="0.25">
      <c r="B95" s="121" t="s">
        <v>195</v>
      </c>
      <c r="C95" s="83">
        <v>820</v>
      </c>
      <c r="D95" s="152" t="s">
        <v>126</v>
      </c>
      <c r="E95" s="189"/>
    </row>
    <row r="96" spans="2:11" ht="12.75" thickBot="1" x14ac:dyDescent="0.25">
      <c r="B96" s="121" t="s">
        <v>73</v>
      </c>
      <c r="C96" s="83">
        <v>228</v>
      </c>
      <c r="D96" s="152" t="s">
        <v>127</v>
      </c>
      <c r="E96" s="189"/>
    </row>
    <row r="97" spans="2:5" ht="12.75" thickBot="1" x14ac:dyDescent="0.25">
      <c r="B97" s="122" t="s">
        <v>206</v>
      </c>
      <c r="C97" s="83">
        <v>840</v>
      </c>
      <c r="D97" s="153" t="s">
        <v>127</v>
      </c>
      <c r="E97" s="188"/>
    </row>
    <row r="98" spans="2:5" x14ac:dyDescent="0.2">
      <c r="C98" s="84"/>
      <c r="E98" s="71"/>
    </row>
    <row r="99" spans="2:5" ht="12.75" thickBot="1" x14ac:dyDescent="0.25"/>
    <row r="100" spans="2:5" ht="12.75" thickBot="1" x14ac:dyDescent="0.25">
      <c r="B100" s="126" t="s">
        <v>77</v>
      </c>
      <c r="C100" s="82">
        <v>650</v>
      </c>
      <c r="E100" s="127" t="s">
        <v>157</v>
      </c>
    </row>
    <row r="101" spans="2:5" ht="12.75" thickBot="1" x14ac:dyDescent="0.25">
      <c r="B101" s="126" t="s">
        <v>78</v>
      </c>
      <c r="C101" s="82">
        <v>903</v>
      </c>
      <c r="E101" s="127" t="s">
        <v>210</v>
      </c>
    </row>
  </sheetData>
  <hyperlinks>
    <hyperlink ref="E30" r:id="rId1"/>
  </hyperlinks>
  <pageMargins left="0.19685039370078741" right="0" top="0.59055118110236227" bottom="0.19685039370078741" header="0.51181102362204722" footer="0.51181102362204722"/>
  <pageSetup scale="89" orientation="landscape" horizontalDpi="360" verticalDpi="360" r:id="rId2"/>
  <headerFooter alignWithMargins="0"/>
  <rowBreaks count="1" manualBreakCount="1">
    <brk id="53" max="16383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P55"/>
  <sheetViews>
    <sheetView topLeftCell="A4" workbookViewId="0">
      <selection activeCell="A13" sqref="A13:B26"/>
    </sheetView>
  </sheetViews>
  <sheetFormatPr baseColWidth="10" defaultColWidth="9.140625" defaultRowHeight="12" x14ac:dyDescent="0.2"/>
  <cols>
    <col min="1" max="1" width="4.42578125" customWidth="1"/>
    <col min="2" max="6" width="9.140625" customWidth="1"/>
    <col min="7" max="7" width="15.5703125" bestFit="1" customWidth="1"/>
    <col min="8" max="8" width="9.140625" customWidth="1"/>
    <col min="9" max="9" width="5.140625" bestFit="1" customWidth="1"/>
    <col min="10" max="14" width="3.5703125" customWidth="1"/>
    <col min="16" max="16" width="16.42578125" customWidth="1"/>
  </cols>
  <sheetData>
    <row r="1" spans="1:16" s="57" customFormat="1" ht="12.75" x14ac:dyDescent="0.2">
      <c r="A1" s="58" t="s">
        <v>115</v>
      </c>
    </row>
    <row r="2" spans="1:16" s="57" customFormat="1" ht="12.75" x14ac:dyDescent="0.2">
      <c r="A2" s="58" t="s">
        <v>114</v>
      </c>
    </row>
    <row r="3" spans="1:16" ht="15" x14ac:dyDescent="0.25">
      <c r="A3" s="13" t="s">
        <v>226</v>
      </c>
    </row>
    <row r="4" spans="1:16" x14ac:dyDescent="0.2">
      <c r="A4" t="s">
        <v>94</v>
      </c>
      <c r="C4">
        <f>RIGHT(A3,4)-1</f>
        <v>2014</v>
      </c>
    </row>
    <row r="6" spans="1:16" x14ac:dyDescent="0.2">
      <c r="A6" s="12" t="s">
        <v>92</v>
      </c>
      <c r="G6" s="16"/>
    </row>
    <row r="7" spans="1:16" x14ac:dyDescent="0.2">
      <c r="A7" s="1"/>
      <c r="G7" s="16"/>
    </row>
    <row r="8" spans="1:16" x14ac:dyDescent="0.2">
      <c r="A8" t="str">
        <f>A6&amp;" de Arrastre al 31/12/"&amp;RIGHT($C$4-1,2)</f>
        <v>Pérdida Tributaria de Arrastre al 31/12/13</v>
      </c>
      <c r="G8" s="173">
        <v>0</v>
      </c>
    </row>
    <row r="9" spans="1:16" ht="12.75" thickBot="1" x14ac:dyDescent="0.25">
      <c r="A9" s="14" t="s">
        <v>90</v>
      </c>
      <c r="B9" t="str">
        <f>"Reajuste "&amp;$C$4&amp;":"</f>
        <v>Reajuste 2014:</v>
      </c>
      <c r="D9" s="88">
        <v>5.7000000000000002E-2</v>
      </c>
      <c r="G9" s="16">
        <f>ROUND(G8*D9,0)</f>
        <v>0</v>
      </c>
    </row>
    <row r="10" spans="1:16" ht="12.75" thickBot="1" x14ac:dyDescent="0.25">
      <c r="A10" t="str">
        <f>LEFT(A8,LEN(A8)-12)&amp;", reajustada"</f>
        <v>Pérdida Tributaria de Arrastre, reajustada</v>
      </c>
      <c r="G10" s="17">
        <f>SUM(G8:G9)</f>
        <v>0</v>
      </c>
      <c r="I10" s="8">
        <v>634</v>
      </c>
    </row>
    <row r="11" spans="1:16" x14ac:dyDescent="0.2">
      <c r="G11" s="23"/>
      <c r="P11" s="177"/>
    </row>
    <row r="12" spans="1:16" x14ac:dyDescent="0.2">
      <c r="A12" s="14" t="s">
        <v>90</v>
      </c>
      <c r="B12" t="str">
        <f>"Utilidad Tributaria según balance al 31/12/"&amp;RIGHT($C$4,2)</f>
        <v>Utilidad Tributaria según balance al 31/12/14</v>
      </c>
      <c r="G12" s="59">
        <v>205881138</v>
      </c>
      <c r="P12" s="177"/>
    </row>
    <row r="13" spans="1:16" ht="12.75" thickBot="1" x14ac:dyDescent="0.25">
      <c r="A13" s="14" t="s">
        <v>90</v>
      </c>
      <c r="B13" t="s">
        <v>222</v>
      </c>
      <c r="G13" s="59">
        <v>64794566</v>
      </c>
    </row>
    <row r="14" spans="1:16" ht="12.75" thickBot="1" x14ac:dyDescent="0.25">
      <c r="A14" s="14" t="s">
        <v>90</v>
      </c>
      <c r="B14" s="47" t="s">
        <v>112</v>
      </c>
      <c r="C14" s="45"/>
      <c r="D14" s="45"/>
      <c r="E14" s="1"/>
      <c r="F14" s="1"/>
      <c r="G14" s="59">
        <v>0</v>
      </c>
      <c r="I14" s="8">
        <v>82</v>
      </c>
      <c r="K14" s="8">
        <v>769</v>
      </c>
      <c r="P14" s="177"/>
    </row>
    <row r="15" spans="1:16" ht="12.75" thickBot="1" x14ac:dyDescent="0.25">
      <c r="A15" s="14" t="s">
        <v>90</v>
      </c>
      <c r="B15" s="178" t="s">
        <v>230</v>
      </c>
      <c r="C15" s="45"/>
      <c r="D15" s="45"/>
      <c r="E15" s="1"/>
      <c r="F15" s="1"/>
      <c r="G15" s="59">
        <v>14461836</v>
      </c>
      <c r="I15" s="8"/>
      <c r="K15" s="10"/>
      <c r="P15" s="177"/>
    </row>
    <row r="16" spans="1:16" ht="12.75" thickBot="1" x14ac:dyDescent="0.25">
      <c r="A16" s="14" t="s">
        <v>90</v>
      </c>
      <c r="B16" s="197" t="s">
        <v>229</v>
      </c>
      <c r="C16" s="45"/>
      <c r="D16" s="45"/>
      <c r="E16" s="1"/>
      <c r="F16" s="1"/>
      <c r="G16" s="59">
        <v>0</v>
      </c>
      <c r="I16" s="8"/>
      <c r="K16" s="10"/>
      <c r="P16" s="177"/>
    </row>
    <row r="17" spans="1:16" ht="12.75" thickBot="1" x14ac:dyDescent="0.25">
      <c r="A17" s="14" t="s">
        <v>90</v>
      </c>
      <c r="B17" s="47" t="s">
        <v>217</v>
      </c>
      <c r="C17" s="45"/>
      <c r="D17" s="45"/>
      <c r="E17" s="1"/>
      <c r="F17" s="1"/>
      <c r="G17" s="59">
        <v>0</v>
      </c>
      <c r="I17" s="8">
        <v>639</v>
      </c>
      <c r="K17" s="10"/>
      <c r="P17" s="177"/>
    </row>
    <row r="18" spans="1:16" ht="12.75" thickBot="1" x14ac:dyDescent="0.25">
      <c r="A18" s="14" t="s">
        <v>90</v>
      </c>
      <c r="B18" s="197" t="s">
        <v>232</v>
      </c>
      <c r="C18" s="45"/>
      <c r="D18" s="45"/>
      <c r="E18" s="1"/>
      <c r="F18" s="1"/>
      <c r="G18" s="59">
        <f>27047753+25648236+24651442+14980959</f>
        <v>92328390</v>
      </c>
      <c r="H18" s="196" t="s">
        <v>228</v>
      </c>
      <c r="I18" s="8"/>
      <c r="K18" s="10"/>
      <c r="P18" s="177"/>
    </row>
    <row r="19" spans="1:16" ht="12.75" thickBot="1" x14ac:dyDescent="0.25">
      <c r="A19" s="14" t="s">
        <v>90</v>
      </c>
      <c r="B19" s="197" t="s">
        <v>237</v>
      </c>
      <c r="C19" s="45"/>
      <c r="D19" s="45"/>
      <c r="E19" s="1"/>
      <c r="F19" s="1"/>
      <c r="G19" s="59">
        <f>13007779+14305949</f>
        <v>27313728</v>
      </c>
      <c r="H19" s="196" t="s">
        <v>228</v>
      </c>
      <c r="I19" s="8"/>
      <c r="K19" s="10"/>
      <c r="P19" s="177"/>
    </row>
    <row r="20" spans="1:16" ht="12.75" thickBot="1" x14ac:dyDescent="0.25">
      <c r="A20" s="14" t="s">
        <v>90</v>
      </c>
      <c r="B20" s="197" t="s">
        <v>253</v>
      </c>
      <c r="C20" s="45"/>
      <c r="D20" s="45"/>
      <c r="E20" s="1"/>
      <c r="F20" s="1"/>
      <c r="G20" s="59">
        <f>21707+38090+116668</f>
        <v>176465</v>
      </c>
      <c r="H20" s="196"/>
      <c r="I20" s="8"/>
      <c r="K20" s="10"/>
      <c r="P20" s="177"/>
    </row>
    <row r="21" spans="1:16" ht="12.75" thickBot="1" x14ac:dyDescent="0.25">
      <c r="A21" s="14" t="s">
        <v>90</v>
      </c>
      <c r="B21" s="197" t="s">
        <v>254</v>
      </c>
      <c r="C21" s="45"/>
      <c r="D21" s="45"/>
      <c r="E21" s="1"/>
      <c r="F21" s="1"/>
      <c r="G21" s="59">
        <v>1277469</v>
      </c>
      <c r="H21" s="196"/>
      <c r="I21" s="8"/>
      <c r="K21" s="10"/>
      <c r="P21" s="177"/>
    </row>
    <row r="22" spans="1:16" ht="12.75" thickBot="1" x14ac:dyDescent="0.25">
      <c r="A22" s="195" t="s">
        <v>97</v>
      </c>
      <c r="B22" s="197" t="s">
        <v>235</v>
      </c>
      <c r="C22" s="45"/>
      <c r="D22" s="45"/>
      <c r="E22" s="1"/>
      <c r="F22" s="1"/>
      <c r="G22" s="59">
        <f>2980283+1959422+1096221+2704652</f>
        <v>8740578</v>
      </c>
      <c r="H22" s="196" t="s">
        <v>228</v>
      </c>
      <c r="I22" s="8"/>
      <c r="K22" s="10"/>
    </row>
    <row r="23" spans="1:16" ht="12.75" thickBot="1" x14ac:dyDescent="0.25">
      <c r="A23" s="195" t="s">
        <v>97</v>
      </c>
      <c r="B23" s="197" t="s">
        <v>236</v>
      </c>
      <c r="C23" s="45"/>
      <c r="D23" s="45"/>
      <c r="E23" s="1"/>
      <c r="F23" s="1"/>
      <c r="G23" s="59">
        <f>7699528+36329533+18227520+16001444</f>
        <v>78258025</v>
      </c>
      <c r="H23" s="196" t="s">
        <v>228</v>
      </c>
      <c r="I23" s="8"/>
      <c r="K23" s="10"/>
    </row>
    <row r="24" spans="1:16" ht="12.75" thickBot="1" x14ac:dyDescent="0.25">
      <c r="A24" s="195" t="s">
        <v>97</v>
      </c>
      <c r="B24" s="197" t="s">
        <v>231</v>
      </c>
      <c r="C24" s="45"/>
      <c r="D24" s="45"/>
      <c r="E24" s="1"/>
      <c r="F24" s="1"/>
      <c r="G24" s="59">
        <v>35088581</v>
      </c>
      <c r="H24" s="196"/>
      <c r="I24" s="8"/>
      <c r="K24" s="10"/>
    </row>
    <row r="25" spans="1:16" ht="12.75" thickBot="1" x14ac:dyDescent="0.25">
      <c r="A25" s="195" t="s">
        <v>97</v>
      </c>
      <c r="B25" s="197" t="s">
        <v>196</v>
      </c>
      <c r="C25" s="45"/>
      <c r="D25" s="45"/>
      <c r="E25" s="1"/>
      <c r="F25" s="1"/>
      <c r="G25" s="59">
        <v>23460215</v>
      </c>
      <c r="H25" s="196"/>
      <c r="I25" s="8"/>
      <c r="K25" s="10"/>
    </row>
    <row r="26" spans="1:16" ht="12.75" thickBot="1" x14ac:dyDescent="0.25">
      <c r="A26" s="195" t="s">
        <v>97</v>
      </c>
      <c r="B26" s="197" t="s">
        <v>255</v>
      </c>
      <c r="C26" s="45"/>
      <c r="D26" s="45"/>
      <c r="E26" s="1"/>
      <c r="F26" s="1"/>
      <c r="G26" s="59">
        <f>120100+149531+271774</f>
        <v>541405</v>
      </c>
      <c r="H26" s="196"/>
      <c r="I26" s="8"/>
      <c r="K26" s="10"/>
    </row>
    <row r="27" spans="1:16" ht="12.75" thickBot="1" x14ac:dyDescent="0.25">
      <c r="A27" s="14" t="s">
        <v>97</v>
      </c>
      <c r="B27" s="47" t="s">
        <v>173</v>
      </c>
      <c r="C27" s="45"/>
      <c r="D27" s="45"/>
      <c r="E27" s="1"/>
      <c r="F27" s="1"/>
      <c r="G27" s="59">
        <f>-44486*0</f>
        <v>0</v>
      </c>
      <c r="I27" s="8">
        <v>640</v>
      </c>
      <c r="K27" s="10"/>
      <c r="P27" s="177"/>
    </row>
    <row r="28" spans="1:16" ht="12.75" thickBot="1" x14ac:dyDescent="0.25">
      <c r="A28" s="18" t="str">
        <f>A6&amp;" al 31/12/"&amp;RIGHT($C$4,2)</f>
        <v>Pérdida Tributaria al 31/12/14</v>
      </c>
      <c r="B28" s="18"/>
      <c r="C28" s="18"/>
      <c r="D28" s="18"/>
      <c r="E28" s="1"/>
      <c r="F28" s="1"/>
      <c r="G28" s="19">
        <f>SUM(G10:G21)-SUM(G22:G27)</f>
        <v>260144788</v>
      </c>
      <c r="P28" s="177"/>
    </row>
    <row r="29" spans="1:16" ht="13.5" thickTop="1" thickBot="1" x14ac:dyDescent="0.25">
      <c r="A29" s="47"/>
      <c r="B29" s="47"/>
      <c r="C29" s="45"/>
      <c r="D29" s="45"/>
      <c r="E29" s="1"/>
      <c r="F29" s="1"/>
      <c r="G29" s="46"/>
      <c r="P29" s="177"/>
    </row>
    <row r="30" spans="1:16" ht="12.75" thickBot="1" x14ac:dyDescent="0.25">
      <c r="A30" s="14" t="s">
        <v>97</v>
      </c>
      <c r="B30" t="s">
        <v>108</v>
      </c>
      <c r="G30" s="22">
        <v>0</v>
      </c>
      <c r="I30" s="8">
        <v>642</v>
      </c>
      <c r="P30" s="177"/>
    </row>
    <row r="31" spans="1:16" ht="12.75" thickBot="1" x14ac:dyDescent="0.25">
      <c r="A31" s="15" t="s">
        <v>91</v>
      </c>
      <c r="B31" s="18" t="str">
        <f>"RLI del ejercicio "&amp;$C$4</f>
        <v>RLI del ejercicio 2014</v>
      </c>
      <c r="C31" s="18"/>
      <c r="D31" s="18"/>
      <c r="E31" s="1"/>
      <c r="F31" s="1"/>
      <c r="G31" s="19">
        <f>IF(G30&gt;0,"¡signo del dividendo!",SUM(G28:G30))</f>
        <v>260144788</v>
      </c>
      <c r="I31" s="8">
        <v>643</v>
      </c>
    </row>
    <row r="32" spans="1:16" ht="12.75" thickTop="1" x14ac:dyDescent="0.2">
      <c r="G32" s="16"/>
    </row>
    <row r="33" spans="1:9" x14ac:dyDescent="0.2">
      <c r="G33" s="16"/>
    </row>
    <row r="34" spans="1:9" x14ac:dyDescent="0.2">
      <c r="G34" s="16"/>
    </row>
    <row r="35" spans="1:9" x14ac:dyDescent="0.2">
      <c r="G35" s="16"/>
    </row>
    <row r="36" spans="1:9" x14ac:dyDescent="0.2">
      <c r="A36" s="12" t="s">
        <v>93</v>
      </c>
      <c r="G36" s="16"/>
    </row>
    <row r="37" spans="1:9" x14ac:dyDescent="0.2">
      <c r="G37" s="16"/>
    </row>
    <row r="38" spans="1:9" x14ac:dyDescent="0.2">
      <c r="A38" t="str">
        <f>"Saldo "&amp;A36&amp;RIGHT($A$8,12)</f>
        <v>Saldo F.U.T. al 31/12/13</v>
      </c>
      <c r="G38" s="173">
        <f>'AT14'!G44</f>
        <v>345410707.99999952</v>
      </c>
    </row>
    <row r="39" spans="1:9" ht="12.75" thickBot="1" x14ac:dyDescent="0.25">
      <c r="A39" s="14" t="s">
        <v>90</v>
      </c>
      <c r="B39" t="str">
        <f>B9</f>
        <v>Reajuste 2014:</v>
      </c>
      <c r="D39" s="21">
        <v>5.7000000000000002E-2</v>
      </c>
      <c r="G39" s="16">
        <f>ROUND(G38*D39,0)</f>
        <v>19688410</v>
      </c>
    </row>
    <row r="40" spans="1:9" ht="12.75" thickBot="1" x14ac:dyDescent="0.25">
      <c r="A40" t="str">
        <f>LEFT(A38,LEN(A38)-12)&amp;", reajustado"</f>
        <v>Saldo F.U.T., reajustado</v>
      </c>
      <c r="G40" s="17">
        <f>SUM(G38:G39)</f>
        <v>365099117.99999952</v>
      </c>
      <c r="I40" s="8">
        <v>284</v>
      </c>
    </row>
    <row r="41" spans="1:9" ht="12.75" thickBot="1" x14ac:dyDescent="0.25">
      <c r="G41" s="23"/>
    </row>
    <row r="42" spans="1:9" ht="12.75" thickBot="1" x14ac:dyDescent="0.25">
      <c r="A42" s="14" t="s">
        <v>97</v>
      </c>
      <c r="B42" t="s">
        <v>98</v>
      </c>
      <c r="G42" s="23">
        <f>G31</f>
        <v>260144788</v>
      </c>
      <c r="I42" s="8">
        <v>229</v>
      </c>
    </row>
    <row r="43" spans="1:9" x14ac:dyDescent="0.2">
      <c r="A43" t="str">
        <f>"Subtotal "&amp;RIGHT(A38,LEN(A38)-6)</f>
        <v>Subtotal F.U.T. al 31/12/13</v>
      </c>
      <c r="G43" s="17">
        <f>SUM(G40:G42)</f>
        <v>625243905.99999952</v>
      </c>
    </row>
    <row r="44" spans="1:9" ht="12.75" thickBot="1" x14ac:dyDescent="0.25">
      <c r="G44" s="23"/>
    </row>
    <row r="45" spans="1:9" ht="12.75" thickBot="1" x14ac:dyDescent="0.25">
      <c r="A45" s="14" t="s">
        <v>97</v>
      </c>
      <c r="B45" t="s">
        <v>111</v>
      </c>
      <c r="G45" s="23">
        <v>0</v>
      </c>
      <c r="I45" s="8">
        <v>624</v>
      </c>
    </row>
    <row r="46" spans="1:9" x14ac:dyDescent="0.2">
      <c r="G46" s="23"/>
    </row>
    <row r="47" spans="1:9" x14ac:dyDescent="0.2">
      <c r="A47" s="14" t="s">
        <v>90</v>
      </c>
      <c r="B47" t="str">
        <f>A10</f>
        <v>Pérdida Tributaria de Arrastre, reajustada</v>
      </c>
      <c r="G47" s="16">
        <f>-G10</f>
        <v>0</v>
      </c>
    </row>
    <row r="48" spans="1:9" ht="12.75" thickBot="1" x14ac:dyDescent="0.25">
      <c r="A48" s="14"/>
      <c r="G48" s="16"/>
    </row>
    <row r="49" spans="1:9" ht="12.75" thickBot="1" x14ac:dyDescent="0.25">
      <c r="A49" s="14" t="s">
        <v>90</v>
      </c>
      <c r="B49" t="s">
        <v>108</v>
      </c>
      <c r="G49" s="16">
        <f>-G27</f>
        <v>0</v>
      </c>
      <c r="I49" s="8">
        <v>642</v>
      </c>
    </row>
    <row r="50" spans="1:9" ht="12.75" thickBot="1" x14ac:dyDescent="0.25">
      <c r="A50" s="14"/>
      <c r="G50" s="16"/>
    </row>
    <row r="51" spans="1:9" ht="12.75" thickBot="1" x14ac:dyDescent="0.25">
      <c r="A51" s="14" t="s">
        <v>97</v>
      </c>
      <c r="B51" t="s">
        <v>225</v>
      </c>
      <c r="G51" s="16">
        <v>-185000000</v>
      </c>
      <c r="I51" s="8">
        <v>642</v>
      </c>
    </row>
    <row r="52" spans="1:9" ht="12.75" thickBot="1" x14ac:dyDescent="0.25">
      <c r="A52" s="14"/>
      <c r="G52" s="16"/>
      <c r="I52" s="8"/>
    </row>
    <row r="53" spans="1:9" ht="12.75" thickBot="1" x14ac:dyDescent="0.25">
      <c r="A53" s="43" t="s">
        <v>109</v>
      </c>
      <c r="G53" s="42">
        <f>SUM(G47:G50)</f>
        <v>0</v>
      </c>
      <c r="I53" s="8">
        <v>782</v>
      </c>
    </row>
    <row r="54" spans="1:9" ht="12.75" thickBot="1" x14ac:dyDescent="0.25">
      <c r="A54" s="18" t="str">
        <f>LEFT(A38,LEN(A38)-2)&amp;RIGHT($C$4,2)</f>
        <v>Saldo F.U.T. al 31/12/14</v>
      </c>
      <c r="B54" s="18"/>
      <c r="C54" s="18"/>
      <c r="D54" s="18"/>
      <c r="E54" s="1"/>
      <c r="F54" s="1"/>
      <c r="G54" s="19">
        <f>G43+G45+G53+G51</f>
        <v>440243905.99999952</v>
      </c>
      <c r="I54" s="8">
        <v>232</v>
      </c>
    </row>
    <row r="55" spans="1:9" ht="12.75" thickTop="1" x14ac:dyDescent="0.2">
      <c r="G55" s="16"/>
    </row>
  </sheetData>
  <pageMargins left="0.74803149606299213" right="0.74803149606299213" top="0.98425196850393704" bottom="0.98425196850393704" header="0.51181102362204722" footer="0.51181102362204722"/>
  <pageSetup orientation="portrait" horizontalDpi="360" verticalDpi="36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48"/>
  <sheetViews>
    <sheetView workbookViewId="0">
      <selection activeCell="O27" sqref="O26:O27"/>
    </sheetView>
  </sheetViews>
  <sheetFormatPr baseColWidth="10" defaultColWidth="9.140625" defaultRowHeight="12" x14ac:dyDescent="0.2"/>
  <cols>
    <col min="1" max="1" width="4.42578125" customWidth="1"/>
    <col min="2" max="6" width="9.140625" customWidth="1"/>
    <col min="7" max="7" width="15.5703125" bestFit="1" customWidth="1"/>
    <col min="8" max="8" width="9.140625" customWidth="1"/>
    <col min="9" max="9" width="5.140625" bestFit="1" customWidth="1"/>
    <col min="10" max="14" width="3.5703125" customWidth="1"/>
    <col min="16" max="16" width="16.42578125" customWidth="1"/>
  </cols>
  <sheetData>
    <row r="1" spans="1:16" s="57" customFormat="1" ht="12.75" x14ac:dyDescent="0.2">
      <c r="A1" s="58" t="s">
        <v>115</v>
      </c>
    </row>
    <row r="2" spans="1:16" s="57" customFormat="1" ht="12.75" x14ac:dyDescent="0.2">
      <c r="A2" s="58" t="s">
        <v>114</v>
      </c>
    </row>
    <row r="3" spans="1:16" ht="15" x14ac:dyDescent="0.25">
      <c r="A3" s="13" t="s">
        <v>221</v>
      </c>
    </row>
    <row r="4" spans="1:16" x14ac:dyDescent="0.2">
      <c r="A4" t="s">
        <v>94</v>
      </c>
      <c r="C4">
        <f>RIGHT(A3,4)-1</f>
        <v>2013</v>
      </c>
    </row>
    <row r="6" spans="1:16" x14ac:dyDescent="0.2">
      <c r="A6" s="12" t="s">
        <v>92</v>
      </c>
      <c r="G6" s="16"/>
    </row>
    <row r="7" spans="1:16" x14ac:dyDescent="0.2">
      <c r="A7" s="1"/>
      <c r="G7" s="16"/>
    </row>
    <row r="8" spans="1:16" x14ac:dyDescent="0.2">
      <c r="A8" t="str">
        <f>A6&amp;" de Arrastre al 31/12/"&amp;RIGHT($C$4-1,2)</f>
        <v>Pérdida Tributaria de Arrastre al 31/12/12</v>
      </c>
      <c r="G8" s="173">
        <v>0</v>
      </c>
    </row>
    <row r="9" spans="1:16" ht="12.75" thickBot="1" x14ac:dyDescent="0.25">
      <c r="A9" s="14" t="s">
        <v>90</v>
      </c>
      <c r="B9" t="str">
        <f>"Reajuste "&amp;$C$4&amp;":"</f>
        <v>Reajuste 2013:</v>
      </c>
      <c r="D9" s="88">
        <v>2.4E-2</v>
      </c>
      <c r="G9" s="16">
        <f>ROUND(G8*D9,0)</f>
        <v>0</v>
      </c>
    </row>
    <row r="10" spans="1:16" ht="12.75" thickBot="1" x14ac:dyDescent="0.25">
      <c r="A10" t="str">
        <f>LEFT(A8,LEN(A8)-12)&amp;", reajustada"</f>
        <v>Pérdida Tributaria de Arrastre, reajustada</v>
      </c>
      <c r="G10" s="17">
        <f>SUM(G8:G9)</f>
        <v>0</v>
      </c>
      <c r="I10" s="8">
        <v>634</v>
      </c>
    </row>
    <row r="11" spans="1:16" x14ac:dyDescent="0.2">
      <c r="G11" s="23"/>
      <c r="P11" s="177"/>
    </row>
    <row r="12" spans="1:16" x14ac:dyDescent="0.2">
      <c r="A12" s="14" t="s">
        <v>90</v>
      </c>
      <c r="B12" t="str">
        <f>"Utilidad Tributaria según balance al 31/12/"&amp;RIGHT($C$4,2)</f>
        <v>Utilidad Tributaria según balance al 31/12/13</v>
      </c>
      <c r="G12" s="59">
        <v>247155481</v>
      </c>
      <c r="P12" s="177">
        <v>247155481</v>
      </c>
    </row>
    <row r="13" spans="1:16" ht="12.75" thickBot="1" x14ac:dyDescent="0.25">
      <c r="A13" s="14" t="s">
        <v>90</v>
      </c>
      <c r="B13" t="s">
        <v>222</v>
      </c>
      <c r="G13" s="59">
        <v>68870350</v>
      </c>
    </row>
    <row r="14" spans="1:16" ht="12.75" thickBot="1" x14ac:dyDescent="0.25">
      <c r="A14" s="14" t="s">
        <v>90</v>
      </c>
      <c r="B14" s="47" t="s">
        <v>112</v>
      </c>
      <c r="C14" s="45"/>
      <c r="D14" s="45"/>
      <c r="E14" s="1"/>
      <c r="F14" s="1"/>
      <c r="G14" s="59">
        <v>0</v>
      </c>
      <c r="I14" s="8">
        <v>82</v>
      </c>
      <c r="K14" s="8">
        <v>769</v>
      </c>
      <c r="P14" s="177">
        <v>68870350</v>
      </c>
    </row>
    <row r="15" spans="1:16" ht="12.75" thickBot="1" x14ac:dyDescent="0.25">
      <c r="A15" s="14" t="s">
        <v>90</v>
      </c>
      <c r="B15" s="47" t="s">
        <v>199</v>
      </c>
      <c r="C15" s="45"/>
      <c r="D15" s="45"/>
      <c r="E15" s="1"/>
      <c r="F15" s="1"/>
      <c r="G15" s="59">
        <v>28325918</v>
      </c>
      <c r="I15" s="8"/>
      <c r="K15" s="10"/>
      <c r="P15" s="177"/>
    </row>
    <row r="16" spans="1:16" ht="12.75" thickBot="1" x14ac:dyDescent="0.25">
      <c r="A16" s="14" t="s">
        <v>90</v>
      </c>
      <c r="B16" s="47" t="s">
        <v>217</v>
      </c>
      <c r="C16" s="45"/>
      <c r="D16" s="45"/>
      <c r="E16" s="1"/>
      <c r="F16" s="1"/>
      <c r="G16" s="59"/>
      <c r="I16" s="8">
        <v>639</v>
      </c>
      <c r="K16" s="10"/>
      <c r="P16" s="177">
        <f>SUM(P12:P15)</f>
        <v>316025831</v>
      </c>
    </row>
    <row r="17" spans="1:16" ht="12.75" thickBot="1" x14ac:dyDescent="0.25">
      <c r="A17" s="14" t="s">
        <v>97</v>
      </c>
      <c r="B17" s="47" t="s">
        <v>173</v>
      </c>
      <c r="C17" s="45"/>
      <c r="D17" s="45"/>
      <c r="E17" s="1"/>
      <c r="F17" s="1"/>
      <c r="G17" s="59">
        <f>-44486*0</f>
        <v>0</v>
      </c>
      <c r="I17" s="8">
        <v>640</v>
      </c>
      <c r="K17" s="10"/>
      <c r="P17" s="177"/>
    </row>
    <row r="18" spans="1:16" ht="12.75" thickBot="1" x14ac:dyDescent="0.25">
      <c r="A18" s="18" t="str">
        <f>A6&amp;" al 31/12/"&amp;RIGHT($C$4,2)</f>
        <v>Pérdida Tributaria al 31/12/13</v>
      </c>
      <c r="B18" s="18"/>
      <c r="C18" s="18"/>
      <c r="D18" s="18"/>
      <c r="E18" s="1"/>
      <c r="F18" s="1"/>
      <c r="G18" s="19">
        <f>SUM(G10:G16)-G17</f>
        <v>344351749</v>
      </c>
      <c r="P18" s="177"/>
    </row>
    <row r="19" spans="1:16" ht="13.5" thickTop="1" thickBot="1" x14ac:dyDescent="0.25">
      <c r="A19" s="47"/>
      <c r="B19" s="47"/>
      <c r="C19" s="45"/>
      <c r="D19" s="45"/>
      <c r="E19" s="1"/>
      <c r="F19" s="1"/>
      <c r="G19" s="46"/>
      <c r="P19" s="177"/>
    </row>
    <row r="20" spans="1:16" ht="12.75" thickBot="1" x14ac:dyDescent="0.25">
      <c r="A20" s="14" t="s">
        <v>97</v>
      </c>
      <c r="B20" t="s">
        <v>108</v>
      </c>
      <c r="G20" s="22">
        <v>0</v>
      </c>
      <c r="I20" s="8">
        <v>642</v>
      </c>
      <c r="P20" s="177"/>
    </row>
    <row r="21" spans="1:16" ht="12.75" thickBot="1" x14ac:dyDescent="0.25">
      <c r="A21" s="15" t="s">
        <v>91</v>
      </c>
      <c r="B21" s="18" t="str">
        <f>"RLI del ejercicio "&amp;$C$4</f>
        <v>RLI del ejercicio 2013</v>
      </c>
      <c r="C21" s="18"/>
      <c r="D21" s="18"/>
      <c r="E21" s="1"/>
      <c r="F21" s="1"/>
      <c r="G21" s="19">
        <f>IF(G20&gt;0,"¡signo del dividendo!",SUM(G18:G20))</f>
        <v>344351749</v>
      </c>
      <c r="I21" s="8">
        <v>643</v>
      </c>
    </row>
    <row r="22" spans="1:16" ht="12.75" thickTop="1" x14ac:dyDescent="0.2">
      <c r="G22" s="16"/>
    </row>
    <row r="23" spans="1:16" x14ac:dyDescent="0.2">
      <c r="G23" s="16"/>
    </row>
    <row r="24" spans="1:16" x14ac:dyDescent="0.2">
      <c r="G24" s="16"/>
    </row>
    <row r="25" spans="1:16" x14ac:dyDescent="0.2">
      <c r="G25" s="16"/>
    </row>
    <row r="26" spans="1:16" x14ac:dyDescent="0.2">
      <c r="A26" s="12" t="s">
        <v>93</v>
      </c>
      <c r="G26" s="16"/>
    </row>
    <row r="27" spans="1:16" x14ac:dyDescent="0.2">
      <c r="G27" s="16"/>
    </row>
    <row r="28" spans="1:16" x14ac:dyDescent="0.2">
      <c r="A28" t="str">
        <f>"Saldo "&amp;A26&amp;RIGHT($A$8,12)</f>
        <v>Saldo F.U.T. al 31/12/12</v>
      </c>
      <c r="G28" s="173">
        <f>'AT13'!G45</f>
        <v>90037216.999999523</v>
      </c>
    </row>
    <row r="29" spans="1:16" ht="12.75" thickBot="1" x14ac:dyDescent="0.25">
      <c r="A29" s="14" t="s">
        <v>90</v>
      </c>
      <c r="B29" t="str">
        <f>B9</f>
        <v>Reajuste 2013:</v>
      </c>
      <c r="D29" s="21">
        <f>D9</f>
        <v>2.4E-2</v>
      </c>
      <c r="G29" s="16">
        <f>ROUND(G28*D29,0)</f>
        <v>2160893</v>
      </c>
    </row>
    <row r="30" spans="1:16" ht="12.75" thickBot="1" x14ac:dyDescent="0.25">
      <c r="A30" t="str">
        <f>LEFT(A28,LEN(A28)-12)&amp;", reajustado"</f>
        <v>Saldo F.U.T., reajustado</v>
      </c>
      <c r="G30" s="17">
        <f>SUM(G28:G29)</f>
        <v>92198109.999999523</v>
      </c>
      <c r="I30" s="8">
        <v>284</v>
      </c>
    </row>
    <row r="31" spans="1:16" ht="12.75" thickBot="1" x14ac:dyDescent="0.25">
      <c r="G31" s="23"/>
    </row>
    <row r="32" spans="1:16" ht="12.75" thickBot="1" x14ac:dyDescent="0.25">
      <c r="A32" s="14" t="s">
        <v>97</v>
      </c>
      <c r="B32" t="s">
        <v>98</v>
      </c>
      <c r="G32" s="23">
        <f>G21</f>
        <v>344351749</v>
      </c>
      <c r="I32" s="8">
        <v>229</v>
      </c>
    </row>
    <row r="33" spans="1:9" x14ac:dyDescent="0.2">
      <c r="A33" t="str">
        <f>"Subtotal "&amp;RIGHT(A28,LEN(A28)-6)</f>
        <v>Subtotal F.U.T. al 31/12/12</v>
      </c>
      <c r="G33" s="17">
        <f>SUM(G30:G32)</f>
        <v>436549858.99999952</v>
      </c>
    </row>
    <row r="34" spans="1:9" ht="12.75" thickBot="1" x14ac:dyDescent="0.25">
      <c r="G34" s="23"/>
    </row>
    <row r="35" spans="1:9" ht="12.75" thickBot="1" x14ac:dyDescent="0.25">
      <c r="A35" s="14" t="s">
        <v>97</v>
      </c>
      <c r="B35" t="s">
        <v>111</v>
      </c>
      <c r="G35" s="23">
        <v>0</v>
      </c>
      <c r="I35" s="8">
        <v>624</v>
      </c>
    </row>
    <row r="36" spans="1:9" x14ac:dyDescent="0.2">
      <c r="G36" s="23"/>
    </row>
    <row r="37" spans="1:9" x14ac:dyDescent="0.2">
      <c r="A37" s="14" t="s">
        <v>90</v>
      </c>
      <c r="B37" t="str">
        <f>A10</f>
        <v>Pérdida Tributaria de Arrastre, reajustada</v>
      </c>
      <c r="G37" s="16">
        <f>-G10</f>
        <v>0</v>
      </c>
    </row>
    <row r="38" spans="1:9" ht="12.75" thickBot="1" x14ac:dyDescent="0.25">
      <c r="A38" s="14"/>
      <c r="G38" s="16"/>
    </row>
    <row r="39" spans="1:9" ht="12.75" thickBot="1" x14ac:dyDescent="0.25">
      <c r="A39" s="14" t="s">
        <v>90</v>
      </c>
      <c r="B39" t="s">
        <v>108</v>
      </c>
      <c r="G39" s="16">
        <f>-G17</f>
        <v>0</v>
      </c>
      <c r="I39" s="8">
        <v>642</v>
      </c>
    </row>
    <row r="40" spans="1:9" ht="12.75" thickBot="1" x14ac:dyDescent="0.25">
      <c r="A40" s="14"/>
      <c r="G40" s="16"/>
    </row>
    <row r="41" spans="1:9" ht="12.75" thickBot="1" x14ac:dyDescent="0.25">
      <c r="A41" s="14" t="s">
        <v>97</v>
      </c>
      <c r="B41" t="s">
        <v>225</v>
      </c>
      <c r="G41" s="16">
        <f>-30038582-30620569-30480000</f>
        <v>-91139151</v>
      </c>
      <c r="I41" s="8">
        <v>642</v>
      </c>
    </row>
    <row r="42" spans="1:9" ht="12.75" thickBot="1" x14ac:dyDescent="0.25">
      <c r="A42" s="14"/>
      <c r="G42" s="16"/>
      <c r="I42" s="8"/>
    </row>
    <row r="43" spans="1:9" ht="12.75" thickBot="1" x14ac:dyDescent="0.25">
      <c r="A43" s="43" t="s">
        <v>109</v>
      </c>
      <c r="G43" s="42">
        <f>SUM(G37:G40)</f>
        <v>0</v>
      </c>
      <c r="I43" s="8">
        <v>782</v>
      </c>
    </row>
    <row r="44" spans="1:9" ht="12.75" thickBot="1" x14ac:dyDescent="0.25">
      <c r="A44" s="18" t="str">
        <f>LEFT(A28,LEN(A28)-2)&amp;RIGHT($C$4,2)</f>
        <v>Saldo F.U.T. al 31/12/13</v>
      </c>
      <c r="B44" s="18"/>
      <c r="C44" s="18"/>
      <c r="D44" s="18"/>
      <c r="E44" s="1"/>
      <c r="F44" s="1"/>
      <c r="G44" s="19">
        <f>G33+G35+G43+G41</f>
        <v>345410707.99999952</v>
      </c>
      <c r="I44" s="8">
        <v>232</v>
      </c>
    </row>
    <row r="45" spans="1:9" ht="12.75" thickTop="1" x14ac:dyDescent="0.2">
      <c r="G45" s="16"/>
    </row>
    <row r="48" spans="1:9" x14ac:dyDescent="0.2">
      <c r="H48" s="16"/>
    </row>
  </sheetData>
  <pageMargins left="0.75" right="0.75" top="1" bottom="1" header="0.5" footer="0.5"/>
  <pageSetup orientation="portrait" horizontalDpi="360" verticalDpi="36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46"/>
  <sheetViews>
    <sheetView topLeftCell="A22" workbookViewId="0">
      <selection activeCell="P50" sqref="P50:Q51"/>
    </sheetView>
  </sheetViews>
  <sheetFormatPr baseColWidth="10" defaultColWidth="9.140625" defaultRowHeight="12" x14ac:dyDescent="0.2"/>
  <cols>
    <col min="1" max="1" width="4.42578125" customWidth="1"/>
    <col min="2" max="6" width="9.140625" customWidth="1"/>
    <col min="7" max="7" width="15.5703125" bestFit="1" customWidth="1"/>
    <col min="8" max="8" width="9.140625" customWidth="1"/>
    <col min="9" max="9" width="5.140625" bestFit="1" customWidth="1"/>
    <col min="10" max="14" width="3.5703125" customWidth="1"/>
    <col min="16" max="16" width="16.42578125" customWidth="1"/>
  </cols>
  <sheetData>
    <row r="1" spans="1:11" s="57" customFormat="1" ht="12.75" x14ac:dyDescent="0.2">
      <c r="A1" s="58" t="s">
        <v>115</v>
      </c>
    </row>
    <row r="2" spans="1:11" s="57" customFormat="1" ht="12.75" x14ac:dyDescent="0.2">
      <c r="A2" s="58" t="s">
        <v>114</v>
      </c>
    </row>
    <row r="3" spans="1:11" ht="15" x14ac:dyDescent="0.25">
      <c r="A3" s="13" t="s">
        <v>219</v>
      </c>
    </row>
    <row r="4" spans="1:11" x14ac:dyDescent="0.2">
      <c r="A4" t="s">
        <v>94</v>
      </c>
      <c r="C4">
        <f>RIGHT(A3,4)-1</f>
        <v>2012</v>
      </c>
    </row>
    <row r="6" spans="1:11" x14ac:dyDescent="0.2">
      <c r="A6" s="12" t="s">
        <v>92</v>
      </c>
      <c r="G6" s="16"/>
    </row>
    <row r="7" spans="1:11" x14ac:dyDescent="0.2">
      <c r="A7" s="1"/>
      <c r="G7" s="16"/>
    </row>
    <row r="8" spans="1:11" x14ac:dyDescent="0.2">
      <c r="A8" t="str">
        <f>A6&amp;" de Arrastre al 31/12/"&amp;RIGHT($C$4-1,2)</f>
        <v>Pérdida Tributaria de Arrastre al 31/12/11</v>
      </c>
      <c r="G8" s="16">
        <f>'AT12'!G17</f>
        <v>-67170091</v>
      </c>
    </row>
    <row r="9" spans="1:11" ht="12.75" thickBot="1" x14ac:dyDescent="0.25">
      <c r="A9" s="14" t="s">
        <v>90</v>
      </c>
      <c r="B9" t="str">
        <f>"Reajuste "&amp;$C$4&amp;":"</f>
        <v>Reajuste 2012:</v>
      </c>
      <c r="D9" s="88">
        <v>2.1000000000000001E-2</v>
      </c>
      <c r="G9" s="16">
        <f>ROUND(G8*D9,0)</f>
        <v>-1410572</v>
      </c>
    </row>
    <row r="10" spans="1:11" ht="12.75" thickBot="1" x14ac:dyDescent="0.25">
      <c r="A10" t="str">
        <f>LEFT(A8,LEN(A8)-12)&amp;", reajustada"</f>
        <v>Pérdida Tributaria de Arrastre, reajustada</v>
      </c>
      <c r="G10" s="17">
        <f>SUM(G8:G9)</f>
        <v>-68580663</v>
      </c>
      <c r="I10" s="8">
        <v>634</v>
      </c>
    </row>
    <row r="11" spans="1:11" x14ac:dyDescent="0.2">
      <c r="G11" s="23"/>
    </row>
    <row r="12" spans="1:11" x14ac:dyDescent="0.2">
      <c r="A12" s="14" t="s">
        <v>90</v>
      </c>
      <c r="B12" t="str">
        <f>"Utilidad Tributaria según balance al 31/12/"&amp;RIGHT($C$4,2)</f>
        <v>Utilidad Tributaria según balance al 31/12/12</v>
      </c>
      <c r="G12" s="59">
        <v>292484181</v>
      </c>
    </row>
    <row r="13" spans="1:11" ht="12.75" thickBot="1" x14ac:dyDescent="0.25">
      <c r="A13" s="14" t="s">
        <v>90</v>
      </c>
      <c r="B13" t="s">
        <v>222</v>
      </c>
      <c r="G13" s="59">
        <f>61791960-1750000</f>
        <v>60041960</v>
      </c>
    </row>
    <row r="14" spans="1:11" ht="12.75" thickBot="1" x14ac:dyDescent="0.25">
      <c r="A14" s="14" t="s">
        <v>90</v>
      </c>
      <c r="B14" s="47" t="s">
        <v>112</v>
      </c>
      <c r="C14" s="45"/>
      <c r="D14" s="45"/>
      <c r="E14" s="1"/>
      <c r="F14" s="1"/>
      <c r="G14" s="59">
        <v>0</v>
      </c>
      <c r="I14" s="8">
        <v>82</v>
      </c>
      <c r="K14" s="8">
        <v>769</v>
      </c>
    </row>
    <row r="15" spans="1:11" ht="12.75" thickBot="1" x14ac:dyDescent="0.25">
      <c r="A15" s="14" t="s">
        <v>90</v>
      </c>
      <c r="B15" s="178" t="s">
        <v>224</v>
      </c>
      <c r="C15" s="45"/>
      <c r="D15" s="45"/>
      <c r="E15" s="1"/>
      <c r="F15" s="1"/>
      <c r="G15" s="59">
        <v>17091739</v>
      </c>
      <c r="I15" s="8"/>
      <c r="K15" s="10"/>
    </row>
    <row r="16" spans="1:11" ht="12.75" thickBot="1" x14ac:dyDescent="0.25">
      <c r="A16" s="14" t="s">
        <v>90</v>
      </c>
      <c r="B16" s="178" t="s">
        <v>223</v>
      </c>
      <c r="C16" s="45"/>
      <c r="D16" s="45"/>
      <c r="E16" s="1"/>
      <c r="F16" s="1"/>
      <c r="G16" s="59">
        <v>0</v>
      </c>
      <c r="I16" s="8"/>
      <c r="K16" s="10"/>
    </row>
    <row r="17" spans="1:11" ht="12.75" thickBot="1" x14ac:dyDescent="0.25">
      <c r="A17" s="14" t="s">
        <v>90</v>
      </c>
      <c r="B17" s="47" t="s">
        <v>217</v>
      </c>
      <c r="C17" s="45"/>
      <c r="D17" s="45"/>
      <c r="E17" s="1"/>
      <c r="F17" s="1"/>
      <c r="G17" s="59">
        <v>0</v>
      </c>
      <c r="I17" s="8">
        <v>639</v>
      </c>
      <c r="K17" s="10"/>
    </row>
    <row r="18" spans="1:11" ht="12.75" thickBot="1" x14ac:dyDescent="0.25">
      <c r="A18" s="14" t="s">
        <v>97</v>
      </c>
      <c r="B18" s="47" t="s">
        <v>173</v>
      </c>
      <c r="C18" s="45"/>
      <c r="D18" s="45"/>
      <c r="E18" s="1"/>
      <c r="F18" s="1"/>
      <c r="G18" s="59">
        <f>-44486*0</f>
        <v>0</v>
      </c>
      <c r="I18" s="8">
        <v>640</v>
      </c>
      <c r="K18" s="10"/>
    </row>
    <row r="19" spans="1:11" ht="12.75" thickBot="1" x14ac:dyDescent="0.25">
      <c r="A19" s="18" t="str">
        <f>A6&amp;" al 31/12/"&amp;RIGHT($C$4,2)</f>
        <v>Pérdida Tributaria al 31/12/12</v>
      </c>
      <c r="B19" s="18"/>
      <c r="C19" s="18"/>
      <c r="D19" s="18"/>
      <c r="E19" s="1"/>
      <c r="F19" s="1"/>
      <c r="G19" s="19">
        <f>SUM(G10:G17)-G18</f>
        <v>301037217</v>
      </c>
    </row>
    <row r="20" spans="1:11" ht="13.5" thickTop="1" thickBot="1" x14ac:dyDescent="0.25">
      <c r="A20" s="47"/>
      <c r="B20" s="47"/>
      <c r="C20" s="45"/>
      <c r="D20" s="45"/>
      <c r="E20" s="1"/>
      <c r="F20" s="1"/>
      <c r="G20" s="46"/>
    </row>
    <row r="21" spans="1:11" ht="12.75" thickBot="1" x14ac:dyDescent="0.25">
      <c r="A21" s="14" t="s">
        <v>97</v>
      </c>
      <c r="B21" t="s">
        <v>108</v>
      </c>
      <c r="G21" s="22">
        <v>0</v>
      </c>
      <c r="I21" s="8">
        <v>642</v>
      </c>
    </row>
    <row r="22" spans="1:11" ht="12.75" thickBot="1" x14ac:dyDescent="0.25">
      <c r="A22" s="15" t="s">
        <v>91</v>
      </c>
      <c r="B22" s="18" t="str">
        <f>"RLI del ejercicio "&amp;$C$4</f>
        <v>RLI del ejercicio 2012</v>
      </c>
      <c r="C22" s="18"/>
      <c r="D22" s="18"/>
      <c r="E22" s="1"/>
      <c r="F22" s="1"/>
      <c r="G22" s="19">
        <f>IF(G21&gt;0,"¡signo del dividendo!",SUM(G19:G21))</f>
        <v>301037217</v>
      </c>
      <c r="I22" s="8">
        <v>643</v>
      </c>
    </row>
    <row r="23" spans="1:11" ht="12.75" thickTop="1" x14ac:dyDescent="0.2">
      <c r="G23" s="16"/>
    </row>
    <row r="24" spans="1:11" x14ac:dyDescent="0.2">
      <c r="G24" s="16"/>
    </row>
    <row r="25" spans="1:11" x14ac:dyDescent="0.2">
      <c r="G25" s="16"/>
    </row>
    <row r="26" spans="1:11" x14ac:dyDescent="0.2">
      <c r="G26" s="16"/>
    </row>
    <row r="27" spans="1:11" x14ac:dyDescent="0.2">
      <c r="A27" s="12" t="s">
        <v>93</v>
      </c>
      <c r="G27" s="16"/>
    </row>
    <row r="28" spans="1:11" x14ac:dyDescent="0.2">
      <c r="G28" s="16"/>
    </row>
    <row r="29" spans="1:11" x14ac:dyDescent="0.2">
      <c r="A29" t="str">
        <f>"Saldo "&amp;A27&amp;RIGHT($A$8,12)</f>
        <v>Saldo F.U.T. al 31/12/11</v>
      </c>
      <c r="G29" s="16">
        <f>'AT12'!G40</f>
        <v>-67170091.000000477</v>
      </c>
    </row>
    <row r="30" spans="1:11" ht="12.75" thickBot="1" x14ac:dyDescent="0.25">
      <c r="A30" s="14" t="s">
        <v>90</v>
      </c>
      <c r="B30" t="str">
        <f>B9</f>
        <v>Reajuste 2012:</v>
      </c>
      <c r="D30" s="21">
        <f>D9</f>
        <v>2.1000000000000001E-2</v>
      </c>
      <c r="G30" s="16">
        <f>ROUND(G29*D30,0)</f>
        <v>-1410572</v>
      </c>
    </row>
    <row r="31" spans="1:11" ht="12.75" thickBot="1" x14ac:dyDescent="0.25">
      <c r="A31" t="str">
        <f>LEFT(A29,LEN(A29)-12)&amp;", reajustado"</f>
        <v>Saldo F.U.T., reajustado</v>
      </c>
      <c r="G31" s="17">
        <f>SUM(G29:G30)</f>
        <v>-68580663.000000477</v>
      </c>
      <c r="I31" s="8">
        <v>284</v>
      </c>
    </row>
    <row r="32" spans="1:11" ht="12.75" thickBot="1" x14ac:dyDescent="0.25">
      <c r="G32" s="23"/>
    </row>
    <row r="33" spans="1:9" ht="12.75" thickBot="1" x14ac:dyDescent="0.25">
      <c r="A33" s="14" t="s">
        <v>97</v>
      </c>
      <c r="B33" t="s">
        <v>98</v>
      </c>
      <c r="G33" s="23">
        <f>G22</f>
        <v>301037217</v>
      </c>
      <c r="I33" s="8">
        <v>229</v>
      </c>
    </row>
    <row r="34" spans="1:9" x14ac:dyDescent="0.2">
      <c r="A34" t="str">
        <f>"Subtotal "&amp;RIGHT(A29,LEN(A29)-6)</f>
        <v>Subtotal F.U.T. al 31/12/11</v>
      </c>
      <c r="G34" s="17">
        <f>SUM(G31:G33)</f>
        <v>232456553.99999952</v>
      </c>
    </row>
    <row r="35" spans="1:9" ht="12.75" thickBot="1" x14ac:dyDescent="0.25">
      <c r="G35" s="23"/>
    </row>
    <row r="36" spans="1:9" ht="12.75" thickBot="1" x14ac:dyDescent="0.25">
      <c r="A36" s="14" t="s">
        <v>97</v>
      </c>
      <c r="B36" t="s">
        <v>111</v>
      </c>
      <c r="G36" s="23">
        <v>0</v>
      </c>
      <c r="I36" s="8">
        <v>624</v>
      </c>
    </row>
    <row r="37" spans="1:9" x14ac:dyDescent="0.2">
      <c r="G37" s="23"/>
    </row>
    <row r="38" spans="1:9" x14ac:dyDescent="0.2">
      <c r="A38" s="14" t="s">
        <v>90</v>
      </c>
      <c r="B38" t="str">
        <f>A10</f>
        <v>Pérdida Tributaria de Arrastre, reajustada</v>
      </c>
      <c r="G38" s="16">
        <f>-G10</f>
        <v>68580663</v>
      </c>
    </row>
    <row r="39" spans="1:9" ht="12.75" thickBot="1" x14ac:dyDescent="0.25">
      <c r="A39" s="14"/>
      <c r="G39" s="16"/>
    </row>
    <row r="40" spans="1:9" ht="12.75" thickBot="1" x14ac:dyDescent="0.25">
      <c r="A40" s="14" t="s">
        <v>90</v>
      </c>
      <c r="B40" t="s">
        <v>108</v>
      </c>
      <c r="G40" s="16">
        <f>-G18</f>
        <v>0</v>
      </c>
      <c r="I40" s="8">
        <v>642</v>
      </c>
    </row>
    <row r="41" spans="1:9" ht="12.75" thickBot="1" x14ac:dyDescent="0.25">
      <c r="A41" s="14"/>
      <c r="G41" s="16"/>
    </row>
    <row r="42" spans="1:9" ht="12.75" thickBot="1" x14ac:dyDescent="0.25">
      <c r="A42" s="14" t="s">
        <v>97</v>
      </c>
      <c r="B42" t="s">
        <v>225</v>
      </c>
      <c r="G42" s="16">
        <f>(21648600+41145000+74356400+73850000)*-1</f>
        <v>-211000000</v>
      </c>
      <c r="I42" s="8">
        <v>642</v>
      </c>
    </row>
    <row r="43" spans="1:9" ht="12.75" thickBot="1" x14ac:dyDescent="0.25">
      <c r="A43" s="14"/>
      <c r="G43" s="16"/>
      <c r="I43" s="8"/>
    </row>
    <row r="44" spans="1:9" ht="12.75" thickBot="1" x14ac:dyDescent="0.25">
      <c r="A44" s="43" t="s">
        <v>109</v>
      </c>
      <c r="G44" s="42">
        <f>SUM(G38:G40)</f>
        <v>68580663</v>
      </c>
      <c r="I44" s="8">
        <v>782</v>
      </c>
    </row>
    <row r="45" spans="1:9" ht="12.75" thickBot="1" x14ac:dyDescent="0.25">
      <c r="A45" s="18" t="str">
        <f>LEFT(A29,LEN(A29)-2)&amp;RIGHT($C$4,2)</f>
        <v>Saldo F.U.T. al 31/12/12</v>
      </c>
      <c r="B45" s="18"/>
      <c r="C45" s="18"/>
      <c r="D45" s="18"/>
      <c r="E45" s="1"/>
      <c r="F45" s="1"/>
      <c r="G45" s="19">
        <f>G34+G36+G44+G42</f>
        <v>90037216.999999523</v>
      </c>
      <c r="I45" s="8">
        <v>232</v>
      </c>
    </row>
    <row r="46" spans="1:9" ht="12.75" thickTop="1" x14ac:dyDescent="0.2">
      <c r="G46" s="16"/>
    </row>
  </sheetData>
  <pageMargins left="0.75" right="0.75" top="1" bottom="1" header="0.5" footer="0.5"/>
  <pageSetup orientation="portrait" horizontalDpi="360" verticalDpi="36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A1:K41"/>
  <sheetViews>
    <sheetView topLeftCell="A22" workbookViewId="0">
      <selection activeCell="G31" sqref="G31"/>
    </sheetView>
  </sheetViews>
  <sheetFormatPr baseColWidth="10" defaultColWidth="9.140625" defaultRowHeight="12" x14ac:dyDescent="0.2"/>
  <cols>
    <col min="1" max="1" width="4.42578125" customWidth="1"/>
    <col min="2" max="6" width="9.140625" customWidth="1"/>
    <col min="7" max="7" width="15.5703125" bestFit="1" customWidth="1"/>
    <col min="8" max="8" width="9.140625" customWidth="1"/>
    <col min="9" max="9" width="5.140625" bestFit="1" customWidth="1"/>
    <col min="10" max="14" width="3.5703125" customWidth="1"/>
  </cols>
  <sheetData>
    <row r="1" spans="1:11" s="57" customFormat="1" ht="12.75" x14ac:dyDescent="0.2">
      <c r="A1" s="58" t="s">
        <v>115</v>
      </c>
    </row>
    <row r="2" spans="1:11" s="57" customFormat="1" ht="12.75" x14ac:dyDescent="0.2">
      <c r="A2" s="58" t="s">
        <v>114</v>
      </c>
    </row>
    <row r="3" spans="1:11" ht="15" x14ac:dyDescent="0.25">
      <c r="A3" s="13" t="s">
        <v>218</v>
      </c>
    </row>
    <row r="4" spans="1:11" x14ac:dyDescent="0.2">
      <c r="A4" t="s">
        <v>94</v>
      </c>
      <c r="C4">
        <f>RIGHT(A3,4)-1</f>
        <v>2011</v>
      </c>
    </row>
    <row r="6" spans="1:11" x14ac:dyDescent="0.2">
      <c r="A6" s="12" t="s">
        <v>92</v>
      </c>
      <c r="G6" s="16"/>
    </row>
    <row r="7" spans="1:11" x14ac:dyDescent="0.2">
      <c r="A7" s="1"/>
      <c r="G7" s="16"/>
    </row>
    <row r="8" spans="1:11" x14ac:dyDescent="0.2">
      <c r="A8" t="str">
        <f>A6&amp;" de Arrastre al 31/12/"&amp;RIGHT($C$4-1,2)</f>
        <v>Pérdida Tributaria de Arrastre al 31/12/10</v>
      </c>
      <c r="G8" s="16">
        <f>'AT11'!G17</f>
        <v>-421026312</v>
      </c>
    </row>
    <row r="9" spans="1:11" ht="12.75" thickBot="1" x14ac:dyDescent="0.25">
      <c r="A9" s="14" t="s">
        <v>90</v>
      </c>
      <c r="B9" t="str">
        <f>"Reajuste "&amp;$C$4&amp;":"</f>
        <v>Reajuste 2011:</v>
      </c>
      <c r="D9" s="88">
        <v>3.9E-2</v>
      </c>
      <c r="G9" s="16">
        <f>ROUND(G8*D9,0)</f>
        <v>-16420026</v>
      </c>
    </row>
    <row r="10" spans="1:11" ht="12.75" thickBot="1" x14ac:dyDescent="0.25">
      <c r="A10" t="str">
        <f>LEFT(A8,LEN(A8)-12)&amp;", reajustada"</f>
        <v>Pérdida Tributaria de Arrastre, reajustada</v>
      </c>
      <c r="G10" s="17">
        <f>SUM(G8:G9)</f>
        <v>-437446338</v>
      </c>
      <c r="I10" s="8">
        <v>634</v>
      </c>
    </row>
    <row r="11" spans="1:11" x14ac:dyDescent="0.2">
      <c r="G11" s="23"/>
    </row>
    <row r="12" spans="1:11" ht="12.75" thickBot="1" x14ac:dyDescent="0.25">
      <c r="A12" s="14" t="s">
        <v>90</v>
      </c>
      <c r="B12" t="str">
        <f>"Utilidad Tributaria según balance al 31/12/"&amp;RIGHT($C$4,2)</f>
        <v>Utilidad Tributaria según balance al 31/12/11</v>
      </c>
      <c r="G12" s="59">
        <v>302446668</v>
      </c>
    </row>
    <row r="13" spans="1:11" ht="12.75" thickBot="1" x14ac:dyDescent="0.25">
      <c r="A13" s="14" t="s">
        <v>90</v>
      </c>
      <c r="B13" s="47" t="s">
        <v>112</v>
      </c>
      <c r="C13" s="45"/>
      <c r="D13" s="45"/>
      <c r="E13" s="1"/>
      <c r="F13" s="1"/>
      <c r="G13" s="59">
        <v>0</v>
      </c>
      <c r="I13" s="8">
        <v>82</v>
      </c>
      <c r="K13" s="8">
        <v>769</v>
      </c>
    </row>
    <row r="14" spans="1:11" ht="12.75" thickBot="1" x14ac:dyDescent="0.25">
      <c r="A14" s="14" t="s">
        <v>90</v>
      </c>
      <c r="B14" s="47" t="s">
        <v>199</v>
      </c>
      <c r="C14" s="45"/>
      <c r="D14" s="45"/>
      <c r="E14" s="1"/>
      <c r="F14" s="1"/>
      <c r="G14" s="59">
        <f>17019179+50000000</f>
        <v>67019179</v>
      </c>
      <c r="I14" s="8"/>
      <c r="K14" s="10"/>
    </row>
    <row r="15" spans="1:11" ht="12.75" thickBot="1" x14ac:dyDescent="0.25">
      <c r="A15" s="14" t="s">
        <v>90</v>
      </c>
      <c r="B15" s="47" t="s">
        <v>217</v>
      </c>
      <c r="C15" s="45"/>
      <c r="D15" s="45"/>
      <c r="E15" s="1"/>
      <c r="F15" s="1"/>
      <c r="G15" s="59">
        <v>810400</v>
      </c>
      <c r="I15" s="8">
        <v>639</v>
      </c>
      <c r="K15" s="10"/>
    </row>
    <row r="16" spans="1:11" ht="12.75" thickBot="1" x14ac:dyDescent="0.25">
      <c r="A16" s="14" t="s">
        <v>97</v>
      </c>
      <c r="B16" s="47" t="s">
        <v>173</v>
      </c>
      <c r="C16" s="45"/>
      <c r="D16" s="45"/>
      <c r="E16" s="1"/>
      <c r="F16" s="1"/>
      <c r="G16" s="59">
        <f>-44486*0</f>
        <v>0</v>
      </c>
      <c r="I16" s="8">
        <v>640</v>
      </c>
      <c r="K16" s="10"/>
    </row>
    <row r="17" spans="1:9" ht="12.75" thickBot="1" x14ac:dyDescent="0.25">
      <c r="A17" s="18" t="str">
        <f>A6&amp;" al 31/12/"&amp;RIGHT($C$4,2)</f>
        <v>Pérdida Tributaria al 31/12/11</v>
      </c>
      <c r="B17" s="18"/>
      <c r="C17" s="18"/>
      <c r="D17" s="18"/>
      <c r="E17" s="1"/>
      <c r="F17" s="1"/>
      <c r="G17" s="19">
        <f>SUM(G10:G15)-G16</f>
        <v>-67170091</v>
      </c>
    </row>
    <row r="18" spans="1:9" ht="13.5" thickTop="1" thickBot="1" x14ac:dyDescent="0.25">
      <c r="A18" s="47"/>
      <c r="B18" s="47"/>
      <c r="C18" s="45"/>
      <c r="D18" s="45"/>
      <c r="E18" s="1"/>
      <c r="F18" s="1"/>
      <c r="G18" s="46"/>
    </row>
    <row r="19" spans="1:9" ht="12.75" thickBot="1" x14ac:dyDescent="0.25">
      <c r="A19" s="14" t="s">
        <v>97</v>
      </c>
      <c r="B19" t="s">
        <v>108</v>
      </c>
      <c r="G19" s="22">
        <v>0</v>
      </c>
      <c r="I19" s="8">
        <v>642</v>
      </c>
    </row>
    <row r="20" spans="1:9" ht="12.75" thickBot="1" x14ac:dyDescent="0.25">
      <c r="A20" s="15" t="s">
        <v>91</v>
      </c>
      <c r="B20" s="18" t="str">
        <f>"RLI del ejercicio "&amp;$C$4</f>
        <v>RLI del ejercicio 2011</v>
      </c>
      <c r="C20" s="18"/>
      <c r="D20" s="18"/>
      <c r="E20" s="1"/>
      <c r="F20" s="1"/>
      <c r="G20" s="19">
        <f>IF(G19&gt;0,"¡signo del dividendo!",SUM(G17:G19))</f>
        <v>-67170091</v>
      </c>
      <c r="I20" s="8">
        <v>643</v>
      </c>
    </row>
    <row r="21" spans="1:9" ht="12.75" thickTop="1" x14ac:dyDescent="0.2">
      <c r="G21" s="16"/>
    </row>
    <row r="22" spans="1:9" x14ac:dyDescent="0.2">
      <c r="G22" s="16"/>
    </row>
    <row r="23" spans="1:9" x14ac:dyDescent="0.2">
      <c r="G23" s="16"/>
    </row>
    <row r="24" spans="1:9" x14ac:dyDescent="0.2">
      <c r="G24" s="16"/>
    </row>
    <row r="25" spans="1:9" x14ac:dyDescent="0.2">
      <c r="A25" s="12" t="s">
        <v>93</v>
      </c>
      <c r="G25" s="16"/>
    </row>
    <row r="26" spans="1:9" x14ac:dyDescent="0.2">
      <c r="G26" s="16"/>
    </row>
    <row r="27" spans="1:9" x14ac:dyDescent="0.2">
      <c r="A27" t="str">
        <f>"Saldo "&amp;A25&amp;RIGHT($A$8,12)</f>
        <v>Saldo F.U.T. al 31/12/10</v>
      </c>
      <c r="G27" s="16">
        <f>'AT11'!G40</f>
        <v>-421026312.00000048</v>
      </c>
    </row>
    <row r="28" spans="1:9" ht="12.75" thickBot="1" x14ac:dyDescent="0.25">
      <c r="A28" s="14" t="s">
        <v>90</v>
      </c>
      <c r="B28" t="str">
        <f>B9</f>
        <v>Reajuste 2011:</v>
      </c>
      <c r="D28" s="21">
        <f>D9</f>
        <v>3.9E-2</v>
      </c>
      <c r="G28" s="16">
        <f>ROUND(G27*D28,0)</f>
        <v>-16420026</v>
      </c>
    </row>
    <row r="29" spans="1:9" ht="12.75" thickBot="1" x14ac:dyDescent="0.25">
      <c r="A29" t="str">
        <f>LEFT(A27,LEN(A27)-12)&amp;", reajustado"</f>
        <v>Saldo F.U.T., reajustado</v>
      </c>
      <c r="G29" s="17">
        <f>SUM(G27:G28)</f>
        <v>-437446338.00000048</v>
      </c>
      <c r="I29" s="8">
        <v>284</v>
      </c>
    </row>
    <row r="30" spans="1:9" ht="12.75" thickBot="1" x14ac:dyDescent="0.25">
      <c r="G30" s="23"/>
    </row>
    <row r="31" spans="1:9" ht="12.75" thickBot="1" x14ac:dyDescent="0.25">
      <c r="A31" s="14" t="s">
        <v>97</v>
      </c>
      <c r="B31" t="s">
        <v>98</v>
      </c>
      <c r="G31" s="23">
        <f>G20</f>
        <v>-67170091</v>
      </c>
      <c r="I31" s="8">
        <v>229</v>
      </c>
    </row>
    <row r="32" spans="1:9" x14ac:dyDescent="0.2">
      <c r="A32" t="str">
        <f>"Subtotal "&amp;RIGHT(A27,LEN(A27)-6)</f>
        <v>Subtotal F.U.T. al 31/12/10</v>
      </c>
      <c r="G32" s="17">
        <f>SUM(G29:G31)</f>
        <v>-504616429.00000048</v>
      </c>
    </row>
    <row r="33" spans="1:9" ht="12.75" thickBot="1" x14ac:dyDescent="0.25">
      <c r="G33" s="23"/>
    </row>
    <row r="34" spans="1:9" ht="12.75" thickBot="1" x14ac:dyDescent="0.25">
      <c r="A34" s="14" t="s">
        <v>97</v>
      </c>
      <c r="B34" t="s">
        <v>111</v>
      </c>
      <c r="G34" s="23">
        <v>0</v>
      </c>
      <c r="I34" s="8">
        <v>624</v>
      </c>
    </row>
    <row r="35" spans="1:9" x14ac:dyDescent="0.2">
      <c r="G35" s="23"/>
    </row>
    <row r="36" spans="1:9" x14ac:dyDescent="0.2">
      <c r="A36" s="14" t="s">
        <v>90</v>
      </c>
      <c r="B36" t="str">
        <f>A10</f>
        <v>Pérdida Tributaria de Arrastre, reajustada</v>
      </c>
      <c r="G36" s="16">
        <f>-G10</f>
        <v>437446338</v>
      </c>
    </row>
    <row r="37" spans="1:9" ht="12.75" thickBot="1" x14ac:dyDescent="0.25">
      <c r="A37" s="14"/>
      <c r="G37" s="16"/>
    </row>
    <row r="38" spans="1:9" ht="12.75" thickBot="1" x14ac:dyDescent="0.25">
      <c r="A38" s="14" t="s">
        <v>90</v>
      </c>
      <c r="B38" t="s">
        <v>108</v>
      </c>
      <c r="G38" s="16">
        <f>-G19</f>
        <v>0</v>
      </c>
      <c r="I38" s="8">
        <v>642</v>
      </c>
    </row>
    <row r="39" spans="1:9" ht="12.75" thickBot="1" x14ac:dyDescent="0.25">
      <c r="A39" s="43" t="s">
        <v>109</v>
      </c>
      <c r="G39" s="42">
        <f>SUM(G36:G38)</f>
        <v>437446338</v>
      </c>
      <c r="I39" s="8">
        <v>782</v>
      </c>
    </row>
    <row r="40" spans="1:9" ht="12.75" thickBot="1" x14ac:dyDescent="0.25">
      <c r="A40" s="18" t="str">
        <f>LEFT(A27,LEN(A27)-2)&amp;RIGHT($C$4,2)</f>
        <v>Saldo F.U.T. al 31/12/11</v>
      </c>
      <c r="B40" s="18"/>
      <c r="C40" s="18"/>
      <c r="D40" s="18"/>
      <c r="E40" s="1"/>
      <c r="F40" s="1"/>
      <c r="G40" s="19">
        <f>G32+G34+G39</f>
        <v>-67170091.000000477</v>
      </c>
      <c r="I40" s="8">
        <v>232</v>
      </c>
    </row>
    <row r="41" spans="1:9" ht="12.75" thickTop="1" x14ac:dyDescent="0.2">
      <c r="G41" s="16"/>
    </row>
  </sheetData>
  <phoneticPr fontId="0" type="noConversion"/>
  <pageMargins left="0.75" right="0.75" top="1" bottom="1" header="0.5" footer="0.5"/>
  <pageSetup orientation="portrait" horizontalDpi="360" verticalDpi="36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/>
  <dimension ref="A1:K41"/>
  <sheetViews>
    <sheetView topLeftCell="A22" workbookViewId="0">
      <selection activeCell="G27" sqref="G27"/>
    </sheetView>
  </sheetViews>
  <sheetFormatPr baseColWidth="10" defaultColWidth="9.140625" defaultRowHeight="12" x14ac:dyDescent="0.2"/>
  <cols>
    <col min="1" max="1" width="4.42578125" customWidth="1"/>
    <col min="2" max="6" width="9.140625" customWidth="1"/>
    <col min="7" max="7" width="15.5703125" bestFit="1" customWidth="1"/>
    <col min="8" max="8" width="9.140625" customWidth="1"/>
    <col min="9" max="9" width="5.140625" bestFit="1" customWidth="1"/>
    <col min="10" max="14" width="3.5703125" customWidth="1"/>
  </cols>
  <sheetData>
    <row r="1" spans="1:11" s="57" customFormat="1" ht="12.75" x14ac:dyDescent="0.2">
      <c r="A1" s="58" t="s">
        <v>115</v>
      </c>
    </row>
    <row r="2" spans="1:11" s="57" customFormat="1" ht="12.75" x14ac:dyDescent="0.2">
      <c r="A2" s="58" t="s">
        <v>114</v>
      </c>
    </row>
    <row r="3" spans="1:11" ht="15" x14ac:dyDescent="0.25">
      <c r="A3" s="13" t="s">
        <v>215</v>
      </c>
    </row>
    <row r="4" spans="1:11" x14ac:dyDescent="0.2">
      <c r="A4" t="s">
        <v>94</v>
      </c>
      <c r="C4">
        <f>RIGHT(A3,4)-1</f>
        <v>2010</v>
      </c>
    </row>
    <row r="6" spans="1:11" x14ac:dyDescent="0.2">
      <c r="A6" s="12" t="s">
        <v>92</v>
      </c>
      <c r="G6" s="16"/>
    </row>
    <row r="7" spans="1:11" x14ac:dyDescent="0.2">
      <c r="A7" s="1"/>
      <c r="G7" s="16"/>
    </row>
    <row r="8" spans="1:11" x14ac:dyDescent="0.2">
      <c r="A8" t="str">
        <f>A6&amp;" de Arrastre al 31/12/"&amp;RIGHT($C$4-1,2)</f>
        <v>Pérdida Tributaria de Arrastre al 31/12/09</v>
      </c>
      <c r="G8" s="16">
        <f>'AT10'!G16</f>
        <v>-771490901</v>
      </c>
    </row>
    <row r="9" spans="1:11" ht="12.75" thickBot="1" x14ac:dyDescent="0.25">
      <c r="A9" s="14" t="s">
        <v>90</v>
      </c>
      <c r="B9" t="str">
        <f>"Reajuste "&amp;$C$4&amp;":"</f>
        <v>Reajuste 2010:</v>
      </c>
      <c r="D9" s="88">
        <v>2.5000000000000001E-2</v>
      </c>
      <c r="G9" s="16">
        <f>ROUND(G8*D9,0)</f>
        <v>-19287273</v>
      </c>
    </row>
    <row r="10" spans="1:11" ht="12.75" thickBot="1" x14ac:dyDescent="0.25">
      <c r="A10" t="str">
        <f>LEFT(A8,LEN(A8)-12)&amp;", reajustada"</f>
        <v>Pérdida Tributaria de Arrastre, reajustada</v>
      </c>
      <c r="G10" s="17">
        <f>SUM(G8:G9)</f>
        <v>-790778174</v>
      </c>
      <c r="I10" s="8">
        <v>634</v>
      </c>
    </row>
    <row r="11" spans="1:11" x14ac:dyDescent="0.2">
      <c r="G11" s="23"/>
    </row>
    <row r="12" spans="1:11" ht="12.75" thickBot="1" x14ac:dyDescent="0.25">
      <c r="A12" s="14" t="s">
        <v>90</v>
      </c>
      <c r="B12" t="str">
        <f>"Utilidad Tributaria según balance al 31/12/"&amp;RIGHT($C$4,2)</f>
        <v>Utilidad Tributaria según balance al 31/12/10</v>
      </c>
      <c r="G12" s="59">
        <v>295086933</v>
      </c>
    </row>
    <row r="13" spans="1:11" ht="12.75" thickBot="1" x14ac:dyDescent="0.25">
      <c r="A13" s="14" t="s">
        <v>90</v>
      </c>
      <c r="B13" s="47" t="s">
        <v>112</v>
      </c>
      <c r="C13" s="45"/>
      <c r="D13" s="45"/>
      <c r="E13" s="1"/>
      <c r="F13" s="1"/>
      <c r="G13" s="59">
        <v>0</v>
      </c>
      <c r="I13" s="8">
        <v>82</v>
      </c>
      <c r="K13" s="8">
        <v>769</v>
      </c>
    </row>
    <row r="14" spans="1:11" ht="12.75" thickBot="1" x14ac:dyDescent="0.25">
      <c r="A14" s="14" t="s">
        <v>90</v>
      </c>
      <c r="B14" s="47" t="s">
        <v>199</v>
      </c>
      <c r="C14" s="45"/>
      <c r="D14" s="45"/>
      <c r="E14" s="1"/>
      <c r="F14" s="1"/>
      <c r="G14" s="59">
        <f>25664929+44000000</f>
        <v>69664929</v>
      </c>
      <c r="I14" s="8"/>
      <c r="K14" s="10"/>
    </row>
    <row r="15" spans="1:11" ht="12.75" thickBot="1" x14ac:dyDescent="0.25">
      <c r="A15" s="14" t="s">
        <v>90</v>
      </c>
      <c r="B15" s="47" t="s">
        <v>217</v>
      </c>
      <c r="C15" s="45"/>
      <c r="D15" s="45"/>
      <c r="E15" s="1"/>
      <c r="F15" s="1"/>
      <c r="G15" s="59">
        <v>5000000</v>
      </c>
      <c r="I15" s="8">
        <v>639</v>
      </c>
      <c r="K15" s="10"/>
    </row>
    <row r="16" spans="1:11" ht="12.75" thickBot="1" x14ac:dyDescent="0.25">
      <c r="A16" s="14" t="s">
        <v>97</v>
      </c>
      <c r="B16" s="47" t="s">
        <v>173</v>
      </c>
      <c r="C16" s="45"/>
      <c r="D16" s="45"/>
      <c r="E16" s="1"/>
      <c r="F16" s="1"/>
      <c r="G16" s="59">
        <f>-44486*0</f>
        <v>0</v>
      </c>
      <c r="I16" s="8">
        <v>640</v>
      </c>
      <c r="K16" s="10"/>
    </row>
    <row r="17" spans="1:9" ht="12.75" thickBot="1" x14ac:dyDescent="0.25">
      <c r="A17" s="18" t="str">
        <f>A6&amp;" al 31/12/"&amp;RIGHT($C$4,2)</f>
        <v>Pérdida Tributaria al 31/12/10</v>
      </c>
      <c r="B17" s="18"/>
      <c r="C17" s="18"/>
      <c r="D17" s="18"/>
      <c r="E17" s="1"/>
      <c r="F17" s="1"/>
      <c r="G17" s="19">
        <f>SUM(G10:G15)-G16</f>
        <v>-421026312</v>
      </c>
    </row>
    <row r="18" spans="1:9" ht="13.5" thickTop="1" thickBot="1" x14ac:dyDescent="0.25">
      <c r="A18" s="47"/>
      <c r="B18" s="47"/>
      <c r="C18" s="45"/>
      <c r="D18" s="45"/>
      <c r="E18" s="1"/>
      <c r="F18" s="1"/>
      <c r="G18" s="46"/>
    </row>
    <row r="19" spans="1:9" ht="12.75" thickBot="1" x14ac:dyDescent="0.25">
      <c r="A19" s="14" t="s">
        <v>97</v>
      </c>
      <c r="B19" t="s">
        <v>108</v>
      </c>
      <c r="G19" s="22">
        <v>0</v>
      </c>
      <c r="I19" s="8">
        <v>642</v>
      </c>
    </row>
    <row r="20" spans="1:9" ht="12.75" thickBot="1" x14ac:dyDescent="0.25">
      <c r="A20" s="15" t="s">
        <v>91</v>
      </c>
      <c r="B20" s="18" t="str">
        <f>"RLI del ejercicio "&amp;$C$4</f>
        <v>RLI del ejercicio 2010</v>
      </c>
      <c r="C20" s="18"/>
      <c r="D20" s="18"/>
      <c r="E20" s="1"/>
      <c r="F20" s="1"/>
      <c r="G20" s="19">
        <f>IF(G19&gt;0,"¡signo del dividendo!",SUM(G17:G19))</f>
        <v>-421026312</v>
      </c>
      <c r="I20" s="8">
        <v>643</v>
      </c>
    </row>
    <row r="21" spans="1:9" ht="12.75" thickTop="1" x14ac:dyDescent="0.2">
      <c r="G21" s="16"/>
    </row>
    <row r="22" spans="1:9" x14ac:dyDescent="0.2">
      <c r="G22" s="16"/>
    </row>
    <row r="23" spans="1:9" x14ac:dyDescent="0.2">
      <c r="G23" s="16"/>
    </row>
    <row r="24" spans="1:9" x14ac:dyDescent="0.2">
      <c r="G24" s="16"/>
    </row>
    <row r="25" spans="1:9" x14ac:dyDescent="0.2">
      <c r="A25" s="12" t="s">
        <v>93</v>
      </c>
      <c r="G25" s="16"/>
    </row>
    <row r="26" spans="1:9" x14ac:dyDescent="0.2">
      <c r="G26" s="16"/>
    </row>
    <row r="27" spans="1:9" x14ac:dyDescent="0.2">
      <c r="A27" t="str">
        <f>"Saldo "&amp;A25&amp;RIGHT($A$8,12)</f>
        <v>Saldo F.U.T. al 31/12/09</v>
      </c>
      <c r="G27" s="16">
        <f>'AT10'!G39</f>
        <v>-771490901.00000048</v>
      </c>
    </row>
    <row r="28" spans="1:9" ht="12.75" thickBot="1" x14ac:dyDescent="0.25">
      <c r="A28" s="14" t="s">
        <v>90</v>
      </c>
      <c r="B28" t="str">
        <f>B9</f>
        <v>Reajuste 2010:</v>
      </c>
      <c r="D28" s="21">
        <f>D9</f>
        <v>2.5000000000000001E-2</v>
      </c>
      <c r="G28" s="16">
        <f>ROUND(G27*D28,0)</f>
        <v>-19287273</v>
      </c>
    </row>
    <row r="29" spans="1:9" ht="12.75" thickBot="1" x14ac:dyDescent="0.25">
      <c r="A29" t="str">
        <f>LEFT(A27,LEN(A27)-12)&amp;", reajustado"</f>
        <v>Saldo F.U.T., reajustado</v>
      </c>
      <c r="G29" s="17">
        <f>SUM(G27:G28)</f>
        <v>-790778174.00000048</v>
      </c>
      <c r="I29" s="8">
        <v>284</v>
      </c>
    </row>
    <row r="30" spans="1:9" ht="12.75" thickBot="1" x14ac:dyDescent="0.25">
      <c r="G30" s="23"/>
    </row>
    <row r="31" spans="1:9" ht="12.75" thickBot="1" x14ac:dyDescent="0.25">
      <c r="A31" s="14" t="s">
        <v>97</v>
      </c>
      <c r="B31" t="s">
        <v>98</v>
      </c>
      <c r="G31" s="23">
        <f>G20</f>
        <v>-421026312</v>
      </c>
      <c r="I31" s="8">
        <v>229</v>
      </c>
    </row>
    <row r="32" spans="1:9" x14ac:dyDescent="0.2">
      <c r="A32" t="str">
        <f>"Subtotal "&amp;RIGHT(A27,LEN(A27)-6)</f>
        <v>Subtotal F.U.T. al 31/12/09</v>
      </c>
      <c r="G32" s="17">
        <f>SUM(G29:G31)</f>
        <v>-1211804486.0000005</v>
      </c>
    </row>
    <row r="33" spans="1:9" ht="12.75" thickBot="1" x14ac:dyDescent="0.25">
      <c r="G33" s="23"/>
    </row>
    <row r="34" spans="1:9" ht="12.75" thickBot="1" x14ac:dyDescent="0.25">
      <c r="A34" s="14" t="s">
        <v>97</v>
      </c>
      <c r="B34" t="s">
        <v>111</v>
      </c>
      <c r="G34" s="23">
        <v>0</v>
      </c>
      <c r="I34" s="8">
        <v>624</v>
      </c>
    </row>
    <row r="35" spans="1:9" x14ac:dyDescent="0.2">
      <c r="G35" s="23"/>
    </row>
    <row r="36" spans="1:9" x14ac:dyDescent="0.2">
      <c r="A36" s="14" t="s">
        <v>90</v>
      </c>
      <c r="B36" t="str">
        <f>A10</f>
        <v>Pérdida Tributaria de Arrastre, reajustada</v>
      </c>
      <c r="G36" s="16">
        <f>-G10</f>
        <v>790778174</v>
      </c>
    </row>
    <row r="37" spans="1:9" ht="12.75" thickBot="1" x14ac:dyDescent="0.25">
      <c r="A37" s="14"/>
      <c r="G37" s="16"/>
    </row>
    <row r="38" spans="1:9" ht="12.75" thickBot="1" x14ac:dyDescent="0.25">
      <c r="A38" s="14" t="s">
        <v>90</v>
      </c>
      <c r="B38" t="s">
        <v>108</v>
      </c>
      <c r="G38" s="16">
        <f>-G19</f>
        <v>0</v>
      </c>
      <c r="I38" s="8">
        <v>642</v>
      </c>
    </row>
    <row r="39" spans="1:9" ht="12.75" thickBot="1" x14ac:dyDescent="0.25">
      <c r="A39" s="43" t="s">
        <v>109</v>
      </c>
      <c r="G39" s="42">
        <f>SUM(G36:G38)</f>
        <v>790778174</v>
      </c>
      <c r="I39" s="8">
        <v>782</v>
      </c>
    </row>
    <row r="40" spans="1:9" ht="12.75" thickBot="1" x14ac:dyDescent="0.25">
      <c r="A40" s="18" t="str">
        <f>LEFT(A27,LEN(A27)-2)&amp;RIGHT($C$4,2)</f>
        <v>Saldo F.U.T. al 31/12/10</v>
      </c>
      <c r="B40" s="18"/>
      <c r="C40" s="18"/>
      <c r="D40" s="18"/>
      <c r="E40" s="1"/>
      <c r="F40" s="1"/>
      <c r="G40" s="19">
        <f>G32+G34+G39</f>
        <v>-421026312.00000048</v>
      </c>
      <c r="I40" s="8">
        <v>232</v>
      </c>
    </row>
    <row r="41" spans="1:9" ht="12.75" thickTop="1" x14ac:dyDescent="0.2">
      <c r="G41" s="16"/>
    </row>
  </sheetData>
  <phoneticPr fontId="0" type="noConversion"/>
  <pageMargins left="0.75" right="0.75" top="1" bottom="1" header="0.5" footer="0.5"/>
  <pageSetup orientation="portrait" horizontalDpi="360" verticalDpi="36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/>
  <dimension ref="A1:K40"/>
  <sheetViews>
    <sheetView topLeftCell="A7" workbookViewId="0">
      <selection activeCell="G39" sqref="G39"/>
    </sheetView>
  </sheetViews>
  <sheetFormatPr baseColWidth="10" defaultColWidth="9.140625" defaultRowHeight="12" x14ac:dyDescent="0.2"/>
  <cols>
    <col min="1" max="1" width="4.42578125" customWidth="1"/>
    <col min="2" max="6" width="9.140625" customWidth="1"/>
    <col min="7" max="7" width="15.5703125" bestFit="1" customWidth="1"/>
    <col min="8" max="8" width="9.140625" customWidth="1"/>
    <col min="9" max="9" width="5.140625" bestFit="1" customWidth="1"/>
    <col min="10" max="14" width="3.5703125" customWidth="1"/>
  </cols>
  <sheetData>
    <row r="1" spans="1:11" s="57" customFormat="1" ht="12.75" x14ac:dyDescent="0.2">
      <c r="A1" s="58" t="s">
        <v>115</v>
      </c>
    </row>
    <row r="2" spans="1:11" s="57" customFormat="1" ht="12.75" x14ac:dyDescent="0.2">
      <c r="A2" s="58" t="s">
        <v>114</v>
      </c>
    </row>
    <row r="3" spans="1:11" ht="15" x14ac:dyDescent="0.25">
      <c r="A3" s="13" t="s">
        <v>212</v>
      </c>
    </row>
    <row r="4" spans="1:11" x14ac:dyDescent="0.2">
      <c r="A4" t="s">
        <v>94</v>
      </c>
      <c r="C4">
        <f>RIGHT(A3,4)-1</f>
        <v>2009</v>
      </c>
    </row>
    <row r="6" spans="1:11" x14ac:dyDescent="0.2">
      <c r="A6" s="12" t="s">
        <v>92</v>
      </c>
      <c r="G6" s="16"/>
    </row>
    <row r="7" spans="1:11" x14ac:dyDescent="0.2">
      <c r="A7" s="1"/>
      <c r="G7" s="16"/>
    </row>
    <row r="8" spans="1:11" x14ac:dyDescent="0.2">
      <c r="A8" t="str">
        <f>A6&amp;" de Arrastre al 31/12/"&amp;RIGHT($C$4-1,2)</f>
        <v>Pérdida Tributaria de Arrastre al 31/12/08</v>
      </c>
      <c r="G8" s="16">
        <f>'AT09'!G16</f>
        <v>-1036112559</v>
      </c>
    </row>
    <row r="9" spans="1:11" ht="12.75" thickBot="1" x14ac:dyDescent="0.25">
      <c r="A9" s="14" t="s">
        <v>90</v>
      </c>
      <c r="B9" t="str">
        <f>"Reajuste "&amp;$C$4&amp;":"</f>
        <v>Reajuste 2009:</v>
      </c>
      <c r="D9" s="88">
        <v>0</v>
      </c>
      <c r="G9" s="16">
        <f>ROUND(G8*D9,0)</f>
        <v>0</v>
      </c>
    </row>
    <row r="10" spans="1:11" ht="12.75" thickBot="1" x14ac:dyDescent="0.25">
      <c r="A10" t="str">
        <f>LEFT(A8,LEN(A8)-12)&amp;", reajustada"</f>
        <v>Pérdida Tributaria de Arrastre, reajustada</v>
      </c>
      <c r="G10" s="17">
        <f>SUM(G8:G9)</f>
        <v>-1036112559</v>
      </c>
      <c r="I10" s="8">
        <v>634</v>
      </c>
    </row>
    <row r="11" spans="1:11" x14ac:dyDescent="0.2">
      <c r="G11" s="23"/>
    </row>
    <row r="12" spans="1:11" ht="12.75" thickBot="1" x14ac:dyDescent="0.25">
      <c r="A12" s="14" t="s">
        <v>90</v>
      </c>
      <c r="B12" t="str">
        <f>"Utilidad Tributaria según balance al 31/12/"&amp;RIGHT($C$4,2)</f>
        <v>Utilidad Tributaria según balance al 31/12/09</v>
      </c>
      <c r="G12" s="59">
        <v>233536532</v>
      </c>
    </row>
    <row r="13" spans="1:11" ht="12.75" thickBot="1" x14ac:dyDescent="0.25">
      <c r="A13" s="14" t="s">
        <v>90</v>
      </c>
      <c r="B13" s="47" t="s">
        <v>112</v>
      </c>
      <c r="C13" s="45"/>
      <c r="D13" s="45"/>
      <c r="E13" s="1"/>
      <c r="F13" s="1"/>
      <c r="G13" s="59">
        <v>0</v>
      </c>
      <c r="I13" s="8">
        <v>82</v>
      </c>
      <c r="K13" s="8">
        <v>769</v>
      </c>
    </row>
    <row r="14" spans="1:11" ht="12.75" thickBot="1" x14ac:dyDescent="0.25">
      <c r="A14" s="14" t="s">
        <v>90</v>
      </c>
      <c r="B14" s="47" t="s">
        <v>199</v>
      </c>
      <c r="C14" s="45"/>
      <c r="D14" s="45"/>
      <c r="E14" s="1"/>
      <c r="F14" s="1"/>
      <c r="G14" s="59">
        <f>1085299+30000000-173</f>
        <v>31085126</v>
      </c>
      <c r="I14" s="8"/>
      <c r="K14" s="10"/>
    </row>
    <row r="15" spans="1:11" ht="12.75" thickBot="1" x14ac:dyDescent="0.25">
      <c r="A15" s="14" t="s">
        <v>97</v>
      </c>
      <c r="B15" s="47" t="s">
        <v>173</v>
      </c>
      <c r="C15" s="45"/>
      <c r="D15" s="45"/>
      <c r="E15" s="1"/>
      <c r="F15" s="1"/>
      <c r="G15" s="59">
        <f>-44486*0</f>
        <v>0</v>
      </c>
      <c r="I15" s="8">
        <v>640</v>
      </c>
      <c r="K15" s="10"/>
    </row>
    <row r="16" spans="1:11" ht="12.75" thickBot="1" x14ac:dyDescent="0.25">
      <c r="A16" s="18" t="str">
        <f>A6&amp;" al 31/12/"&amp;RIGHT($C$4,2)</f>
        <v>Pérdida Tributaria al 31/12/09</v>
      </c>
      <c r="B16" s="18"/>
      <c r="C16" s="18"/>
      <c r="D16" s="18"/>
      <c r="E16" s="1"/>
      <c r="F16" s="1"/>
      <c r="G16" s="19">
        <f>SUM(G10:G14)-G15</f>
        <v>-771490901</v>
      </c>
    </row>
    <row r="17" spans="1:9" ht="13.5" thickTop="1" thickBot="1" x14ac:dyDescent="0.25">
      <c r="A17" s="47"/>
      <c r="B17" s="47"/>
      <c r="C17" s="45"/>
      <c r="D17" s="45"/>
      <c r="E17" s="1"/>
      <c r="F17" s="1"/>
      <c r="G17" s="46"/>
    </row>
    <row r="18" spans="1:9" ht="12.75" thickBot="1" x14ac:dyDescent="0.25">
      <c r="A18" s="14" t="s">
        <v>97</v>
      </c>
      <c r="B18" t="s">
        <v>108</v>
      </c>
      <c r="G18" s="22">
        <v>0</v>
      </c>
      <c r="I18" s="8">
        <v>642</v>
      </c>
    </row>
    <row r="19" spans="1:9" ht="12.75" thickBot="1" x14ac:dyDescent="0.25">
      <c r="A19" s="15" t="s">
        <v>91</v>
      </c>
      <c r="B19" s="18" t="str">
        <f>"RLI del ejercicio "&amp;$C$4</f>
        <v>RLI del ejercicio 2009</v>
      </c>
      <c r="C19" s="18"/>
      <c r="D19" s="18"/>
      <c r="E19" s="1"/>
      <c r="F19" s="1"/>
      <c r="G19" s="19">
        <f>IF(G18&gt;0,"¡signo del dividendo!",SUM(G16:G18))</f>
        <v>-771490901</v>
      </c>
      <c r="I19" s="8">
        <v>643</v>
      </c>
    </row>
    <row r="20" spans="1:9" ht="12.75" thickTop="1" x14ac:dyDescent="0.2">
      <c r="G20" s="16"/>
    </row>
    <row r="21" spans="1:9" x14ac:dyDescent="0.2">
      <c r="G21" s="16"/>
    </row>
    <row r="22" spans="1:9" x14ac:dyDescent="0.2">
      <c r="G22" s="16"/>
    </row>
    <row r="23" spans="1:9" x14ac:dyDescent="0.2">
      <c r="G23" s="16"/>
    </row>
    <row r="24" spans="1:9" x14ac:dyDescent="0.2">
      <c r="A24" s="12" t="s">
        <v>93</v>
      </c>
      <c r="G24" s="16"/>
    </row>
    <row r="25" spans="1:9" x14ac:dyDescent="0.2">
      <c r="G25" s="16"/>
    </row>
    <row r="26" spans="1:9" x14ac:dyDescent="0.2">
      <c r="A26" t="str">
        <f>"Saldo "&amp;A24&amp;RIGHT($A$8,12)</f>
        <v>Saldo F.U.T. al 31/12/08</v>
      </c>
      <c r="G26" s="16">
        <f>'AT09'!G39</f>
        <v>-1036112559.0000005</v>
      </c>
    </row>
    <row r="27" spans="1:9" ht="12.75" thickBot="1" x14ac:dyDescent="0.25">
      <c r="A27" s="14" t="s">
        <v>90</v>
      </c>
      <c r="B27" t="str">
        <f>B9</f>
        <v>Reajuste 2009:</v>
      </c>
      <c r="D27" s="21">
        <f>D9</f>
        <v>0</v>
      </c>
      <c r="G27" s="16">
        <f>ROUND(G26*D27,0)</f>
        <v>0</v>
      </c>
    </row>
    <row r="28" spans="1:9" ht="12.75" thickBot="1" x14ac:dyDescent="0.25">
      <c r="A28" t="str">
        <f>LEFT(A26,LEN(A26)-12)&amp;", reajustado"</f>
        <v>Saldo F.U.T., reajustado</v>
      </c>
      <c r="G28" s="17">
        <f>SUM(G26:G27)</f>
        <v>-1036112559.0000005</v>
      </c>
      <c r="I28" s="8">
        <v>284</v>
      </c>
    </row>
    <row r="29" spans="1:9" ht="12.75" thickBot="1" x14ac:dyDescent="0.25">
      <c r="G29" s="23"/>
    </row>
    <row r="30" spans="1:9" ht="12.75" thickBot="1" x14ac:dyDescent="0.25">
      <c r="A30" s="14" t="s">
        <v>97</v>
      </c>
      <c r="B30" t="s">
        <v>98</v>
      </c>
      <c r="G30" s="23">
        <f>G19</f>
        <v>-771490901</v>
      </c>
      <c r="I30" s="8">
        <v>229</v>
      </c>
    </row>
    <row r="31" spans="1:9" x14ac:dyDescent="0.2">
      <c r="A31" t="str">
        <f>"Subtotal "&amp;RIGHT(A26,LEN(A26)-6)</f>
        <v>Subtotal F.U.T. al 31/12/08</v>
      </c>
      <c r="G31" s="17">
        <f>SUM(G28:G30)</f>
        <v>-1807603460.0000005</v>
      </c>
    </row>
    <row r="32" spans="1:9" ht="12.75" thickBot="1" x14ac:dyDescent="0.25">
      <c r="G32" s="23"/>
    </row>
    <row r="33" spans="1:9" ht="12.75" thickBot="1" x14ac:dyDescent="0.25">
      <c r="A33" s="14" t="s">
        <v>97</v>
      </c>
      <c r="B33" t="s">
        <v>111</v>
      </c>
      <c r="G33" s="23"/>
      <c r="I33" s="8">
        <v>624</v>
      </c>
    </row>
    <row r="34" spans="1:9" x14ac:dyDescent="0.2">
      <c r="G34" s="23"/>
    </row>
    <row r="35" spans="1:9" x14ac:dyDescent="0.2">
      <c r="A35" s="14" t="s">
        <v>90</v>
      </c>
      <c r="B35" t="str">
        <f>A10</f>
        <v>Pérdida Tributaria de Arrastre, reajustada</v>
      </c>
      <c r="G35" s="16">
        <f>-G10</f>
        <v>1036112559</v>
      </c>
    </row>
    <row r="36" spans="1:9" ht="12.75" thickBot="1" x14ac:dyDescent="0.25">
      <c r="A36" s="14"/>
      <c r="G36" s="16"/>
    </row>
    <row r="37" spans="1:9" ht="12.75" thickBot="1" x14ac:dyDescent="0.25">
      <c r="A37" s="14" t="s">
        <v>90</v>
      </c>
      <c r="B37" t="s">
        <v>108</v>
      </c>
      <c r="G37" s="16">
        <f>-G18</f>
        <v>0</v>
      </c>
      <c r="I37" s="8">
        <v>642</v>
      </c>
    </row>
    <row r="38" spans="1:9" ht="12.75" thickBot="1" x14ac:dyDescent="0.25">
      <c r="A38" s="43" t="s">
        <v>109</v>
      </c>
      <c r="G38" s="42">
        <f>SUM(G35:G37)</f>
        <v>1036112559</v>
      </c>
      <c r="I38" s="8">
        <v>782</v>
      </c>
    </row>
    <row r="39" spans="1:9" ht="12.75" thickBot="1" x14ac:dyDescent="0.25">
      <c r="A39" s="18" t="str">
        <f>LEFT(A26,LEN(A26)-2)&amp;RIGHT($C$4,2)</f>
        <v>Saldo F.U.T. al 31/12/09</v>
      </c>
      <c r="B39" s="18"/>
      <c r="C39" s="18"/>
      <c r="D39" s="18"/>
      <c r="E39" s="1"/>
      <c r="F39" s="1"/>
      <c r="G39" s="19">
        <f>G31+G33+G38</f>
        <v>-771490901.00000048</v>
      </c>
      <c r="I39" s="8">
        <v>232</v>
      </c>
    </row>
    <row r="40" spans="1:9" ht="12.75" thickTop="1" x14ac:dyDescent="0.2">
      <c r="G40" s="16"/>
    </row>
  </sheetData>
  <phoneticPr fontId="0" type="noConversion"/>
  <pageMargins left="0.75" right="0.75" top="1" bottom="1" header="0.5" footer="0.5"/>
  <pageSetup orientation="portrait" horizontalDpi="360" verticalDpi="36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/>
  <dimension ref="A1:K40"/>
  <sheetViews>
    <sheetView workbookViewId="0">
      <selection activeCell="G26" sqref="G26"/>
    </sheetView>
  </sheetViews>
  <sheetFormatPr baseColWidth="10" defaultColWidth="9.140625" defaultRowHeight="12" x14ac:dyDescent="0.2"/>
  <cols>
    <col min="1" max="1" width="4.42578125" customWidth="1"/>
    <col min="2" max="6" width="9.140625" customWidth="1"/>
    <col min="7" max="7" width="15.5703125" bestFit="1" customWidth="1"/>
    <col min="8" max="8" width="9.140625" customWidth="1"/>
    <col min="9" max="9" width="5.140625" bestFit="1" customWidth="1"/>
    <col min="10" max="14" width="3.5703125" customWidth="1"/>
  </cols>
  <sheetData>
    <row r="1" spans="1:11" s="57" customFormat="1" ht="12.75" x14ac:dyDescent="0.2">
      <c r="A1" s="58" t="s">
        <v>115</v>
      </c>
    </row>
    <row r="2" spans="1:11" s="57" customFormat="1" ht="12.75" x14ac:dyDescent="0.2">
      <c r="A2" s="58" t="s">
        <v>114</v>
      </c>
    </row>
    <row r="3" spans="1:11" ht="15" x14ac:dyDescent="0.25">
      <c r="A3" s="13" t="s">
        <v>207</v>
      </c>
    </row>
    <row r="4" spans="1:11" x14ac:dyDescent="0.2">
      <c r="A4" t="s">
        <v>94</v>
      </c>
      <c r="C4">
        <f>RIGHT(A3,4)-1</f>
        <v>2008</v>
      </c>
    </row>
    <row r="6" spans="1:11" x14ac:dyDescent="0.2">
      <c r="A6" s="12" t="s">
        <v>92</v>
      </c>
      <c r="G6" s="16"/>
    </row>
    <row r="7" spans="1:11" x14ac:dyDescent="0.2">
      <c r="A7" s="1"/>
      <c r="G7" s="16"/>
    </row>
    <row r="8" spans="1:11" x14ac:dyDescent="0.2">
      <c r="A8" t="str">
        <f>A6&amp;" de Arrastre al 31/12/"&amp;RIGHT($C$4-1,2)</f>
        <v>Pérdida Tributaria de Arrastre al 31/12/07</v>
      </c>
      <c r="G8" s="16">
        <f>'AT08'!G16</f>
        <v>-1016797607</v>
      </c>
    </row>
    <row r="9" spans="1:11" ht="12.75" thickBot="1" x14ac:dyDescent="0.25">
      <c r="A9" s="14" t="s">
        <v>90</v>
      </c>
      <c r="B9" t="str">
        <f>"Reajuste "&amp;$C$4&amp;":"</f>
        <v>Reajuste 2008:</v>
      </c>
      <c r="D9" s="88">
        <v>8.8999999999999996E-2</v>
      </c>
      <c r="G9" s="16">
        <f>ROUND(G8*D9,0)</f>
        <v>-90494987</v>
      </c>
    </row>
    <row r="10" spans="1:11" ht="12.75" thickBot="1" x14ac:dyDescent="0.25">
      <c r="A10" t="str">
        <f>LEFT(A8,LEN(A8)-12)&amp;", reajustada"</f>
        <v>Pérdida Tributaria de Arrastre, reajustada</v>
      </c>
      <c r="G10" s="17">
        <f>SUM(G8:G9)</f>
        <v>-1107292594</v>
      </c>
      <c r="I10" s="8">
        <v>634</v>
      </c>
    </row>
    <row r="11" spans="1:11" x14ac:dyDescent="0.2">
      <c r="G11" s="23"/>
    </row>
    <row r="12" spans="1:11" ht="12.75" thickBot="1" x14ac:dyDescent="0.25">
      <c r="A12" s="14" t="s">
        <v>90</v>
      </c>
      <c r="B12" t="str">
        <f>"Utilidad Tributaria según balance al 31/12/"&amp;RIGHT($C$4,2)</f>
        <v>Utilidad Tributaria según balance al 31/12/08</v>
      </c>
      <c r="G12" s="59">
        <v>69567324</v>
      </c>
    </row>
    <row r="13" spans="1:11" ht="12.75" thickBot="1" x14ac:dyDescent="0.25">
      <c r="A13" s="14" t="s">
        <v>90</v>
      </c>
      <c r="B13" s="47" t="s">
        <v>198</v>
      </c>
      <c r="C13" s="45"/>
      <c r="D13" s="45"/>
      <c r="E13" s="1"/>
      <c r="F13" s="1"/>
      <c r="G13" s="59">
        <v>0</v>
      </c>
      <c r="I13" s="8">
        <v>82</v>
      </c>
      <c r="K13" s="8">
        <v>769</v>
      </c>
    </row>
    <row r="14" spans="1:11" ht="12.75" thickBot="1" x14ac:dyDescent="0.25">
      <c r="A14" s="14" t="s">
        <v>90</v>
      </c>
      <c r="B14" s="47" t="s">
        <v>199</v>
      </c>
      <c r="C14" s="45"/>
      <c r="D14" s="45"/>
      <c r="E14" s="1"/>
      <c r="F14" s="1"/>
      <c r="G14" s="59">
        <v>1612711</v>
      </c>
      <c r="I14" s="8"/>
      <c r="K14" s="10"/>
    </row>
    <row r="15" spans="1:11" ht="12.75" thickBot="1" x14ac:dyDescent="0.25">
      <c r="A15" s="14" t="s">
        <v>97</v>
      </c>
      <c r="B15" s="47" t="s">
        <v>173</v>
      </c>
      <c r="C15" s="45"/>
      <c r="D15" s="45"/>
      <c r="E15" s="1"/>
      <c r="F15" s="1"/>
      <c r="G15" s="59">
        <f>-44486*0</f>
        <v>0</v>
      </c>
      <c r="I15" s="8">
        <v>640</v>
      </c>
      <c r="K15" s="10"/>
    </row>
    <row r="16" spans="1:11" ht="12.75" thickBot="1" x14ac:dyDescent="0.25">
      <c r="A16" s="18" t="str">
        <f>A6&amp;" al 31/12/"&amp;RIGHT($C$4,2)</f>
        <v>Pérdida Tributaria al 31/12/08</v>
      </c>
      <c r="B16" s="18"/>
      <c r="C16" s="18"/>
      <c r="D16" s="18"/>
      <c r="E16" s="1"/>
      <c r="F16" s="1"/>
      <c r="G16" s="19">
        <f>SUM(G10:G14)-G15</f>
        <v>-1036112559</v>
      </c>
    </row>
    <row r="17" spans="1:9" ht="13.5" thickTop="1" thickBot="1" x14ac:dyDescent="0.25">
      <c r="A17" s="47"/>
      <c r="B17" s="47"/>
      <c r="C17" s="45"/>
      <c r="D17" s="45"/>
      <c r="E17" s="1"/>
      <c r="F17" s="1"/>
      <c r="G17" s="46"/>
    </row>
    <row r="18" spans="1:9" ht="12.75" thickBot="1" x14ac:dyDescent="0.25">
      <c r="A18" s="14" t="s">
        <v>97</v>
      </c>
      <c r="B18" t="s">
        <v>108</v>
      </c>
      <c r="G18" s="22">
        <v>0</v>
      </c>
      <c r="I18" s="8">
        <v>642</v>
      </c>
    </row>
    <row r="19" spans="1:9" ht="12.75" thickBot="1" x14ac:dyDescent="0.25">
      <c r="A19" s="15" t="s">
        <v>91</v>
      </c>
      <c r="B19" s="18" t="str">
        <f>"RLI del ejercicio "&amp;$C$4</f>
        <v>RLI del ejercicio 2008</v>
      </c>
      <c r="C19" s="18"/>
      <c r="D19" s="18"/>
      <c r="E19" s="1"/>
      <c r="F19" s="1"/>
      <c r="G19" s="19">
        <f>IF(G18&gt;0,"¡signo del dividendo!",SUM(G16:G18))</f>
        <v>-1036112559</v>
      </c>
      <c r="I19" s="8">
        <v>643</v>
      </c>
    </row>
    <row r="20" spans="1:9" ht="12.75" thickTop="1" x14ac:dyDescent="0.2">
      <c r="G20" s="16"/>
    </row>
    <row r="21" spans="1:9" x14ac:dyDescent="0.2">
      <c r="G21" s="16"/>
    </row>
    <row r="22" spans="1:9" x14ac:dyDescent="0.2">
      <c r="G22" s="16"/>
    </row>
    <row r="23" spans="1:9" x14ac:dyDescent="0.2">
      <c r="G23" s="16"/>
    </row>
    <row r="24" spans="1:9" x14ac:dyDescent="0.2">
      <c r="A24" s="12" t="s">
        <v>93</v>
      </c>
      <c r="G24" s="16"/>
    </row>
    <row r="25" spans="1:9" x14ac:dyDescent="0.2">
      <c r="G25" s="16"/>
    </row>
    <row r="26" spans="1:9" x14ac:dyDescent="0.2">
      <c r="A26" t="str">
        <f>"Saldo "&amp;A24&amp;RIGHT($A$8,12)</f>
        <v>Saldo F.U.T. al 31/12/07</v>
      </c>
      <c r="G26" s="16">
        <f>'AT08'!G39</f>
        <v>-1016797607.0000005</v>
      </c>
    </row>
    <row r="27" spans="1:9" ht="12.75" thickBot="1" x14ac:dyDescent="0.25">
      <c r="A27" s="14" t="s">
        <v>90</v>
      </c>
      <c r="B27" t="str">
        <f>B9</f>
        <v>Reajuste 2008:</v>
      </c>
      <c r="D27" s="21">
        <f>D9</f>
        <v>8.8999999999999996E-2</v>
      </c>
      <c r="G27" s="16">
        <f>ROUND(G26*D27,0)</f>
        <v>-90494987</v>
      </c>
    </row>
    <row r="28" spans="1:9" ht="12.75" thickBot="1" x14ac:dyDescent="0.25">
      <c r="A28" t="str">
        <f>LEFT(A26,LEN(A26)-12)&amp;", reajustado"</f>
        <v>Saldo F.U.T., reajustado</v>
      </c>
      <c r="G28" s="17">
        <f>SUM(G26:G27)</f>
        <v>-1107292594.0000005</v>
      </c>
      <c r="I28" s="8">
        <v>284</v>
      </c>
    </row>
    <row r="29" spans="1:9" ht="12.75" thickBot="1" x14ac:dyDescent="0.25">
      <c r="G29" s="23"/>
    </row>
    <row r="30" spans="1:9" ht="12.75" thickBot="1" x14ac:dyDescent="0.25">
      <c r="A30" s="14" t="s">
        <v>97</v>
      </c>
      <c r="B30" t="s">
        <v>98</v>
      </c>
      <c r="G30" s="23">
        <f>G19</f>
        <v>-1036112559</v>
      </c>
      <c r="I30" s="8">
        <v>229</v>
      </c>
    </row>
    <row r="31" spans="1:9" x14ac:dyDescent="0.2">
      <c r="A31" t="str">
        <f>"Subtotal "&amp;RIGHT(A26,LEN(A26)-6)</f>
        <v>Subtotal F.U.T. al 31/12/07</v>
      </c>
      <c r="G31" s="17">
        <f>SUM(G28:G30)</f>
        <v>-2143405153.0000005</v>
      </c>
    </row>
    <row r="32" spans="1:9" ht="12.75" thickBot="1" x14ac:dyDescent="0.25">
      <c r="G32" s="23"/>
    </row>
    <row r="33" spans="1:9" ht="12.75" thickBot="1" x14ac:dyDescent="0.25">
      <c r="A33" s="14" t="s">
        <v>97</v>
      </c>
      <c r="B33" t="s">
        <v>111</v>
      </c>
      <c r="G33" s="23"/>
      <c r="I33" s="8">
        <v>624</v>
      </c>
    </row>
    <row r="34" spans="1:9" x14ac:dyDescent="0.2">
      <c r="G34" s="23"/>
    </row>
    <row r="35" spans="1:9" x14ac:dyDescent="0.2">
      <c r="A35" s="14" t="s">
        <v>90</v>
      </c>
      <c r="B35" t="str">
        <f>A10</f>
        <v>Pérdida Tributaria de Arrastre, reajustada</v>
      </c>
      <c r="G35" s="16">
        <f>-G10</f>
        <v>1107292594</v>
      </c>
    </row>
    <row r="36" spans="1:9" ht="12.75" thickBot="1" x14ac:dyDescent="0.25">
      <c r="A36" s="14"/>
      <c r="G36" s="16"/>
    </row>
    <row r="37" spans="1:9" ht="12.75" thickBot="1" x14ac:dyDescent="0.25">
      <c r="A37" s="14" t="s">
        <v>90</v>
      </c>
      <c r="B37" t="s">
        <v>108</v>
      </c>
      <c r="G37" s="16">
        <f>-G18</f>
        <v>0</v>
      </c>
      <c r="I37" s="8">
        <v>642</v>
      </c>
    </row>
    <row r="38" spans="1:9" ht="12.75" thickBot="1" x14ac:dyDescent="0.25">
      <c r="A38" s="43" t="s">
        <v>109</v>
      </c>
      <c r="G38" s="42">
        <f>SUM(G35:G37)</f>
        <v>1107292594</v>
      </c>
      <c r="I38" s="8">
        <v>782</v>
      </c>
    </row>
    <row r="39" spans="1:9" ht="12.75" thickBot="1" x14ac:dyDescent="0.25">
      <c r="A39" s="18" t="str">
        <f>LEFT(A26,LEN(A26)-2)&amp;RIGHT($C$4,2)</f>
        <v>Saldo F.U.T. al 31/12/08</v>
      </c>
      <c r="B39" s="18"/>
      <c r="C39" s="18"/>
      <c r="D39" s="18"/>
      <c r="E39" s="1"/>
      <c r="F39" s="1"/>
      <c r="G39" s="19">
        <f>G31+G33+G38</f>
        <v>-1036112559.0000005</v>
      </c>
      <c r="I39" s="8">
        <v>232</v>
      </c>
    </row>
    <row r="40" spans="1:9" ht="12.75" thickTop="1" x14ac:dyDescent="0.2">
      <c r="G40" s="16"/>
    </row>
  </sheetData>
  <phoneticPr fontId="0" type="noConversion"/>
  <pageMargins left="0.75" right="0.75" top="1" bottom="1" header="0.5" footer="0.5"/>
  <pageSetup orientation="portrait" horizontalDpi="360" verticalDpi="36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/>
  <dimension ref="A1:K40"/>
  <sheetViews>
    <sheetView workbookViewId="0">
      <selection activeCell="O25" sqref="O25"/>
    </sheetView>
  </sheetViews>
  <sheetFormatPr baseColWidth="10" defaultColWidth="9.140625" defaultRowHeight="12" x14ac:dyDescent="0.2"/>
  <cols>
    <col min="1" max="1" width="4.42578125" customWidth="1"/>
    <col min="2" max="6" width="9.140625" customWidth="1"/>
    <col min="7" max="7" width="15.5703125" bestFit="1" customWidth="1"/>
    <col min="8" max="8" width="9.140625" customWidth="1"/>
    <col min="9" max="9" width="5.140625" bestFit="1" customWidth="1"/>
    <col min="10" max="14" width="3.5703125" customWidth="1"/>
  </cols>
  <sheetData>
    <row r="1" spans="1:11" s="57" customFormat="1" ht="12.75" x14ac:dyDescent="0.2">
      <c r="A1" s="58" t="s">
        <v>115</v>
      </c>
    </row>
    <row r="2" spans="1:11" s="57" customFormat="1" ht="12.75" x14ac:dyDescent="0.2">
      <c r="A2" s="58" t="s">
        <v>114</v>
      </c>
    </row>
    <row r="3" spans="1:11" ht="15" x14ac:dyDescent="0.25">
      <c r="A3" s="13" t="s">
        <v>197</v>
      </c>
    </row>
    <row r="4" spans="1:11" x14ac:dyDescent="0.2">
      <c r="A4" t="s">
        <v>94</v>
      </c>
      <c r="C4">
        <f>RIGHT(A3,4)-1</f>
        <v>2007</v>
      </c>
    </row>
    <row r="6" spans="1:11" x14ac:dyDescent="0.2">
      <c r="A6" s="12" t="s">
        <v>92</v>
      </c>
      <c r="G6" s="16"/>
    </row>
    <row r="7" spans="1:11" x14ac:dyDescent="0.2">
      <c r="A7" s="1"/>
      <c r="G7" s="16"/>
    </row>
    <row r="8" spans="1:11" x14ac:dyDescent="0.2">
      <c r="A8" t="str">
        <f>A6&amp;" de Arrastre al 31/12/"&amp;RIGHT($C$4-1,2)</f>
        <v>Pérdida Tributaria de Arrastre al 31/12/06</v>
      </c>
      <c r="G8" s="16">
        <f>'AT07'!G16</f>
        <v>-1112744156</v>
      </c>
    </row>
    <row r="9" spans="1:11" ht="12.75" thickBot="1" x14ac:dyDescent="0.25">
      <c r="A9" s="14" t="s">
        <v>90</v>
      </c>
      <c r="B9" t="str">
        <f>"Reajuste "&amp;$C$4&amp;":"</f>
        <v>Reajuste 2007:</v>
      </c>
      <c r="D9" s="88">
        <v>7.3999999999999996E-2</v>
      </c>
      <c r="G9" s="16">
        <f>ROUND(G8*D9,0)</f>
        <v>-82343068</v>
      </c>
    </row>
    <row r="10" spans="1:11" ht="12.75" thickBot="1" x14ac:dyDescent="0.25">
      <c r="A10" t="str">
        <f>LEFT(A8,LEN(A8)-12)&amp;", reajustada"</f>
        <v>Pérdida Tributaria de Arrastre, reajustada</v>
      </c>
      <c r="G10" s="17">
        <f>SUM(G8:G9)</f>
        <v>-1195087224</v>
      </c>
      <c r="I10" s="8">
        <v>634</v>
      </c>
    </row>
    <row r="11" spans="1:11" x14ac:dyDescent="0.2">
      <c r="G11" s="23"/>
    </row>
    <row r="12" spans="1:11" ht="12.75" thickBot="1" x14ac:dyDescent="0.25">
      <c r="A12" s="14" t="s">
        <v>90</v>
      </c>
      <c r="B12" t="str">
        <f>"Utilidad Tributaria según balance al 31/12/"&amp;RIGHT($C$4,2)</f>
        <v>Utilidad Tributaria según balance al 31/12/07</v>
      </c>
      <c r="G12" s="59">
        <v>71517798</v>
      </c>
    </row>
    <row r="13" spans="1:11" ht="12.75" thickBot="1" x14ac:dyDescent="0.25">
      <c r="A13" s="14" t="s">
        <v>90</v>
      </c>
      <c r="B13" s="47" t="s">
        <v>198</v>
      </c>
      <c r="C13" s="45"/>
      <c r="D13" s="45"/>
      <c r="E13" s="1"/>
      <c r="F13" s="1"/>
      <c r="G13" s="59">
        <v>69120367</v>
      </c>
      <c r="I13" s="8">
        <v>82</v>
      </c>
      <c r="K13" s="8">
        <v>769</v>
      </c>
    </row>
    <row r="14" spans="1:11" ht="12.75" thickBot="1" x14ac:dyDescent="0.25">
      <c r="A14" s="14" t="s">
        <v>90</v>
      </c>
      <c r="B14" s="47" t="s">
        <v>199</v>
      </c>
      <c r="C14" s="45"/>
      <c r="D14" s="45"/>
      <c r="E14" s="1"/>
      <c r="F14" s="1"/>
      <c r="G14" s="59">
        <v>37651452</v>
      </c>
      <c r="I14" s="8"/>
      <c r="K14" s="10"/>
    </row>
    <row r="15" spans="1:11" ht="12.75" thickBot="1" x14ac:dyDescent="0.25">
      <c r="A15" s="14" t="s">
        <v>97</v>
      </c>
      <c r="B15" s="47" t="s">
        <v>173</v>
      </c>
      <c r="C15" s="45"/>
      <c r="D15" s="45"/>
      <c r="E15" s="1"/>
      <c r="F15" s="1"/>
      <c r="G15" s="59">
        <v>0</v>
      </c>
      <c r="I15" s="8">
        <v>640</v>
      </c>
      <c r="K15" s="10"/>
    </row>
    <row r="16" spans="1:11" ht="12.75" thickBot="1" x14ac:dyDescent="0.25">
      <c r="A16" s="18" t="str">
        <f>A6&amp;" al 31/12/"&amp;RIGHT($C$4,2)</f>
        <v>Pérdida Tributaria al 31/12/07</v>
      </c>
      <c r="B16" s="18"/>
      <c r="C16" s="18"/>
      <c r="D16" s="18"/>
      <c r="E16" s="1"/>
      <c r="F16" s="1"/>
      <c r="G16" s="19">
        <f>SUM(G10:G14)-G15</f>
        <v>-1016797607</v>
      </c>
    </row>
    <row r="17" spans="1:9" ht="13.5" thickTop="1" thickBot="1" x14ac:dyDescent="0.25">
      <c r="A17" s="47"/>
      <c r="B17" s="47"/>
      <c r="C17" s="45"/>
      <c r="D17" s="45"/>
      <c r="E17" s="1"/>
      <c r="F17" s="1"/>
      <c r="G17" s="46"/>
    </row>
    <row r="18" spans="1:9" ht="12.75" thickBot="1" x14ac:dyDescent="0.25">
      <c r="A18" s="14" t="s">
        <v>97</v>
      </c>
      <c r="B18" t="s">
        <v>108</v>
      </c>
      <c r="G18" s="22">
        <v>0</v>
      </c>
      <c r="I18" s="8">
        <v>642</v>
      </c>
    </row>
    <row r="19" spans="1:9" ht="12.75" thickBot="1" x14ac:dyDescent="0.25">
      <c r="A19" s="15" t="s">
        <v>91</v>
      </c>
      <c r="B19" s="18" t="str">
        <f>"RLI del ejercicio "&amp;$C$4</f>
        <v>RLI del ejercicio 2007</v>
      </c>
      <c r="C19" s="18"/>
      <c r="D19" s="18"/>
      <c r="E19" s="1"/>
      <c r="F19" s="1"/>
      <c r="G19" s="19">
        <f>IF(G18&gt;0,"¡signo del dividendo!",SUM(G16:G18))</f>
        <v>-1016797607</v>
      </c>
      <c r="I19" s="8">
        <v>643</v>
      </c>
    </row>
    <row r="20" spans="1:9" ht="12.75" thickTop="1" x14ac:dyDescent="0.2">
      <c r="G20" s="16"/>
    </row>
    <row r="21" spans="1:9" x14ac:dyDescent="0.2">
      <c r="G21" s="16"/>
    </row>
    <row r="22" spans="1:9" x14ac:dyDescent="0.2">
      <c r="G22" s="16"/>
    </row>
    <row r="23" spans="1:9" x14ac:dyDescent="0.2">
      <c r="G23" s="16"/>
    </row>
    <row r="24" spans="1:9" x14ac:dyDescent="0.2">
      <c r="A24" s="12" t="s">
        <v>93</v>
      </c>
      <c r="G24" s="16"/>
    </row>
    <row r="25" spans="1:9" x14ac:dyDescent="0.2">
      <c r="G25" s="16"/>
    </row>
    <row r="26" spans="1:9" x14ac:dyDescent="0.2">
      <c r="A26" t="str">
        <f>"Saldo "&amp;A24&amp;RIGHT($A$8,12)</f>
        <v>Saldo F.U.T. al 31/12/06</v>
      </c>
      <c r="G26" s="16">
        <f>'AT07'!G39</f>
        <v>-1112744156.0000005</v>
      </c>
    </row>
    <row r="27" spans="1:9" ht="12.75" thickBot="1" x14ac:dyDescent="0.25">
      <c r="A27" s="14" t="s">
        <v>90</v>
      </c>
      <c r="B27" t="str">
        <f>B9</f>
        <v>Reajuste 2007:</v>
      </c>
      <c r="D27" s="21">
        <f>D9</f>
        <v>7.3999999999999996E-2</v>
      </c>
      <c r="G27" s="16">
        <f>ROUND(G26*D27,0)</f>
        <v>-82343068</v>
      </c>
    </row>
    <row r="28" spans="1:9" ht="12.75" thickBot="1" x14ac:dyDescent="0.25">
      <c r="A28" t="str">
        <f>LEFT(A26,LEN(A26)-12)&amp;", reajustado"</f>
        <v>Saldo F.U.T., reajustado</v>
      </c>
      <c r="G28" s="17">
        <f>SUM(G26:G27)</f>
        <v>-1195087224.0000005</v>
      </c>
      <c r="I28" s="8">
        <v>284</v>
      </c>
    </row>
    <row r="29" spans="1:9" ht="12.75" thickBot="1" x14ac:dyDescent="0.25">
      <c r="G29" s="23"/>
    </row>
    <row r="30" spans="1:9" ht="12.75" thickBot="1" x14ac:dyDescent="0.25">
      <c r="A30" s="14" t="s">
        <v>97</v>
      </c>
      <c r="B30" t="s">
        <v>98</v>
      </c>
      <c r="G30" s="23">
        <f>G19</f>
        <v>-1016797607</v>
      </c>
      <c r="I30" s="8">
        <v>229</v>
      </c>
    </row>
    <row r="31" spans="1:9" x14ac:dyDescent="0.2">
      <c r="A31" t="str">
        <f>"Subtotal "&amp;RIGHT(A26,LEN(A26)-6)</f>
        <v>Subtotal F.U.T. al 31/12/06</v>
      </c>
      <c r="G31" s="17">
        <f>SUM(G28:G30)</f>
        <v>-2211884831.0000005</v>
      </c>
    </row>
    <row r="32" spans="1:9" ht="12.75" thickBot="1" x14ac:dyDescent="0.25">
      <c r="G32" s="23"/>
    </row>
    <row r="33" spans="1:9" ht="12.75" thickBot="1" x14ac:dyDescent="0.25">
      <c r="A33" s="14" t="s">
        <v>97</v>
      </c>
      <c r="B33" t="s">
        <v>111</v>
      </c>
      <c r="G33" s="23"/>
      <c r="I33" s="8">
        <v>624</v>
      </c>
    </row>
    <row r="34" spans="1:9" x14ac:dyDescent="0.2">
      <c r="G34" s="23"/>
    </row>
    <row r="35" spans="1:9" x14ac:dyDescent="0.2">
      <c r="A35" s="14" t="s">
        <v>90</v>
      </c>
      <c r="B35" t="str">
        <f>A10</f>
        <v>Pérdida Tributaria de Arrastre, reajustada</v>
      </c>
      <c r="G35" s="16">
        <f>-G10</f>
        <v>1195087224</v>
      </c>
    </row>
    <row r="36" spans="1:9" ht="12.75" thickBot="1" x14ac:dyDescent="0.25">
      <c r="A36" s="14"/>
      <c r="G36" s="16"/>
    </row>
    <row r="37" spans="1:9" ht="12.75" thickBot="1" x14ac:dyDescent="0.25">
      <c r="A37" s="14" t="s">
        <v>90</v>
      </c>
      <c r="B37" t="s">
        <v>108</v>
      </c>
      <c r="G37" s="16">
        <f>-G18</f>
        <v>0</v>
      </c>
      <c r="I37" s="8">
        <v>642</v>
      </c>
    </row>
    <row r="38" spans="1:9" ht="12.75" thickBot="1" x14ac:dyDescent="0.25">
      <c r="A38" s="43" t="s">
        <v>109</v>
      </c>
      <c r="G38" s="42">
        <f>SUM(G35:G37)</f>
        <v>1195087224</v>
      </c>
      <c r="I38" s="8">
        <v>782</v>
      </c>
    </row>
    <row r="39" spans="1:9" ht="12.75" thickBot="1" x14ac:dyDescent="0.25">
      <c r="A39" s="18" t="str">
        <f>LEFT(A26,LEN(A26)-2)&amp;RIGHT($C$4,2)</f>
        <v>Saldo F.U.T. al 31/12/07</v>
      </c>
      <c r="B39" s="18"/>
      <c r="C39" s="18"/>
      <c r="D39" s="18"/>
      <c r="E39" s="1"/>
      <c r="F39" s="1"/>
      <c r="G39" s="19">
        <f>G31+G33+G38</f>
        <v>-1016797607.0000005</v>
      </c>
      <c r="I39" s="8">
        <v>232</v>
      </c>
    </row>
    <row r="40" spans="1:9" ht="12.75" thickTop="1" x14ac:dyDescent="0.2">
      <c r="G40" s="16"/>
    </row>
  </sheetData>
  <phoneticPr fontId="0" type="noConversion"/>
  <pageMargins left="0.75" right="0.75" top="1" bottom="1" header="0.5" footer="0.5"/>
  <pageSetup orientation="portrait" horizontalDpi="360" verticalDpi="36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/>
  <dimension ref="A1:K40"/>
  <sheetViews>
    <sheetView workbookViewId="0">
      <selection activeCell="G14" sqref="G14"/>
    </sheetView>
  </sheetViews>
  <sheetFormatPr baseColWidth="10" defaultColWidth="9.140625" defaultRowHeight="12" x14ac:dyDescent="0.2"/>
  <cols>
    <col min="1" max="1" width="4.42578125" customWidth="1"/>
    <col min="2" max="6" width="9.140625" customWidth="1"/>
    <col min="7" max="7" width="15.5703125" bestFit="1" customWidth="1"/>
    <col min="8" max="8" width="9.140625" customWidth="1"/>
    <col min="9" max="9" width="5.140625" bestFit="1" customWidth="1"/>
    <col min="10" max="14" width="3.5703125" customWidth="1"/>
  </cols>
  <sheetData>
    <row r="1" spans="1:11" s="57" customFormat="1" ht="12.75" x14ac:dyDescent="0.2">
      <c r="A1" s="58" t="s">
        <v>115</v>
      </c>
    </row>
    <row r="2" spans="1:11" s="57" customFormat="1" ht="12.75" x14ac:dyDescent="0.2">
      <c r="A2" s="58" t="s">
        <v>114</v>
      </c>
    </row>
    <row r="3" spans="1:11" ht="15" x14ac:dyDescent="0.25">
      <c r="A3" s="13" t="s">
        <v>178</v>
      </c>
    </row>
    <row r="4" spans="1:11" x14ac:dyDescent="0.2">
      <c r="A4" t="s">
        <v>94</v>
      </c>
      <c r="C4">
        <f>RIGHT(A3,4)-1</f>
        <v>2006</v>
      </c>
    </row>
    <row r="6" spans="1:11" x14ac:dyDescent="0.2">
      <c r="A6" s="12" t="s">
        <v>92</v>
      </c>
      <c r="G6" s="16"/>
    </row>
    <row r="7" spans="1:11" x14ac:dyDescent="0.2">
      <c r="A7" s="1"/>
      <c r="G7" s="16"/>
    </row>
    <row r="8" spans="1:11" x14ac:dyDescent="0.2">
      <c r="A8" t="str">
        <f>A6&amp;" de Arrastre al 31/12/"&amp;RIGHT($C$4-1,2)</f>
        <v>Pérdida Tributaria de Arrastre al 31/12/05</v>
      </c>
      <c r="G8" s="16">
        <f>'AT06'!G16</f>
        <v>-1091321287</v>
      </c>
    </row>
    <row r="9" spans="1:11" ht="12.75" thickBot="1" x14ac:dyDescent="0.25">
      <c r="A9" s="14" t="s">
        <v>90</v>
      </c>
      <c r="B9" t="str">
        <f>"Reajuste "&amp;$C$4&amp;":"</f>
        <v>Reajuste 2006:</v>
      </c>
      <c r="D9" s="88">
        <v>2.1000000000000001E-2</v>
      </c>
      <c r="G9" s="16">
        <f>ROUND(G8*D9,0)</f>
        <v>-22917747</v>
      </c>
    </row>
    <row r="10" spans="1:11" ht="12.75" thickBot="1" x14ac:dyDescent="0.25">
      <c r="A10" t="str">
        <f>LEFT(A8,LEN(A8)-12)&amp;", reajustada"</f>
        <v>Pérdida Tributaria de Arrastre, reajustada</v>
      </c>
      <c r="G10" s="17">
        <f>SUM(G8:G9)</f>
        <v>-1114239034</v>
      </c>
      <c r="I10" s="8">
        <v>634</v>
      </c>
    </row>
    <row r="11" spans="1:11" x14ac:dyDescent="0.2">
      <c r="G11" s="23"/>
    </row>
    <row r="12" spans="1:11" ht="12.75" thickBot="1" x14ac:dyDescent="0.25">
      <c r="A12" s="14" t="s">
        <v>90</v>
      </c>
      <c r="B12" t="str">
        <f>"Utilidad Tributaria según balance al 31/12/"&amp;RIGHT($C$4,2)</f>
        <v>Utilidad Tributaria según balance al 31/12/06</v>
      </c>
      <c r="G12" s="59">
        <v>-474121810</v>
      </c>
    </row>
    <row r="13" spans="1:11" ht="12.75" thickBot="1" x14ac:dyDescent="0.25">
      <c r="A13" s="14" t="s">
        <v>90</v>
      </c>
      <c r="B13" s="47" t="s">
        <v>112</v>
      </c>
      <c r="C13" s="45"/>
      <c r="D13" s="45"/>
      <c r="E13" s="1"/>
      <c r="F13" s="1"/>
      <c r="G13" s="59">
        <v>0</v>
      </c>
      <c r="I13" s="8">
        <v>82</v>
      </c>
      <c r="K13" s="8">
        <v>769</v>
      </c>
    </row>
    <row r="14" spans="1:11" ht="12.75" thickBot="1" x14ac:dyDescent="0.25">
      <c r="A14" s="14" t="s">
        <v>90</v>
      </c>
      <c r="B14" s="47" t="s">
        <v>196</v>
      </c>
      <c r="C14" s="45"/>
      <c r="D14" s="45"/>
      <c r="E14" s="1"/>
      <c r="F14" s="1"/>
      <c r="G14" s="59">
        <v>498238414</v>
      </c>
      <c r="I14" s="8"/>
      <c r="K14" s="10"/>
    </row>
    <row r="15" spans="1:11" ht="12.75" thickBot="1" x14ac:dyDescent="0.25">
      <c r="A15" s="14" t="s">
        <v>97</v>
      </c>
      <c r="B15" s="47" t="s">
        <v>173</v>
      </c>
      <c r="C15" s="45"/>
      <c r="D15" s="45"/>
      <c r="E15" s="1"/>
      <c r="F15" s="1"/>
      <c r="G15" s="59">
        <v>22621726</v>
      </c>
      <c r="I15" s="8">
        <v>640</v>
      </c>
      <c r="K15" s="10"/>
    </row>
    <row r="16" spans="1:11" ht="12.75" thickBot="1" x14ac:dyDescent="0.25">
      <c r="A16" s="18" t="str">
        <f>A6&amp;" al 31/12/"&amp;RIGHT($C$4,2)</f>
        <v>Pérdida Tributaria al 31/12/06</v>
      </c>
      <c r="B16" s="18"/>
      <c r="C16" s="18"/>
      <c r="D16" s="18"/>
      <c r="E16" s="1"/>
      <c r="F16" s="1"/>
      <c r="G16" s="19">
        <f>SUM(G10:G14)-G15</f>
        <v>-1112744156</v>
      </c>
    </row>
    <row r="17" spans="1:9" ht="13.5" thickTop="1" thickBot="1" x14ac:dyDescent="0.25">
      <c r="A17" s="47"/>
      <c r="B17" s="47"/>
      <c r="C17" s="45"/>
      <c r="D17" s="45"/>
      <c r="E17" s="1"/>
      <c r="F17" s="1"/>
      <c r="G17" s="46"/>
    </row>
    <row r="18" spans="1:9" ht="12.75" thickBot="1" x14ac:dyDescent="0.25">
      <c r="A18" s="14" t="s">
        <v>97</v>
      </c>
      <c r="B18" t="s">
        <v>108</v>
      </c>
      <c r="G18" s="22">
        <v>0</v>
      </c>
      <c r="I18" s="8">
        <v>642</v>
      </c>
    </row>
    <row r="19" spans="1:9" ht="12.75" thickBot="1" x14ac:dyDescent="0.25">
      <c r="A19" s="15" t="s">
        <v>91</v>
      </c>
      <c r="B19" s="18" t="str">
        <f>"RLI del ejercicio "&amp;$C$4</f>
        <v>RLI del ejercicio 2006</v>
      </c>
      <c r="C19" s="18"/>
      <c r="D19" s="18"/>
      <c r="E19" s="1"/>
      <c r="F19" s="1"/>
      <c r="G19" s="19">
        <f>IF(G18&gt;0,"¡signo del dividendo!",SUM(G16:G18))</f>
        <v>-1112744156</v>
      </c>
      <c r="I19" s="8">
        <v>643</v>
      </c>
    </row>
    <row r="20" spans="1:9" ht="12.75" thickTop="1" x14ac:dyDescent="0.2">
      <c r="G20" s="16"/>
    </row>
    <row r="21" spans="1:9" x14ac:dyDescent="0.2">
      <c r="G21" s="16"/>
    </row>
    <row r="22" spans="1:9" x14ac:dyDescent="0.2">
      <c r="G22" s="16"/>
    </row>
    <row r="23" spans="1:9" x14ac:dyDescent="0.2">
      <c r="G23" s="16"/>
    </row>
    <row r="24" spans="1:9" x14ac:dyDescent="0.2">
      <c r="A24" s="12" t="s">
        <v>93</v>
      </c>
      <c r="G24" s="16"/>
    </row>
    <row r="25" spans="1:9" x14ac:dyDescent="0.2">
      <c r="G25" s="16"/>
    </row>
    <row r="26" spans="1:9" x14ac:dyDescent="0.2">
      <c r="A26" t="str">
        <f>"Saldo "&amp;A24&amp;RIGHT($A$8,12)</f>
        <v>Saldo F.U.T. al 31/12/05</v>
      </c>
      <c r="G26" s="16">
        <f>'AT06'!G39</f>
        <v>-1091321287.0000005</v>
      </c>
    </row>
    <row r="27" spans="1:9" ht="12.75" thickBot="1" x14ac:dyDescent="0.25">
      <c r="A27" s="14" t="s">
        <v>90</v>
      </c>
      <c r="B27" t="str">
        <f>B9</f>
        <v>Reajuste 2006:</v>
      </c>
      <c r="D27" s="21">
        <f>D9</f>
        <v>2.1000000000000001E-2</v>
      </c>
      <c r="G27" s="16">
        <f>ROUND(G26*D27,0)</f>
        <v>-22917747</v>
      </c>
    </row>
    <row r="28" spans="1:9" ht="12.75" thickBot="1" x14ac:dyDescent="0.25">
      <c r="A28" t="str">
        <f>LEFT(A26,LEN(A26)-12)&amp;", reajustado"</f>
        <v>Saldo F.U.T., reajustado</v>
      </c>
      <c r="G28" s="17">
        <f>SUM(G26:G27)</f>
        <v>-1114239034.0000005</v>
      </c>
      <c r="I28" s="8">
        <v>284</v>
      </c>
    </row>
    <row r="29" spans="1:9" ht="12.75" thickBot="1" x14ac:dyDescent="0.25">
      <c r="G29" s="23"/>
    </row>
    <row r="30" spans="1:9" ht="12.75" thickBot="1" x14ac:dyDescent="0.25">
      <c r="A30" s="14" t="s">
        <v>97</v>
      </c>
      <c r="B30" t="s">
        <v>98</v>
      </c>
      <c r="G30" s="23">
        <f>G19</f>
        <v>-1112744156</v>
      </c>
      <c r="I30" s="8">
        <v>229</v>
      </c>
    </row>
    <row r="31" spans="1:9" x14ac:dyDescent="0.2">
      <c r="A31" t="str">
        <f>"Subtotal "&amp;RIGHT(A26,LEN(A26)-6)</f>
        <v>Subtotal F.U.T. al 31/12/05</v>
      </c>
      <c r="G31" s="17">
        <f>SUM(G28:G30)</f>
        <v>-2226983190.0000005</v>
      </c>
    </row>
    <row r="32" spans="1:9" ht="12.75" thickBot="1" x14ac:dyDescent="0.25">
      <c r="G32" s="23"/>
    </row>
    <row r="33" spans="1:9" ht="12.75" thickBot="1" x14ac:dyDescent="0.25">
      <c r="A33" s="14" t="s">
        <v>97</v>
      </c>
      <c r="B33" t="s">
        <v>111</v>
      </c>
      <c r="G33" s="23"/>
      <c r="I33" s="8">
        <v>624</v>
      </c>
    </row>
    <row r="34" spans="1:9" x14ac:dyDescent="0.2">
      <c r="G34" s="23"/>
    </row>
    <row r="35" spans="1:9" x14ac:dyDescent="0.2">
      <c r="A35" s="14" t="s">
        <v>90</v>
      </c>
      <c r="B35" t="str">
        <f>A10</f>
        <v>Pérdida Tributaria de Arrastre, reajustada</v>
      </c>
      <c r="G35" s="16">
        <f>-G10</f>
        <v>1114239034</v>
      </c>
    </row>
    <row r="36" spans="1:9" ht="12.75" thickBot="1" x14ac:dyDescent="0.25">
      <c r="A36" s="14"/>
      <c r="G36" s="16"/>
    </row>
    <row r="37" spans="1:9" ht="12.75" thickBot="1" x14ac:dyDescent="0.25">
      <c r="A37" s="14" t="s">
        <v>90</v>
      </c>
      <c r="B37" t="s">
        <v>108</v>
      </c>
      <c r="G37" s="16">
        <f>-G18</f>
        <v>0</v>
      </c>
      <c r="I37" s="8">
        <v>642</v>
      </c>
    </row>
    <row r="38" spans="1:9" ht="12.75" thickBot="1" x14ac:dyDescent="0.25">
      <c r="A38" s="43" t="s">
        <v>109</v>
      </c>
      <c r="G38" s="42">
        <f>SUM(G35:G37)</f>
        <v>1114239034</v>
      </c>
      <c r="I38" s="8">
        <v>782</v>
      </c>
    </row>
    <row r="39" spans="1:9" ht="12.75" thickBot="1" x14ac:dyDescent="0.25">
      <c r="A39" s="18" t="str">
        <f>LEFT(A26,LEN(A26)-2)&amp;RIGHT($C$4,2)</f>
        <v>Saldo F.U.T. al 31/12/06</v>
      </c>
      <c r="B39" s="18"/>
      <c r="C39" s="18"/>
      <c r="D39" s="18"/>
      <c r="E39" s="1"/>
      <c r="F39" s="1"/>
      <c r="G39" s="19">
        <f>G31+G33+G38</f>
        <v>-1112744156.0000005</v>
      </c>
      <c r="I39" s="8">
        <v>232</v>
      </c>
    </row>
    <row r="40" spans="1:9" ht="12.75" thickTop="1" x14ac:dyDescent="0.2">
      <c r="G40" s="16"/>
    </row>
  </sheetData>
  <phoneticPr fontId="0" type="noConversion"/>
  <pageMargins left="0.75" right="0.75" top="1" bottom="1" header="0.5" footer="0.5"/>
  <pageSetup orientation="portrait" horizontalDpi="360" verticalDpi="36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/>
  <dimension ref="A1:K40"/>
  <sheetViews>
    <sheetView topLeftCell="A4" workbookViewId="0">
      <selection activeCell="B13" sqref="B13"/>
    </sheetView>
  </sheetViews>
  <sheetFormatPr baseColWidth="10" defaultColWidth="9.140625" defaultRowHeight="12" x14ac:dyDescent="0.2"/>
  <cols>
    <col min="1" max="1" width="4.42578125" customWidth="1"/>
    <col min="2" max="6" width="9.140625" customWidth="1"/>
    <col min="7" max="7" width="15.5703125" bestFit="1" customWidth="1"/>
    <col min="8" max="8" width="9.140625" customWidth="1"/>
    <col min="9" max="9" width="5.140625" bestFit="1" customWidth="1"/>
    <col min="10" max="14" width="3.5703125" customWidth="1"/>
  </cols>
  <sheetData>
    <row r="1" spans="1:11" s="57" customFormat="1" ht="12.75" x14ac:dyDescent="0.2">
      <c r="A1" s="58" t="s">
        <v>115</v>
      </c>
    </row>
    <row r="2" spans="1:11" s="57" customFormat="1" ht="12.75" x14ac:dyDescent="0.2">
      <c r="A2" s="58" t="s">
        <v>114</v>
      </c>
    </row>
    <row r="3" spans="1:11" ht="15" x14ac:dyDescent="0.25">
      <c r="A3" s="13" t="s">
        <v>155</v>
      </c>
    </row>
    <row r="4" spans="1:11" x14ac:dyDescent="0.2">
      <c r="A4" t="s">
        <v>94</v>
      </c>
      <c r="C4">
        <f>RIGHT(A3,4)-1</f>
        <v>2005</v>
      </c>
    </row>
    <row r="6" spans="1:11" x14ac:dyDescent="0.2">
      <c r="A6" s="12" t="s">
        <v>92</v>
      </c>
      <c r="G6" s="16"/>
    </row>
    <row r="7" spans="1:11" x14ac:dyDescent="0.2">
      <c r="A7" s="1"/>
      <c r="G7" s="16"/>
    </row>
    <row r="8" spans="1:11" x14ac:dyDescent="0.2">
      <c r="A8" t="str">
        <f>A6&amp;" de Arrastre al 31/12/"&amp;RIGHT($C$4-1,2)</f>
        <v>Pérdida Tributaria de Arrastre al 31/12/04</v>
      </c>
      <c r="G8" s="16">
        <f>'AT05'!G14</f>
        <v>-1054125314</v>
      </c>
    </row>
    <row r="9" spans="1:11" ht="12.75" thickBot="1" x14ac:dyDescent="0.25">
      <c r="A9" s="14" t="s">
        <v>90</v>
      </c>
      <c r="B9" t="str">
        <f>"Reajuste "&amp;$C$4&amp;":"</f>
        <v>Reajuste 2005:</v>
      </c>
      <c r="D9" s="88">
        <v>3.5999999999999997E-2</v>
      </c>
      <c r="G9" s="16">
        <f>ROUND(G8*D9,0)</f>
        <v>-37948511</v>
      </c>
    </row>
    <row r="10" spans="1:11" ht="12.75" thickBot="1" x14ac:dyDescent="0.25">
      <c r="A10" t="str">
        <f>LEFT(A8,LEN(A8)-12)&amp;", reajustada"</f>
        <v>Pérdida Tributaria de Arrastre, reajustada</v>
      </c>
      <c r="G10" s="17">
        <f>SUM(G8:G9)</f>
        <v>-1092073825</v>
      </c>
      <c r="I10" s="8">
        <v>634</v>
      </c>
    </row>
    <row r="11" spans="1:11" x14ac:dyDescent="0.2">
      <c r="G11" s="23"/>
    </row>
    <row r="12" spans="1:11" ht="12.75" thickBot="1" x14ac:dyDescent="0.25">
      <c r="A12" s="14" t="s">
        <v>90</v>
      </c>
      <c r="B12" t="str">
        <f>"Utilidad Tributaria según balance al 31/12/"&amp;RIGHT($C$4,2)</f>
        <v>Utilidad Tributaria según balance al 31/12/05</v>
      </c>
      <c r="G12" s="59">
        <v>45038770</v>
      </c>
    </row>
    <row r="13" spans="1:11" ht="12.75" thickBot="1" x14ac:dyDescent="0.25">
      <c r="A13" s="48" t="s">
        <v>90</v>
      </c>
      <c r="B13" s="47" t="s">
        <v>112</v>
      </c>
      <c r="C13" s="45"/>
      <c r="D13" s="45"/>
      <c r="E13" s="1"/>
      <c r="F13" s="1"/>
      <c r="G13" s="59">
        <v>0</v>
      </c>
      <c r="I13" s="8">
        <v>82</v>
      </c>
      <c r="K13" s="8">
        <v>769</v>
      </c>
    </row>
    <row r="14" spans="1:11" x14ac:dyDescent="0.2">
      <c r="A14" s="14" t="s">
        <v>90</v>
      </c>
      <c r="B14" s="47" t="s">
        <v>172</v>
      </c>
      <c r="C14" s="45"/>
      <c r="D14" s="45"/>
      <c r="E14" s="1"/>
      <c r="F14" s="1"/>
      <c r="G14" s="59">
        <v>66889433</v>
      </c>
      <c r="I14" s="10"/>
      <c r="K14" s="10"/>
    </row>
    <row r="15" spans="1:11" x14ac:dyDescent="0.2">
      <c r="A15" s="14" t="s">
        <v>97</v>
      </c>
      <c r="B15" s="47" t="s">
        <v>173</v>
      </c>
      <c r="C15" s="45"/>
      <c r="D15" s="45"/>
      <c r="E15" s="1"/>
      <c r="F15" s="1"/>
      <c r="G15" s="59">
        <v>111175665</v>
      </c>
      <c r="I15" s="10"/>
      <c r="K15" s="10"/>
    </row>
    <row r="16" spans="1:11" ht="12.75" thickBot="1" x14ac:dyDescent="0.25">
      <c r="A16" s="18" t="str">
        <f>A6&amp;" al 31/12/"&amp;RIGHT($C$4,2)</f>
        <v>Pérdida Tributaria al 31/12/05</v>
      </c>
      <c r="B16" s="18"/>
      <c r="C16" s="18"/>
      <c r="D16" s="18"/>
      <c r="E16" s="1"/>
      <c r="F16" s="1"/>
      <c r="G16" s="19">
        <f>SUM(G10:G14)-G15</f>
        <v>-1091321287</v>
      </c>
    </row>
    <row r="17" spans="1:9" ht="13.5" thickTop="1" thickBot="1" x14ac:dyDescent="0.25">
      <c r="A17" s="47"/>
      <c r="B17" s="47"/>
      <c r="C17" s="45"/>
      <c r="D17" s="45"/>
      <c r="E17" s="1"/>
      <c r="F17" s="1"/>
      <c r="G17" s="46"/>
    </row>
    <row r="18" spans="1:9" ht="12.75" thickBot="1" x14ac:dyDescent="0.25">
      <c r="A18" s="14" t="s">
        <v>97</v>
      </c>
      <c r="B18" t="s">
        <v>108</v>
      </c>
      <c r="G18" s="22">
        <v>0</v>
      </c>
      <c r="I18" s="8">
        <v>642</v>
      </c>
    </row>
    <row r="19" spans="1:9" ht="12.75" thickBot="1" x14ac:dyDescent="0.25">
      <c r="A19" s="15" t="s">
        <v>91</v>
      </c>
      <c r="B19" s="18" t="str">
        <f>"RLI del ejercicio "&amp;$C$4</f>
        <v>RLI del ejercicio 2005</v>
      </c>
      <c r="C19" s="18"/>
      <c r="D19" s="18"/>
      <c r="E19" s="1"/>
      <c r="F19" s="1"/>
      <c r="G19" s="19">
        <f>IF(G18&gt;0,"¡signo del dividendo!",SUM(G16:G18))</f>
        <v>-1091321287</v>
      </c>
      <c r="I19" s="8">
        <v>643</v>
      </c>
    </row>
    <row r="20" spans="1:9" ht="12.75" thickTop="1" x14ac:dyDescent="0.2">
      <c r="G20" s="16"/>
    </row>
    <row r="21" spans="1:9" x14ac:dyDescent="0.2">
      <c r="G21" s="16"/>
    </row>
    <row r="22" spans="1:9" x14ac:dyDescent="0.2">
      <c r="G22" s="16"/>
    </row>
    <row r="23" spans="1:9" x14ac:dyDescent="0.2">
      <c r="G23" s="16"/>
    </row>
    <row r="24" spans="1:9" x14ac:dyDescent="0.2">
      <c r="A24" s="12" t="s">
        <v>93</v>
      </c>
      <c r="G24" s="16"/>
    </row>
    <row r="25" spans="1:9" x14ac:dyDescent="0.2">
      <c r="G25" s="16"/>
    </row>
    <row r="26" spans="1:9" x14ac:dyDescent="0.2">
      <c r="A26" t="str">
        <f>"Saldo "&amp;A24&amp;RIGHT($A$8,12)</f>
        <v>Saldo F.U.T. al 31/12/04</v>
      </c>
      <c r="G26" s="16">
        <f>'AT05'!G37</f>
        <v>-1054125314.0000005</v>
      </c>
    </row>
    <row r="27" spans="1:9" ht="12.75" thickBot="1" x14ac:dyDescent="0.25">
      <c r="A27" s="14" t="s">
        <v>90</v>
      </c>
      <c r="B27" t="str">
        <f>B9</f>
        <v>Reajuste 2005:</v>
      </c>
      <c r="D27" s="21">
        <f>D9</f>
        <v>3.5999999999999997E-2</v>
      </c>
      <c r="G27" s="16">
        <f>ROUND(G26*D27,0)</f>
        <v>-37948511</v>
      </c>
    </row>
    <row r="28" spans="1:9" ht="12.75" thickBot="1" x14ac:dyDescent="0.25">
      <c r="A28" t="str">
        <f>LEFT(A26,LEN(A26)-12)&amp;", reajustado"</f>
        <v>Saldo F.U.T., reajustado</v>
      </c>
      <c r="G28" s="17">
        <f>SUM(G26:G27)</f>
        <v>-1092073825.0000005</v>
      </c>
      <c r="I28" s="8">
        <v>284</v>
      </c>
    </row>
    <row r="29" spans="1:9" ht="12.75" thickBot="1" x14ac:dyDescent="0.25">
      <c r="G29" s="23"/>
    </row>
    <row r="30" spans="1:9" ht="12.75" thickBot="1" x14ac:dyDescent="0.25">
      <c r="A30" s="14" t="s">
        <v>97</v>
      </c>
      <c r="B30" t="s">
        <v>98</v>
      </c>
      <c r="G30" s="23">
        <f>G19</f>
        <v>-1091321287</v>
      </c>
      <c r="I30" s="8">
        <v>229</v>
      </c>
    </row>
    <row r="31" spans="1:9" x14ac:dyDescent="0.2">
      <c r="A31" t="str">
        <f>"Subtotal "&amp;RIGHT(A26,LEN(A26)-6)</f>
        <v>Subtotal F.U.T. al 31/12/04</v>
      </c>
      <c r="G31" s="17">
        <f>SUM(G28:G30)</f>
        <v>-2183395112.0000005</v>
      </c>
    </row>
    <row r="32" spans="1:9" x14ac:dyDescent="0.2">
      <c r="G32" s="23"/>
    </row>
    <row r="33" spans="1:9" x14ac:dyDescent="0.2">
      <c r="A33" s="14" t="s">
        <v>97</v>
      </c>
      <c r="B33" t="s">
        <v>111</v>
      </c>
      <c r="G33" s="23"/>
    </row>
    <row r="34" spans="1:9" x14ac:dyDescent="0.2">
      <c r="G34" s="23"/>
    </row>
    <row r="35" spans="1:9" x14ac:dyDescent="0.2">
      <c r="A35" s="14" t="s">
        <v>90</v>
      </c>
      <c r="B35" t="str">
        <f>A10</f>
        <v>Pérdida Tributaria de Arrastre, reajustada</v>
      </c>
      <c r="G35" s="16">
        <f>-G10</f>
        <v>1092073825</v>
      </c>
    </row>
    <row r="36" spans="1:9" ht="12.75" thickBot="1" x14ac:dyDescent="0.25">
      <c r="A36" s="14"/>
      <c r="G36" s="16"/>
    </row>
    <row r="37" spans="1:9" ht="12.75" thickBot="1" x14ac:dyDescent="0.25">
      <c r="A37" s="14" t="s">
        <v>90</v>
      </c>
      <c r="B37" t="s">
        <v>108</v>
      </c>
      <c r="G37" s="16">
        <f>-G18</f>
        <v>0</v>
      </c>
      <c r="I37" s="8">
        <v>642</v>
      </c>
    </row>
    <row r="38" spans="1:9" ht="12.75" thickBot="1" x14ac:dyDescent="0.25">
      <c r="A38" s="43" t="s">
        <v>109</v>
      </c>
      <c r="G38" s="42">
        <f>SUM(G35:G37)</f>
        <v>1092073825</v>
      </c>
      <c r="I38" s="8">
        <v>782</v>
      </c>
    </row>
    <row r="39" spans="1:9" ht="12.75" thickBot="1" x14ac:dyDescent="0.25">
      <c r="A39" s="18" t="str">
        <f>LEFT(A26,LEN(A26)-2)&amp;RIGHT($C$4,2)</f>
        <v>Saldo F.U.T. al 31/12/05</v>
      </c>
      <c r="B39" s="18"/>
      <c r="C39" s="18"/>
      <c r="D39" s="18"/>
      <c r="E39" s="1"/>
      <c r="F39" s="1"/>
      <c r="G39" s="19">
        <f>G31+G33+G38</f>
        <v>-1091321287.0000005</v>
      </c>
      <c r="I39" s="8">
        <v>232</v>
      </c>
    </row>
    <row r="40" spans="1:9" ht="12.75" thickTop="1" x14ac:dyDescent="0.2">
      <c r="G40" s="16"/>
    </row>
  </sheetData>
  <phoneticPr fontId="0" type="noConversion"/>
  <pageMargins left="0.75" right="0.75" top="1" bottom="1" header="0.5" footer="0.5"/>
  <pageSetup orientation="portrait" horizontalDpi="360" verticalDpi="360" copies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101"/>
  <sheetViews>
    <sheetView topLeftCell="A70" workbookViewId="0">
      <selection activeCell="G77" sqref="G77"/>
    </sheetView>
  </sheetViews>
  <sheetFormatPr baseColWidth="10" defaultColWidth="9.140625" defaultRowHeight="12" x14ac:dyDescent="0.2"/>
  <cols>
    <col min="1" max="1" width="13.85546875" style="134" customWidth="1"/>
    <col min="2" max="2" width="45" style="126" customWidth="1"/>
    <col min="3" max="3" width="5.28515625" style="80" customWidth="1"/>
    <col min="4" max="4" width="1.85546875" style="131" customWidth="1"/>
    <col min="5" max="5" width="15.7109375" style="124" customWidth="1"/>
    <col min="6" max="6" width="3" style="126" customWidth="1"/>
    <col min="7" max="7" width="11.5703125" style="78" customWidth="1"/>
    <col min="8" max="8" width="9.140625" style="126" customWidth="1"/>
    <col min="9" max="9" width="13.42578125" style="126" customWidth="1"/>
    <col min="10" max="10" width="10.42578125" style="126" customWidth="1"/>
    <col min="11" max="11" width="13.7109375" style="126" customWidth="1"/>
    <col min="12" max="12" width="13.28515625" style="126" customWidth="1"/>
    <col min="13" max="13" width="14.85546875" style="126" customWidth="1"/>
    <col min="14" max="16384" width="9.140625" style="126"/>
  </cols>
  <sheetData>
    <row r="1" spans="1:14" s="79" customFormat="1" ht="12.75" x14ac:dyDescent="0.2">
      <c r="A1" s="129" t="s">
        <v>115</v>
      </c>
      <c r="D1" s="129"/>
    </row>
    <row r="2" spans="1:14" s="79" customFormat="1" ht="12.75" x14ac:dyDescent="0.2">
      <c r="A2" s="129" t="s">
        <v>114</v>
      </c>
      <c r="D2" s="129"/>
    </row>
    <row r="3" spans="1:14" ht="12.75" x14ac:dyDescent="0.2">
      <c r="A3" s="130" t="str">
        <f>'AT13'!A3</f>
        <v>AÑO TRIBUTARIO 2013</v>
      </c>
    </row>
    <row r="4" spans="1:14" x14ac:dyDescent="0.2">
      <c r="A4" s="132" t="s">
        <v>0</v>
      </c>
      <c r="L4" s="133"/>
      <c r="M4" s="133"/>
      <c r="N4" s="133"/>
    </row>
    <row r="5" spans="1:14" ht="12.75" thickBot="1" x14ac:dyDescent="0.25">
      <c r="A5" s="134" t="s">
        <v>1</v>
      </c>
      <c r="B5" s="126" t="s">
        <v>2</v>
      </c>
      <c r="C5" s="81" t="s">
        <v>3</v>
      </c>
      <c r="E5" s="134" t="s">
        <v>4</v>
      </c>
      <c r="L5" s="135"/>
      <c r="M5" s="135"/>
      <c r="N5" s="133"/>
    </row>
    <row r="6" spans="1:14" ht="12.75" thickBot="1" x14ac:dyDescent="0.25">
      <c r="B6" s="126" t="s">
        <v>5</v>
      </c>
      <c r="C6" s="82" t="s">
        <v>6</v>
      </c>
      <c r="E6" s="124" t="str">
        <f>A2</f>
        <v>86.132.100-2</v>
      </c>
      <c r="L6" s="135"/>
      <c r="M6" s="135"/>
      <c r="N6" s="133"/>
    </row>
    <row r="7" spans="1:14" ht="12.75" thickBot="1" x14ac:dyDescent="0.25">
      <c r="B7" s="126" t="s">
        <v>7</v>
      </c>
      <c r="C7" s="82" t="s">
        <v>8</v>
      </c>
      <c r="E7" s="124" t="str">
        <f>A1</f>
        <v>DEMARKA S.A.</v>
      </c>
      <c r="L7" s="135"/>
      <c r="M7" s="135"/>
      <c r="N7" s="133"/>
    </row>
    <row r="8" spans="1:14" s="137" customFormat="1" ht="12.75" thickBot="1" x14ac:dyDescent="0.25">
      <c r="A8" s="136">
        <v>34</v>
      </c>
      <c r="B8" s="137" t="s">
        <v>104</v>
      </c>
      <c r="C8" s="83">
        <v>18</v>
      </c>
      <c r="D8" s="138"/>
      <c r="E8" s="166">
        <f>IF(E52&gt;0,E52,"PERDIDA")</f>
        <v>344351749</v>
      </c>
      <c r="L8" s="139"/>
      <c r="M8" s="139"/>
      <c r="N8" s="93"/>
    </row>
    <row r="9" spans="1:14" s="137" customFormat="1" ht="12.75" thickBot="1" x14ac:dyDescent="0.25">
      <c r="A9" s="136"/>
      <c r="B9" s="93" t="s">
        <v>179</v>
      </c>
      <c r="C9" s="83">
        <v>19</v>
      </c>
      <c r="D9" s="138"/>
      <c r="E9" s="157">
        <v>0</v>
      </c>
      <c r="L9" s="139"/>
      <c r="M9" s="139"/>
      <c r="N9" s="93"/>
    </row>
    <row r="10" spans="1:14" s="137" customFormat="1" ht="12.75" thickBot="1" x14ac:dyDescent="0.25">
      <c r="A10" s="136"/>
      <c r="B10" s="137" t="s">
        <v>105</v>
      </c>
      <c r="C10" s="83">
        <v>20</v>
      </c>
      <c r="D10" s="138"/>
      <c r="E10" s="166">
        <f>MAX(ROUND(20%*E52-E9,0),0)</f>
        <v>68870350</v>
      </c>
      <c r="L10" s="139"/>
      <c r="M10" s="139"/>
      <c r="N10" s="93"/>
    </row>
    <row r="11" spans="1:14" s="137" customFormat="1" ht="12.75" thickBot="1" x14ac:dyDescent="0.25">
      <c r="A11" s="136">
        <v>48</v>
      </c>
      <c r="B11" s="137" t="s">
        <v>112</v>
      </c>
      <c r="C11" s="83">
        <v>82</v>
      </c>
      <c r="D11" s="138"/>
      <c r="E11" s="71">
        <v>5000000</v>
      </c>
      <c r="F11" s="71"/>
      <c r="L11" s="139"/>
      <c r="M11" s="139"/>
      <c r="N11" s="93"/>
    </row>
    <row r="12" spans="1:14" s="137" customFormat="1" ht="12.75" thickBot="1" x14ac:dyDescent="0.25">
      <c r="A12" s="136"/>
      <c r="B12" s="156" t="s">
        <v>220</v>
      </c>
      <c r="C12" s="83">
        <v>36</v>
      </c>
      <c r="D12" s="138"/>
      <c r="E12" s="71">
        <v>61999758</v>
      </c>
      <c r="F12" s="71"/>
      <c r="L12" s="139"/>
      <c r="M12" s="139"/>
      <c r="N12" s="93"/>
    </row>
    <row r="13" spans="1:14" s="137" customFormat="1" ht="12.75" thickBot="1" x14ac:dyDescent="0.25">
      <c r="A13" s="136">
        <v>52</v>
      </c>
      <c r="B13" s="137" t="s">
        <v>106</v>
      </c>
      <c r="C13" s="83">
        <v>167</v>
      </c>
      <c r="D13" s="138"/>
      <c r="E13" s="166">
        <f>E88</f>
        <v>0</v>
      </c>
      <c r="L13" s="139"/>
      <c r="M13" s="139"/>
      <c r="N13" s="93"/>
    </row>
    <row r="14" spans="1:14" s="137" customFormat="1" ht="12.75" thickBot="1" x14ac:dyDescent="0.25">
      <c r="A14" s="136"/>
      <c r="B14" s="137" t="s">
        <v>107</v>
      </c>
      <c r="C14" s="83">
        <v>747</v>
      </c>
      <c r="D14" s="138"/>
      <c r="E14" s="166">
        <f>E13</f>
        <v>0</v>
      </c>
      <c r="L14" s="139"/>
      <c r="M14" s="139"/>
      <c r="N14" s="93"/>
    </row>
    <row r="15" spans="1:14" ht="12.75" thickBot="1" x14ac:dyDescent="0.25">
      <c r="A15" s="134">
        <v>55</v>
      </c>
      <c r="B15" s="126" t="s">
        <v>9</v>
      </c>
      <c r="C15" s="82">
        <v>305</v>
      </c>
      <c r="E15" s="167">
        <f>E10-E11-E14-E12</f>
        <v>1870592</v>
      </c>
      <c r="L15" s="135"/>
      <c r="M15" s="135"/>
      <c r="N15" s="133"/>
    </row>
    <row r="16" spans="1:14" ht="12.75" thickBot="1" x14ac:dyDescent="0.25">
      <c r="A16" s="134">
        <v>56</v>
      </c>
      <c r="B16" s="126" t="str">
        <f>IF(E15&gt;0,"Impuesto Adeudado","SALDO A FAVOR")</f>
        <v>Impuesto Adeudado</v>
      </c>
      <c r="C16" s="82">
        <f>IF(E15&gt;0,90,85)</f>
        <v>90</v>
      </c>
      <c r="E16" s="167">
        <f>ABS(E15)</f>
        <v>1870592</v>
      </c>
      <c r="L16" s="135"/>
      <c r="M16" s="135"/>
      <c r="N16" s="133"/>
    </row>
    <row r="17" spans="1:14" ht="12.75" thickBot="1" x14ac:dyDescent="0.25">
      <c r="A17" s="134">
        <f>IF(E15&gt;0,59,"")</f>
        <v>59</v>
      </c>
      <c r="B17" s="140">
        <f>IF($E$15&gt;0,2.1%,"")</f>
        <v>2.1000000000000001E-2</v>
      </c>
      <c r="C17" s="82">
        <f>IF($E$15&gt;0,39,"")</f>
        <v>39</v>
      </c>
      <c r="E17" s="167">
        <f>IF($E$15&gt;0,ROUND(B17*E16,0),"")</f>
        <v>39282</v>
      </c>
      <c r="L17" s="135"/>
      <c r="M17" s="135"/>
      <c r="N17" s="133"/>
    </row>
    <row r="18" spans="1:14" ht="12.75" thickBot="1" x14ac:dyDescent="0.25">
      <c r="A18" s="134">
        <v>58</v>
      </c>
      <c r="B18" s="126" t="str">
        <f>IF($E$15&gt;0,"TOTAL A PAGAR","DEVOLUCION SOLICITADA")</f>
        <v>TOTAL A PAGAR</v>
      </c>
      <c r="C18" s="82">
        <f>IF($E$15&gt;0,91,87)</f>
        <v>91</v>
      </c>
      <c r="E18" s="167">
        <f>SUM(E16:E17)</f>
        <v>1909874</v>
      </c>
      <c r="G18" s="78">
        <v>376244</v>
      </c>
      <c r="L18" s="135"/>
      <c r="M18" s="135"/>
      <c r="N18" s="133"/>
    </row>
    <row r="19" spans="1:14" ht="12.75" thickBot="1" x14ac:dyDescent="0.25">
      <c r="B19" s="126" t="str">
        <f>IF($E$15&gt;0,"","Nombre Institución Bancaria")</f>
        <v/>
      </c>
      <c r="C19" s="82" t="str">
        <f>IF($E$15&gt;0,"",301)</f>
        <v/>
      </c>
      <c r="E19" s="73" t="s">
        <v>208</v>
      </c>
      <c r="L19" s="135"/>
      <c r="M19" s="135"/>
      <c r="N19" s="133"/>
    </row>
    <row r="20" spans="1:14" ht="12.75" thickBot="1" x14ac:dyDescent="0.25">
      <c r="B20" s="126" t="str">
        <f>IF($E$15&gt;0,"","Número de Cuenta")</f>
        <v/>
      </c>
      <c r="C20" s="82" t="str">
        <f>IF($E$15&gt;0,"",306)</f>
        <v/>
      </c>
      <c r="E20" s="73">
        <v>1800188107</v>
      </c>
      <c r="L20" s="135"/>
      <c r="M20" s="135"/>
      <c r="N20" s="133"/>
    </row>
    <row r="21" spans="1:14" x14ac:dyDescent="0.2">
      <c r="C21" s="84"/>
      <c r="E21" s="71"/>
      <c r="L21" s="135"/>
      <c r="M21" s="135"/>
      <c r="N21" s="133"/>
    </row>
    <row r="22" spans="1:14" ht="12.75" thickBot="1" x14ac:dyDescent="0.25">
      <c r="A22" s="132" t="s">
        <v>10</v>
      </c>
      <c r="L22" s="135"/>
      <c r="M22" s="135"/>
      <c r="N22" s="133"/>
    </row>
    <row r="23" spans="1:14" ht="12.75" thickBot="1" x14ac:dyDescent="0.25">
      <c r="B23" s="126" t="s">
        <v>11</v>
      </c>
      <c r="C23" s="82" t="s">
        <v>12</v>
      </c>
      <c r="E23" s="124" t="s">
        <v>13</v>
      </c>
      <c r="L23" s="135"/>
      <c r="M23" s="135"/>
      <c r="N23" s="133"/>
    </row>
    <row r="24" spans="1:14" ht="12.75" thickBot="1" x14ac:dyDescent="0.25">
      <c r="B24" s="126" t="s">
        <v>14</v>
      </c>
      <c r="C24" s="82" t="s">
        <v>15</v>
      </c>
      <c r="E24" s="124" t="s">
        <v>16</v>
      </c>
      <c r="L24" s="135"/>
      <c r="M24" s="135"/>
      <c r="N24" s="133"/>
    </row>
    <row r="25" spans="1:14" ht="12.75" thickBot="1" x14ac:dyDescent="0.25">
      <c r="B25" s="126" t="s">
        <v>17</v>
      </c>
      <c r="C25" s="82">
        <v>53</v>
      </c>
      <c r="E25" s="134">
        <v>13</v>
      </c>
      <c r="L25" s="135"/>
      <c r="M25" s="135"/>
      <c r="N25" s="133"/>
    </row>
    <row r="26" spans="1:14" ht="12.75" thickBot="1" x14ac:dyDescent="0.25">
      <c r="B26" s="126" t="s">
        <v>18</v>
      </c>
      <c r="C26" s="82">
        <v>13</v>
      </c>
      <c r="E26" s="141" t="s">
        <v>117</v>
      </c>
      <c r="I26" s="142"/>
      <c r="L26" s="133"/>
      <c r="M26" s="133"/>
      <c r="N26" s="133"/>
    </row>
    <row r="27" spans="1:14" ht="12.75" thickBot="1" x14ac:dyDescent="0.25">
      <c r="B27" s="126" t="s">
        <v>19</v>
      </c>
      <c r="C27" s="82">
        <v>14</v>
      </c>
      <c r="E27" s="128">
        <v>61911</v>
      </c>
      <c r="I27" s="142"/>
      <c r="J27" s="142"/>
      <c r="K27" s="142"/>
      <c r="L27" s="133"/>
      <c r="M27" s="133"/>
      <c r="N27" s="133"/>
    </row>
    <row r="28" spans="1:14" ht="12.75" thickBot="1" x14ac:dyDescent="0.25">
      <c r="B28" s="126" t="s">
        <v>20</v>
      </c>
      <c r="C28" s="82" t="s">
        <v>21</v>
      </c>
      <c r="E28" s="134" t="s">
        <v>213</v>
      </c>
      <c r="I28" s="142"/>
      <c r="L28" s="133"/>
      <c r="M28" s="133"/>
      <c r="N28" s="133"/>
    </row>
    <row r="29" spans="1:14" ht="12.75" thickBot="1" x14ac:dyDescent="0.25">
      <c r="B29" s="126" t="s">
        <v>22</v>
      </c>
      <c r="C29" s="82">
        <v>48</v>
      </c>
      <c r="E29" s="134" t="s">
        <v>214</v>
      </c>
      <c r="I29" s="142"/>
      <c r="J29" s="142"/>
      <c r="K29" s="133"/>
      <c r="L29" s="135"/>
      <c r="M29" s="133"/>
      <c r="N29" s="133"/>
    </row>
    <row r="30" spans="1:14" ht="13.5" thickBot="1" x14ac:dyDescent="0.25">
      <c r="B30" s="126" t="s">
        <v>23</v>
      </c>
      <c r="C30" s="82">
        <v>55</v>
      </c>
      <c r="E30" s="143" t="s">
        <v>154</v>
      </c>
      <c r="I30" s="142"/>
      <c r="J30" s="142"/>
      <c r="K30" s="133"/>
      <c r="L30" s="133"/>
      <c r="M30" s="133"/>
      <c r="N30" s="133"/>
    </row>
    <row r="31" spans="1:14" ht="12.75" thickBot="1" x14ac:dyDescent="0.25">
      <c r="B31" s="126" t="s">
        <v>24</v>
      </c>
      <c r="C31" s="82">
        <v>614</v>
      </c>
      <c r="E31" s="134" t="s">
        <v>25</v>
      </c>
      <c r="K31" s="133"/>
      <c r="L31" s="133"/>
      <c r="M31" s="133"/>
      <c r="N31" s="133"/>
    </row>
    <row r="32" spans="1:14" x14ac:dyDescent="0.2">
      <c r="I32" s="142"/>
      <c r="K32" s="133"/>
      <c r="L32" s="133"/>
      <c r="M32" s="133"/>
      <c r="N32" s="133"/>
    </row>
    <row r="33" spans="1:14" ht="12.75" thickBot="1" x14ac:dyDescent="0.25">
      <c r="A33" s="132" t="s">
        <v>138</v>
      </c>
      <c r="B33" s="126" t="s">
        <v>27</v>
      </c>
      <c r="E33" s="69"/>
      <c r="K33" s="133"/>
      <c r="L33" s="133"/>
      <c r="M33" s="133"/>
      <c r="N33" s="133"/>
    </row>
    <row r="34" spans="1:14" ht="12.75" thickBot="1" x14ac:dyDescent="0.25">
      <c r="A34" s="132"/>
      <c r="B34" s="126" t="s">
        <v>28</v>
      </c>
      <c r="C34" s="82">
        <v>628</v>
      </c>
      <c r="D34" s="131" t="s">
        <v>125</v>
      </c>
      <c r="E34" s="176">
        <v>4476979712</v>
      </c>
      <c r="G34" s="78" t="s">
        <v>101</v>
      </c>
      <c r="I34" s="142"/>
      <c r="K34" s="135"/>
      <c r="L34" s="135"/>
      <c r="M34" s="135"/>
      <c r="N34" s="135"/>
    </row>
    <row r="35" spans="1:14" ht="12.75" thickBot="1" x14ac:dyDescent="0.25">
      <c r="A35" s="132"/>
      <c r="B35" s="126" t="s">
        <v>29</v>
      </c>
      <c r="C35" s="82">
        <v>629</v>
      </c>
      <c r="D35" s="131" t="s">
        <v>125</v>
      </c>
      <c r="E35" s="60">
        <f>3174325+625498</f>
        <v>3799823</v>
      </c>
      <c r="G35" s="78" t="s">
        <v>83</v>
      </c>
      <c r="K35" s="133"/>
      <c r="L35" s="133"/>
      <c r="M35" s="135"/>
      <c r="N35" s="133"/>
    </row>
    <row r="36" spans="1:14" ht="12.75" thickBot="1" x14ac:dyDescent="0.25">
      <c r="A36" s="132"/>
      <c r="B36" s="126" t="s">
        <v>30</v>
      </c>
      <c r="C36" s="82">
        <v>651</v>
      </c>
      <c r="D36" s="131" t="s">
        <v>125</v>
      </c>
      <c r="E36" s="60">
        <v>6493160</v>
      </c>
      <c r="G36" s="144"/>
      <c r="K36" s="135"/>
      <c r="L36" s="135"/>
      <c r="M36" s="135"/>
      <c r="N36" s="135"/>
    </row>
    <row r="37" spans="1:14" ht="12.75" thickBot="1" x14ac:dyDescent="0.25">
      <c r="A37" s="132"/>
      <c r="B37" s="126" t="s">
        <v>31</v>
      </c>
      <c r="C37" s="82">
        <v>630</v>
      </c>
      <c r="D37" s="131" t="s">
        <v>126</v>
      </c>
      <c r="E37" s="60">
        <f>2141092479+110913937</f>
        <v>2252006416</v>
      </c>
      <c r="G37" s="78" t="s">
        <v>80</v>
      </c>
      <c r="K37" s="135"/>
      <c r="L37" s="135"/>
      <c r="M37" s="135"/>
      <c r="N37" s="135"/>
    </row>
    <row r="38" spans="1:14" ht="12.75" thickBot="1" x14ac:dyDescent="0.25">
      <c r="A38" s="132"/>
      <c r="B38" s="126" t="s">
        <v>32</v>
      </c>
      <c r="C38" s="82">
        <v>631</v>
      </c>
      <c r="D38" s="131" t="s">
        <v>126</v>
      </c>
      <c r="E38" s="60">
        <v>974141282</v>
      </c>
      <c r="G38" s="78" t="s">
        <v>81</v>
      </c>
      <c r="K38" s="135"/>
      <c r="L38" s="135"/>
      <c r="M38" s="135"/>
      <c r="N38" s="135"/>
    </row>
    <row r="39" spans="1:14" ht="12.75" thickBot="1" x14ac:dyDescent="0.25">
      <c r="A39" s="132"/>
      <c r="B39" s="126" t="s">
        <v>33</v>
      </c>
      <c r="C39" s="82">
        <v>632</v>
      </c>
      <c r="D39" s="131" t="s">
        <v>126</v>
      </c>
      <c r="E39" s="60">
        <f>41456332+6401106+23079694+9827899</f>
        <v>80765031</v>
      </c>
      <c r="G39" s="78" t="s">
        <v>82</v>
      </c>
      <c r="K39" s="135"/>
      <c r="L39" s="135"/>
      <c r="M39" s="135"/>
      <c r="N39" s="135"/>
    </row>
    <row r="40" spans="1:14" ht="12.75" thickBot="1" x14ac:dyDescent="0.25">
      <c r="A40" s="132"/>
      <c r="B40" s="126" t="s">
        <v>34</v>
      </c>
      <c r="C40" s="82">
        <v>633</v>
      </c>
      <c r="D40" s="131" t="s">
        <v>126</v>
      </c>
      <c r="E40" s="60">
        <v>16407651</v>
      </c>
      <c r="G40" s="144"/>
      <c r="K40" s="135"/>
      <c r="L40" s="135"/>
      <c r="M40" s="135"/>
      <c r="N40" s="135"/>
    </row>
    <row r="41" spans="1:14" ht="12.75" thickBot="1" x14ac:dyDescent="0.25">
      <c r="A41" s="132"/>
      <c r="B41" s="126" t="s">
        <v>216</v>
      </c>
      <c r="C41" s="95">
        <v>792</v>
      </c>
      <c r="D41" s="131" t="s">
        <v>126</v>
      </c>
      <c r="E41" s="159">
        <v>0</v>
      </c>
      <c r="G41" s="144"/>
      <c r="K41" s="135"/>
      <c r="L41" s="135"/>
      <c r="M41" s="135"/>
      <c r="N41" s="135"/>
    </row>
    <row r="42" spans="1:14" ht="12.75" thickBot="1" x14ac:dyDescent="0.25">
      <c r="A42" s="132"/>
      <c r="B42" s="126" t="s">
        <v>35</v>
      </c>
      <c r="C42" s="95">
        <v>635</v>
      </c>
      <c r="D42" s="131" t="s">
        <v>126</v>
      </c>
      <c r="E42" s="172">
        <f>SUM(E34:E36)-SUM(E37:E41)-E44+E45-SUM('AT14'!G12:'AT14'!G15)</f>
        <v>787757643</v>
      </c>
      <c r="G42" s="78" t="s">
        <v>120</v>
      </c>
      <c r="K42" s="135"/>
      <c r="L42" s="135"/>
      <c r="M42" s="135"/>
      <c r="N42" s="135"/>
    </row>
    <row r="43" spans="1:14" ht="12.75" thickBot="1" x14ac:dyDescent="0.25">
      <c r="A43" s="132"/>
      <c r="B43" s="145" t="s">
        <v>36</v>
      </c>
      <c r="C43" s="82">
        <v>636</v>
      </c>
      <c r="D43" s="146" t="s">
        <v>127</v>
      </c>
      <c r="E43" s="168">
        <f>SUM(E34:E36)-SUM(E37:E42)</f>
        <v>376194672</v>
      </c>
      <c r="K43" s="135"/>
      <c r="L43" s="135"/>
      <c r="M43" s="135"/>
      <c r="N43" s="135"/>
    </row>
    <row r="44" spans="1:14" ht="12.75" thickBot="1" x14ac:dyDescent="0.25">
      <c r="A44" s="132"/>
      <c r="B44" s="126" t="s">
        <v>37</v>
      </c>
      <c r="C44" s="96">
        <v>637</v>
      </c>
      <c r="D44" s="131" t="s">
        <v>126</v>
      </c>
      <c r="E44" s="60">
        <v>36226665</v>
      </c>
      <c r="G44" s="78" t="s">
        <v>82</v>
      </c>
      <c r="I44" s="147"/>
      <c r="K44" s="135"/>
      <c r="L44" s="135"/>
      <c r="M44" s="135"/>
      <c r="N44" s="135"/>
    </row>
    <row r="45" spans="1:14" ht="12.75" thickBot="1" x14ac:dyDescent="0.25">
      <c r="A45" s="132"/>
      <c r="B45" s="126" t="s">
        <v>38</v>
      </c>
      <c r="C45" s="82">
        <v>638</v>
      </c>
      <c r="D45" s="131" t="s">
        <v>125</v>
      </c>
      <c r="E45" s="60">
        <v>4383742</v>
      </c>
      <c r="G45" s="78" t="s">
        <v>83</v>
      </c>
      <c r="K45" s="135"/>
      <c r="L45" s="135"/>
      <c r="M45" s="135"/>
      <c r="N45" s="135"/>
    </row>
    <row r="46" spans="1:14" ht="12.75" thickBot="1" x14ac:dyDescent="0.25">
      <c r="A46" s="132"/>
      <c r="B46" s="126" t="s">
        <v>180</v>
      </c>
      <c r="C46" s="82">
        <v>639</v>
      </c>
      <c r="D46" s="131" t="s">
        <v>125</v>
      </c>
      <c r="E46" s="159">
        <v>0</v>
      </c>
      <c r="I46" s="148"/>
      <c r="K46" s="135"/>
      <c r="L46" s="135"/>
      <c r="M46" s="135"/>
      <c r="N46" s="135"/>
    </row>
    <row r="47" spans="1:14" ht="12.75" thickBot="1" x14ac:dyDescent="0.25">
      <c r="A47" s="132"/>
      <c r="B47" s="126" t="s">
        <v>181</v>
      </c>
      <c r="C47" s="82">
        <v>634</v>
      </c>
      <c r="D47" s="131" t="s">
        <v>126</v>
      </c>
      <c r="E47" s="169">
        <f>-'AT14'!G10</f>
        <v>0</v>
      </c>
      <c r="I47" s="142"/>
      <c r="K47" s="135"/>
      <c r="L47" s="135"/>
      <c r="M47" s="135"/>
      <c r="N47" s="135"/>
    </row>
    <row r="48" spans="1:14" ht="12.75" thickBot="1" x14ac:dyDescent="0.25">
      <c r="A48" s="132"/>
      <c r="B48" s="126" t="s">
        <v>182</v>
      </c>
      <c r="C48" s="82">
        <v>640</v>
      </c>
      <c r="D48" s="131" t="s">
        <v>126</v>
      </c>
      <c r="E48" s="158">
        <f>'AT13'!G17</f>
        <v>0</v>
      </c>
      <c r="G48" s="78" t="s">
        <v>177</v>
      </c>
      <c r="I48" s="142"/>
      <c r="K48" s="135"/>
      <c r="L48" s="135"/>
      <c r="M48" s="135"/>
      <c r="N48" s="135"/>
    </row>
    <row r="49" spans="1:14" ht="12.75" thickBot="1" x14ac:dyDescent="0.25">
      <c r="A49" s="132"/>
      <c r="B49" s="126" t="s">
        <v>183</v>
      </c>
      <c r="C49" s="82">
        <v>807</v>
      </c>
      <c r="D49" s="149" t="s">
        <v>126</v>
      </c>
      <c r="E49" s="159">
        <v>0</v>
      </c>
      <c r="I49" s="142"/>
      <c r="K49" s="135"/>
      <c r="L49" s="135"/>
      <c r="M49" s="135"/>
      <c r="N49" s="135"/>
    </row>
    <row r="50" spans="1:14" ht="12.75" thickBot="1" x14ac:dyDescent="0.25">
      <c r="A50" s="132"/>
      <c r="B50" s="126" t="s">
        <v>42</v>
      </c>
      <c r="C50" s="82">
        <v>641</v>
      </c>
      <c r="D50" s="131" t="s">
        <v>126</v>
      </c>
      <c r="E50" s="159">
        <v>0</v>
      </c>
      <c r="I50" s="142"/>
      <c r="M50" s="142"/>
    </row>
    <row r="51" spans="1:14" ht="12.75" thickBot="1" x14ac:dyDescent="0.25">
      <c r="A51" s="132"/>
      <c r="B51" s="126" t="s">
        <v>43</v>
      </c>
      <c r="C51" s="95">
        <v>642</v>
      </c>
      <c r="D51" s="131" t="s">
        <v>126</v>
      </c>
      <c r="E51" s="158">
        <v>0</v>
      </c>
      <c r="I51" s="142"/>
    </row>
    <row r="52" spans="1:14" ht="12.75" thickBot="1" x14ac:dyDescent="0.25">
      <c r="A52" s="132"/>
      <c r="B52" s="145" t="s">
        <v>44</v>
      </c>
      <c r="C52" s="82">
        <v>643</v>
      </c>
      <c r="D52" s="146" t="s">
        <v>127</v>
      </c>
      <c r="E52" s="168">
        <f>E43-E44+E45+E46-SUM(E47:E51)</f>
        <v>344351749</v>
      </c>
      <c r="I52" s="142"/>
    </row>
    <row r="53" spans="1:14" x14ac:dyDescent="0.2">
      <c r="E53" s="69"/>
      <c r="I53" s="142"/>
    </row>
    <row r="54" spans="1:14" ht="12.75" thickBot="1" x14ac:dyDescent="0.25">
      <c r="A54" s="132" t="s">
        <v>26</v>
      </c>
      <c r="B54" s="126" t="s">
        <v>47</v>
      </c>
      <c r="E54" s="69"/>
      <c r="I54" s="142"/>
      <c r="K54" s="148">
        <f>+E59+E61</f>
        <v>68322765</v>
      </c>
    </row>
    <row r="55" spans="1:14" ht="12.75" thickBot="1" x14ac:dyDescent="0.25">
      <c r="B55" s="126" t="s">
        <v>184</v>
      </c>
      <c r="C55" s="82">
        <v>101</v>
      </c>
      <c r="E55" s="60">
        <f>2410+610000+391354</f>
        <v>1003764</v>
      </c>
      <c r="G55" s="78" t="s">
        <v>84</v>
      </c>
      <c r="I55" s="142"/>
    </row>
    <row r="56" spans="1:14" ht="12.75" thickBot="1" x14ac:dyDescent="0.25">
      <c r="B56" s="126" t="s">
        <v>146</v>
      </c>
      <c r="C56" s="82">
        <v>784</v>
      </c>
      <c r="E56" s="60">
        <f>23232332+45028316+519555+1401028+155822+1195419+(1589.28*524.61)</f>
        <v>72366224.180800006</v>
      </c>
      <c r="I56" s="142"/>
      <c r="K56" s="126">
        <f>333084324-155691638</f>
        <v>177392686</v>
      </c>
    </row>
    <row r="57" spans="1:14" ht="12.75" thickBot="1" x14ac:dyDescent="0.25">
      <c r="B57" s="126" t="s">
        <v>187</v>
      </c>
      <c r="C57" s="82">
        <v>783</v>
      </c>
      <c r="E57" s="123">
        <v>0</v>
      </c>
      <c r="I57" s="142"/>
    </row>
    <row r="58" spans="1:14" ht="12.75" thickBot="1" x14ac:dyDescent="0.25">
      <c r="B58" s="126" t="s">
        <v>49</v>
      </c>
      <c r="C58" s="82">
        <v>129</v>
      </c>
      <c r="E58" s="60">
        <v>960282931</v>
      </c>
      <c r="G58" s="78" t="s">
        <v>84</v>
      </c>
      <c r="I58" s="142"/>
    </row>
    <row r="59" spans="1:14" ht="12.75" thickBot="1" x14ac:dyDescent="0.25">
      <c r="B59" s="126" t="s">
        <v>55</v>
      </c>
      <c r="C59" s="82">
        <v>647</v>
      </c>
      <c r="E59" s="60">
        <f>2833001+16+208038536+31432768-792167-160781436-8768839+2608436-27327098</f>
        <v>47243217</v>
      </c>
      <c r="G59" s="78" t="s">
        <v>143</v>
      </c>
      <c r="I59" s="142"/>
    </row>
    <row r="60" spans="1:14" ht="12.75" thickBot="1" x14ac:dyDescent="0.25">
      <c r="B60" s="126" t="s">
        <v>209</v>
      </c>
      <c r="C60" s="82">
        <v>785</v>
      </c>
      <c r="E60" s="60">
        <f>E39</f>
        <v>80765031</v>
      </c>
      <c r="G60" s="78" t="s">
        <v>211</v>
      </c>
      <c r="I60" s="142"/>
    </row>
    <row r="61" spans="1:14" ht="12.75" thickBot="1" x14ac:dyDescent="0.25">
      <c r="B61" s="126" t="s">
        <v>56</v>
      </c>
      <c r="C61" s="82">
        <v>648</v>
      </c>
      <c r="E61" s="60">
        <f>115398471-94318923</f>
        <v>21079548</v>
      </c>
      <c r="I61" s="142"/>
    </row>
    <row r="62" spans="1:14" ht="12.75" thickBot="1" x14ac:dyDescent="0.25">
      <c r="B62" s="126" t="s">
        <v>50</v>
      </c>
      <c r="C62" s="82">
        <v>122</v>
      </c>
      <c r="E62" s="60">
        <v>3442772725</v>
      </c>
      <c r="G62" s="78" t="s">
        <v>99</v>
      </c>
      <c r="I62" s="142"/>
    </row>
    <row r="63" spans="1:14" ht="12.75" thickBot="1" x14ac:dyDescent="0.25">
      <c r="B63" s="126" t="s">
        <v>51</v>
      </c>
      <c r="C63" s="82">
        <v>123</v>
      </c>
      <c r="E63" s="60">
        <v>3189952060</v>
      </c>
      <c r="G63" s="78" t="s">
        <v>100</v>
      </c>
      <c r="I63" s="142"/>
    </row>
    <row r="64" spans="1:14" ht="12.75" thickBot="1" x14ac:dyDescent="0.25">
      <c r="B64" s="126" t="s">
        <v>52</v>
      </c>
      <c r="C64" s="82">
        <v>102</v>
      </c>
      <c r="E64" s="60">
        <f>3442772725-0-291988463</f>
        <v>3150784262</v>
      </c>
      <c r="G64" s="78" t="s">
        <v>110</v>
      </c>
      <c r="I64" s="142"/>
    </row>
    <row r="65" spans="1:9" ht="12.75" thickBot="1" x14ac:dyDescent="0.25">
      <c r="B65" s="126" t="s">
        <v>53</v>
      </c>
      <c r="C65" s="82">
        <v>645</v>
      </c>
      <c r="E65" s="60">
        <f>+E64-1349588784</f>
        <v>1801195478</v>
      </c>
      <c r="G65" s="78" t="s">
        <v>102</v>
      </c>
      <c r="I65" s="142"/>
    </row>
    <row r="66" spans="1:9" ht="12.75" thickBot="1" x14ac:dyDescent="0.25">
      <c r="B66" s="126" t="s">
        <v>54</v>
      </c>
      <c r="C66" s="82">
        <v>646</v>
      </c>
      <c r="E66" s="159">
        <v>0</v>
      </c>
      <c r="I66" s="142"/>
    </row>
    <row r="67" spans="1:9" ht="12.75" thickBot="1" x14ac:dyDescent="0.25">
      <c r="B67" s="126" t="s">
        <v>200</v>
      </c>
      <c r="C67" s="82">
        <v>843</v>
      </c>
      <c r="E67" s="169">
        <f>E65</f>
        <v>1801195478</v>
      </c>
      <c r="I67" s="142"/>
    </row>
    <row r="68" spans="1:9" x14ac:dyDescent="0.2">
      <c r="I68" s="142"/>
    </row>
    <row r="69" spans="1:9" ht="12.75" thickBot="1" x14ac:dyDescent="0.25">
      <c r="A69" s="134" t="s">
        <v>201</v>
      </c>
      <c r="B69" s="126" t="s">
        <v>58</v>
      </c>
      <c r="I69" s="142"/>
    </row>
    <row r="70" spans="1:9" ht="12.75" thickBot="1" x14ac:dyDescent="0.25">
      <c r="B70" s="126" t="s">
        <v>147</v>
      </c>
      <c r="C70" s="82">
        <v>774</v>
      </c>
      <c r="D70" s="131" t="s">
        <v>125</v>
      </c>
      <c r="E70" s="174">
        <v>245931867</v>
      </c>
      <c r="G70" s="78">
        <v>240167839</v>
      </c>
      <c r="H70" s="126">
        <v>1.024</v>
      </c>
      <c r="I70" s="142">
        <f>+G70*H70</f>
        <v>245931867.13600001</v>
      </c>
    </row>
    <row r="71" spans="1:9" ht="12.75" thickBot="1" x14ac:dyDescent="0.25">
      <c r="B71" s="126" t="s">
        <v>148</v>
      </c>
      <c r="C71" s="82">
        <v>775</v>
      </c>
      <c r="D71" s="131" t="s">
        <v>125</v>
      </c>
      <c r="E71" s="174">
        <v>61482967</v>
      </c>
      <c r="G71" s="78">
        <v>60041960</v>
      </c>
      <c r="H71" s="126">
        <v>1.024</v>
      </c>
      <c r="I71" s="142">
        <f>+G71*H71</f>
        <v>61482967.039999999</v>
      </c>
    </row>
    <row r="72" spans="1:9" ht="12.75" thickBot="1" x14ac:dyDescent="0.25">
      <c r="B72" s="126" t="s">
        <v>60</v>
      </c>
      <c r="C72" s="82">
        <v>284</v>
      </c>
      <c r="D72" s="131" t="s">
        <v>126</v>
      </c>
      <c r="E72" s="169">
        <f>-'AT14'!G30</f>
        <v>-92198109.999999523</v>
      </c>
      <c r="I72" s="142"/>
    </row>
    <row r="73" spans="1:9" ht="12.75" thickBot="1" x14ac:dyDescent="0.25">
      <c r="B73" s="126" t="s">
        <v>61</v>
      </c>
      <c r="C73" s="82">
        <v>225</v>
      </c>
      <c r="D73" s="131" t="s">
        <v>125</v>
      </c>
      <c r="E73" s="167">
        <f>MAX(E52,0)</f>
        <v>344351749</v>
      </c>
      <c r="I73" s="142"/>
    </row>
    <row r="74" spans="1:9" ht="12.75" thickBot="1" x14ac:dyDescent="0.25">
      <c r="B74" s="126" t="s">
        <v>62</v>
      </c>
      <c r="C74" s="82">
        <v>229</v>
      </c>
      <c r="D74" s="131" t="s">
        <v>126</v>
      </c>
      <c r="E74" s="167">
        <f>-MIN(E52,0)</f>
        <v>0</v>
      </c>
      <c r="I74" s="142"/>
    </row>
    <row r="75" spans="1:9" ht="12.75" thickBot="1" x14ac:dyDescent="0.25">
      <c r="B75" s="126" t="s">
        <v>63</v>
      </c>
      <c r="C75" s="82">
        <v>623</v>
      </c>
      <c r="D75" s="131" t="s">
        <v>126</v>
      </c>
      <c r="E75" s="160"/>
      <c r="I75" s="142"/>
    </row>
    <row r="76" spans="1:9" ht="12.75" thickBot="1" x14ac:dyDescent="0.25">
      <c r="B76" s="126" t="s">
        <v>64</v>
      </c>
      <c r="C76" s="82">
        <v>624</v>
      </c>
      <c r="D76" s="131" t="s">
        <v>126</v>
      </c>
      <c r="E76" s="160">
        <v>0</v>
      </c>
      <c r="I76" s="142"/>
    </row>
    <row r="77" spans="1:9" ht="12.75" thickBot="1" x14ac:dyDescent="0.25">
      <c r="B77" s="126" t="s">
        <v>65</v>
      </c>
      <c r="C77" s="82">
        <v>227</v>
      </c>
      <c r="D77" s="131" t="s">
        <v>125</v>
      </c>
      <c r="E77" s="160"/>
      <c r="I77" s="142"/>
    </row>
    <row r="78" spans="1:9" ht="12.75" thickBot="1" x14ac:dyDescent="0.25">
      <c r="B78" s="126" t="s">
        <v>191</v>
      </c>
      <c r="C78" s="82">
        <v>776</v>
      </c>
      <c r="D78" s="149" t="s">
        <v>125</v>
      </c>
      <c r="E78" s="160"/>
      <c r="I78" s="142"/>
    </row>
    <row r="79" spans="1:9" ht="12.75" thickBot="1" x14ac:dyDescent="0.25">
      <c r="B79" s="126" t="s">
        <v>192</v>
      </c>
      <c r="C79" s="82">
        <v>777</v>
      </c>
      <c r="D79" s="149" t="s">
        <v>125</v>
      </c>
      <c r="E79" s="167">
        <f>E51</f>
        <v>0</v>
      </c>
    </row>
    <row r="80" spans="1:9" ht="12.75" thickBot="1" x14ac:dyDescent="0.25">
      <c r="B80" s="126" t="s">
        <v>152</v>
      </c>
      <c r="C80" s="82">
        <v>782</v>
      </c>
      <c r="D80" s="131" t="s">
        <v>125</v>
      </c>
      <c r="E80" s="167">
        <f>'AT14'!G43</f>
        <v>0</v>
      </c>
    </row>
    <row r="81" spans="2:7" ht="12.75" thickBot="1" x14ac:dyDescent="0.25">
      <c r="B81" s="126" t="s">
        <v>149</v>
      </c>
      <c r="C81" s="82">
        <v>791</v>
      </c>
      <c r="D81" s="131" t="s">
        <v>125</v>
      </c>
      <c r="E81" s="160">
        <v>0</v>
      </c>
    </row>
    <row r="82" spans="2:7" ht="12.75" thickBot="1" x14ac:dyDescent="0.25">
      <c r="B82" s="126" t="s">
        <v>67</v>
      </c>
      <c r="C82" s="82">
        <v>275</v>
      </c>
      <c r="D82" s="131" t="s">
        <v>126</v>
      </c>
      <c r="E82" s="160"/>
    </row>
    <row r="83" spans="2:7" ht="12.75" thickBot="1" x14ac:dyDescent="0.25">
      <c r="B83" s="126" t="s">
        <v>68</v>
      </c>
      <c r="C83" s="95">
        <v>226</v>
      </c>
      <c r="D83" s="131" t="s">
        <v>126</v>
      </c>
      <c r="E83" s="160">
        <v>90000000</v>
      </c>
    </row>
    <row r="84" spans="2:7" ht="12.75" thickBot="1" x14ac:dyDescent="0.25">
      <c r="B84" s="150" t="s">
        <v>69</v>
      </c>
      <c r="C84" s="83">
        <v>231</v>
      </c>
      <c r="D84" s="151" t="s">
        <v>127</v>
      </c>
      <c r="E84" s="161">
        <v>0</v>
      </c>
    </row>
    <row r="85" spans="2:7" ht="12.75" thickBot="1" x14ac:dyDescent="0.25">
      <c r="B85" s="121" t="s">
        <v>70</v>
      </c>
      <c r="C85" s="83">
        <v>318</v>
      </c>
      <c r="D85" s="152" t="s">
        <v>127</v>
      </c>
      <c r="E85" s="162">
        <v>0</v>
      </c>
    </row>
    <row r="86" spans="2:7" ht="12.75" thickBot="1" x14ac:dyDescent="0.25">
      <c r="B86" s="122" t="s">
        <v>71</v>
      </c>
      <c r="C86" s="83">
        <v>232</v>
      </c>
      <c r="D86" s="153" t="s">
        <v>127</v>
      </c>
      <c r="E86" s="175">
        <v>0</v>
      </c>
    </row>
    <row r="87" spans="2:7" ht="12.75" thickBot="1" x14ac:dyDescent="0.25">
      <c r="B87" s="150" t="s">
        <v>74</v>
      </c>
      <c r="C87" s="83">
        <v>625</v>
      </c>
      <c r="D87" s="154" t="s">
        <v>125</v>
      </c>
      <c r="E87" s="161">
        <v>0</v>
      </c>
      <c r="G87" s="78" t="s">
        <v>85</v>
      </c>
    </row>
    <row r="88" spans="2:7" ht="12.75" thickBot="1" x14ac:dyDescent="0.25">
      <c r="B88" s="121" t="s">
        <v>75</v>
      </c>
      <c r="C88" s="83">
        <v>626</v>
      </c>
      <c r="D88" s="155" t="s">
        <v>125</v>
      </c>
      <c r="E88" s="162">
        <v>0</v>
      </c>
      <c r="G88" s="78" t="s">
        <v>86</v>
      </c>
    </row>
    <row r="89" spans="2:7" ht="12.75" thickBot="1" x14ac:dyDescent="0.25">
      <c r="B89" s="121" t="s">
        <v>76</v>
      </c>
      <c r="C89" s="83">
        <v>627</v>
      </c>
      <c r="D89" s="155" t="s">
        <v>126</v>
      </c>
      <c r="E89" s="171">
        <f>E88</f>
        <v>0</v>
      </c>
      <c r="G89" s="78" t="s">
        <v>87</v>
      </c>
    </row>
    <row r="90" spans="2:7" ht="12.75" thickBot="1" x14ac:dyDescent="0.25">
      <c r="B90" s="119" t="s">
        <v>202</v>
      </c>
      <c r="C90" s="120">
        <v>838</v>
      </c>
      <c r="D90" s="153" t="s">
        <v>127</v>
      </c>
      <c r="E90" s="170">
        <f>+E87+E88-E89</f>
        <v>0</v>
      </c>
    </row>
    <row r="91" spans="2:7" ht="12.75" thickBot="1" x14ac:dyDescent="0.25">
      <c r="B91" s="150" t="s">
        <v>193</v>
      </c>
      <c r="C91" s="83">
        <v>818</v>
      </c>
      <c r="D91" s="151" t="s">
        <v>125</v>
      </c>
      <c r="E91" s="165"/>
    </row>
    <row r="92" spans="2:7" ht="12.75" thickBot="1" x14ac:dyDescent="0.25">
      <c r="B92" s="121" t="s">
        <v>203</v>
      </c>
      <c r="C92" s="83">
        <v>842</v>
      </c>
      <c r="D92" s="152" t="s">
        <v>126</v>
      </c>
      <c r="E92" s="164"/>
    </row>
    <row r="93" spans="2:7" ht="12.75" thickBot="1" x14ac:dyDescent="0.25">
      <c r="B93" s="121" t="s">
        <v>204</v>
      </c>
      <c r="C93" s="83">
        <v>819</v>
      </c>
      <c r="D93" s="152" t="s">
        <v>125</v>
      </c>
      <c r="E93" s="164"/>
    </row>
    <row r="94" spans="2:7" ht="12.75" thickBot="1" x14ac:dyDescent="0.25">
      <c r="B94" s="121" t="s">
        <v>205</v>
      </c>
      <c r="C94" s="83">
        <v>837</v>
      </c>
      <c r="D94" s="152" t="s">
        <v>126</v>
      </c>
      <c r="E94" s="164"/>
    </row>
    <row r="95" spans="2:7" ht="12.75" thickBot="1" x14ac:dyDescent="0.25">
      <c r="B95" s="121" t="s">
        <v>195</v>
      </c>
      <c r="C95" s="83">
        <v>820</v>
      </c>
      <c r="D95" s="152" t="s">
        <v>126</v>
      </c>
      <c r="E95" s="164"/>
    </row>
    <row r="96" spans="2:7" ht="12.75" thickBot="1" x14ac:dyDescent="0.25">
      <c r="B96" s="121" t="s">
        <v>73</v>
      </c>
      <c r="C96" s="83">
        <v>228</v>
      </c>
      <c r="D96" s="152" t="s">
        <v>127</v>
      </c>
      <c r="E96" s="164"/>
    </row>
    <row r="97" spans="2:5" ht="12.75" thickBot="1" x14ac:dyDescent="0.25">
      <c r="B97" s="122" t="s">
        <v>206</v>
      </c>
      <c r="C97" s="83">
        <v>840</v>
      </c>
      <c r="D97" s="153" t="s">
        <v>127</v>
      </c>
      <c r="E97" s="163"/>
    </row>
    <row r="98" spans="2:5" x14ac:dyDescent="0.2">
      <c r="C98" s="84"/>
      <c r="E98" s="71"/>
    </row>
    <row r="99" spans="2:5" ht="12.75" thickBot="1" x14ac:dyDescent="0.25"/>
    <row r="100" spans="2:5" ht="12.75" thickBot="1" x14ac:dyDescent="0.25">
      <c r="B100" s="126" t="s">
        <v>77</v>
      </c>
      <c r="C100" s="82">
        <v>650</v>
      </c>
      <c r="E100" s="127" t="s">
        <v>157</v>
      </c>
    </row>
    <row r="101" spans="2:5" ht="12.75" thickBot="1" x14ac:dyDescent="0.25">
      <c r="B101" s="126" t="s">
        <v>78</v>
      </c>
      <c r="C101" s="82">
        <v>903</v>
      </c>
      <c r="E101" s="127" t="s">
        <v>210</v>
      </c>
    </row>
  </sheetData>
  <hyperlinks>
    <hyperlink ref="E30" r:id="rId1"/>
  </hyperlinks>
  <pageMargins left="0.19685039370078741" right="0" top="0.59055118110236227" bottom="0.19685039370078741" header="0.51181102362204722" footer="0.51181102362204722"/>
  <pageSetup scale="89" orientation="landscape" horizontalDpi="360" verticalDpi="360" r:id="rId2"/>
  <headerFooter alignWithMargins="0"/>
  <rowBreaks count="1" manualBreakCount="1">
    <brk id="53" max="16383" man="1"/>
  </rowBreak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/>
  <dimension ref="A1:K38"/>
  <sheetViews>
    <sheetView workbookViewId="0"/>
  </sheetViews>
  <sheetFormatPr baseColWidth="10" defaultColWidth="9.140625" defaultRowHeight="12" x14ac:dyDescent="0.2"/>
  <cols>
    <col min="1" max="1" width="4.42578125" customWidth="1"/>
    <col min="2" max="6" width="9.140625" customWidth="1"/>
    <col min="7" max="7" width="15.5703125" bestFit="1" customWidth="1"/>
    <col min="8" max="8" width="9.140625" customWidth="1"/>
    <col min="9" max="9" width="5.140625" bestFit="1" customWidth="1"/>
    <col min="10" max="14" width="3.5703125" customWidth="1"/>
  </cols>
  <sheetData>
    <row r="1" spans="1:11" s="57" customFormat="1" ht="12.75" x14ac:dyDescent="0.2">
      <c r="A1" s="58" t="s">
        <v>115</v>
      </c>
    </row>
    <row r="2" spans="1:11" s="57" customFormat="1" ht="12.75" x14ac:dyDescent="0.2">
      <c r="A2" s="58" t="s">
        <v>114</v>
      </c>
    </row>
    <row r="3" spans="1:11" ht="15" x14ac:dyDescent="0.25">
      <c r="A3" s="13" t="s">
        <v>153</v>
      </c>
    </row>
    <row r="4" spans="1:11" x14ac:dyDescent="0.2">
      <c r="A4" t="s">
        <v>94</v>
      </c>
      <c r="C4">
        <f>RIGHT(A3,4)-1</f>
        <v>2004</v>
      </c>
    </row>
    <row r="6" spans="1:11" x14ac:dyDescent="0.2">
      <c r="A6" s="12" t="s">
        <v>92</v>
      </c>
      <c r="G6" s="16"/>
    </row>
    <row r="7" spans="1:11" x14ac:dyDescent="0.2">
      <c r="A7" s="1"/>
      <c r="G7" s="16"/>
    </row>
    <row r="8" spans="1:11" x14ac:dyDescent="0.2">
      <c r="A8" t="str">
        <f>A6&amp;" de Arrastre al 31/12/"&amp;RIGHT($C$4-1,2)</f>
        <v>Pérdida Tributaria de Arrastre al 31/12/03</v>
      </c>
      <c r="G8" s="16">
        <f>'AT04'!G14</f>
        <v>-1064909745</v>
      </c>
    </row>
    <row r="9" spans="1:11" ht="12.75" thickBot="1" x14ac:dyDescent="0.25">
      <c r="A9" s="14" t="s">
        <v>90</v>
      </c>
      <c r="B9" t="str">
        <f>"Reajuste "&amp;$C$4&amp;":"</f>
        <v>Reajuste 2004:</v>
      </c>
      <c r="D9" s="20">
        <v>2.5000000000000001E-2</v>
      </c>
      <c r="G9" s="16">
        <f>ROUND(G8*D9,0)</f>
        <v>-26622744</v>
      </c>
    </row>
    <row r="10" spans="1:11" ht="12.75" thickBot="1" x14ac:dyDescent="0.25">
      <c r="A10" t="str">
        <f>LEFT(A8,LEN(A8)-12)&amp;", reajustada"</f>
        <v>Pérdida Tributaria de Arrastre, reajustada</v>
      </c>
      <c r="G10" s="17">
        <f>SUM(G8:G9)</f>
        <v>-1091532489</v>
      </c>
      <c r="I10" s="8">
        <v>634</v>
      </c>
    </row>
    <row r="11" spans="1:11" x14ac:dyDescent="0.2">
      <c r="G11" s="23"/>
    </row>
    <row r="12" spans="1:11" ht="12.75" thickBot="1" x14ac:dyDescent="0.25">
      <c r="A12" s="14" t="s">
        <v>90</v>
      </c>
      <c r="B12" t="str">
        <f>"Utilidad Tributaria según balance al 31/12/"&amp;RIGHT($C$4,2)</f>
        <v>Utilidad Tributaria según balance al 31/12/04</v>
      </c>
      <c r="G12" s="59">
        <v>37407175</v>
      </c>
    </row>
    <row r="13" spans="1:11" ht="12.75" thickBot="1" x14ac:dyDescent="0.25">
      <c r="A13" s="48" t="s">
        <v>90</v>
      </c>
      <c r="B13" s="47" t="s">
        <v>112</v>
      </c>
      <c r="C13" s="45"/>
      <c r="D13" s="45"/>
      <c r="E13" s="1"/>
      <c r="F13" s="1"/>
      <c r="G13" s="59">
        <v>0</v>
      </c>
      <c r="I13" s="8">
        <v>82</v>
      </c>
      <c r="K13" s="8">
        <v>769</v>
      </c>
    </row>
    <row r="14" spans="1:11" ht="12.75" thickBot="1" x14ac:dyDescent="0.25">
      <c r="A14" s="18" t="str">
        <f>A6&amp;" al 31/12/"&amp;RIGHT($C$4,2)</f>
        <v>Pérdida Tributaria al 31/12/04</v>
      </c>
      <c r="B14" s="18"/>
      <c r="C14" s="18"/>
      <c r="D14" s="18"/>
      <c r="E14" s="1"/>
      <c r="F14" s="1"/>
      <c r="G14" s="19">
        <f>SUM(G10:G13)</f>
        <v>-1054125314</v>
      </c>
    </row>
    <row r="15" spans="1:11" ht="13.5" thickTop="1" thickBot="1" x14ac:dyDescent="0.25">
      <c r="A15" s="47"/>
      <c r="B15" s="47"/>
      <c r="C15" s="45"/>
      <c r="D15" s="45"/>
      <c r="E15" s="1"/>
      <c r="F15" s="1"/>
      <c r="G15" s="46"/>
    </row>
    <row r="16" spans="1:11" ht="12.75" thickBot="1" x14ac:dyDescent="0.25">
      <c r="A16" s="14" t="s">
        <v>97</v>
      </c>
      <c r="B16" t="s">
        <v>108</v>
      </c>
      <c r="G16" s="22">
        <v>0</v>
      </c>
      <c r="I16" s="8">
        <v>642</v>
      </c>
    </row>
    <row r="17" spans="1:9" ht="12.75" thickBot="1" x14ac:dyDescent="0.25">
      <c r="A17" s="15" t="s">
        <v>91</v>
      </c>
      <c r="B17" s="18" t="str">
        <f>"RLI del ejercicio "&amp;$C$4</f>
        <v>RLI del ejercicio 2004</v>
      </c>
      <c r="C17" s="18"/>
      <c r="D17" s="18"/>
      <c r="E17" s="1"/>
      <c r="F17" s="1"/>
      <c r="G17" s="19">
        <f>IF(G16&gt;0,"¡signo del dividendo!",SUM(G14:G16))</f>
        <v>-1054125314</v>
      </c>
      <c r="I17" s="8">
        <v>643</v>
      </c>
    </row>
    <row r="18" spans="1:9" ht="12.75" thickTop="1" x14ac:dyDescent="0.2">
      <c r="G18" s="16"/>
    </row>
    <row r="19" spans="1:9" x14ac:dyDescent="0.2">
      <c r="G19" s="16"/>
    </row>
    <row r="20" spans="1:9" x14ac:dyDescent="0.2">
      <c r="G20" s="16"/>
    </row>
    <row r="21" spans="1:9" x14ac:dyDescent="0.2">
      <c r="G21" s="16"/>
    </row>
    <row r="22" spans="1:9" x14ac:dyDescent="0.2">
      <c r="A22" s="12" t="s">
        <v>93</v>
      </c>
      <c r="G22" s="16"/>
    </row>
    <row r="23" spans="1:9" x14ac:dyDescent="0.2">
      <c r="G23" s="16"/>
    </row>
    <row r="24" spans="1:9" x14ac:dyDescent="0.2">
      <c r="A24" t="str">
        <f>"Saldo "&amp;A22&amp;RIGHT($A$8,12)</f>
        <v>Saldo F.U.T. al 31/12/03</v>
      </c>
      <c r="G24" s="16">
        <f>'AT04'!G37</f>
        <v>-1064909745.0000005</v>
      </c>
    </row>
    <row r="25" spans="1:9" ht="12.75" thickBot="1" x14ac:dyDescent="0.25">
      <c r="A25" s="14" t="s">
        <v>90</v>
      </c>
      <c r="B25" t="str">
        <f>B9</f>
        <v>Reajuste 2004:</v>
      </c>
      <c r="D25" s="21">
        <f>D9</f>
        <v>2.5000000000000001E-2</v>
      </c>
      <c r="G25" s="16">
        <f>ROUND(G24*D25,0)</f>
        <v>-26622744</v>
      </c>
    </row>
    <row r="26" spans="1:9" ht="12.75" thickBot="1" x14ac:dyDescent="0.25">
      <c r="A26" t="str">
        <f>LEFT(A24,LEN(A24)-12)&amp;", reajustado"</f>
        <v>Saldo F.U.T., reajustado</v>
      </c>
      <c r="G26" s="17">
        <f>SUM(G24:G25)</f>
        <v>-1091532489.0000005</v>
      </c>
      <c r="I26" s="8">
        <v>284</v>
      </c>
    </row>
    <row r="27" spans="1:9" ht="12.75" thickBot="1" x14ac:dyDescent="0.25">
      <c r="G27" s="23"/>
    </row>
    <row r="28" spans="1:9" ht="12.75" thickBot="1" x14ac:dyDescent="0.25">
      <c r="A28" s="14" t="s">
        <v>97</v>
      </c>
      <c r="B28" t="s">
        <v>98</v>
      </c>
      <c r="G28" s="23">
        <f>G17</f>
        <v>-1054125314</v>
      </c>
      <c r="I28" s="8">
        <v>229</v>
      </c>
    </row>
    <row r="29" spans="1:9" x14ac:dyDescent="0.2">
      <c r="A29" t="str">
        <f>"Subtotal "&amp;RIGHT(A24,LEN(A24)-6)</f>
        <v>Subtotal F.U.T. al 31/12/03</v>
      </c>
      <c r="G29" s="17">
        <f>SUM(G26:G28)</f>
        <v>-2145657803.0000005</v>
      </c>
    </row>
    <row r="30" spans="1:9" x14ac:dyDescent="0.2">
      <c r="G30" s="23"/>
    </row>
    <row r="31" spans="1:9" x14ac:dyDescent="0.2">
      <c r="A31" s="14" t="s">
        <v>97</v>
      </c>
      <c r="B31" t="s">
        <v>111</v>
      </c>
      <c r="G31" s="23"/>
    </row>
    <row r="32" spans="1:9" x14ac:dyDescent="0.2">
      <c r="G32" s="23"/>
    </row>
    <row r="33" spans="1:9" x14ac:dyDescent="0.2">
      <c r="A33" s="14" t="s">
        <v>90</v>
      </c>
      <c r="B33" t="str">
        <f>A10</f>
        <v>Pérdida Tributaria de Arrastre, reajustada</v>
      </c>
      <c r="G33" s="16">
        <f>-G10</f>
        <v>1091532489</v>
      </c>
    </row>
    <row r="34" spans="1:9" ht="12.75" thickBot="1" x14ac:dyDescent="0.25">
      <c r="A34" s="14"/>
      <c r="G34" s="16"/>
    </row>
    <row r="35" spans="1:9" ht="12.75" thickBot="1" x14ac:dyDescent="0.25">
      <c r="A35" s="14" t="s">
        <v>90</v>
      </c>
      <c r="B35" t="s">
        <v>108</v>
      </c>
      <c r="G35" s="16">
        <f>-G16</f>
        <v>0</v>
      </c>
      <c r="I35" s="8">
        <v>642</v>
      </c>
    </row>
    <row r="36" spans="1:9" ht="12.75" thickBot="1" x14ac:dyDescent="0.25">
      <c r="A36" s="43" t="s">
        <v>109</v>
      </c>
      <c r="G36" s="42">
        <f>SUM(G33:G35)</f>
        <v>1091532489</v>
      </c>
      <c r="I36" s="8">
        <v>782</v>
      </c>
    </row>
    <row r="37" spans="1:9" ht="12.75" thickBot="1" x14ac:dyDescent="0.25">
      <c r="A37" s="18" t="str">
        <f>LEFT(A24,LEN(A24)-2)&amp;RIGHT($C$4,2)</f>
        <v>Saldo F.U.T. al 31/12/04</v>
      </c>
      <c r="B37" s="18"/>
      <c r="C37" s="18"/>
      <c r="D37" s="18"/>
      <c r="E37" s="1"/>
      <c r="F37" s="1"/>
      <c r="G37" s="19">
        <f>G29+G31+G36</f>
        <v>-1054125314.0000005</v>
      </c>
      <c r="I37" s="8">
        <v>232</v>
      </c>
    </row>
    <row r="38" spans="1:9" ht="12.75" thickTop="1" x14ac:dyDescent="0.2">
      <c r="G38" s="16"/>
    </row>
  </sheetData>
  <phoneticPr fontId="0" type="noConversion"/>
  <pageMargins left="0.75" right="0.75" top="1" bottom="1" header="0.5" footer="0.5"/>
  <pageSetup orientation="portrait" horizontalDpi="360" verticalDpi="360" copies="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">
    <tabColor indexed="42"/>
  </sheetPr>
  <dimension ref="A1:K38"/>
  <sheetViews>
    <sheetView workbookViewId="0">
      <selection activeCell="Q22" sqref="Q22"/>
    </sheetView>
  </sheetViews>
  <sheetFormatPr baseColWidth="10" defaultColWidth="9.140625" defaultRowHeight="12" x14ac:dyDescent="0.2"/>
  <cols>
    <col min="1" max="1" width="4.42578125" customWidth="1"/>
    <col min="2" max="6" width="9.140625" customWidth="1"/>
    <col min="7" max="7" width="15.5703125" bestFit="1" customWidth="1"/>
    <col min="8" max="8" width="9.140625" customWidth="1"/>
    <col min="9" max="9" width="5.140625" bestFit="1" customWidth="1"/>
    <col min="10" max="14" width="3.5703125" customWidth="1"/>
  </cols>
  <sheetData>
    <row r="1" spans="1:11" s="57" customFormat="1" ht="12.75" x14ac:dyDescent="0.2">
      <c r="A1" s="58" t="s">
        <v>115</v>
      </c>
    </row>
    <row r="2" spans="1:11" s="57" customFormat="1" ht="12.75" x14ac:dyDescent="0.2">
      <c r="A2" s="58" t="s">
        <v>114</v>
      </c>
    </row>
    <row r="3" spans="1:11" ht="15" x14ac:dyDescent="0.25">
      <c r="A3" s="13" t="s">
        <v>144</v>
      </c>
    </row>
    <row r="4" spans="1:11" x14ac:dyDescent="0.2">
      <c r="A4" t="s">
        <v>94</v>
      </c>
      <c r="C4">
        <f>RIGHT(A3,4)-1</f>
        <v>2003</v>
      </c>
    </row>
    <row r="6" spans="1:11" x14ac:dyDescent="0.2">
      <c r="A6" s="12" t="s">
        <v>92</v>
      </c>
      <c r="G6" s="16"/>
    </row>
    <row r="7" spans="1:11" x14ac:dyDescent="0.2">
      <c r="A7" s="1"/>
      <c r="G7" s="16"/>
    </row>
    <row r="8" spans="1:11" x14ac:dyDescent="0.2">
      <c r="A8" t="str">
        <f>A6&amp;" de Arrastre al 31/12/"&amp;RIGHT($C$4-1,2)</f>
        <v>Pérdida Tributaria de Arrastre al 31/12/02</v>
      </c>
      <c r="G8" s="16">
        <f>'AT03'!G14</f>
        <v>-2240633358</v>
      </c>
    </row>
    <row r="9" spans="1:11" ht="12.75" thickBot="1" x14ac:dyDescent="0.25">
      <c r="A9" s="14" t="s">
        <v>90</v>
      </c>
      <c r="B9" t="str">
        <f>"Reajuste "&amp;$C$4&amp;":"</f>
        <v>Reajuste 2003:</v>
      </c>
      <c r="D9" s="20">
        <v>0.01</v>
      </c>
      <c r="G9" s="16">
        <f>ROUND(G8*D9,0)</f>
        <v>-22406334</v>
      </c>
    </row>
    <row r="10" spans="1:11" ht="12.75" thickBot="1" x14ac:dyDescent="0.25">
      <c r="A10" t="str">
        <f>LEFT(A8,LEN(A8)-12)&amp;", reajustada"</f>
        <v>Pérdida Tributaria de Arrastre, reajustada</v>
      </c>
      <c r="G10" s="17">
        <f>SUM(G8:G9)</f>
        <v>-2263039692</v>
      </c>
      <c r="I10" s="8">
        <v>634</v>
      </c>
    </row>
    <row r="11" spans="1:11" ht="12.75" thickBot="1" x14ac:dyDescent="0.25">
      <c r="A11" s="89" t="s">
        <v>174</v>
      </c>
      <c r="B11" s="90"/>
      <c r="C11" s="90"/>
      <c r="D11" s="90"/>
      <c r="E11" s="90"/>
      <c r="F11" s="90"/>
      <c r="G11" s="91">
        <v>1362201382</v>
      </c>
    </row>
    <row r="12" spans="1:11" ht="12.75" thickBot="1" x14ac:dyDescent="0.25">
      <c r="A12" s="14" t="s">
        <v>90</v>
      </c>
      <c r="B12" t="str">
        <f>"Utilidad Tributaria según balance al 31/12/"&amp;RIGHT($C$4,2)</f>
        <v>Utilidad Tributaria según balance al 31/12/03</v>
      </c>
      <c r="G12" s="59">
        <v>-164071435</v>
      </c>
    </row>
    <row r="13" spans="1:11" ht="12.75" thickBot="1" x14ac:dyDescent="0.25">
      <c r="A13" s="48" t="s">
        <v>90</v>
      </c>
      <c r="B13" s="47" t="s">
        <v>112</v>
      </c>
      <c r="C13" s="45"/>
      <c r="D13" s="45"/>
      <c r="E13" s="1"/>
      <c r="F13" s="1"/>
      <c r="G13" s="59">
        <v>0</v>
      </c>
      <c r="I13" s="8"/>
      <c r="K13" s="8"/>
    </row>
    <row r="14" spans="1:11" ht="12.75" thickBot="1" x14ac:dyDescent="0.25">
      <c r="A14" s="18" t="str">
        <f>A6&amp;" al 31/12/"&amp;RIGHT($C$4,2)</f>
        <v>Pérdida Tributaria al 31/12/03</v>
      </c>
      <c r="B14" s="18"/>
      <c r="C14" s="18"/>
      <c r="D14" s="18"/>
      <c r="E14" s="1"/>
      <c r="F14" s="1"/>
      <c r="G14" s="19">
        <f>SUM(G10:G13)</f>
        <v>-1064909745</v>
      </c>
    </row>
    <row r="15" spans="1:11" ht="13.5" thickTop="1" thickBot="1" x14ac:dyDescent="0.25">
      <c r="A15" s="47"/>
      <c r="B15" s="47"/>
      <c r="C15" s="45"/>
      <c r="D15" s="45"/>
      <c r="E15" s="1"/>
      <c r="F15" s="1"/>
      <c r="G15" s="46"/>
    </row>
    <row r="16" spans="1:11" ht="12.75" thickBot="1" x14ac:dyDescent="0.25">
      <c r="A16" s="14" t="s">
        <v>97</v>
      </c>
      <c r="B16" t="s">
        <v>108</v>
      </c>
      <c r="G16" s="22">
        <v>0</v>
      </c>
      <c r="I16" s="8">
        <v>642</v>
      </c>
    </row>
    <row r="17" spans="1:9" ht="12.75" thickBot="1" x14ac:dyDescent="0.25">
      <c r="A17" s="15" t="s">
        <v>91</v>
      </c>
      <c r="B17" s="18" t="str">
        <f>"RLI del ejercicio "&amp;$C$4</f>
        <v>RLI del ejercicio 2003</v>
      </c>
      <c r="C17" s="18"/>
      <c r="D17" s="18"/>
      <c r="E17" s="1"/>
      <c r="F17" s="1"/>
      <c r="G17" s="19">
        <f>IF(G16&gt;0,"¡signo del dividendo!",SUM(G14:G16))</f>
        <v>-1064909745</v>
      </c>
      <c r="I17" s="8">
        <v>643</v>
      </c>
    </row>
    <row r="18" spans="1:9" ht="12.75" thickTop="1" x14ac:dyDescent="0.2">
      <c r="G18" s="16"/>
    </row>
    <row r="19" spans="1:9" x14ac:dyDescent="0.2">
      <c r="G19" s="16"/>
    </row>
    <row r="20" spans="1:9" x14ac:dyDescent="0.2">
      <c r="G20" s="16"/>
    </row>
    <row r="21" spans="1:9" x14ac:dyDescent="0.2">
      <c r="G21" s="16"/>
    </row>
    <row r="22" spans="1:9" x14ac:dyDescent="0.2">
      <c r="A22" s="12" t="s">
        <v>93</v>
      </c>
      <c r="G22" s="16"/>
    </row>
    <row r="23" spans="1:9" x14ac:dyDescent="0.2">
      <c r="G23" s="16"/>
    </row>
    <row r="24" spans="1:9" x14ac:dyDescent="0.2">
      <c r="A24" t="str">
        <f>"Saldo "&amp;A22&amp;RIGHT($A$8,12)</f>
        <v>Saldo F.U.T. al 31/12/02</v>
      </c>
      <c r="G24" s="16">
        <f>'AT03'!G37</f>
        <v>-2066558869</v>
      </c>
    </row>
    <row r="25" spans="1:9" ht="12.75" thickBot="1" x14ac:dyDescent="0.25">
      <c r="A25" s="14" t="s">
        <v>90</v>
      </c>
      <c r="B25" t="str">
        <f>B9</f>
        <v>Reajuste 2003:</v>
      </c>
      <c r="D25" s="21">
        <f>D9</f>
        <v>0.01</v>
      </c>
      <c r="G25" s="16">
        <f>ROUND(G24*D25,0)</f>
        <v>-20665589</v>
      </c>
    </row>
    <row r="26" spans="1:9" ht="12.75" thickBot="1" x14ac:dyDescent="0.25">
      <c r="A26" t="str">
        <f>LEFT(A24,LEN(A24)-12)&amp;", reajustado"</f>
        <v>Saldo F.U.T., reajustado</v>
      </c>
      <c r="G26" s="17">
        <f>SUM(G24:G25)</f>
        <v>-2087224458</v>
      </c>
      <c r="I26" s="8">
        <v>284</v>
      </c>
    </row>
    <row r="27" spans="1:9" ht="12.75" thickBot="1" x14ac:dyDescent="0.25">
      <c r="A27" s="89" t="s">
        <v>174</v>
      </c>
      <c r="B27" s="90"/>
      <c r="C27" s="90"/>
      <c r="D27" s="90"/>
      <c r="E27" s="90"/>
      <c r="F27" s="90"/>
      <c r="G27" s="92">
        <v>-175815234.00000036</v>
      </c>
    </row>
    <row r="28" spans="1:9" ht="12.75" thickBot="1" x14ac:dyDescent="0.25">
      <c r="A28" s="14" t="s">
        <v>97</v>
      </c>
      <c r="B28" t="s">
        <v>98</v>
      </c>
      <c r="G28" s="23">
        <f>G17</f>
        <v>-1064909745</v>
      </c>
      <c r="I28" s="8">
        <v>229</v>
      </c>
    </row>
    <row r="29" spans="1:9" x14ac:dyDescent="0.2">
      <c r="A29" t="str">
        <f>"Subtotal "&amp;RIGHT(A24,LEN(A24)-6)</f>
        <v>Subtotal F.U.T. al 31/12/02</v>
      </c>
      <c r="G29" s="17">
        <f>SUM(G26:G28)</f>
        <v>-3327949437.0000005</v>
      </c>
    </row>
    <row r="30" spans="1:9" x14ac:dyDescent="0.2">
      <c r="G30" s="23"/>
    </row>
    <row r="31" spans="1:9" x14ac:dyDescent="0.2">
      <c r="A31" s="14" t="s">
        <v>97</v>
      </c>
      <c r="B31" t="s">
        <v>111</v>
      </c>
      <c r="G31" s="23"/>
    </row>
    <row r="32" spans="1:9" x14ac:dyDescent="0.2">
      <c r="G32" s="23"/>
    </row>
    <row r="33" spans="1:9" x14ac:dyDescent="0.2">
      <c r="A33" s="14" t="s">
        <v>90</v>
      </c>
      <c r="B33" t="str">
        <f>A10</f>
        <v>Pérdida Tributaria de Arrastre, reajustada</v>
      </c>
      <c r="G33" s="16">
        <f>-G10</f>
        <v>2263039692</v>
      </c>
    </row>
    <row r="34" spans="1:9" ht="12.75" thickBot="1" x14ac:dyDescent="0.25">
      <c r="A34" s="14"/>
      <c r="G34" s="16"/>
    </row>
    <row r="35" spans="1:9" ht="12.75" thickBot="1" x14ac:dyDescent="0.25">
      <c r="A35" s="14" t="s">
        <v>90</v>
      </c>
      <c r="B35" t="s">
        <v>108</v>
      </c>
      <c r="G35" s="16">
        <f>-G16</f>
        <v>0</v>
      </c>
      <c r="I35" s="8">
        <v>642</v>
      </c>
    </row>
    <row r="36" spans="1:9" ht="12.75" thickBot="1" x14ac:dyDescent="0.25">
      <c r="A36" s="43" t="s">
        <v>109</v>
      </c>
      <c r="G36" s="42">
        <f>SUM(G33:G35)</f>
        <v>2263039692</v>
      </c>
      <c r="I36" s="8">
        <v>782</v>
      </c>
    </row>
    <row r="37" spans="1:9" ht="12.75" thickBot="1" x14ac:dyDescent="0.25">
      <c r="A37" s="18" t="str">
        <f>LEFT(A24,LEN(A24)-2)&amp;RIGHT($C$4,2)</f>
        <v>Saldo F.U.T. al 31/12/03</v>
      </c>
      <c r="B37" s="18"/>
      <c r="C37" s="18"/>
      <c r="D37" s="18"/>
      <c r="E37" s="1"/>
      <c r="F37" s="1"/>
      <c r="G37" s="19">
        <f>G29+G31+G36</f>
        <v>-1064909745.0000005</v>
      </c>
      <c r="I37" s="8">
        <v>232</v>
      </c>
    </row>
    <row r="38" spans="1:9" ht="12.75" thickTop="1" x14ac:dyDescent="0.2">
      <c r="G38" s="16"/>
    </row>
  </sheetData>
  <phoneticPr fontId="0" type="noConversion"/>
  <pageMargins left="0.75" right="0.75" top="1" bottom="1" header="0.5" footer="0.5"/>
  <pageSetup orientation="portrait" horizontalDpi="360" verticalDpi="36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4"/>
  <dimension ref="A1:K47"/>
  <sheetViews>
    <sheetView topLeftCell="A11" workbookViewId="0">
      <selection activeCell="G12" sqref="G12"/>
    </sheetView>
  </sheetViews>
  <sheetFormatPr baseColWidth="10" defaultColWidth="9.140625" defaultRowHeight="12" x14ac:dyDescent="0.2"/>
  <cols>
    <col min="1" max="1" width="4.42578125" customWidth="1"/>
    <col min="2" max="6" width="9.140625" customWidth="1"/>
    <col min="7" max="7" width="15.5703125" bestFit="1" customWidth="1"/>
    <col min="8" max="8" width="9.140625" customWidth="1"/>
    <col min="9" max="9" width="5.140625" bestFit="1" customWidth="1"/>
    <col min="10" max="14" width="3.5703125" customWidth="1"/>
  </cols>
  <sheetData>
    <row r="1" spans="1:11" s="57" customFormat="1" ht="12.75" x14ac:dyDescent="0.2">
      <c r="A1" s="58" t="s">
        <v>115</v>
      </c>
    </row>
    <row r="2" spans="1:11" s="57" customFormat="1" ht="12.75" x14ac:dyDescent="0.2">
      <c r="A2" s="58" t="s">
        <v>114</v>
      </c>
    </row>
    <row r="3" spans="1:11" ht="15" x14ac:dyDescent="0.25">
      <c r="A3" s="13" t="s">
        <v>135</v>
      </c>
    </row>
    <row r="4" spans="1:11" x14ac:dyDescent="0.2">
      <c r="A4" t="s">
        <v>94</v>
      </c>
      <c r="C4">
        <f>RIGHT(A3,4)-1</f>
        <v>2002</v>
      </c>
    </row>
    <row r="6" spans="1:11" x14ac:dyDescent="0.2">
      <c r="A6" s="12" t="s">
        <v>92</v>
      </c>
      <c r="G6" s="16"/>
    </row>
    <row r="7" spans="1:11" x14ac:dyDescent="0.2">
      <c r="A7" s="1"/>
      <c r="G7" s="16"/>
    </row>
    <row r="8" spans="1:11" x14ac:dyDescent="0.2">
      <c r="A8" t="str">
        <f>A6&amp;" de Arrastre al 31/12/"&amp;RIGHT($C$4-1,2)</f>
        <v>Pérdida Tributaria de Arrastre al 31/12/01</v>
      </c>
      <c r="G8" s="16">
        <f>'AT02'!G14</f>
        <v>-2227482920</v>
      </c>
    </row>
    <row r="9" spans="1:11" ht="12.75" thickBot="1" x14ac:dyDescent="0.25">
      <c r="A9" s="14" t="s">
        <v>90</v>
      </c>
      <c r="B9" t="str">
        <f>"Reajuste "&amp;$C$4&amp;":"</f>
        <v>Reajuste 2002:</v>
      </c>
      <c r="D9" s="20">
        <v>0.03</v>
      </c>
      <c r="G9" s="16">
        <f>ROUND(G8*D9,0)</f>
        <v>-66824488</v>
      </c>
    </row>
    <row r="10" spans="1:11" ht="12.75" thickBot="1" x14ac:dyDescent="0.25">
      <c r="A10" t="str">
        <f>LEFT(A8,LEN(A8)-12)&amp;", reajustada"</f>
        <v>Pérdida Tributaria de Arrastre, reajustada</v>
      </c>
      <c r="G10" s="17">
        <f>SUM(G8:G9)</f>
        <v>-2294307408</v>
      </c>
      <c r="I10" s="8">
        <v>634</v>
      </c>
    </row>
    <row r="11" spans="1:11" x14ac:dyDescent="0.2">
      <c r="G11" s="23"/>
    </row>
    <row r="12" spans="1:11" ht="12.75" thickBot="1" x14ac:dyDescent="0.25">
      <c r="A12" s="14" t="s">
        <v>90</v>
      </c>
      <c r="B12" t="str">
        <f>"Utilidad Tributaria según balance al 31/12/"&amp;RIGHT($C$4,2)</f>
        <v>Utilidad Tributaria según balance al 31/12/02</v>
      </c>
      <c r="G12" s="59">
        <v>49674050</v>
      </c>
    </row>
    <row r="13" spans="1:11" ht="12.75" thickBot="1" x14ac:dyDescent="0.25">
      <c r="A13" s="48" t="s">
        <v>90</v>
      </c>
      <c r="B13" s="47" t="s">
        <v>112</v>
      </c>
      <c r="C13" s="45"/>
      <c r="D13" s="45"/>
      <c r="E13" s="1"/>
      <c r="F13" s="1"/>
      <c r="G13" s="59">
        <v>4000000</v>
      </c>
      <c r="I13" s="8"/>
      <c r="K13" s="8"/>
    </row>
    <row r="14" spans="1:11" ht="12.75" thickBot="1" x14ac:dyDescent="0.25">
      <c r="A14" s="18" t="str">
        <f>A6&amp;" al 31/12/"&amp;RIGHT($C$4,2)</f>
        <v>Pérdida Tributaria al 31/12/02</v>
      </c>
      <c r="B14" s="18"/>
      <c r="C14" s="18"/>
      <c r="D14" s="18"/>
      <c r="E14" s="1"/>
      <c r="F14" s="1"/>
      <c r="G14" s="19">
        <f>SUM(G10:G13)</f>
        <v>-2240633358</v>
      </c>
    </row>
    <row r="15" spans="1:11" ht="13.5" thickTop="1" thickBot="1" x14ac:dyDescent="0.25">
      <c r="A15" s="47"/>
      <c r="B15" s="47"/>
      <c r="C15" s="45"/>
      <c r="D15" s="45"/>
      <c r="E15" s="1"/>
      <c r="F15" s="1"/>
      <c r="G15" s="46"/>
    </row>
    <row r="16" spans="1:11" ht="12.75" thickBot="1" x14ac:dyDescent="0.25">
      <c r="A16" s="14" t="s">
        <v>97</v>
      </c>
      <c r="B16" t="s">
        <v>108</v>
      </c>
      <c r="G16" s="22">
        <v>0</v>
      </c>
      <c r="I16" s="8">
        <v>642</v>
      </c>
    </row>
    <row r="17" spans="1:9" ht="12.75" thickBot="1" x14ac:dyDescent="0.25">
      <c r="A17" s="15" t="s">
        <v>91</v>
      </c>
      <c r="B17" s="18" t="str">
        <f>"RLI del ejercicio "&amp;$C$4</f>
        <v>RLI del ejercicio 2002</v>
      </c>
      <c r="C17" s="18"/>
      <c r="D17" s="18"/>
      <c r="E17" s="1"/>
      <c r="F17" s="1"/>
      <c r="G17" s="19">
        <f>IF(G16&gt;0,"¡signo del dividendo!",SUM(G14:G16))</f>
        <v>-2240633358</v>
      </c>
      <c r="I17" s="8">
        <v>643</v>
      </c>
    </row>
    <row r="18" spans="1:9" ht="12.75" thickTop="1" x14ac:dyDescent="0.2">
      <c r="G18" s="16"/>
    </row>
    <row r="19" spans="1:9" x14ac:dyDescent="0.2">
      <c r="G19" s="16"/>
    </row>
    <row r="20" spans="1:9" x14ac:dyDescent="0.2">
      <c r="G20" s="16"/>
    </row>
    <row r="21" spans="1:9" x14ac:dyDescent="0.2">
      <c r="G21" s="16"/>
    </row>
    <row r="22" spans="1:9" x14ac:dyDescent="0.2">
      <c r="A22" s="12" t="s">
        <v>93</v>
      </c>
      <c r="G22" s="16"/>
    </row>
    <row r="23" spans="1:9" x14ac:dyDescent="0.2">
      <c r="G23" s="16"/>
    </row>
    <row r="24" spans="1:9" x14ac:dyDescent="0.2">
      <c r="A24" t="str">
        <f>"Saldo "&amp;A22&amp;RIGHT($A$8,12)</f>
        <v>Saldo F.U.T. al 31/12/01</v>
      </c>
      <c r="G24" s="16">
        <f>'AT02'!G37</f>
        <v>-2058478562</v>
      </c>
    </row>
    <row r="25" spans="1:9" ht="12.75" thickBot="1" x14ac:dyDescent="0.25">
      <c r="A25" s="14" t="s">
        <v>90</v>
      </c>
      <c r="B25" t="str">
        <f>B9</f>
        <v>Reajuste 2002:</v>
      </c>
      <c r="D25" s="21">
        <f>D9</f>
        <v>0.03</v>
      </c>
      <c r="G25" s="16">
        <f>ROUND(G24*D25,0)</f>
        <v>-61754357</v>
      </c>
    </row>
    <row r="26" spans="1:9" ht="12.75" thickBot="1" x14ac:dyDescent="0.25">
      <c r="A26" t="str">
        <f>LEFT(A24,LEN(A24)-12)&amp;", reajustado"</f>
        <v>Saldo F.U.T., reajustado</v>
      </c>
      <c r="G26" s="17">
        <f>SUM(G24:G25)</f>
        <v>-2120232919</v>
      </c>
      <c r="I26" s="8">
        <v>284</v>
      </c>
    </row>
    <row r="27" spans="1:9" ht="12.75" thickBot="1" x14ac:dyDescent="0.25">
      <c r="G27" s="23"/>
    </row>
    <row r="28" spans="1:9" ht="12.75" thickBot="1" x14ac:dyDescent="0.25">
      <c r="A28" s="14" t="s">
        <v>97</v>
      </c>
      <c r="B28" t="s">
        <v>98</v>
      </c>
      <c r="G28" s="23">
        <f>G17</f>
        <v>-2240633358</v>
      </c>
      <c r="I28" s="8">
        <v>229</v>
      </c>
    </row>
    <row r="29" spans="1:9" x14ac:dyDescent="0.2">
      <c r="A29" t="str">
        <f>"Subtotal "&amp;RIGHT(A24,LEN(A24)-6)</f>
        <v>Subtotal F.U.T. al 31/12/01</v>
      </c>
      <c r="G29" s="17">
        <f>SUM(G26:G28)</f>
        <v>-4360866277</v>
      </c>
    </row>
    <row r="30" spans="1:9" x14ac:dyDescent="0.2">
      <c r="G30" s="23"/>
    </row>
    <row r="31" spans="1:9" x14ac:dyDescent="0.2">
      <c r="A31" s="14" t="s">
        <v>97</v>
      </c>
      <c r="B31" t="s">
        <v>111</v>
      </c>
      <c r="G31" s="23"/>
    </row>
    <row r="32" spans="1:9" x14ac:dyDescent="0.2">
      <c r="G32" s="23"/>
    </row>
    <row r="33" spans="1:9" x14ac:dyDescent="0.2">
      <c r="A33" s="14" t="s">
        <v>90</v>
      </c>
      <c r="B33" t="str">
        <f>A10</f>
        <v>Pérdida Tributaria de Arrastre, reajustada</v>
      </c>
      <c r="G33" s="16">
        <f>-G10</f>
        <v>2294307408</v>
      </c>
    </row>
    <row r="34" spans="1:9" ht="12.75" thickBot="1" x14ac:dyDescent="0.25">
      <c r="A34" s="14"/>
      <c r="G34" s="16"/>
    </row>
    <row r="35" spans="1:9" ht="12.75" thickBot="1" x14ac:dyDescent="0.25">
      <c r="A35" s="14" t="s">
        <v>90</v>
      </c>
      <c r="B35" t="s">
        <v>108</v>
      </c>
      <c r="G35" s="16">
        <f>-G16</f>
        <v>0</v>
      </c>
      <c r="I35" s="8">
        <v>642</v>
      </c>
    </row>
    <row r="36" spans="1:9" ht="12.75" thickBot="1" x14ac:dyDescent="0.25">
      <c r="A36" s="43" t="s">
        <v>109</v>
      </c>
      <c r="G36" s="42">
        <f>SUM(G33:G35)</f>
        <v>2294307408</v>
      </c>
      <c r="I36" s="8">
        <v>242</v>
      </c>
    </row>
    <row r="37" spans="1:9" ht="12.75" thickBot="1" x14ac:dyDescent="0.25">
      <c r="A37" s="18" t="str">
        <f>LEFT(A24,LEN(A24)-2)&amp;RIGHT($C$4,2)</f>
        <v>Saldo F.U.T. al 31/12/02</v>
      </c>
      <c r="B37" s="18"/>
      <c r="C37" s="18"/>
      <c r="D37" s="18"/>
      <c r="E37" s="1"/>
      <c r="F37" s="1"/>
      <c r="G37" s="19">
        <f>G29+G31+G36</f>
        <v>-2066558869</v>
      </c>
      <c r="I37" s="8">
        <v>232</v>
      </c>
    </row>
    <row r="38" spans="1:9" ht="12.75" thickTop="1" x14ac:dyDescent="0.2">
      <c r="G38" s="16"/>
    </row>
    <row r="39" spans="1:9" x14ac:dyDescent="0.2">
      <c r="G39" s="16"/>
    </row>
    <row r="40" spans="1:9" x14ac:dyDescent="0.2">
      <c r="A40" s="1" t="s">
        <v>132</v>
      </c>
      <c r="G40" s="16"/>
    </row>
    <row r="41" spans="1:9" ht="12.75" x14ac:dyDescent="0.2">
      <c r="A41" s="53" t="s">
        <v>137</v>
      </c>
    </row>
    <row r="42" spans="1:9" ht="12.75" x14ac:dyDescent="0.2">
      <c r="A42" s="53" t="s">
        <v>136</v>
      </c>
    </row>
    <row r="43" spans="1:9" ht="12.75" x14ac:dyDescent="0.2">
      <c r="A43" s="53" t="s">
        <v>129</v>
      </c>
    </row>
    <row r="44" spans="1:9" ht="12.75" x14ac:dyDescent="0.2">
      <c r="A44" s="53" t="s">
        <v>130</v>
      </c>
    </row>
    <row r="45" spans="1:9" ht="12.75" x14ac:dyDescent="0.2">
      <c r="A45" s="53" t="s">
        <v>128</v>
      </c>
    </row>
    <row r="46" spans="1:9" ht="12.75" x14ac:dyDescent="0.2">
      <c r="A46" s="53" t="s">
        <v>134</v>
      </c>
    </row>
    <row r="47" spans="1:9" ht="12.75" x14ac:dyDescent="0.2">
      <c r="A47" s="53" t="s">
        <v>131</v>
      </c>
    </row>
  </sheetData>
  <phoneticPr fontId="0" type="noConversion"/>
  <pageMargins left="0.75" right="0.75" top="1" bottom="1" header="0.5" footer="0.5"/>
  <pageSetup orientation="portrait" horizontalDpi="0" verticalDpi="0" copies="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5"/>
  <dimension ref="A1:K47"/>
  <sheetViews>
    <sheetView topLeftCell="A9" workbookViewId="0">
      <selection activeCell="G12" sqref="G12"/>
    </sheetView>
  </sheetViews>
  <sheetFormatPr baseColWidth="10" defaultColWidth="9.140625" defaultRowHeight="12" x14ac:dyDescent="0.2"/>
  <cols>
    <col min="1" max="1" width="4.42578125" customWidth="1"/>
    <col min="2" max="6" width="9.140625" customWidth="1"/>
    <col min="7" max="7" width="15.5703125" bestFit="1" customWidth="1"/>
    <col min="8" max="8" width="9.140625" customWidth="1"/>
    <col min="9" max="14" width="3.5703125" customWidth="1"/>
  </cols>
  <sheetData>
    <row r="1" spans="1:11" s="57" customFormat="1" ht="12.75" x14ac:dyDescent="0.2">
      <c r="A1" s="58" t="s">
        <v>115</v>
      </c>
    </row>
    <row r="2" spans="1:11" s="57" customFormat="1" ht="12.75" x14ac:dyDescent="0.2">
      <c r="A2" s="58" t="s">
        <v>114</v>
      </c>
    </row>
    <row r="3" spans="1:11" ht="15" x14ac:dyDescent="0.25">
      <c r="A3" s="13" t="s">
        <v>133</v>
      </c>
    </row>
    <row r="4" spans="1:11" x14ac:dyDescent="0.2">
      <c r="A4" t="s">
        <v>94</v>
      </c>
      <c r="C4">
        <f>RIGHT(A3,4)-1</f>
        <v>2001</v>
      </c>
    </row>
    <row r="6" spans="1:11" x14ac:dyDescent="0.2">
      <c r="A6" s="12" t="s">
        <v>92</v>
      </c>
      <c r="G6" s="16"/>
    </row>
    <row r="7" spans="1:11" x14ac:dyDescent="0.2">
      <c r="A7" s="1"/>
      <c r="G7" s="16"/>
    </row>
    <row r="8" spans="1:11" x14ac:dyDescent="0.2">
      <c r="A8" t="str">
        <f>A6&amp;" de Arrastre al 31/12/"&amp;RIGHT($C$4-1,2)</f>
        <v>Pérdida Tributaria de Arrastre al 31/12/00</v>
      </c>
      <c r="G8" s="16">
        <f>'AT01'!G14</f>
        <v>-2229532881</v>
      </c>
    </row>
    <row r="9" spans="1:11" ht="12.75" thickBot="1" x14ac:dyDescent="0.25">
      <c r="A9" s="14" t="s">
        <v>90</v>
      </c>
      <c r="B9" t="str">
        <f>"Reajuste "&amp;$C$4&amp;":"</f>
        <v>Reajuste 2001:</v>
      </c>
      <c r="D9" s="20">
        <v>3.1E-2</v>
      </c>
      <c r="G9" s="16">
        <f>ROUND(G8*D9,0)</f>
        <v>-69115519</v>
      </c>
    </row>
    <row r="10" spans="1:11" ht="12.75" thickBot="1" x14ac:dyDescent="0.25">
      <c r="A10" t="str">
        <f>LEFT(A8,LEN(A8)-12)&amp;", reajustada"</f>
        <v>Pérdida Tributaria de Arrastre, reajustada</v>
      </c>
      <c r="G10" s="17">
        <f>SUM(G8:G9)</f>
        <v>-2298648400</v>
      </c>
      <c r="I10" s="8">
        <v>634</v>
      </c>
    </row>
    <row r="11" spans="1:11" x14ac:dyDescent="0.2">
      <c r="G11" s="23"/>
    </row>
    <row r="12" spans="1:11" ht="12.75" thickBot="1" x14ac:dyDescent="0.25">
      <c r="A12" s="14" t="s">
        <v>90</v>
      </c>
      <c r="B12" t="str">
        <f>"Utilidad Tributaria según balance al 31/12/"&amp;RIGHT($C$4,2)</f>
        <v>Utilidad Tributaria según balance al 31/12/01</v>
      </c>
      <c r="G12" s="59">
        <v>67939844</v>
      </c>
    </row>
    <row r="13" spans="1:11" ht="12.75" thickBot="1" x14ac:dyDescent="0.25">
      <c r="A13" s="48" t="s">
        <v>90</v>
      </c>
      <c r="B13" s="47" t="s">
        <v>112</v>
      </c>
      <c r="C13" s="45"/>
      <c r="D13" s="45"/>
      <c r="E13" s="1"/>
      <c r="F13" s="1"/>
      <c r="G13" s="59">
        <v>3225636</v>
      </c>
      <c r="I13" s="8">
        <v>82</v>
      </c>
      <c r="K13" s="8">
        <v>639</v>
      </c>
    </row>
    <row r="14" spans="1:11" ht="12.75" thickBot="1" x14ac:dyDescent="0.25">
      <c r="A14" s="18" t="str">
        <f>A6&amp;" al 31/12/"&amp;RIGHT($C$4,2)</f>
        <v>Pérdida Tributaria al 31/12/01</v>
      </c>
      <c r="B14" s="18"/>
      <c r="C14" s="18"/>
      <c r="D14" s="18"/>
      <c r="E14" s="1"/>
      <c r="F14" s="1"/>
      <c r="G14" s="19">
        <f>SUM(G10:G13)</f>
        <v>-2227482920</v>
      </c>
    </row>
    <row r="15" spans="1:11" ht="13.5" thickTop="1" thickBot="1" x14ac:dyDescent="0.25">
      <c r="A15" s="47"/>
      <c r="B15" s="47"/>
      <c r="C15" s="45"/>
      <c r="D15" s="45"/>
      <c r="E15" s="1"/>
      <c r="F15" s="1"/>
      <c r="G15" s="46"/>
    </row>
    <row r="16" spans="1:11" ht="12.75" thickBot="1" x14ac:dyDescent="0.25">
      <c r="A16" s="14" t="s">
        <v>97</v>
      </c>
      <c r="B16" t="s">
        <v>108</v>
      </c>
      <c r="G16" s="22">
        <v>0</v>
      </c>
      <c r="I16" s="8">
        <v>642</v>
      </c>
    </row>
    <row r="17" spans="1:9" ht="12.75" thickBot="1" x14ac:dyDescent="0.25">
      <c r="A17" s="15" t="s">
        <v>91</v>
      </c>
      <c r="B17" s="18" t="str">
        <f>"RLI del ejercicio "&amp;$C$4</f>
        <v>RLI del ejercicio 2001</v>
      </c>
      <c r="C17" s="18"/>
      <c r="D17" s="18"/>
      <c r="E17" s="1"/>
      <c r="F17" s="1"/>
      <c r="G17" s="19">
        <f>IF(G16&gt;0,"¡signo del dividendo!",SUM(G14:G16))</f>
        <v>-2227482920</v>
      </c>
      <c r="I17" s="8">
        <v>643</v>
      </c>
    </row>
    <row r="18" spans="1:9" ht="12.75" thickTop="1" x14ac:dyDescent="0.2">
      <c r="G18" s="16"/>
    </row>
    <row r="19" spans="1:9" x14ac:dyDescent="0.2">
      <c r="G19" s="16"/>
    </row>
    <row r="20" spans="1:9" x14ac:dyDescent="0.2">
      <c r="G20" s="16"/>
    </row>
    <row r="21" spans="1:9" x14ac:dyDescent="0.2">
      <c r="G21" s="16"/>
    </row>
    <row r="22" spans="1:9" x14ac:dyDescent="0.2">
      <c r="A22" s="12" t="s">
        <v>93</v>
      </c>
      <c r="G22" s="16"/>
    </row>
    <row r="23" spans="1:9" x14ac:dyDescent="0.2">
      <c r="G23" s="16"/>
    </row>
    <row r="24" spans="1:9" x14ac:dyDescent="0.2">
      <c r="A24" t="str">
        <f>"Saldo "&amp;A22&amp;RIGHT($A$8,12)</f>
        <v>Saldo F.U.T. al 31/12/00</v>
      </c>
      <c r="G24" s="16">
        <f>'AT01'!G37</f>
        <v>-2065610128</v>
      </c>
    </row>
    <row r="25" spans="1:9" ht="12.75" thickBot="1" x14ac:dyDescent="0.25">
      <c r="A25" s="14" t="s">
        <v>90</v>
      </c>
      <c r="B25" t="str">
        <f>B9</f>
        <v>Reajuste 2001:</v>
      </c>
      <c r="D25" s="21">
        <f>D9</f>
        <v>3.1E-2</v>
      </c>
      <c r="G25" s="16">
        <f>ROUND(G24*D25,0)</f>
        <v>-64033914</v>
      </c>
    </row>
    <row r="26" spans="1:9" ht="12.75" thickBot="1" x14ac:dyDescent="0.25">
      <c r="A26" t="str">
        <f>LEFT(A24,LEN(A24)-12)&amp;", reajustado"</f>
        <v>Saldo F.U.T., reajustado</v>
      </c>
      <c r="G26" s="17">
        <f>SUM(G24:G25)</f>
        <v>-2129644042</v>
      </c>
      <c r="I26" s="8">
        <v>284</v>
      </c>
    </row>
    <row r="27" spans="1:9" ht="12.75" thickBot="1" x14ac:dyDescent="0.25">
      <c r="G27" s="23"/>
    </row>
    <row r="28" spans="1:9" ht="12.75" thickBot="1" x14ac:dyDescent="0.25">
      <c r="A28" s="14" t="s">
        <v>97</v>
      </c>
      <c r="B28" t="s">
        <v>98</v>
      </c>
      <c r="G28" s="23">
        <f>G17</f>
        <v>-2227482920</v>
      </c>
      <c r="I28" s="8">
        <v>229</v>
      </c>
    </row>
    <row r="29" spans="1:9" x14ac:dyDescent="0.2">
      <c r="A29" t="str">
        <f>"Subtotal "&amp;RIGHT(A24,LEN(A24)-6)</f>
        <v>Subtotal F.U.T. al 31/12/00</v>
      </c>
      <c r="G29" s="17">
        <f>SUM(G26:G28)</f>
        <v>-4357126962</v>
      </c>
    </row>
    <row r="30" spans="1:9" x14ac:dyDescent="0.2">
      <c r="G30" s="23"/>
    </row>
    <row r="31" spans="1:9" x14ac:dyDescent="0.2">
      <c r="A31" s="14" t="s">
        <v>97</v>
      </c>
      <c r="B31" t="s">
        <v>111</v>
      </c>
      <c r="G31" s="23"/>
    </row>
    <row r="32" spans="1:9" x14ac:dyDescent="0.2">
      <c r="G32" s="23"/>
    </row>
    <row r="33" spans="1:9" x14ac:dyDescent="0.2">
      <c r="A33" s="14" t="s">
        <v>90</v>
      </c>
      <c r="B33" t="str">
        <f>A10</f>
        <v>Pérdida Tributaria de Arrastre, reajustada</v>
      </c>
      <c r="G33" s="16">
        <f>-G10</f>
        <v>2298648400</v>
      </c>
    </row>
    <row r="34" spans="1:9" ht="12.75" thickBot="1" x14ac:dyDescent="0.25">
      <c r="A34" s="14"/>
      <c r="G34" s="16"/>
    </row>
    <row r="35" spans="1:9" ht="12.75" thickBot="1" x14ac:dyDescent="0.25">
      <c r="A35" s="14" t="s">
        <v>90</v>
      </c>
      <c r="B35" t="s">
        <v>108</v>
      </c>
      <c r="G35" s="16">
        <f>-G16</f>
        <v>0</v>
      </c>
      <c r="I35" s="8">
        <v>642</v>
      </c>
    </row>
    <row r="36" spans="1:9" ht="12.75" thickBot="1" x14ac:dyDescent="0.25">
      <c r="A36" s="43" t="s">
        <v>109</v>
      </c>
      <c r="G36" s="42">
        <f>SUM(G33:G35)</f>
        <v>2298648400</v>
      </c>
      <c r="I36" s="8">
        <v>242</v>
      </c>
    </row>
    <row r="37" spans="1:9" ht="12.75" thickBot="1" x14ac:dyDescent="0.25">
      <c r="A37" s="18" t="str">
        <f>LEFT(A24,LEN(A24)-2)&amp;RIGHT($C$4,2)</f>
        <v>Saldo F.U.T. al 31/12/01</v>
      </c>
      <c r="B37" s="18"/>
      <c r="C37" s="18"/>
      <c r="D37" s="18"/>
      <c r="E37" s="1"/>
      <c r="F37" s="1"/>
      <c r="G37" s="19">
        <f>G29+G31+G36</f>
        <v>-2058478562</v>
      </c>
      <c r="I37" s="8">
        <v>232</v>
      </c>
    </row>
    <row r="38" spans="1:9" ht="12.75" thickTop="1" x14ac:dyDescent="0.2">
      <c r="G38" s="16"/>
    </row>
    <row r="39" spans="1:9" x14ac:dyDescent="0.2">
      <c r="G39" s="16"/>
    </row>
    <row r="40" spans="1:9" x14ac:dyDescent="0.2">
      <c r="A40" s="1" t="s">
        <v>132</v>
      </c>
      <c r="G40" s="16"/>
    </row>
    <row r="41" spans="1:9" ht="12.75" x14ac:dyDescent="0.2">
      <c r="A41" s="53" t="s">
        <v>137</v>
      </c>
    </row>
    <row r="42" spans="1:9" ht="12.75" x14ac:dyDescent="0.2">
      <c r="A42" s="53" t="s">
        <v>136</v>
      </c>
    </row>
    <row r="43" spans="1:9" ht="12.75" x14ac:dyDescent="0.2">
      <c r="A43" s="53" t="s">
        <v>129</v>
      </c>
    </row>
    <row r="44" spans="1:9" ht="12.75" x14ac:dyDescent="0.2">
      <c r="A44" s="53" t="s">
        <v>130</v>
      </c>
    </row>
    <row r="45" spans="1:9" ht="12.75" x14ac:dyDescent="0.2">
      <c r="A45" s="53" t="s">
        <v>128</v>
      </c>
    </row>
    <row r="46" spans="1:9" ht="12.75" x14ac:dyDescent="0.2">
      <c r="A46" s="53" t="s">
        <v>134</v>
      </c>
    </row>
    <row r="47" spans="1:9" ht="12.75" x14ac:dyDescent="0.2">
      <c r="A47" s="53" t="s">
        <v>131</v>
      </c>
    </row>
  </sheetData>
  <phoneticPr fontId="0" type="noConversion"/>
  <pageMargins left="0.75" right="0.5" top="1" bottom="1" header="0.5" footer="0.5"/>
  <pageSetup orientation="portrait" horizontalDpi="0" verticalDpi="0" copies="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6"/>
  <dimension ref="A1:K38"/>
  <sheetViews>
    <sheetView topLeftCell="A32" workbookViewId="0">
      <selection activeCell="G12" sqref="G12"/>
    </sheetView>
  </sheetViews>
  <sheetFormatPr baseColWidth="10" defaultColWidth="9.140625" defaultRowHeight="12" x14ac:dyDescent="0.2"/>
  <cols>
    <col min="1" max="1" width="4.42578125" customWidth="1"/>
    <col min="2" max="6" width="9.140625" customWidth="1"/>
    <col min="7" max="7" width="13.5703125" bestFit="1" customWidth="1"/>
    <col min="8" max="8" width="9.140625" customWidth="1"/>
    <col min="9" max="14" width="3.5703125" customWidth="1"/>
  </cols>
  <sheetData>
    <row r="1" spans="1:11" s="57" customFormat="1" ht="12.75" x14ac:dyDescent="0.2">
      <c r="A1" s="58" t="s">
        <v>115</v>
      </c>
    </row>
    <row r="2" spans="1:11" s="57" customFormat="1" ht="12.75" x14ac:dyDescent="0.2">
      <c r="A2" s="58" t="s">
        <v>114</v>
      </c>
    </row>
    <row r="3" spans="1:11" ht="15" x14ac:dyDescent="0.25">
      <c r="A3" s="13" t="s">
        <v>96</v>
      </c>
    </row>
    <row r="4" spans="1:11" x14ac:dyDescent="0.2">
      <c r="A4" t="s">
        <v>94</v>
      </c>
      <c r="C4">
        <f>RIGHT(A3,4)-1</f>
        <v>2000</v>
      </c>
    </row>
    <row r="6" spans="1:11" x14ac:dyDescent="0.2">
      <c r="A6" s="12" t="s">
        <v>92</v>
      </c>
      <c r="G6" s="16"/>
    </row>
    <row r="7" spans="1:11" x14ac:dyDescent="0.2">
      <c r="A7" s="1"/>
      <c r="G7" s="16"/>
    </row>
    <row r="8" spans="1:11" x14ac:dyDescent="0.2">
      <c r="A8" t="str">
        <f>A6&amp;" de Arrastre al 31/12/"&amp;RIGHT($C$4-1,2)</f>
        <v>Pérdida Tributaria de Arrastre al 31/12/99</v>
      </c>
      <c r="G8" s="16">
        <f>AT00!G14</f>
        <v>-2152199447</v>
      </c>
    </row>
    <row r="9" spans="1:11" ht="12.75" thickBot="1" x14ac:dyDescent="0.25">
      <c r="A9" s="14" t="s">
        <v>90</v>
      </c>
      <c r="B9" t="str">
        <f>"Reajuste "&amp;$C$4&amp;":"</f>
        <v>Reajuste 2000:</v>
      </c>
      <c r="D9" s="20">
        <v>4.7E-2</v>
      </c>
      <c r="G9" s="16">
        <f>ROUND(G8*D9,0)</f>
        <v>-101153374</v>
      </c>
    </row>
    <row r="10" spans="1:11" ht="12.75" thickBot="1" x14ac:dyDescent="0.25">
      <c r="A10" t="str">
        <f>LEFT(A8,LEN(A8)-12)&amp;", reajustada"</f>
        <v>Pérdida Tributaria de Arrastre, reajustada</v>
      </c>
      <c r="G10" s="17">
        <f>SUM(G8:G9)</f>
        <v>-2253352821</v>
      </c>
      <c r="I10" s="8">
        <v>634</v>
      </c>
    </row>
    <row r="11" spans="1:11" x14ac:dyDescent="0.2">
      <c r="G11" s="23"/>
    </row>
    <row r="12" spans="1:11" ht="12.75" thickBot="1" x14ac:dyDescent="0.25">
      <c r="A12" s="14" t="s">
        <v>90</v>
      </c>
      <c r="B12" t="str">
        <f>"Utilidad Tributaria según balance al 31/12/"&amp;RIGHT($C$4,2)</f>
        <v>Utilidad Tributaria según balance al 31/12/00</v>
      </c>
      <c r="G12" s="22">
        <v>22273540</v>
      </c>
    </row>
    <row r="13" spans="1:11" ht="12.75" thickBot="1" x14ac:dyDescent="0.25">
      <c r="A13" s="48" t="s">
        <v>90</v>
      </c>
      <c r="B13" s="47" t="s">
        <v>112</v>
      </c>
      <c r="C13" s="45"/>
      <c r="D13" s="45"/>
      <c r="E13" s="1"/>
      <c r="F13" s="1"/>
      <c r="G13" s="22">
        <v>1546400</v>
      </c>
      <c r="I13" s="8">
        <v>82</v>
      </c>
      <c r="K13" s="8">
        <v>639</v>
      </c>
    </row>
    <row r="14" spans="1:11" ht="12.75" thickBot="1" x14ac:dyDescent="0.25">
      <c r="A14" s="18" t="str">
        <f>A6&amp;" al 31/12/"&amp;RIGHT($C$4,2)</f>
        <v>Pérdida Tributaria al 31/12/00</v>
      </c>
      <c r="B14" s="18"/>
      <c r="C14" s="18"/>
      <c r="D14" s="18"/>
      <c r="E14" s="1"/>
      <c r="F14" s="1"/>
      <c r="G14" s="19">
        <f>SUM(G10:G13)</f>
        <v>-2229532881</v>
      </c>
    </row>
    <row r="15" spans="1:11" ht="13.5" thickTop="1" thickBot="1" x14ac:dyDescent="0.25">
      <c r="A15" s="47"/>
      <c r="B15" s="47"/>
      <c r="C15" s="45"/>
      <c r="D15" s="45"/>
      <c r="E15" s="1"/>
      <c r="F15" s="1"/>
      <c r="G15" s="46"/>
    </row>
    <row r="16" spans="1:11" ht="12.75" thickBot="1" x14ac:dyDescent="0.25">
      <c r="A16" s="14" t="s">
        <v>97</v>
      </c>
      <c r="B16" t="s">
        <v>108</v>
      </c>
      <c r="G16" s="22">
        <v>0</v>
      </c>
      <c r="I16" s="8">
        <v>642</v>
      </c>
    </row>
    <row r="17" spans="1:9" ht="12.75" thickBot="1" x14ac:dyDescent="0.25">
      <c r="A17" s="15" t="s">
        <v>91</v>
      </c>
      <c r="B17" s="18" t="str">
        <f>"RLI del ejercicio "&amp;$C$4</f>
        <v>RLI del ejercicio 2000</v>
      </c>
      <c r="C17" s="18"/>
      <c r="D17" s="18"/>
      <c r="E17" s="1"/>
      <c r="F17" s="1"/>
      <c r="G17" s="19">
        <f>IF(G16&gt;0,"¡signo del dividendo!",SUM(G14:G16))</f>
        <v>-2229532881</v>
      </c>
      <c r="I17" s="8">
        <v>643</v>
      </c>
    </row>
    <row r="18" spans="1:9" ht="12.75" thickTop="1" x14ac:dyDescent="0.2">
      <c r="G18" s="16"/>
    </row>
    <row r="19" spans="1:9" x14ac:dyDescent="0.2">
      <c r="G19" s="16"/>
    </row>
    <row r="20" spans="1:9" x14ac:dyDescent="0.2">
      <c r="G20" s="16"/>
    </row>
    <row r="21" spans="1:9" x14ac:dyDescent="0.2">
      <c r="G21" s="16"/>
    </row>
    <row r="22" spans="1:9" x14ac:dyDescent="0.2">
      <c r="A22" s="12" t="s">
        <v>93</v>
      </c>
      <c r="G22" s="16"/>
    </row>
    <row r="23" spans="1:9" x14ac:dyDescent="0.2">
      <c r="G23" s="16"/>
    </row>
    <row r="24" spans="1:9" x14ac:dyDescent="0.2">
      <c r="A24" t="str">
        <f>"Saldo "&amp;A22&amp;RIGHT($A$8,12)</f>
        <v>Saldo F.U.T. al 31/12/99</v>
      </c>
      <c r="G24" s="16">
        <f>AT00!G37</f>
        <v>-1995635213</v>
      </c>
    </row>
    <row r="25" spans="1:9" ht="12.75" thickBot="1" x14ac:dyDescent="0.25">
      <c r="A25" s="14" t="s">
        <v>90</v>
      </c>
      <c r="B25" t="str">
        <f>B9</f>
        <v>Reajuste 2000:</v>
      </c>
      <c r="D25" s="21">
        <f>D9</f>
        <v>4.7E-2</v>
      </c>
      <c r="G25" s="16">
        <f>ROUND(G24*D25,0)</f>
        <v>-93794855</v>
      </c>
    </row>
    <row r="26" spans="1:9" ht="12.75" thickBot="1" x14ac:dyDescent="0.25">
      <c r="A26" t="str">
        <f>LEFT(A24,LEN(A24)-12)&amp;", reajustado"</f>
        <v>Saldo F.U.T., reajustado</v>
      </c>
      <c r="G26" s="17">
        <f>SUM(G24:G25)</f>
        <v>-2089430068</v>
      </c>
      <c r="I26" s="8">
        <v>284</v>
      </c>
    </row>
    <row r="27" spans="1:9" ht="12.75" thickBot="1" x14ac:dyDescent="0.25">
      <c r="G27" s="23"/>
    </row>
    <row r="28" spans="1:9" ht="12.75" thickBot="1" x14ac:dyDescent="0.25">
      <c r="A28" s="14" t="s">
        <v>97</v>
      </c>
      <c r="B28" t="s">
        <v>98</v>
      </c>
      <c r="G28" s="23">
        <f>G17</f>
        <v>-2229532881</v>
      </c>
      <c r="I28" s="8">
        <v>229</v>
      </c>
    </row>
    <row r="29" spans="1:9" x14ac:dyDescent="0.2">
      <c r="A29" t="str">
        <f>"Subtotal "&amp;RIGHT(A24,LEN(A24)-6)</f>
        <v>Subtotal F.U.T. al 31/12/99</v>
      </c>
      <c r="G29" s="17">
        <f>SUM(G26:G28)</f>
        <v>-4318962949</v>
      </c>
    </row>
    <row r="30" spans="1:9" ht="12.75" thickBot="1" x14ac:dyDescent="0.25">
      <c r="G30" s="23"/>
    </row>
    <row r="31" spans="1:9" ht="12.75" thickBot="1" x14ac:dyDescent="0.25">
      <c r="A31" s="14" t="s">
        <v>97</v>
      </c>
      <c r="B31" t="s">
        <v>111</v>
      </c>
      <c r="G31" s="23">
        <f>-G13</f>
        <v>-1546400</v>
      </c>
      <c r="I31" s="8">
        <v>624</v>
      </c>
    </row>
    <row r="32" spans="1:9" x14ac:dyDescent="0.2">
      <c r="G32" s="23"/>
    </row>
    <row r="33" spans="1:9" x14ac:dyDescent="0.2">
      <c r="A33" s="14" t="s">
        <v>90</v>
      </c>
      <c r="B33" t="str">
        <f>A10</f>
        <v>Pérdida Tributaria de Arrastre, reajustada</v>
      </c>
      <c r="G33" s="16">
        <f>-G10</f>
        <v>2253352821</v>
      </c>
    </row>
    <row r="34" spans="1:9" ht="12.75" thickBot="1" x14ac:dyDescent="0.25">
      <c r="A34" s="14" t="s">
        <v>90</v>
      </c>
      <c r="B34" t="str">
        <f>B13</f>
        <v>Crédito por Gastos de Capacitación</v>
      </c>
      <c r="G34" s="16">
        <f>G13</f>
        <v>1546400</v>
      </c>
    </row>
    <row r="35" spans="1:9" ht="12.75" thickBot="1" x14ac:dyDescent="0.25">
      <c r="A35" s="14" t="s">
        <v>90</v>
      </c>
      <c r="B35" t="s">
        <v>108</v>
      </c>
      <c r="G35" s="16">
        <f>-G16</f>
        <v>0</v>
      </c>
      <c r="I35" s="8">
        <v>642</v>
      </c>
    </row>
    <row r="36" spans="1:9" ht="12.75" thickBot="1" x14ac:dyDescent="0.25">
      <c r="A36" s="43" t="s">
        <v>109</v>
      </c>
      <c r="G36" s="42">
        <f>SUM(G33:G35)</f>
        <v>2254899221</v>
      </c>
      <c r="I36" s="8">
        <v>242</v>
      </c>
    </row>
    <row r="37" spans="1:9" ht="12.75" thickBot="1" x14ac:dyDescent="0.25">
      <c r="A37" s="18" t="str">
        <f>LEFT(A24,LEN(A24)-2)&amp;RIGHT($C$4,2)</f>
        <v>Saldo F.U.T. al 31/12/00</v>
      </c>
      <c r="B37" s="18"/>
      <c r="C37" s="18"/>
      <c r="D37" s="18"/>
      <c r="E37" s="1"/>
      <c r="F37" s="1"/>
      <c r="G37" s="19">
        <f>G29+G31+G36</f>
        <v>-2065610128</v>
      </c>
      <c r="I37" s="8">
        <v>232</v>
      </c>
    </row>
    <row r="38" spans="1:9" ht="12.75" thickTop="1" x14ac:dyDescent="0.2">
      <c r="G38" s="16"/>
    </row>
  </sheetData>
  <phoneticPr fontId="0" type="noConversion"/>
  <pageMargins left="0.75" right="0.75" top="1" bottom="1" header="0.5" footer="0.5"/>
  <pageSetup orientation="portrait" horizontalDpi="0" verticalDpi="0" copies="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7"/>
  <dimension ref="A1:K40"/>
  <sheetViews>
    <sheetView topLeftCell="A32" workbookViewId="0">
      <selection activeCell="G12" sqref="G12"/>
    </sheetView>
  </sheetViews>
  <sheetFormatPr baseColWidth="10" defaultColWidth="9.140625" defaultRowHeight="12" x14ac:dyDescent="0.2"/>
  <cols>
    <col min="1" max="1" width="4.42578125" customWidth="1"/>
    <col min="2" max="6" width="9.140625" customWidth="1"/>
    <col min="7" max="7" width="13.5703125" bestFit="1" customWidth="1"/>
    <col min="8" max="8" width="9.140625" customWidth="1"/>
    <col min="9" max="14" width="3.5703125" customWidth="1"/>
  </cols>
  <sheetData>
    <row r="1" spans="1:11" s="57" customFormat="1" ht="12.75" x14ac:dyDescent="0.2">
      <c r="A1" s="58" t="s">
        <v>115</v>
      </c>
    </row>
    <row r="2" spans="1:11" s="57" customFormat="1" ht="12.75" x14ac:dyDescent="0.2">
      <c r="A2" s="58" t="s">
        <v>114</v>
      </c>
    </row>
    <row r="3" spans="1:11" ht="15" x14ac:dyDescent="0.25">
      <c r="A3" s="13" t="s">
        <v>95</v>
      </c>
    </row>
    <row r="4" spans="1:11" x14ac:dyDescent="0.2">
      <c r="A4" t="s">
        <v>94</v>
      </c>
      <c r="C4">
        <f>RIGHT(A3,4)-1</f>
        <v>1999</v>
      </c>
    </row>
    <row r="6" spans="1:11" x14ac:dyDescent="0.2">
      <c r="A6" s="12" t="s">
        <v>92</v>
      </c>
      <c r="G6" s="16"/>
    </row>
    <row r="7" spans="1:11" x14ac:dyDescent="0.2">
      <c r="A7" s="1"/>
      <c r="G7" s="16"/>
    </row>
    <row r="8" spans="1:11" x14ac:dyDescent="0.2">
      <c r="A8" t="str">
        <f>A6&amp;" de Arrastre al 31/12/"&amp;RIGHT($C$4-1,2)</f>
        <v>Pérdida Tributaria de Arrastre al 31/12/98</v>
      </c>
      <c r="G8" s="16">
        <f>'AT99'!G14</f>
        <v>-2124897389</v>
      </c>
    </row>
    <row r="9" spans="1:11" ht="12.75" thickBot="1" x14ac:dyDescent="0.25">
      <c r="A9" s="14" t="s">
        <v>90</v>
      </c>
      <c r="B9" t="str">
        <f>"Reajuste "&amp;$C$4&amp;":"</f>
        <v>Reajuste 1999:</v>
      </c>
      <c r="D9" s="20">
        <v>2.5999999999999999E-2</v>
      </c>
      <c r="G9" s="16">
        <f>ROUND(G8*D9,0)</f>
        <v>-55247332</v>
      </c>
    </row>
    <row r="10" spans="1:11" ht="12.75" thickBot="1" x14ac:dyDescent="0.25">
      <c r="A10" t="str">
        <f>LEFT(A8,LEN(A8)-12)&amp;", reajustada"</f>
        <v>Pérdida Tributaria de Arrastre, reajustada</v>
      </c>
      <c r="G10" s="17">
        <f>SUM(G8:G9)</f>
        <v>-2180144721</v>
      </c>
      <c r="I10" s="8">
        <v>634</v>
      </c>
    </row>
    <row r="11" spans="1:11" x14ac:dyDescent="0.2">
      <c r="G11" s="23"/>
    </row>
    <row r="12" spans="1:11" ht="12.75" thickBot="1" x14ac:dyDescent="0.25">
      <c r="A12" s="14" t="s">
        <v>90</v>
      </c>
      <c r="B12" t="str">
        <f>"Utilidad Tributaria según balance al 31/12/"&amp;RIGHT($C$4,2)</f>
        <v>Utilidad Tributaria según balance al 31/12/99</v>
      </c>
      <c r="G12" s="22">
        <v>25909124</v>
      </c>
    </row>
    <row r="13" spans="1:11" ht="12.75" thickBot="1" x14ac:dyDescent="0.25">
      <c r="A13" s="48" t="s">
        <v>90</v>
      </c>
      <c r="B13" s="47" t="s">
        <v>112</v>
      </c>
      <c r="C13" s="45"/>
      <c r="D13" s="45"/>
      <c r="E13" s="1"/>
      <c r="F13" s="1"/>
      <c r="G13" s="22">
        <v>2036150</v>
      </c>
      <c r="I13" s="8">
        <v>82</v>
      </c>
      <c r="K13" s="8">
        <v>639</v>
      </c>
    </row>
    <row r="14" spans="1:11" ht="12.75" thickBot="1" x14ac:dyDescent="0.25">
      <c r="A14" s="18" t="str">
        <f>A6&amp;" al 31/12/"&amp;RIGHT($C$4,2)</f>
        <v>Pérdida Tributaria al 31/12/99</v>
      </c>
      <c r="B14" s="18"/>
      <c r="C14" s="18"/>
      <c r="D14" s="18"/>
      <c r="E14" s="1"/>
      <c r="F14" s="1"/>
      <c r="G14" s="19">
        <f>SUM(G10:G13)</f>
        <v>-2152199447</v>
      </c>
    </row>
    <row r="15" spans="1:11" ht="13.5" thickTop="1" thickBot="1" x14ac:dyDescent="0.25">
      <c r="A15" s="47"/>
      <c r="B15" s="47"/>
      <c r="C15" s="45"/>
      <c r="D15" s="45"/>
      <c r="E15" s="1"/>
      <c r="F15" s="1"/>
      <c r="G15" s="46"/>
    </row>
    <row r="16" spans="1:11" ht="12.75" thickBot="1" x14ac:dyDescent="0.25">
      <c r="A16" s="14" t="s">
        <v>97</v>
      </c>
      <c r="B16" t="s">
        <v>108</v>
      </c>
      <c r="G16" s="22">
        <v>0</v>
      </c>
      <c r="I16" s="8">
        <v>642</v>
      </c>
    </row>
    <row r="17" spans="1:9" ht="12.75" thickBot="1" x14ac:dyDescent="0.25">
      <c r="A17" s="15" t="s">
        <v>91</v>
      </c>
      <c r="B17" s="18" t="str">
        <f>"RLI del ejercicio "&amp;$C$4</f>
        <v>RLI del ejercicio 1999</v>
      </c>
      <c r="C17" s="18"/>
      <c r="D17" s="18"/>
      <c r="E17" s="1"/>
      <c r="F17" s="1"/>
      <c r="G17" s="19">
        <f>IF(G16&gt;0,"¡signo del dividendo!",SUM(G14:G16))</f>
        <v>-2152199447</v>
      </c>
      <c r="I17" s="8">
        <v>643</v>
      </c>
    </row>
    <row r="18" spans="1:9" ht="12.75" thickTop="1" x14ac:dyDescent="0.2">
      <c r="G18" s="16"/>
    </row>
    <row r="19" spans="1:9" x14ac:dyDescent="0.2">
      <c r="G19" s="16"/>
    </row>
    <row r="20" spans="1:9" x14ac:dyDescent="0.2">
      <c r="G20" s="16"/>
    </row>
    <row r="21" spans="1:9" x14ac:dyDescent="0.2">
      <c r="G21" s="16"/>
    </row>
    <row r="22" spans="1:9" x14ac:dyDescent="0.2">
      <c r="A22" s="12" t="s">
        <v>93</v>
      </c>
      <c r="G22" s="16"/>
    </row>
    <row r="23" spans="1:9" x14ac:dyDescent="0.2">
      <c r="G23" s="16"/>
    </row>
    <row r="24" spans="1:9" x14ac:dyDescent="0.2">
      <c r="A24" t="str">
        <f>"Saldo "&amp;A22&amp;RIGHT($A$8,12)</f>
        <v>Saldo F.U.T. al 31/12/98</v>
      </c>
      <c r="G24" s="16">
        <f>'AT99'!G37</f>
        <v>-1972300670</v>
      </c>
    </row>
    <row r="25" spans="1:9" ht="12.75" thickBot="1" x14ac:dyDescent="0.25">
      <c r="A25" s="14" t="s">
        <v>90</v>
      </c>
      <c r="B25" t="str">
        <f>B9</f>
        <v>Reajuste 1999:</v>
      </c>
      <c r="D25" s="21">
        <f>D9</f>
        <v>2.5999999999999999E-2</v>
      </c>
      <c r="G25" s="16">
        <f>ROUND(G24*D25,0)</f>
        <v>-51279817</v>
      </c>
    </row>
    <row r="26" spans="1:9" ht="12.75" thickBot="1" x14ac:dyDescent="0.25">
      <c r="A26" t="str">
        <f>LEFT(A24,LEN(A24)-12)&amp;", reajustado"</f>
        <v>Saldo F.U.T., reajustado</v>
      </c>
      <c r="G26" s="17">
        <f>SUM(G24:G25)</f>
        <v>-2023580487</v>
      </c>
      <c r="I26" s="8">
        <v>284</v>
      </c>
    </row>
    <row r="27" spans="1:9" ht="12.75" thickBot="1" x14ac:dyDescent="0.25">
      <c r="G27" s="23"/>
    </row>
    <row r="28" spans="1:9" ht="12.75" thickBot="1" x14ac:dyDescent="0.25">
      <c r="A28" s="14" t="s">
        <v>97</v>
      </c>
      <c r="B28" t="s">
        <v>98</v>
      </c>
      <c r="G28" s="23">
        <f>G17</f>
        <v>-2152199447</v>
      </c>
      <c r="I28" s="8">
        <v>229</v>
      </c>
    </row>
    <row r="29" spans="1:9" x14ac:dyDescent="0.2">
      <c r="A29" t="str">
        <f>"Subtotal "&amp;RIGHT(A24,LEN(A24)-6)</f>
        <v>Subtotal F.U.T. al 31/12/98</v>
      </c>
      <c r="G29" s="17">
        <f>SUM(G26:G28)</f>
        <v>-4175779934</v>
      </c>
    </row>
    <row r="30" spans="1:9" ht="12.75" thickBot="1" x14ac:dyDescent="0.25">
      <c r="G30" s="23"/>
    </row>
    <row r="31" spans="1:9" ht="12.75" thickBot="1" x14ac:dyDescent="0.25">
      <c r="A31" s="14" t="s">
        <v>97</v>
      </c>
      <c r="B31" t="s">
        <v>111</v>
      </c>
      <c r="G31" s="23">
        <f>-G13</f>
        <v>-2036150</v>
      </c>
      <c r="I31" s="8">
        <v>624</v>
      </c>
    </row>
    <row r="32" spans="1:9" x14ac:dyDescent="0.2">
      <c r="G32" s="23"/>
    </row>
    <row r="33" spans="1:9" x14ac:dyDescent="0.2">
      <c r="A33" s="14" t="s">
        <v>90</v>
      </c>
      <c r="B33" t="str">
        <f>A10</f>
        <v>Pérdida Tributaria de Arrastre, reajustada</v>
      </c>
      <c r="G33" s="16">
        <f>-G10</f>
        <v>2180144721</v>
      </c>
    </row>
    <row r="34" spans="1:9" ht="12.75" thickBot="1" x14ac:dyDescent="0.25">
      <c r="A34" s="14" t="s">
        <v>90</v>
      </c>
      <c r="B34" t="str">
        <f>B13</f>
        <v>Crédito por Gastos de Capacitación</v>
      </c>
      <c r="G34" s="16">
        <f>G13</f>
        <v>2036150</v>
      </c>
    </row>
    <row r="35" spans="1:9" ht="12.75" thickBot="1" x14ac:dyDescent="0.25">
      <c r="A35" s="14" t="s">
        <v>90</v>
      </c>
      <c r="B35" t="s">
        <v>108</v>
      </c>
      <c r="G35" s="16">
        <f>-G16</f>
        <v>0</v>
      </c>
      <c r="I35" s="8">
        <v>642</v>
      </c>
    </row>
    <row r="36" spans="1:9" ht="12.75" thickBot="1" x14ac:dyDescent="0.25">
      <c r="A36" s="43" t="s">
        <v>109</v>
      </c>
      <c r="G36" s="42">
        <f>SUM(G33:G35)</f>
        <v>2182180871</v>
      </c>
      <c r="I36" s="8">
        <v>242</v>
      </c>
    </row>
    <row r="37" spans="1:9" ht="12.75" thickBot="1" x14ac:dyDescent="0.25">
      <c r="A37" s="18" t="str">
        <f>LEFT(A24,LEN(A24)-2)&amp;RIGHT($C$4,2)</f>
        <v>Saldo F.U.T. al 31/12/99</v>
      </c>
      <c r="B37" s="18"/>
      <c r="C37" s="18"/>
      <c r="D37" s="18"/>
      <c r="E37" s="1"/>
      <c r="F37" s="1"/>
      <c r="G37" s="19">
        <f>G29+G31+G36</f>
        <v>-1995635213</v>
      </c>
      <c r="I37" s="8">
        <v>232</v>
      </c>
    </row>
    <row r="38" spans="1:9" ht="12.75" thickTop="1" x14ac:dyDescent="0.2">
      <c r="G38" s="16"/>
    </row>
    <row r="39" spans="1:9" x14ac:dyDescent="0.2">
      <c r="G39" s="16"/>
    </row>
    <row r="40" spans="1:9" x14ac:dyDescent="0.2">
      <c r="G40" s="16"/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"/>
  <dimension ref="A1:K40"/>
  <sheetViews>
    <sheetView topLeftCell="A32" workbookViewId="0">
      <selection activeCell="G12" sqref="G12"/>
    </sheetView>
  </sheetViews>
  <sheetFormatPr baseColWidth="10" defaultColWidth="9.140625" defaultRowHeight="12" x14ac:dyDescent="0.2"/>
  <cols>
    <col min="1" max="1" width="4.42578125" customWidth="1"/>
    <col min="2" max="6" width="9.140625" customWidth="1"/>
    <col min="7" max="7" width="13.5703125" bestFit="1" customWidth="1"/>
    <col min="8" max="8" width="9.140625" customWidth="1"/>
    <col min="9" max="14" width="3.5703125" customWidth="1"/>
  </cols>
  <sheetData>
    <row r="1" spans="1:11" s="57" customFormat="1" ht="12.75" x14ac:dyDescent="0.2">
      <c r="A1" s="58" t="s">
        <v>115</v>
      </c>
    </row>
    <row r="2" spans="1:11" s="57" customFormat="1" ht="12.75" x14ac:dyDescent="0.2">
      <c r="A2" s="58" t="s">
        <v>114</v>
      </c>
    </row>
    <row r="3" spans="1:11" ht="15" x14ac:dyDescent="0.25">
      <c r="A3" s="13" t="s">
        <v>113</v>
      </c>
    </row>
    <row r="4" spans="1:11" x14ac:dyDescent="0.2">
      <c r="A4" t="s">
        <v>94</v>
      </c>
      <c r="C4">
        <f>RIGHT(A3,4)-1</f>
        <v>1998</v>
      </c>
    </row>
    <row r="6" spans="1:11" x14ac:dyDescent="0.2">
      <c r="A6" s="12" t="s">
        <v>92</v>
      </c>
      <c r="G6" s="16"/>
    </row>
    <row r="7" spans="1:11" x14ac:dyDescent="0.2">
      <c r="A7" s="1"/>
      <c r="G7" s="16"/>
    </row>
    <row r="8" spans="1:11" x14ac:dyDescent="0.2">
      <c r="A8" t="str">
        <f>A6&amp;" de Arrastre al 31/12/"&amp;RIGHT($C$4-1,2)</f>
        <v>Pérdida Tributaria de Arrastre al 31/12/97</v>
      </c>
      <c r="G8" s="85">
        <f>+'AT98'!G18</f>
        <v>-2049851987</v>
      </c>
    </row>
    <row r="9" spans="1:11" ht="12.75" thickBot="1" x14ac:dyDescent="0.25">
      <c r="A9" s="14" t="s">
        <v>90</v>
      </c>
      <c r="B9" t="str">
        <f>"Reajuste "&amp;$C$4&amp;":"</f>
        <v>Reajuste 1998:</v>
      </c>
      <c r="D9" s="20">
        <v>4.2999999999999997E-2</v>
      </c>
      <c r="G9" s="16">
        <f>ROUND(G8*D9,0)</f>
        <v>-88143635</v>
      </c>
    </row>
    <row r="10" spans="1:11" ht="12.75" thickBot="1" x14ac:dyDescent="0.25">
      <c r="A10" t="str">
        <f>LEFT(A8,LEN(A8)-12)&amp;", reajustada"</f>
        <v>Pérdida Tributaria de Arrastre, reajustada</v>
      </c>
      <c r="G10" s="17">
        <f>SUM(G8:G9)</f>
        <v>-2137995622</v>
      </c>
      <c r="I10" s="8">
        <v>634</v>
      </c>
    </row>
    <row r="11" spans="1:11" x14ac:dyDescent="0.2">
      <c r="G11" s="23"/>
    </row>
    <row r="12" spans="1:11" ht="12.75" thickBot="1" x14ac:dyDescent="0.25">
      <c r="A12" s="14" t="s">
        <v>90</v>
      </c>
      <c r="B12" t="str">
        <f>"Utilidad Tributaria según balance al 31/12/"&amp;RIGHT($C$4,2)</f>
        <v>Utilidad Tributaria según balance al 31/12/98</v>
      </c>
      <c r="G12" s="22">
        <v>10786758</v>
      </c>
    </row>
    <row r="13" spans="1:11" ht="12.75" thickBot="1" x14ac:dyDescent="0.25">
      <c r="A13" s="48" t="s">
        <v>90</v>
      </c>
      <c r="B13" s="47" t="s">
        <v>112</v>
      </c>
      <c r="C13" s="45"/>
      <c r="D13" s="45"/>
      <c r="E13" s="1"/>
      <c r="F13" s="1"/>
      <c r="G13" s="22">
        <v>2311475</v>
      </c>
      <c r="I13" s="8">
        <v>82</v>
      </c>
      <c r="K13" s="8">
        <v>639</v>
      </c>
    </row>
    <row r="14" spans="1:11" ht="12.75" thickBot="1" x14ac:dyDescent="0.25">
      <c r="A14" s="18" t="str">
        <f>A6&amp;" al 31/12/"&amp;RIGHT($C$4,2)</f>
        <v>Pérdida Tributaria al 31/12/98</v>
      </c>
      <c r="B14" s="18"/>
      <c r="C14" s="18"/>
      <c r="D14" s="18"/>
      <c r="E14" s="1"/>
      <c r="F14" s="1"/>
      <c r="G14" s="19">
        <f>SUM(G10:G13)</f>
        <v>-2124897389</v>
      </c>
    </row>
    <row r="15" spans="1:11" ht="13.5" thickTop="1" thickBot="1" x14ac:dyDescent="0.25">
      <c r="A15" s="47"/>
      <c r="B15" s="47"/>
      <c r="C15" s="45"/>
      <c r="D15" s="45"/>
      <c r="E15" s="1"/>
      <c r="F15" s="1"/>
      <c r="G15" s="46"/>
    </row>
    <row r="16" spans="1:11" ht="12.75" thickBot="1" x14ac:dyDescent="0.25">
      <c r="A16" s="14" t="s">
        <v>97</v>
      </c>
      <c r="B16" t="s">
        <v>108</v>
      </c>
      <c r="G16" s="22">
        <v>0</v>
      </c>
      <c r="I16" s="8">
        <v>642</v>
      </c>
    </row>
    <row r="17" spans="1:9" ht="12.75" thickBot="1" x14ac:dyDescent="0.25">
      <c r="A17" s="15" t="s">
        <v>91</v>
      </c>
      <c r="B17" s="18" t="str">
        <f>"RLI del ejercicio "&amp;$C$4</f>
        <v>RLI del ejercicio 1998</v>
      </c>
      <c r="C17" s="18"/>
      <c r="D17" s="18"/>
      <c r="E17" s="1"/>
      <c r="F17" s="1"/>
      <c r="G17" s="19">
        <f>IF(G16&gt;0,"¡signo del dividendo!",SUM(G14:G16))</f>
        <v>-2124897389</v>
      </c>
      <c r="I17" s="8">
        <v>643</v>
      </c>
    </row>
    <row r="18" spans="1:9" ht="12.75" thickTop="1" x14ac:dyDescent="0.2">
      <c r="G18" s="16"/>
    </row>
    <row r="19" spans="1:9" x14ac:dyDescent="0.2">
      <c r="G19" s="16"/>
    </row>
    <row r="20" spans="1:9" x14ac:dyDescent="0.2">
      <c r="G20" s="16"/>
    </row>
    <row r="21" spans="1:9" x14ac:dyDescent="0.2">
      <c r="G21" s="16"/>
    </row>
    <row r="22" spans="1:9" x14ac:dyDescent="0.2">
      <c r="A22" s="12" t="s">
        <v>93</v>
      </c>
      <c r="G22" s="16"/>
    </row>
    <row r="23" spans="1:9" x14ac:dyDescent="0.2">
      <c r="G23" s="16"/>
    </row>
    <row r="24" spans="1:9" x14ac:dyDescent="0.2">
      <c r="A24" t="str">
        <f>"Saldo "&amp;A22&amp;RIGHT($A$8,12)</f>
        <v>Saldo F.U.T. al 31/12/97</v>
      </c>
      <c r="G24" s="85">
        <f>+'AT98'!G36</f>
        <v>-1903546407</v>
      </c>
    </row>
    <row r="25" spans="1:9" ht="12.75" thickBot="1" x14ac:dyDescent="0.25">
      <c r="A25" s="14" t="s">
        <v>90</v>
      </c>
      <c r="B25" t="str">
        <f>B9</f>
        <v>Reajuste 1998:</v>
      </c>
      <c r="D25" s="21">
        <f>D9</f>
        <v>4.2999999999999997E-2</v>
      </c>
      <c r="G25" s="16">
        <f>ROUND(G24*D25,0)</f>
        <v>-81852496</v>
      </c>
    </row>
    <row r="26" spans="1:9" ht="12.75" thickBot="1" x14ac:dyDescent="0.25">
      <c r="A26" t="str">
        <f>LEFT(A24,LEN(A24)-12)&amp;", reajustado"</f>
        <v>Saldo F.U.T., reajustado</v>
      </c>
      <c r="G26" s="17">
        <f>SUM(G24:G25)</f>
        <v>-1985398903</v>
      </c>
      <c r="I26" s="8">
        <v>284</v>
      </c>
    </row>
    <row r="27" spans="1:9" ht="12.75" thickBot="1" x14ac:dyDescent="0.25">
      <c r="G27" s="23"/>
    </row>
    <row r="28" spans="1:9" ht="12.75" thickBot="1" x14ac:dyDescent="0.25">
      <c r="A28" s="14" t="s">
        <v>97</v>
      </c>
      <c r="B28" t="s">
        <v>98</v>
      </c>
      <c r="G28" s="23">
        <f>G17</f>
        <v>-2124897389</v>
      </c>
      <c r="I28" s="8">
        <v>229</v>
      </c>
    </row>
    <row r="29" spans="1:9" x14ac:dyDescent="0.2">
      <c r="A29" t="str">
        <f>"Subtotal "&amp;RIGHT(A24,LEN(A24)-6)</f>
        <v>Subtotal F.U.T. al 31/12/97</v>
      </c>
      <c r="G29" s="17">
        <f>SUM(G26:G28)</f>
        <v>-4110296292</v>
      </c>
    </row>
    <row r="30" spans="1:9" ht="12.75" thickBot="1" x14ac:dyDescent="0.25">
      <c r="G30" s="23"/>
    </row>
    <row r="31" spans="1:9" ht="12.75" thickBot="1" x14ac:dyDescent="0.25">
      <c r="A31" s="14" t="s">
        <v>97</v>
      </c>
      <c r="B31" t="s">
        <v>111</v>
      </c>
      <c r="G31" s="23">
        <f>-G13</f>
        <v>-2311475</v>
      </c>
      <c r="I31" s="8">
        <v>624</v>
      </c>
    </row>
    <row r="32" spans="1:9" x14ac:dyDescent="0.2">
      <c r="G32" s="23"/>
    </row>
    <row r="33" spans="1:9" x14ac:dyDescent="0.2">
      <c r="A33" s="14" t="s">
        <v>90</v>
      </c>
      <c r="B33" t="str">
        <f>A10</f>
        <v>Pérdida Tributaria de Arrastre, reajustada</v>
      </c>
      <c r="G33" s="16">
        <f>-G10</f>
        <v>2137995622</v>
      </c>
    </row>
    <row r="34" spans="1:9" ht="12.75" thickBot="1" x14ac:dyDescent="0.25">
      <c r="A34" s="14" t="s">
        <v>90</v>
      </c>
      <c r="B34" t="str">
        <f>B13</f>
        <v>Crédito por Gastos de Capacitación</v>
      </c>
      <c r="G34" s="16">
        <f>G13</f>
        <v>2311475</v>
      </c>
    </row>
    <row r="35" spans="1:9" ht="12.75" thickBot="1" x14ac:dyDescent="0.25">
      <c r="A35" s="14" t="s">
        <v>90</v>
      </c>
      <c r="B35" t="s">
        <v>108</v>
      </c>
      <c r="G35" s="16">
        <f>-G16</f>
        <v>0</v>
      </c>
      <c r="I35" s="8">
        <v>642</v>
      </c>
    </row>
    <row r="36" spans="1:9" ht="12.75" thickBot="1" x14ac:dyDescent="0.25">
      <c r="A36" s="43" t="s">
        <v>109</v>
      </c>
      <c r="G36" s="42">
        <f>SUM(G33:G35)</f>
        <v>2140307097</v>
      </c>
      <c r="I36" s="8">
        <v>242</v>
      </c>
    </row>
    <row r="37" spans="1:9" ht="12.75" thickBot="1" x14ac:dyDescent="0.25">
      <c r="A37" s="18" t="str">
        <f>LEFT(A24,LEN(A24)-2)&amp;RIGHT($C$4,2)</f>
        <v>Saldo F.U.T. al 31/12/98</v>
      </c>
      <c r="B37" s="18"/>
      <c r="C37" s="18"/>
      <c r="D37" s="18"/>
      <c r="E37" s="1"/>
      <c r="F37" s="1"/>
      <c r="G37" s="19">
        <f>G29+G31+G36</f>
        <v>-1972300670</v>
      </c>
      <c r="I37" s="8">
        <v>232</v>
      </c>
    </row>
    <row r="38" spans="1:9" ht="12.75" thickTop="1" x14ac:dyDescent="0.2">
      <c r="G38" s="16"/>
    </row>
    <row r="39" spans="1:9" x14ac:dyDescent="0.2">
      <c r="G39" s="16"/>
    </row>
    <row r="40" spans="1:9" x14ac:dyDescent="0.2">
      <c r="G40" s="16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9"/>
  <dimension ref="A1:G13"/>
  <sheetViews>
    <sheetView workbookViewId="0">
      <selection activeCell="G12" sqref="G12"/>
    </sheetView>
  </sheetViews>
  <sheetFormatPr baseColWidth="10" defaultColWidth="9.140625" defaultRowHeight="12" x14ac:dyDescent="0.2"/>
  <cols>
    <col min="1" max="1" width="12.42578125" customWidth="1"/>
    <col min="2" max="6" width="9.140625" customWidth="1"/>
    <col min="7" max="7" width="13.5703125" bestFit="1" customWidth="1"/>
  </cols>
  <sheetData>
    <row r="1" spans="1:7" x14ac:dyDescent="0.2">
      <c r="A1" s="1" t="s">
        <v>162</v>
      </c>
    </row>
    <row r="3" spans="1:7" x14ac:dyDescent="0.2">
      <c r="A3" s="1" t="s">
        <v>163</v>
      </c>
      <c r="B3" t="s">
        <v>164</v>
      </c>
      <c r="G3" s="16">
        <f>-'AT96'!G20</f>
        <v>1845096284</v>
      </c>
    </row>
    <row r="4" spans="1:7" x14ac:dyDescent="0.2">
      <c r="B4" t="s">
        <v>165</v>
      </c>
      <c r="G4" s="16">
        <f>-'AT97'!G8</f>
        <v>1846706340</v>
      </c>
    </row>
    <row r="5" spans="1:7" x14ac:dyDescent="0.2">
      <c r="B5" t="s">
        <v>166</v>
      </c>
      <c r="G5" s="17">
        <f>+G4-G3</f>
        <v>1610056</v>
      </c>
    </row>
    <row r="6" spans="1:7" x14ac:dyDescent="0.2">
      <c r="B6" t="s">
        <v>171</v>
      </c>
    </row>
    <row r="8" spans="1:7" x14ac:dyDescent="0.2">
      <c r="A8" s="1" t="s">
        <v>167</v>
      </c>
      <c r="B8" t="s">
        <v>164</v>
      </c>
      <c r="G8" s="16">
        <f>-'AT97'!G18</f>
        <v>1830525239</v>
      </c>
    </row>
    <row r="9" spans="1:7" x14ac:dyDescent="0.2">
      <c r="B9" t="s">
        <v>165</v>
      </c>
      <c r="G9" s="16">
        <f>-'AT98'!G8</f>
        <v>1968588958</v>
      </c>
    </row>
    <row r="10" spans="1:7" x14ac:dyDescent="0.2">
      <c r="B10" t="s">
        <v>166</v>
      </c>
      <c r="G10" s="17">
        <f>+G9-G8</f>
        <v>138063719</v>
      </c>
    </row>
    <row r="11" spans="1:7" x14ac:dyDescent="0.2">
      <c r="B11" t="s">
        <v>168</v>
      </c>
    </row>
    <row r="13" spans="1:7" x14ac:dyDescent="0.2">
      <c r="B13" t="s">
        <v>169</v>
      </c>
      <c r="G13" s="16"/>
    </row>
  </sheetData>
  <phoneticPr fontId="23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0"/>
  <dimension ref="A1:K37"/>
  <sheetViews>
    <sheetView topLeftCell="A32" workbookViewId="0">
      <selection activeCell="G12" sqref="G12"/>
    </sheetView>
  </sheetViews>
  <sheetFormatPr baseColWidth="10" defaultColWidth="9.140625" defaultRowHeight="12" x14ac:dyDescent="0.2"/>
  <cols>
    <col min="1" max="1" width="4.42578125" customWidth="1"/>
    <col min="2" max="6" width="9.140625" customWidth="1"/>
    <col min="7" max="7" width="13.5703125" bestFit="1" customWidth="1"/>
    <col min="8" max="8" width="9.140625" customWidth="1"/>
    <col min="9" max="14" width="3.5703125" customWidth="1"/>
  </cols>
  <sheetData>
    <row r="1" spans="1:11" s="57" customFormat="1" ht="12.75" x14ac:dyDescent="0.2">
      <c r="A1" s="58" t="s">
        <v>115</v>
      </c>
    </row>
    <row r="2" spans="1:11" s="57" customFormat="1" ht="12.75" x14ac:dyDescent="0.2">
      <c r="A2" s="58" t="s">
        <v>114</v>
      </c>
    </row>
    <row r="3" spans="1:11" ht="15" x14ac:dyDescent="0.25">
      <c r="A3" s="13" t="s">
        <v>160</v>
      </c>
    </row>
    <row r="4" spans="1:11" x14ac:dyDescent="0.2">
      <c r="A4" t="s">
        <v>94</v>
      </c>
      <c r="C4">
        <f>RIGHT(A3,4)-1</f>
        <v>1997</v>
      </c>
    </row>
    <row r="6" spans="1:11" x14ac:dyDescent="0.2">
      <c r="A6" s="12" t="s">
        <v>92</v>
      </c>
      <c r="G6" s="16"/>
    </row>
    <row r="7" spans="1:11" x14ac:dyDescent="0.2">
      <c r="A7" s="1"/>
      <c r="G7" s="16"/>
    </row>
    <row r="8" spans="1:11" x14ac:dyDescent="0.2">
      <c r="A8" t="str">
        <f>A6&amp;" de Arrastre al 31/12/"&amp;RIGHT($C$4-1,2)</f>
        <v>Pérdida Tributaria de Arrastre al 31/12/96</v>
      </c>
      <c r="G8" s="87">
        <f>'AT97'!G15-('AT97'!G15-'AT97'!G10)</f>
        <v>-1968588958</v>
      </c>
      <c r="I8" s="86"/>
    </row>
    <row r="9" spans="1:11" ht="12.75" thickBot="1" x14ac:dyDescent="0.25">
      <c r="A9" s="14" t="s">
        <v>90</v>
      </c>
      <c r="B9" t="str">
        <f>"Reajuste "&amp;$C$4&amp;":"</f>
        <v>Reajuste 1997:</v>
      </c>
      <c r="D9" s="20">
        <v>6.3E-2</v>
      </c>
      <c r="G9" s="16">
        <f>ROUND(G8*D9,0)</f>
        <v>-124021104</v>
      </c>
      <c r="I9" s="86"/>
    </row>
    <row r="10" spans="1:11" ht="12.75" thickBot="1" x14ac:dyDescent="0.25">
      <c r="A10" t="str">
        <f>LEFT(A8,LEN(A8)-12)&amp;", reajustada"</f>
        <v>Pérdida Tributaria de Arrastre, reajustada</v>
      </c>
      <c r="G10" s="17">
        <f>SUM(G8:G9)</f>
        <v>-2092610062</v>
      </c>
      <c r="I10" s="82"/>
    </row>
    <row r="11" spans="1:11" x14ac:dyDescent="0.2">
      <c r="G11" s="23"/>
      <c r="I11" s="86"/>
    </row>
    <row r="12" spans="1:11" x14ac:dyDescent="0.2">
      <c r="A12" s="14" t="s">
        <v>90</v>
      </c>
      <c r="B12" t="str">
        <f>"Utilidad Tributaria según balance al 31/12/"&amp;RIGHT($C$4,2)</f>
        <v>Utilidad Tributaria según balance al 31/12/97</v>
      </c>
      <c r="G12" s="22">
        <v>44049736</v>
      </c>
      <c r="I12" s="86"/>
    </row>
    <row r="13" spans="1:11" ht="12.75" thickBot="1" x14ac:dyDescent="0.25">
      <c r="A13" s="14" t="s">
        <v>90</v>
      </c>
      <c r="B13" t="s">
        <v>161</v>
      </c>
      <c r="G13" s="22">
        <v>-3784861</v>
      </c>
      <c r="I13" s="86"/>
    </row>
    <row r="14" spans="1:11" ht="12.75" thickBot="1" x14ac:dyDescent="0.25">
      <c r="A14" s="48" t="s">
        <v>90</v>
      </c>
      <c r="B14" s="47" t="s">
        <v>112</v>
      </c>
      <c r="C14" s="45"/>
      <c r="D14" s="45"/>
      <c r="E14" s="1"/>
      <c r="F14" s="1"/>
      <c r="G14" s="22">
        <v>2493200</v>
      </c>
      <c r="I14" s="82">
        <v>82</v>
      </c>
      <c r="K14" s="8"/>
    </row>
    <row r="15" spans="1:11" ht="12.75" thickBot="1" x14ac:dyDescent="0.25">
      <c r="A15" s="18" t="str">
        <f>A6&amp;" al 31/12/"&amp;RIGHT($C$4,2)</f>
        <v>Pérdida Tributaria al 31/12/97</v>
      </c>
      <c r="B15" s="18"/>
      <c r="C15" s="18"/>
      <c r="D15" s="18"/>
      <c r="E15" s="1"/>
      <c r="F15" s="1"/>
      <c r="G15" s="19">
        <f>SUM(G10:G14)</f>
        <v>-2049851987</v>
      </c>
      <c r="I15" s="86"/>
    </row>
    <row r="16" spans="1:11" ht="13.5" thickTop="1" thickBot="1" x14ac:dyDescent="0.25">
      <c r="A16" s="47"/>
      <c r="B16" s="47"/>
      <c r="C16" s="45"/>
      <c r="D16" s="45"/>
      <c r="E16" s="1"/>
      <c r="F16" s="1"/>
      <c r="G16" s="46"/>
      <c r="I16" s="86"/>
    </row>
    <row r="17" spans="1:9" ht="12.75" thickBot="1" x14ac:dyDescent="0.25">
      <c r="A17" s="14" t="s">
        <v>97</v>
      </c>
      <c r="B17" t="s">
        <v>108</v>
      </c>
      <c r="G17" s="22">
        <v>0</v>
      </c>
      <c r="I17" s="82"/>
    </row>
    <row r="18" spans="1:9" ht="12.75" thickBot="1" x14ac:dyDescent="0.25">
      <c r="A18" s="15" t="s">
        <v>91</v>
      </c>
      <c r="B18" s="18" t="str">
        <f>"RLI del ejercicio "&amp;$C$4</f>
        <v>RLI del ejercicio 1997</v>
      </c>
      <c r="C18" s="18"/>
      <c r="D18" s="18"/>
      <c r="E18" s="1"/>
      <c r="F18" s="1"/>
      <c r="G18" s="19">
        <f>IF(G17&gt;0,"¡signo del dividendo!",SUM(G15:G17))</f>
        <v>-2049851987</v>
      </c>
      <c r="I18" s="82">
        <v>229</v>
      </c>
    </row>
    <row r="19" spans="1:9" ht="12.75" thickTop="1" x14ac:dyDescent="0.2">
      <c r="G19" s="16"/>
      <c r="I19" s="86"/>
    </row>
    <row r="20" spans="1:9" x14ac:dyDescent="0.2">
      <c r="G20" s="16"/>
      <c r="I20" s="86"/>
    </row>
    <row r="21" spans="1:9" x14ac:dyDescent="0.2">
      <c r="G21" s="16"/>
      <c r="I21" s="86"/>
    </row>
    <row r="22" spans="1:9" x14ac:dyDescent="0.2">
      <c r="G22" s="16"/>
      <c r="I22" s="86"/>
    </row>
    <row r="23" spans="1:9" x14ac:dyDescent="0.2">
      <c r="A23" s="12" t="s">
        <v>93</v>
      </c>
      <c r="G23" s="16"/>
      <c r="I23" s="86"/>
    </row>
    <row r="24" spans="1:9" x14ac:dyDescent="0.2">
      <c r="G24" s="16"/>
      <c r="I24" s="86"/>
    </row>
    <row r="25" spans="1:9" x14ac:dyDescent="0.2">
      <c r="A25" t="str">
        <f>"Saldo "&amp;A23&amp;RIGHT($A$8,12)</f>
        <v>Saldo F.U.T. al 31/12/96</v>
      </c>
      <c r="G25" s="16">
        <f>'AT97'!G38</f>
        <v>-1828608920</v>
      </c>
      <c r="I25" s="86"/>
    </row>
    <row r="26" spans="1:9" ht="12.75" thickBot="1" x14ac:dyDescent="0.25">
      <c r="A26" s="14" t="s">
        <v>90</v>
      </c>
      <c r="B26" t="str">
        <f>B9</f>
        <v>Reajuste 1997:</v>
      </c>
      <c r="D26" s="21">
        <f>D9</f>
        <v>6.3E-2</v>
      </c>
      <c r="G26" s="16">
        <f>ROUND(G25*D26,0)</f>
        <v>-115202362</v>
      </c>
      <c r="I26" s="86"/>
    </row>
    <row r="27" spans="1:9" ht="12.75" thickBot="1" x14ac:dyDescent="0.25">
      <c r="A27" t="str">
        <f>LEFT(A25,LEN(A25)-12)&amp;", reajustado"</f>
        <v>Saldo F.U.T., reajustado</v>
      </c>
      <c r="G27" s="17">
        <f>SUM(G25:G26)</f>
        <v>-1943811282</v>
      </c>
      <c r="I27" s="82">
        <v>284</v>
      </c>
    </row>
    <row r="28" spans="1:9" ht="12.75" thickBot="1" x14ac:dyDescent="0.25">
      <c r="G28" s="23"/>
      <c r="I28" s="86"/>
    </row>
    <row r="29" spans="1:9" ht="12.75" thickBot="1" x14ac:dyDescent="0.25">
      <c r="A29" s="14" t="s">
        <v>97</v>
      </c>
      <c r="B29" t="s">
        <v>98</v>
      </c>
      <c r="G29" s="23">
        <f>G18</f>
        <v>-2049851987</v>
      </c>
      <c r="I29" s="82">
        <v>229</v>
      </c>
    </row>
    <row r="30" spans="1:9" x14ac:dyDescent="0.2">
      <c r="A30" t="str">
        <f>"Subtotal "&amp;RIGHT(A25,LEN(A25)-6)</f>
        <v>Subtotal F.U.T. al 31/12/96</v>
      </c>
      <c r="G30" s="17">
        <f>SUM(G27:G29)</f>
        <v>-3993663269</v>
      </c>
      <c r="I30" s="86"/>
    </row>
    <row r="31" spans="1:9" ht="12.75" thickBot="1" x14ac:dyDescent="0.25">
      <c r="G31" s="23"/>
      <c r="I31" s="86"/>
    </row>
    <row r="32" spans="1:9" ht="12.75" thickBot="1" x14ac:dyDescent="0.25">
      <c r="A32" s="14" t="s">
        <v>97</v>
      </c>
      <c r="B32" t="s">
        <v>111</v>
      </c>
      <c r="G32" s="23">
        <f>-G14</f>
        <v>-2493200</v>
      </c>
      <c r="I32" s="82">
        <v>639</v>
      </c>
    </row>
    <row r="33" spans="1:9" ht="12.75" thickBot="1" x14ac:dyDescent="0.25">
      <c r="G33" s="23"/>
      <c r="I33" s="86"/>
    </row>
    <row r="34" spans="1:9" ht="12.75" thickBot="1" x14ac:dyDescent="0.25">
      <c r="A34" s="14" t="s">
        <v>90</v>
      </c>
      <c r="B34" t="str">
        <f>A10</f>
        <v>Pérdida Tributaria de Arrastre, reajustada</v>
      </c>
      <c r="G34" s="16">
        <f>-G10</f>
        <v>2092610062</v>
      </c>
      <c r="I34" s="82">
        <v>634</v>
      </c>
    </row>
    <row r="35" spans="1:9" ht="12.75" thickBot="1" x14ac:dyDescent="0.25">
      <c r="A35" s="14"/>
      <c r="G35" s="16"/>
      <c r="I35" s="82"/>
    </row>
    <row r="36" spans="1:9" ht="12.75" thickBot="1" x14ac:dyDescent="0.25">
      <c r="A36" s="18" t="str">
        <f>LEFT(A25,LEN(A25)-2)&amp;RIGHT($C$4,2)</f>
        <v>Saldo F.U.T. al 31/12/97</v>
      </c>
      <c r="B36" s="18"/>
      <c r="C36" s="18"/>
      <c r="D36" s="18"/>
      <c r="E36" s="1"/>
      <c r="F36" s="1"/>
      <c r="G36" s="19">
        <f>G30+G32+G34</f>
        <v>-1903546407</v>
      </c>
      <c r="I36" s="82">
        <v>232</v>
      </c>
    </row>
    <row r="37" spans="1:9" ht="12.75" thickTop="1" x14ac:dyDescent="0.2">
      <c r="G37" s="16"/>
    </row>
  </sheetData>
  <phoneticPr fontId="0" type="noConversion"/>
  <pageMargins left="0.75" right="0.75" top="1" bottom="1" header="0.5" footer="0.5"/>
  <pageSetup orientation="portrait" horizontalDpi="4294967292" verticalDpi="0" r:id="rId1"/>
  <headerFooter alignWithMargins="0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1"/>
  <dimension ref="A1:K41"/>
  <sheetViews>
    <sheetView topLeftCell="A7" workbookViewId="0">
      <selection activeCell="G12" sqref="G12"/>
    </sheetView>
  </sheetViews>
  <sheetFormatPr baseColWidth="10" defaultColWidth="9.140625" defaultRowHeight="12" x14ac:dyDescent="0.2"/>
  <cols>
    <col min="1" max="1" width="4.42578125" customWidth="1"/>
    <col min="2" max="6" width="9.140625" customWidth="1"/>
    <col min="7" max="7" width="13.5703125" bestFit="1" customWidth="1"/>
    <col min="8" max="8" width="9.140625" customWidth="1"/>
    <col min="9" max="14" width="3.5703125" customWidth="1"/>
  </cols>
  <sheetData>
    <row r="1" spans="1:11" s="57" customFormat="1" ht="12.75" x14ac:dyDescent="0.2">
      <c r="A1" s="58" t="s">
        <v>115</v>
      </c>
    </row>
    <row r="2" spans="1:11" s="57" customFormat="1" ht="12.75" x14ac:dyDescent="0.2">
      <c r="A2" s="58" t="s">
        <v>114</v>
      </c>
    </row>
    <row r="3" spans="1:11" ht="15" x14ac:dyDescent="0.25">
      <c r="A3" s="13" t="s">
        <v>159</v>
      </c>
    </row>
    <row r="4" spans="1:11" x14ac:dyDescent="0.2">
      <c r="A4" t="s">
        <v>94</v>
      </c>
      <c r="C4">
        <f>RIGHT(A3,4)-1</f>
        <v>1996</v>
      </c>
    </row>
    <row r="6" spans="1:11" x14ac:dyDescent="0.2">
      <c r="A6" s="12" t="s">
        <v>92</v>
      </c>
      <c r="G6" s="16"/>
    </row>
    <row r="7" spans="1:11" x14ac:dyDescent="0.2">
      <c r="A7" s="1"/>
      <c r="G7" s="16"/>
    </row>
    <row r="8" spans="1:11" x14ac:dyDescent="0.2">
      <c r="A8" t="str">
        <f>A6&amp;" de Arrastre al 31/12/"&amp;RIGHT($C$4-1,2)</f>
        <v>Pérdida Tributaria de Arrastre al 31/12/95</v>
      </c>
      <c r="G8" s="87">
        <f>'AT96'!G17-(-'AT96'!G14+'AT96'!G17)</f>
        <v>-1846706340</v>
      </c>
    </row>
    <row r="9" spans="1:11" ht="12.75" thickBot="1" x14ac:dyDescent="0.25">
      <c r="A9" s="14" t="s">
        <v>90</v>
      </c>
      <c r="B9" t="str">
        <f>"Reajuste "&amp;$C$4&amp;":"</f>
        <v>Reajuste 1996:</v>
      </c>
      <c r="D9" s="20">
        <v>6.6000000000000003E-2</v>
      </c>
      <c r="G9" s="16">
        <f>ROUND(G8*D9,0)</f>
        <v>-121882618</v>
      </c>
    </row>
    <row r="10" spans="1:11" ht="12.75" thickBot="1" x14ac:dyDescent="0.25">
      <c r="A10" t="str">
        <f>LEFT(A8,LEN(A8)-12)&amp;", reajustada"</f>
        <v>Pérdida Tributaria de Arrastre, reajustada</v>
      </c>
      <c r="G10" s="17">
        <f>SUM(G8:G9)</f>
        <v>-1968588958</v>
      </c>
      <c r="I10" s="8"/>
    </row>
    <row r="11" spans="1:11" x14ac:dyDescent="0.2">
      <c r="G11" s="23"/>
    </row>
    <row r="12" spans="1:11" x14ac:dyDescent="0.2">
      <c r="A12" s="14" t="s">
        <v>90</v>
      </c>
      <c r="B12" t="str">
        <f>"Utilidad Tributaria según balance al 31/12/"&amp;RIGHT($C$4,2)</f>
        <v>Utilidad Tributaria según balance al 31/12/96</v>
      </c>
      <c r="G12" s="22">
        <v>71232017</v>
      </c>
    </row>
    <row r="13" spans="1:11" ht="12.75" thickBot="1" x14ac:dyDescent="0.25">
      <c r="A13" s="14" t="s">
        <v>90</v>
      </c>
      <c r="B13" t="s">
        <v>161</v>
      </c>
      <c r="G13" s="22">
        <v>65000000</v>
      </c>
    </row>
    <row r="14" spans="1:11" ht="12.75" thickBot="1" x14ac:dyDescent="0.25">
      <c r="A14" s="48" t="s">
        <v>90</v>
      </c>
      <c r="B14" s="47" t="s">
        <v>112</v>
      </c>
      <c r="C14" s="45"/>
      <c r="D14" s="45"/>
      <c r="E14" s="1"/>
      <c r="F14" s="1"/>
      <c r="G14" s="22">
        <v>2031702</v>
      </c>
      <c r="I14" s="8">
        <v>82</v>
      </c>
      <c r="K14" s="8"/>
    </row>
    <row r="15" spans="1:11" ht="12.75" thickBot="1" x14ac:dyDescent="0.25">
      <c r="A15" s="18" t="str">
        <f>A6&amp;" al 31/12/"&amp;RIGHT($C$4,2)</f>
        <v>Pérdida Tributaria al 31/12/96</v>
      </c>
      <c r="B15" s="18"/>
      <c r="C15" s="18"/>
      <c r="D15" s="18"/>
      <c r="E15" s="1"/>
      <c r="F15" s="1"/>
      <c r="G15" s="19">
        <f>SUM(G10:G14)</f>
        <v>-1830325239</v>
      </c>
    </row>
    <row r="16" spans="1:11" ht="13.5" thickTop="1" thickBot="1" x14ac:dyDescent="0.25">
      <c r="A16" s="47"/>
      <c r="B16" s="47"/>
      <c r="C16" s="45"/>
      <c r="D16" s="45"/>
      <c r="E16" s="1"/>
      <c r="F16" s="1"/>
      <c r="G16" s="46"/>
    </row>
    <row r="17" spans="1:9" ht="12.75" thickBot="1" x14ac:dyDescent="0.25">
      <c r="A17" s="14" t="s">
        <v>97</v>
      </c>
      <c r="B17" t="s">
        <v>108</v>
      </c>
      <c r="G17" s="22">
        <v>-200000</v>
      </c>
      <c r="I17" s="8">
        <v>242</v>
      </c>
    </row>
    <row r="18" spans="1:9" ht="12.75" thickBot="1" x14ac:dyDescent="0.25">
      <c r="A18" s="15" t="s">
        <v>91</v>
      </c>
      <c r="B18" s="18" t="str">
        <f>"RLI del ejercicio "&amp;$C$4</f>
        <v>RLI del ejercicio 1996</v>
      </c>
      <c r="C18" s="18"/>
      <c r="D18" s="18"/>
      <c r="E18" s="1"/>
      <c r="F18" s="1"/>
      <c r="G18" s="19">
        <f>IF(G17&gt;0,"¡signo del dividendo!",SUM(G15:G17))</f>
        <v>-1830525239</v>
      </c>
      <c r="I18" s="8">
        <v>229</v>
      </c>
    </row>
    <row r="19" spans="1:9" ht="12.75" thickTop="1" x14ac:dyDescent="0.2">
      <c r="G19" s="16"/>
    </row>
    <row r="20" spans="1:9" x14ac:dyDescent="0.2">
      <c r="G20" s="16"/>
    </row>
    <row r="21" spans="1:9" x14ac:dyDescent="0.2">
      <c r="G21" s="16"/>
    </row>
    <row r="22" spans="1:9" x14ac:dyDescent="0.2">
      <c r="G22" s="16"/>
    </row>
    <row r="23" spans="1:9" x14ac:dyDescent="0.2">
      <c r="A23" s="12" t="s">
        <v>93</v>
      </c>
      <c r="G23" s="16"/>
    </row>
    <row r="24" spans="1:9" x14ac:dyDescent="0.2">
      <c r="G24" s="16"/>
    </row>
    <row r="25" spans="1:9" x14ac:dyDescent="0.2">
      <c r="A25" t="str">
        <f>"Saldo "&amp;A23&amp;RIGHT($A$8,12)</f>
        <v>Saldo F.U.T. al 31/12/95</v>
      </c>
      <c r="G25" s="16">
        <f>'AT96'!G40</f>
        <v>-1845096284</v>
      </c>
    </row>
    <row r="26" spans="1:9" ht="12.75" thickBot="1" x14ac:dyDescent="0.25">
      <c r="A26" s="14" t="s">
        <v>90</v>
      </c>
      <c r="B26" t="str">
        <f>B9</f>
        <v>Reajuste 1996:</v>
      </c>
      <c r="D26" s="21">
        <f>D9</f>
        <v>6.6000000000000003E-2</v>
      </c>
      <c r="G26" s="16">
        <f>ROUND(G25*D26,0)</f>
        <v>-121776355</v>
      </c>
    </row>
    <row r="27" spans="1:9" ht="12.75" thickBot="1" x14ac:dyDescent="0.25">
      <c r="A27" t="str">
        <f>LEFT(A25,LEN(A25)-12)&amp;", reajustado"</f>
        <v>Saldo F.U.T., reajustado</v>
      </c>
      <c r="G27" s="17">
        <f>SUM(G25:G26)</f>
        <v>-1966872639</v>
      </c>
      <c r="I27" s="8">
        <v>284</v>
      </c>
    </row>
    <row r="28" spans="1:9" ht="12.75" thickBot="1" x14ac:dyDescent="0.25">
      <c r="G28" s="23"/>
    </row>
    <row r="29" spans="1:9" ht="12.75" thickBot="1" x14ac:dyDescent="0.25">
      <c r="A29" s="14" t="s">
        <v>97</v>
      </c>
      <c r="B29" t="s">
        <v>98</v>
      </c>
      <c r="G29" s="23">
        <f>G18</f>
        <v>-1830525239</v>
      </c>
      <c r="I29" s="8">
        <v>229</v>
      </c>
    </row>
    <row r="30" spans="1:9" x14ac:dyDescent="0.2">
      <c r="A30" t="str">
        <f>"Subtotal "&amp;RIGHT(A25,LEN(A25)-6)</f>
        <v>Subtotal F.U.T. al 31/12/95</v>
      </c>
      <c r="G30" s="17">
        <f>SUM(G27:G29)</f>
        <v>-3797397878</v>
      </c>
    </row>
    <row r="31" spans="1:9" ht="12.75" thickBot="1" x14ac:dyDescent="0.25">
      <c r="G31" s="23"/>
    </row>
    <row r="32" spans="1:9" ht="12.75" thickBot="1" x14ac:dyDescent="0.25">
      <c r="A32" s="14" t="s">
        <v>97</v>
      </c>
      <c r="B32" t="s">
        <v>111</v>
      </c>
      <c r="G32" s="23">
        <f>-G14</f>
        <v>-2031702</v>
      </c>
      <c r="I32" s="8">
        <v>305</v>
      </c>
    </row>
    <row r="33" spans="1:9" x14ac:dyDescent="0.2">
      <c r="G33" s="23"/>
    </row>
    <row r="34" spans="1:9" x14ac:dyDescent="0.2">
      <c r="A34" s="14" t="s">
        <v>90</v>
      </c>
      <c r="B34" t="str">
        <f>A10</f>
        <v>Pérdida Tributaria de Arrastre, reajustada</v>
      </c>
      <c r="G34" s="16">
        <f>-G10</f>
        <v>1968588958</v>
      </c>
    </row>
    <row r="35" spans="1:9" ht="12.75" thickBot="1" x14ac:dyDescent="0.25">
      <c r="A35" s="14" t="s">
        <v>90</v>
      </c>
      <c r="B35" t="str">
        <f>B14</f>
        <v>Crédito por Gastos de Capacitación</v>
      </c>
      <c r="G35" s="16">
        <f>G14</f>
        <v>2031702</v>
      </c>
    </row>
    <row r="36" spans="1:9" ht="12.75" thickBot="1" x14ac:dyDescent="0.25">
      <c r="A36" s="14" t="s">
        <v>90</v>
      </c>
      <c r="B36" t="s">
        <v>108</v>
      </c>
      <c r="G36" s="16">
        <f>-G17</f>
        <v>200000</v>
      </c>
      <c r="I36" s="8">
        <v>242</v>
      </c>
    </row>
    <row r="37" spans="1:9" ht="12.75" thickBot="1" x14ac:dyDescent="0.25">
      <c r="A37" s="43" t="s">
        <v>109</v>
      </c>
      <c r="G37" s="42">
        <f>SUM(G34:G36)</f>
        <v>1970820660</v>
      </c>
      <c r="I37" s="8"/>
    </row>
    <row r="38" spans="1:9" ht="12.75" thickBot="1" x14ac:dyDescent="0.25">
      <c r="A38" s="18" t="str">
        <f>LEFT(A25,LEN(A25)-2)&amp;RIGHT($C$4,2)</f>
        <v>Saldo F.U.T. al 31/12/96</v>
      </c>
      <c r="B38" s="18"/>
      <c r="C38" s="18"/>
      <c r="D38" s="18"/>
      <c r="E38" s="1"/>
      <c r="F38" s="1"/>
      <c r="G38" s="19">
        <f>G30+G32+G37</f>
        <v>-1828608920</v>
      </c>
      <c r="I38" s="8">
        <v>232</v>
      </c>
    </row>
    <row r="39" spans="1:9" ht="12.75" thickTop="1" x14ac:dyDescent="0.2">
      <c r="G39" s="16"/>
    </row>
    <row r="40" spans="1:9" x14ac:dyDescent="0.2">
      <c r="G40" s="16"/>
    </row>
    <row r="41" spans="1:9" x14ac:dyDescent="0.2">
      <c r="G41" s="16"/>
    </row>
  </sheetData>
  <phoneticPr fontId="0" type="noConversion"/>
  <pageMargins left="0.75" right="0.75" top="1" bottom="1" header="0.5" footer="0.5"/>
  <pageSetup orientation="portrait" horizontalDpi="4294967292" verticalDpi="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101"/>
  <sheetViews>
    <sheetView topLeftCell="A37" workbookViewId="0">
      <selection activeCell="E62" sqref="E62"/>
    </sheetView>
  </sheetViews>
  <sheetFormatPr baseColWidth="10" defaultColWidth="9.140625" defaultRowHeight="12" x14ac:dyDescent="0.2"/>
  <cols>
    <col min="1" max="1" width="13.85546875" style="134" customWidth="1"/>
    <col min="2" max="2" width="45" style="126" customWidth="1"/>
    <col min="3" max="3" width="5.28515625" style="80" customWidth="1"/>
    <col min="4" max="4" width="1.85546875" style="131" customWidth="1"/>
    <col min="5" max="5" width="15.7109375" style="124" customWidth="1"/>
    <col min="6" max="6" width="3" style="126" customWidth="1"/>
    <col min="7" max="7" width="11.5703125" style="78" customWidth="1"/>
    <col min="8" max="8" width="9.140625" style="126" customWidth="1"/>
    <col min="9" max="9" width="13.42578125" style="126" customWidth="1"/>
    <col min="10" max="10" width="10.42578125" style="126" customWidth="1"/>
    <col min="11" max="11" width="13.7109375" style="126" customWidth="1"/>
    <col min="12" max="12" width="13.28515625" style="126" customWidth="1"/>
    <col min="13" max="13" width="14.85546875" style="126" customWidth="1"/>
    <col min="14" max="16384" width="9.140625" style="126"/>
  </cols>
  <sheetData>
    <row r="1" spans="1:14" s="79" customFormat="1" ht="12.75" x14ac:dyDescent="0.2">
      <c r="A1" s="129" t="s">
        <v>115</v>
      </c>
      <c r="D1" s="129"/>
    </row>
    <row r="2" spans="1:14" s="79" customFormat="1" ht="12.75" x14ac:dyDescent="0.2">
      <c r="A2" s="129" t="s">
        <v>114</v>
      </c>
      <c r="D2" s="129"/>
    </row>
    <row r="3" spans="1:14" ht="12.75" x14ac:dyDescent="0.2">
      <c r="A3" s="130" t="str">
        <f>'AT13'!A3</f>
        <v>AÑO TRIBUTARIO 2013</v>
      </c>
    </row>
    <row r="4" spans="1:14" x14ac:dyDescent="0.2">
      <c r="A4" s="132" t="s">
        <v>0</v>
      </c>
      <c r="L4" s="133"/>
      <c r="M4" s="133"/>
      <c r="N4" s="133"/>
    </row>
    <row r="5" spans="1:14" ht="12.75" thickBot="1" x14ac:dyDescent="0.25">
      <c r="A5" s="134" t="s">
        <v>1</v>
      </c>
      <c r="B5" s="126" t="s">
        <v>2</v>
      </c>
      <c r="C5" s="81" t="s">
        <v>3</v>
      </c>
      <c r="E5" s="134" t="s">
        <v>4</v>
      </c>
      <c r="L5" s="135"/>
      <c r="M5" s="135"/>
      <c r="N5" s="133"/>
    </row>
    <row r="6" spans="1:14" ht="12.75" thickBot="1" x14ac:dyDescent="0.25">
      <c r="B6" s="126" t="s">
        <v>5</v>
      </c>
      <c r="C6" s="82" t="s">
        <v>6</v>
      </c>
      <c r="E6" s="124" t="str">
        <f>A2</f>
        <v>86.132.100-2</v>
      </c>
      <c r="L6" s="135"/>
      <c r="M6" s="135"/>
      <c r="N6" s="133"/>
    </row>
    <row r="7" spans="1:14" ht="12.75" thickBot="1" x14ac:dyDescent="0.25">
      <c r="B7" s="126" t="s">
        <v>7</v>
      </c>
      <c r="C7" s="82" t="s">
        <v>8</v>
      </c>
      <c r="E7" s="124" t="str">
        <f>A1</f>
        <v>DEMARKA S.A.</v>
      </c>
      <c r="L7" s="135"/>
      <c r="M7" s="135"/>
      <c r="N7" s="133"/>
    </row>
    <row r="8" spans="1:14" s="137" customFormat="1" ht="12.75" thickBot="1" x14ac:dyDescent="0.25">
      <c r="A8" s="136">
        <v>34</v>
      </c>
      <c r="B8" s="137" t="s">
        <v>104</v>
      </c>
      <c r="C8" s="83">
        <v>18</v>
      </c>
      <c r="D8" s="138"/>
      <c r="E8" s="74">
        <f>IF(E52&gt;0,E52,"PERDIDA")</f>
        <v>301037217</v>
      </c>
      <c r="L8" s="139"/>
      <c r="M8" s="139"/>
      <c r="N8" s="93"/>
    </row>
    <row r="9" spans="1:14" s="137" customFormat="1" ht="12.75" thickBot="1" x14ac:dyDescent="0.25">
      <c r="A9" s="136"/>
      <c r="B9" s="93" t="s">
        <v>179</v>
      </c>
      <c r="C9" s="83">
        <v>19</v>
      </c>
      <c r="D9" s="138"/>
      <c r="E9" s="94">
        <v>0</v>
      </c>
      <c r="L9" s="139"/>
      <c r="M9" s="139"/>
      <c r="N9" s="93"/>
    </row>
    <row r="10" spans="1:14" s="137" customFormat="1" ht="12.75" thickBot="1" x14ac:dyDescent="0.25">
      <c r="A10" s="136"/>
      <c r="B10" s="137" t="s">
        <v>105</v>
      </c>
      <c r="C10" s="83">
        <v>20</v>
      </c>
      <c r="D10" s="138"/>
      <c r="E10" s="74">
        <f>MAX(ROUND(20%*E52-E9,0),0)</f>
        <v>60207443</v>
      </c>
      <c r="L10" s="139"/>
      <c r="M10" s="139"/>
      <c r="N10" s="93"/>
    </row>
    <row r="11" spans="1:14" s="137" customFormat="1" ht="12.75" thickBot="1" x14ac:dyDescent="0.25">
      <c r="A11" s="136">
        <v>48</v>
      </c>
      <c r="B11" s="137" t="s">
        <v>112</v>
      </c>
      <c r="C11" s="83">
        <v>82</v>
      </c>
      <c r="D11" s="138"/>
      <c r="E11" s="71">
        <v>5016000</v>
      </c>
      <c r="F11" s="71"/>
      <c r="L11" s="139"/>
      <c r="M11" s="139"/>
      <c r="N11" s="93"/>
    </row>
    <row r="12" spans="1:14" s="137" customFormat="1" ht="12.75" thickBot="1" x14ac:dyDescent="0.25">
      <c r="A12" s="136"/>
      <c r="B12" s="156" t="s">
        <v>220</v>
      </c>
      <c r="C12" s="83">
        <v>36</v>
      </c>
      <c r="D12" s="138"/>
      <c r="E12" s="71">
        <v>27483269</v>
      </c>
      <c r="F12" s="71"/>
      <c r="L12" s="139"/>
      <c r="M12" s="139"/>
      <c r="N12" s="93"/>
    </row>
    <row r="13" spans="1:14" s="137" customFormat="1" ht="12.75" thickBot="1" x14ac:dyDescent="0.25">
      <c r="A13" s="136">
        <v>52</v>
      </c>
      <c r="B13" s="137" t="s">
        <v>106</v>
      </c>
      <c r="C13" s="83">
        <v>167</v>
      </c>
      <c r="D13" s="138"/>
      <c r="E13" s="74">
        <f>E88</f>
        <v>0</v>
      </c>
      <c r="L13" s="139"/>
      <c r="M13" s="139"/>
      <c r="N13" s="93"/>
    </row>
    <row r="14" spans="1:14" s="137" customFormat="1" ht="12.75" thickBot="1" x14ac:dyDescent="0.25">
      <c r="A14" s="136"/>
      <c r="B14" s="137" t="s">
        <v>107</v>
      </c>
      <c r="C14" s="83">
        <v>747</v>
      </c>
      <c r="D14" s="138"/>
      <c r="E14" s="74">
        <f>E13</f>
        <v>0</v>
      </c>
      <c r="L14" s="139"/>
      <c r="M14" s="139"/>
      <c r="N14" s="93"/>
    </row>
    <row r="15" spans="1:14" ht="12.75" thickBot="1" x14ac:dyDescent="0.25">
      <c r="A15" s="134">
        <v>55</v>
      </c>
      <c r="B15" s="126" t="s">
        <v>9</v>
      </c>
      <c r="C15" s="82">
        <v>305</v>
      </c>
      <c r="E15" s="71">
        <f>E10-E11-E14-E12</f>
        <v>27708174</v>
      </c>
      <c r="L15" s="135"/>
      <c r="M15" s="135"/>
      <c r="N15" s="133"/>
    </row>
    <row r="16" spans="1:14" ht="12.75" thickBot="1" x14ac:dyDescent="0.25">
      <c r="A16" s="134">
        <v>56</v>
      </c>
      <c r="B16" s="126" t="str">
        <f>IF(E15&gt;0,"Impuesto Adeudado","SALDO A FAVOR")</f>
        <v>Impuesto Adeudado</v>
      </c>
      <c r="C16" s="82">
        <f>IF(E15&gt;0,90,85)</f>
        <v>90</v>
      </c>
      <c r="E16" s="71">
        <f>ABS(E15)</f>
        <v>27708174</v>
      </c>
      <c r="L16" s="135"/>
      <c r="M16" s="135"/>
      <c r="N16" s="133"/>
    </row>
    <row r="17" spans="1:14" ht="12.75" thickBot="1" x14ac:dyDescent="0.25">
      <c r="A17" s="134">
        <f>IF(E15&gt;0,59,"")</f>
        <v>59</v>
      </c>
      <c r="B17" s="140">
        <f>IF($E$15&gt;0,0.7%,"")</f>
        <v>6.9999999999999993E-3</v>
      </c>
      <c r="C17" s="82">
        <f>IF($E$15&gt;0,39,"")</f>
        <v>39</v>
      </c>
      <c r="E17" s="71">
        <f>IF($E$15&gt;0,ROUND(B17*E16,0),"")</f>
        <v>193957</v>
      </c>
      <c r="L17" s="135"/>
      <c r="M17" s="135"/>
      <c r="N17" s="133"/>
    </row>
    <row r="18" spans="1:14" ht="12.75" thickBot="1" x14ac:dyDescent="0.25">
      <c r="A18" s="134">
        <v>58</v>
      </c>
      <c r="B18" s="126" t="str">
        <f>IF($E$15&gt;0,"TOTAL A PAGAR","DEVOLUCION SOLICITADA")</f>
        <v>TOTAL A PAGAR</v>
      </c>
      <c r="C18" s="82">
        <f>IF($E$15&gt;0,91,87)</f>
        <v>91</v>
      </c>
      <c r="E18" s="71">
        <f>SUM(E16:E17)</f>
        <v>27902131</v>
      </c>
      <c r="L18" s="135"/>
      <c r="M18" s="135"/>
      <c r="N18" s="133"/>
    </row>
    <row r="19" spans="1:14" ht="12.75" thickBot="1" x14ac:dyDescent="0.25">
      <c r="B19" s="126" t="str">
        <f>IF($E$15&gt;0,"","Nombre Institución Bancaria")</f>
        <v/>
      </c>
      <c r="C19" s="82" t="str">
        <f>IF($E$15&gt;0,"",301)</f>
        <v/>
      </c>
      <c r="E19" s="73" t="s">
        <v>208</v>
      </c>
      <c r="L19" s="135"/>
      <c r="M19" s="135"/>
      <c r="N19" s="133"/>
    </row>
    <row r="20" spans="1:14" ht="12.75" thickBot="1" x14ac:dyDescent="0.25">
      <c r="B20" s="126" t="str">
        <f>IF($E$15&gt;0,"","Número de Cuenta")</f>
        <v/>
      </c>
      <c r="C20" s="82" t="str">
        <f>IF($E$15&gt;0,"",306)</f>
        <v/>
      </c>
      <c r="E20" s="73">
        <v>1800188107</v>
      </c>
      <c r="L20" s="135"/>
      <c r="M20" s="135"/>
      <c r="N20" s="133"/>
    </row>
    <row r="21" spans="1:14" x14ac:dyDescent="0.2">
      <c r="C21" s="84"/>
      <c r="E21" s="71"/>
      <c r="L21" s="135"/>
      <c r="M21" s="135"/>
      <c r="N21" s="133"/>
    </row>
    <row r="22" spans="1:14" ht="12.75" thickBot="1" x14ac:dyDescent="0.25">
      <c r="A22" s="132" t="s">
        <v>10</v>
      </c>
      <c r="L22" s="135"/>
      <c r="M22" s="135"/>
      <c r="N22" s="133"/>
    </row>
    <row r="23" spans="1:14" ht="12.75" thickBot="1" x14ac:dyDescent="0.25">
      <c r="B23" s="126" t="s">
        <v>11</v>
      </c>
      <c r="C23" s="82" t="s">
        <v>12</v>
      </c>
      <c r="E23" s="124" t="s">
        <v>13</v>
      </c>
      <c r="L23" s="135"/>
      <c r="M23" s="135"/>
      <c r="N23" s="133"/>
    </row>
    <row r="24" spans="1:14" ht="12.75" thickBot="1" x14ac:dyDescent="0.25">
      <c r="B24" s="126" t="s">
        <v>14</v>
      </c>
      <c r="C24" s="82" t="s">
        <v>15</v>
      </c>
      <c r="E24" s="124" t="s">
        <v>16</v>
      </c>
      <c r="L24" s="135"/>
      <c r="M24" s="135"/>
      <c r="N24" s="133"/>
    </row>
    <row r="25" spans="1:14" ht="12.75" thickBot="1" x14ac:dyDescent="0.25">
      <c r="B25" s="126" t="s">
        <v>17</v>
      </c>
      <c r="C25" s="82">
        <v>53</v>
      </c>
      <c r="E25" s="134">
        <v>13</v>
      </c>
      <c r="L25" s="135"/>
      <c r="M25" s="135"/>
      <c r="N25" s="133"/>
    </row>
    <row r="26" spans="1:14" ht="12.75" thickBot="1" x14ac:dyDescent="0.25">
      <c r="B26" s="126" t="s">
        <v>18</v>
      </c>
      <c r="C26" s="82">
        <v>13</v>
      </c>
      <c r="E26" s="141" t="s">
        <v>117</v>
      </c>
      <c r="I26" s="142"/>
      <c r="L26" s="133"/>
      <c r="M26" s="133"/>
      <c r="N26" s="133"/>
    </row>
    <row r="27" spans="1:14" ht="12.75" thickBot="1" x14ac:dyDescent="0.25">
      <c r="B27" s="126" t="s">
        <v>19</v>
      </c>
      <c r="C27" s="82">
        <v>14</v>
      </c>
      <c r="E27" s="128">
        <v>61911</v>
      </c>
      <c r="I27" s="142"/>
      <c r="J27" s="142"/>
      <c r="K27" s="142"/>
      <c r="L27" s="133"/>
      <c r="M27" s="133"/>
      <c r="N27" s="133"/>
    </row>
    <row r="28" spans="1:14" ht="12.75" thickBot="1" x14ac:dyDescent="0.25">
      <c r="B28" s="126" t="s">
        <v>20</v>
      </c>
      <c r="C28" s="82" t="s">
        <v>21</v>
      </c>
      <c r="E28" s="134" t="s">
        <v>213</v>
      </c>
      <c r="I28" s="142"/>
      <c r="L28" s="133"/>
      <c r="M28" s="133"/>
      <c r="N28" s="133"/>
    </row>
    <row r="29" spans="1:14" ht="12.75" thickBot="1" x14ac:dyDescent="0.25">
      <c r="B29" s="126" t="s">
        <v>22</v>
      </c>
      <c r="C29" s="82">
        <v>48</v>
      </c>
      <c r="E29" s="134" t="s">
        <v>214</v>
      </c>
      <c r="I29" s="142"/>
      <c r="J29" s="142"/>
      <c r="K29" s="133"/>
      <c r="L29" s="135"/>
      <c r="M29" s="133"/>
      <c r="N29" s="133"/>
    </row>
    <row r="30" spans="1:14" ht="13.5" thickBot="1" x14ac:dyDescent="0.25">
      <c r="B30" s="126" t="s">
        <v>23</v>
      </c>
      <c r="C30" s="82">
        <v>55</v>
      </c>
      <c r="E30" s="143" t="s">
        <v>154</v>
      </c>
      <c r="I30" s="142"/>
      <c r="J30" s="142"/>
      <c r="K30" s="133"/>
      <c r="L30" s="133"/>
      <c r="M30" s="133"/>
      <c r="N30" s="133"/>
    </row>
    <row r="31" spans="1:14" ht="12.75" thickBot="1" x14ac:dyDescent="0.25">
      <c r="B31" s="126" t="s">
        <v>24</v>
      </c>
      <c r="C31" s="82">
        <v>614</v>
      </c>
      <c r="E31" s="134" t="s">
        <v>25</v>
      </c>
      <c r="K31" s="133"/>
      <c r="L31" s="133"/>
      <c r="M31" s="133"/>
      <c r="N31" s="133"/>
    </row>
    <row r="32" spans="1:14" x14ac:dyDescent="0.2">
      <c r="I32" s="142"/>
      <c r="K32" s="133"/>
      <c r="L32" s="133"/>
      <c r="M32" s="133"/>
      <c r="N32" s="133"/>
    </row>
    <row r="33" spans="1:14" ht="12.75" thickBot="1" x14ac:dyDescent="0.25">
      <c r="A33" s="132" t="s">
        <v>138</v>
      </c>
      <c r="B33" s="126" t="s">
        <v>27</v>
      </c>
      <c r="E33" s="69"/>
      <c r="K33" s="133"/>
      <c r="L33" s="133"/>
      <c r="M33" s="133"/>
      <c r="N33" s="133"/>
    </row>
    <row r="34" spans="1:14" ht="12.75" thickBot="1" x14ac:dyDescent="0.25">
      <c r="A34" s="132"/>
      <c r="B34" s="126" t="s">
        <v>28</v>
      </c>
      <c r="C34" s="82">
        <v>628</v>
      </c>
      <c r="D34" s="131" t="s">
        <v>125</v>
      </c>
      <c r="E34" s="60">
        <v>3810814911</v>
      </c>
      <c r="G34" s="78" t="s">
        <v>101</v>
      </c>
      <c r="I34" s="142"/>
      <c r="K34" s="135"/>
      <c r="L34" s="135"/>
      <c r="M34" s="135"/>
      <c r="N34" s="135"/>
    </row>
    <row r="35" spans="1:14" ht="12.75" thickBot="1" x14ac:dyDescent="0.25">
      <c r="A35" s="132"/>
      <c r="B35" s="126" t="s">
        <v>29</v>
      </c>
      <c r="C35" s="82">
        <v>629</v>
      </c>
      <c r="D35" s="131" t="s">
        <v>125</v>
      </c>
      <c r="E35" s="60">
        <f>3065504+29952</f>
        <v>3095456</v>
      </c>
      <c r="G35" s="78" t="s">
        <v>83</v>
      </c>
      <c r="K35" s="133"/>
      <c r="L35" s="133"/>
      <c r="M35" s="135"/>
      <c r="N35" s="133"/>
    </row>
    <row r="36" spans="1:14" ht="12.75" thickBot="1" x14ac:dyDescent="0.25">
      <c r="A36" s="132"/>
      <c r="B36" s="126" t="s">
        <v>30</v>
      </c>
      <c r="C36" s="82">
        <v>651</v>
      </c>
      <c r="D36" s="131" t="s">
        <v>125</v>
      </c>
      <c r="E36" s="60">
        <v>23885845</v>
      </c>
      <c r="G36" s="144"/>
      <c r="K36" s="135"/>
      <c r="L36" s="135"/>
      <c r="M36" s="135"/>
      <c r="N36" s="135"/>
    </row>
    <row r="37" spans="1:14" ht="12.75" thickBot="1" x14ac:dyDescent="0.25">
      <c r="A37" s="132"/>
      <c r="B37" s="126" t="s">
        <v>31</v>
      </c>
      <c r="C37" s="82">
        <v>630</v>
      </c>
      <c r="D37" s="131" t="s">
        <v>126</v>
      </c>
      <c r="E37" s="60">
        <f>1707253580+145623317</f>
        <v>1852876897</v>
      </c>
      <c r="G37" s="78" t="s">
        <v>80</v>
      </c>
      <c r="K37" s="135"/>
      <c r="L37" s="135"/>
      <c r="M37" s="135"/>
      <c r="N37" s="135"/>
    </row>
    <row r="38" spans="1:14" ht="12.75" thickBot="1" x14ac:dyDescent="0.25">
      <c r="A38" s="132"/>
      <c r="B38" s="126" t="s">
        <v>32</v>
      </c>
      <c r="C38" s="82">
        <v>631</v>
      </c>
      <c r="D38" s="131" t="s">
        <v>126</v>
      </c>
      <c r="E38" s="60">
        <v>853038039</v>
      </c>
      <c r="G38" s="78" t="s">
        <v>81</v>
      </c>
      <c r="K38" s="135"/>
      <c r="L38" s="135"/>
      <c r="M38" s="135"/>
      <c r="N38" s="135"/>
    </row>
    <row r="39" spans="1:14" ht="12.75" thickBot="1" x14ac:dyDescent="0.25">
      <c r="A39" s="132"/>
      <c r="B39" s="126" t="s">
        <v>33</v>
      </c>
      <c r="C39" s="82">
        <v>632</v>
      </c>
      <c r="D39" s="131" t="s">
        <v>126</v>
      </c>
      <c r="E39" s="60">
        <f>40259362+2284811+22538763+5322418</f>
        <v>70405354</v>
      </c>
      <c r="G39" s="78" t="s">
        <v>82</v>
      </c>
      <c r="K39" s="135"/>
      <c r="L39" s="135"/>
      <c r="M39" s="135"/>
      <c r="N39" s="135"/>
    </row>
    <row r="40" spans="1:14" ht="12.75" thickBot="1" x14ac:dyDescent="0.25">
      <c r="A40" s="132"/>
      <c r="B40" s="126" t="s">
        <v>34</v>
      </c>
      <c r="C40" s="82">
        <v>633</v>
      </c>
      <c r="D40" s="131" t="s">
        <v>126</v>
      </c>
      <c r="E40" s="60">
        <v>19117773</v>
      </c>
      <c r="G40" s="144"/>
      <c r="K40" s="135"/>
      <c r="L40" s="135"/>
      <c r="M40" s="135"/>
      <c r="N40" s="135"/>
    </row>
    <row r="41" spans="1:14" ht="12.75" thickBot="1" x14ac:dyDescent="0.25">
      <c r="A41" s="132"/>
      <c r="B41" s="126" t="s">
        <v>216</v>
      </c>
      <c r="C41" s="95">
        <v>792</v>
      </c>
      <c r="D41" s="131" t="s">
        <v>126</v>
      </c>
      <c r="E41" s="60">
        <v>0</v>
      </c>
      <c r="G41" s="144"/>
      <c r="K41" s="135"/>
      <c r="L41" s="135"/>
      <c r="M41" s="135"/>
      <c r="N41" s="135"/>
    </row>
    <row r="42" spans="1:14" ht="12.75" thickBot="1" x14ac:dyDescent="0.25">
      <c r="A42" s="132"/>
      <c r="B42" s="126" t="s">
        <v>35</v>
      </c>
      <c r="C42" s="95">
        <v>635</v>
      </c>
      <c r="D42" s="131" t="s">
        <v>126</v>
      </c>
      <c r="E42" s="125">
        <f>SUM(E34:E36)-SUM(E37:E41)-E44+E45-SUM('AT13'!G12:'AT13'!G15)</f>
        <v>650240509</v>
      </c>
      <c r="G42" s="78" t="s">
        <v>120</v>
      </c>
      <c r="K42" s="135"/>
      <c r="L42" s="135"/>
      <c r="M42" s="135"/>
      <c r="N42" s="135"/>
    </row>
    <row r="43" spans="1:14" ht="12.75" thickBot="1" x14ac:dyDescent="0.25">
      <c r="A43" s="132"/>
      <c r="B43" s="145" t="s">
        <v>36</v>
      </c>
      <c r="C43" s="82">
        <v>636</v>
      </c>
      <c r="D43" s="146" t="s">
        <v>127</v>
      </c>
      <c r="E43" s="99">
        <f>SUM(E34:E36)-SUM(E37:E42)</f>
        <v>392117640</v>
      </c>
      <c r="K43" s="135"/>
      <c r="L43" s="135"/>
      <c r="M43" s="135"/>
      <c r="N43" s="135"/>
    </row>
    <row r="44" spans="1:14" ht="12.75" thickBot="1" x14ac:dyDescent="0.25">
      <c r="A44" s="132"/>
      <c r="B44" s="126" t="s">
        <v>37</v>
      </c>
      <c r="C44" s="96">
        <v>637</v>
      </c>
      <c r="D44" s="131" t="s">
        <v>126</v>
      </c>
      <c r="E44" s="60">
        <v>26881650</v>
      </c>
      <c r="G44" s="78" t="s">
        <v>82</v>
      </c>
      <c r="I44" s="147"/>
      <c r="K44" s="135"/>
      <c r="L44" s="135"/>
      <c r="M44" s="135"/>
      <c r="N44" s="135"/>
    </row>
    <row r="45" spans="1:14" ht="12.75" thickBot="1" x14ac:dyDescent="0.25">
      <c r="A45" s="132"/>
      <c r="B45" s="126" t="s">
        <v>38</v>
      </c>
      <c r="C45" s="82">
        <v>638</v>
      </c>
      <c r="D45" s="131" t="s">
        <v>125</v>
      </c>
      <c r="E45" s="60">
        <v>4381890</v>
      </c>
      <c r="G45" s="78" t="s">
        <v>83</v>
      </c>
      <c r="K45" s="135"/>
      <c r="L45" s="135"/>
      <c r="M45" s="135"/>
      <c r="N45" s="135"/>
    </row>
    <row r="46" spans="1:14" ht="12.75" thickBot="1" x14ac:dyDescent="0.25">
      <c r="A46" s="132"/>
      <c r="B46" s="126" t="s">
        <v>180</v>
      </c>
      <c r="C46" s="82">
        <v>639</v>
      </c>
      <c r="D46" s="131" t="s">
        <v>125</v>
      </c>
      <c r="E46" s="60">
        <v>0</v>
      </c>
      <c r="I46" s="148"/>
      <c r="K46" s="135"/>
      <c r="L46" s="135"/>
      <c r="M46" s="135"/>
      <c r="N46" s="135"/>
    </row>
    <row r="47" spans="1:14" ht="12.75" thickBot="1" x14ac:dyDescent="0.25">
      <c r="A47" s="132"/>
      <c r="B47" s="126" t="s">
        <v>181</v>
      </c>
      <c r="C47" s="82">
        <v>634</v>
      </c>
      <c r="D47" s="131" t="s">
        <v>126</v>
      </c>
      <c r="E47" s="69">
        <f>-'AT13'!G10</f>
        <v>68580663</v>
      </c>
      <c r="I47" s="142"/>
      <c r="K47" s="135"/>
      <c r="L47" s="135"/>
      <c r="M47" s="135"/>
      <c r="N47" s="135"/>
    </row>
    <row r="48" spans="1:14" ht="12.75" thickBot="1" x14ac:dyDescent="0.25">
      <c r="A48" s="132"/>
      <c r="B48" s="126" t="s">
        <v>182</v>
      </c>
      <c r="C48" s="82">
        <v>640</v>
      </c>
      <c r="D48" s="131" t="s">
        <v>126</v>
      </c>
      <c r="E48" s="69">
        <f>'AT13'!G17</f>
        <v>0</v>
      </c>
      <c r="G48" s="78" t="s">
        <v>177</v>
      </c>
      <c r="I48" s="142"/>
      <c r="K48" s="135"/>
      <c r="L48" s="135"/>
      <c r="M48" s="135"/>
      <c r="N48" s="135"/>
    </row>
    <row r="49" spans="1:14" ht="12.75" thickBot="1" x14ac:dyDescent="0.25">
      <c r="A49" s="132"/>
      <c r="B49" s="126" t="s">
        <v>183</v>
      </c>
      <c r="C49" s="82">
        <v>807</v>
      </c>
      <c r="D49" s="149" t="s">
        <v>126</v>
      </c>
      <c r="E49" s="60">
        <v>0</v>
      </c>
      <c r="I49" s="142"/>
      <c r="K49" s="135"/>
      <c r="L49" s="135"/>
      <c r="M49" s="135"/>
      <c r="N49" s="135"/>
    </row>
    <row r="50" spans="1:14" ht="12.75" thickBot="1" x14ac:dyDescent="0.25">
      <c r="A50" s="132"/>
      <c r="B50" s="126" t="s">
        <v>42</v>
      </c>
      <c r="C50" s="82">
        <v>641</v>
      </c>
      <c r="D50" s="131" t="s">
        <v>126</v>
      </c>
      <c r="E50" s="60">
        <v>0</v>
      </c>
      <c r="I50" s="142"/>
      <c r="M50" s="142"/>
    </row>
    <row r="51" spans="1:14" ht="12.75" thickBot="1" x14ac:dyDescent="0.25">
      <c r="A51" s="132"/>
      <c r="B51" s="126" t="s">
        <v>43</v>
      </c>
      <c r="C51" s="95">
        <v>642</v>
      </c>
      <c r="D51" s="131" t="s">
        <v>126</v>
      </c>
      <c r="E51" s="69">
        <v>0</v>
      </c>
      <c r="I51" s="142"/>
    </row>
    <row r="52" spans="1:14" ht="12.75" thickBot="1" x14ac:dyDescent="0.25">
      <c r="A52" s="132"/>
      <c r="B52" s="145" t="s">
        <v>44</v>
      </c>
      <c r="C52" s="82">
        <v>643</v>
      </c>
      <c r="D52" s="146" t="s">
        <v>127</v>
      </c>
      <c r="E52" s="99">
        <f>E43-E44+E45+E46-SUM(E47:E51)</f>
        <v>301037217</v>
      </c>
      <c r="I52" s="142"/>
    </row>
    <row r="53" spans="1:14" x14ac:dyDescent="0.2">
      <c r="E53" s="69"/>
      <c r="I53" s="142"/>
    </row>
    <row r="54" spans="1:14" ht="12.75" thickBot="1" x14ac:dyDescent="0.25">
      <c r="A54" s="132" t="s">
        <v>26</v>
      </c>
      <c r="B54" s="126" t="s">
        <v>47</v>
      </c>
      <c r="E54" s="69"/>
      <c r="I54" s="142"/>
      <c r="K54" s="148">
        <f>+E59+E61</f>
        <v>182150545</v>
      </c>
    </row>
    <row r="55" spans="1:14" ht="12.75" thickBot="1" x14ac:dyDescent="0.25">
      <c r="B55" s="126" t="s">
        <v>184</v>
      </c>
      <c r="C55" s="82">
        <v>101</v>
      </c>
      <c r="E55" s="60">
        <f>2410+510000+554289</f>
        <v>1066699</v>
      </c>
      <c r="G55" s="78" t="s">
        <v>84</v>
      </c>
      <c r="I55" s="142"/>
    </row>
    <row r="56" spans="1:14" ht="12.75" thickBot="1" x14ac:dyDescent="0.25">
      <c r="B56" s="126" t="s">
        <v>146</v>
      </c>
      <c r="C56" s="82">
        <v>784</v>
      </c>
      <c r="E56" s="60">
        <f>18405121+4736908+8594854+14815851+1195419+(4604.95*479.96)</f>
        <v>49958344.802000001</v>
      </c>
      <c r="I56" s="142"/>
      <c r="K56" s="126">
        <f>333084324-155691638</f>
        <v>177392686</v>
      </c>
    </row>
    <row r="57" spans="1:14" ht="12.75" thickBot="1" x14ac:dyDescent="0.25">
      <c r="B57" s="126" t="s">
        <v>187</v>
      </c>
      <c r="C57" s="82">
        <v>783</v>
      </c>
      <c r="E57" s="123">
        <v>0</v>
      </c>
      <c r="I57" s="142"/>
    </row>
    <row r="58" spans="1:14" ht="12.75" thickBot="1" x14ac:dyDescent="0.25">
      <c r="B58" s="126" t="s">
        <v>49</v>
      </c>
      <c r="C58" s="82">
        <v>129</v>
      </c>
      <c r="E58" s="60">
        <f>5933367+52344072+2854350+43942607+36082123+9026903+9404732+7345190+4126925+8226864+29415179+19861207+62557863+110164655+188747897+421544+70+2286443+3477048+337512+994714+62326280+52732013+8259125+3+72531945+115755253+54+29517709</f>
        <v>938673647</v>
      </c>
      <c r="G58" s="78" t="s">
        <v>84</v>
      </c>
      <c r="I58" s="142"/>
    </row>
    <row r="59" spans="1:14" ht="12.75" thickBot="1" x14ac:dyDescent="0.25">
      <c r="B59" s="126" t="s">
        <v>55</v>
      </c>
      <c r="C59" s="82">
        <v>647</v>
      </c>
      <c r="E59" s="60">
        <f>2833001+16+202693297+32153389+112693819+1296495-792167-119233409-3769565-69569560-19279030</f>
        <v>139026286</v>
      </c>
      <c r="G59" s="78" t="s">
        <v>143</v>
      </c>
      <c r="I59" s="142"/>
    </row>
    <row r="60" spans="1:14" ht="12.75" thickBot="1" x14ac:dyDescent="0.25">
      <c r="B60" s="126" t="s">
        <v>209</v>
      </c>
      <c r="C60" s="82">
        <v>785</v>
      </c>
      <c r="E60" s="60">
        <f>E39</f>
        <v>70405354</v>
      </c>
      <c r="G60" s="78" t="s">
        <v>211</v>
      </c>
      <c r="I60" s="142"/>
    </row>
    <row r="61" spans="1:14" ht="12.75" thickBot="1" x14ac:dyDescent="0.25">
      <c r="B61" s="126" t="s">
        <v>56</v>
      </c>
      <c r="C61" s="82">
        <v>648</v>
      </c>
      <c r="E61" s="60">
        <f>112693819-69569560</f>
        <v>43124259</v>
      </c>
      <c r="I61" s="142"/>
    </row>
    <row r="62" spans="1:14" ht="12.75" thickBot="1" x14ac:dyDescent="0.25">
      <c r="B62" s="126" t="s">
        <v>50</v>
      </c>
      <c r="C62" s="82">
        <v>122</v>
      </c>
      <c r="E62" s="60">
        <v>2741285066</v>
      </c>
      <c r="G62" s="78" t="s">
        <v>99</v>
      </c>
      <c r="I62" s="142"/>
    </row>
    <row r="63" spans="1:14" ht="12.75" thickBot="1" x14ac:dyDescent="0.25">
      <c r="B63" s="126" t="s">
        <v>51</v>
      </c>
      <c r="C63" s="82">
        <v>123</v>
      </c>
      <c r="E63" s="60">
        <v>2388758925</v>
      </c>
      <c r="G63" s="78" t="s">
        <v>100</v>
      </c>
      <c r="I63" s="142"/>
    </row>
    <row r="64" spans="1:14" ht="12.75" thickBot="1" x14ac:dyDescent="0.25">
      <c r="B64" s="126" t="s">
        <v>52</v>
      </c>
      <c r="C64" s="82">
        <v>102</v>
      </c>
      <c r="E64" s="60">
        <f>2741285066-0-212643731</f>
        <v>2528641335</v>
      </c>
      <c r="G64" s="78" t="s">
        <v>110</v>
      </c>
      <c r="I64" s="142"/>
    </row>
    <row r="65" spans="1:9" ht="12.75" thickBot="1" x14ac:dyDescent="0.25">
      <c r="B65" s="126" t="s">
        <v>53</v>
      </c>
      <c r="C65" s="82">
        <v>645</v>
      </c>
      <c r="E65" s="60">
        <f>+E64-848527953</f>
        <v>1680113382</v>
      </c>
      <c r="G65" s="78" t="s">
        <v>102</v>
      </c>
      <c r="I65" s="142"/>
    </row>
    <row r="66" spans="1:9" ht="12.75" thickBot="1" x14ac:dyDescent="0.25">
      <c r="B66" s="126" t="s">
        <v>54</v>
      </c>
      <c r="C66" s="82">
        <v>646</v>
      </c>
      <c r="E66" s="60">
        <v>0</v>
      </c>
      <c r="I66" s="142"/>
    </row>
    <row r="67" spans="1:9" ht="12.75" thickBot="1" x14ac:dyDescent="0.25">
      <c r="B67" s="126" t="s">
        <v>200</v>
      </c>
      <c r="C67" s="82">
        <v>843</v>
      </c>
      <c r="E67" s="69">
        <f>E65</f>
        <v>1680113382</v>
      </c>
      <c r="I67" s="142"/>
    </row>
    <row r="68" spans="1:9" x14ac:dyDescent="0.2">
      <c r="I68" s="142"/>
    </row>
    <row r="69" spans="1:9" ht="12.75" thickBot="1" x14ac:dyDescent="0.25">
      <c r="A69" s="134" t="s">
        <v>201</v>
      </c>
      <c r="B69" s="126" t="s">
        <v>58</v>
      </c>
      <c r="I69" s="142"/>
    </row>
    <row r="70" spans="1:9" ht="12.75" thickBot="1" x14ac:dyDescent="0.25">
      <c r="B70" s="126" t="s">
        <v>147</v>
      </c>
      <c r="C70" s="82">
        <v>774</v>
      </c>
      <c r="D70" s="131" t="s">
        <v>125</v>
      </c>
      <c r="E70" s="75">
        <v>0</v>
      </c>
      <c r="I70" s="142"/>
    </row>
    <row r="71" spans="1:9" ht="12.75" thickBot="1" x14ac:dyDescent="0.25">
      <c r="B71" s="126" t="s">
        <v>148</v>
      </c>
      <c r="C71" s="82">
        <v>775</v>
      </c>
      <c r="D71" s="131" t="s">
        <v>125</v>
      </c>
      <c r="E71" s="75">
        <v>0</v>
      </c>
      <c r="I71" s="142"/>
    </row>
    <row r="72" spans="1:9" ht="12.75" thickBot="1" x14ac:dyDescent="0.25">
      <c r="B72" s="126" t="s">
        <v>60</v>
      </c>
      <c r="C72" s="82">
        <v>284</v>
      </c>
      <c r="D72" s="131" t="s">
        <v>126</v>
      </c>
      <c r="E72" s="69">
        <f>-'AT13'!G31</f>
        <v>68580663.000000477</v>
      </c>
      <c r="I72" s="142"/>
    </row>
    <row r="73" spans="1:9" ht="12.75" thickBot="1" x14ac:dyDescent="0.25">
      <c r="B73" s="126" t="s">
        <v>61</v>
      </c>
      <c r="C73" s="82">
        <v>225</v>
      </c>
      <c r="D73" s="131" t="s">
        <v>125</v>
      </c>
      <c r="E73" s="71">
        <f>MAX(E52,0)</f>
        <v>301037217</v>
      </c>
      <c r="I73" s="142"/>
    </row>
    <row r="74" spans="1:9" ht="12.75" thickBot="1" x14ac:dyDescent="0.25">
      <c r="B74" s="126" t="s">
        <v>62</v>
      </c>
      <c r="C74" s="82">
        <v>229</v>
      </c>
      <c r="D74" s="131" t="s">
        <v>126</v>
      </c>
      <c r="E74" s="71">
        <f>-MIN(E52,0)</f>
        <v>0</v>
      </c>
      <c r="I74" s="142"/>
    </row>
    <row r="75" spans="1:9" ht="12.75" thickBot="1" x14ac:dyDescent="0.25">
      <c r="B75" s="126" t="s">
        <v>63</v>
      </c>
      <c r="C75" s="82">
        <v>623</v>
      </c>
      <c r="D75" s="131" t="s">
        <v>126</v>
      </c>
      <c r="E75" s="75"/>
      <c r="I75" s="142"/>
    </row>
    <row r="76" spans="1:9" ht="12.75" thickBot="1" x14ac:dyDescent="0.25">
      <c r="B76" s="126" t="s">
        <v>64</v>
      </c>
      <c r="C76" s="82">
        <v>624</v>
      </c>
      <c r="D76" s="131" t="s">
        <v>126</v>
      </c>
      <c r="E76" s="75">
        <v>0</v>
      </c>
      <c r="I76" s="142"/>
    </row>
    <row r="77" spans="1:9" ht="12.75" thickBot="1" x14ac:dyDescent="0.25">
      <c r="B77" s="126" t="s">
        <v>65</v>
      </c>
      <c r="C77" s="82">
        <v>227</v>
      </c>
      <c r="D77" s="131" t="s">
        <v>125</v>
      </c>
      <c r="E77" s="75"/>
      <c r="I77" s="142"/>
    </row>
    <row r="78" spans="1:9" ht="12.75" thickBot="1" x14ac:dyDescent="0.25">
      <c r="B78" s="126" t="s">
        <v>191</v>
      </c>
      <c r="C78" s="82">
        <v>776</v>
      </c>
      <c r="D78" s="149" t="s">
        <v>125</v>
      </c>
      <c r="E78" s="75"/>
      <c r="I78" s="142"/>
    </row>
    <row r="79" spans="1:9" ht="12.75" thickBot="1" x14ac:dyDescent="0.25">
      <c r="B79" s="126" t="s">
        <v>192</v>
      </c>
      <c r="C79" s="82">
        <v>777</v>
      </c>
      <c r="D79" s="149" t="s">
        <v>125</v>
      </c>
      <c r="E79" s="71">
        <f>E51</f>
        <v>0</v>
      </c>
    </row>
    <row r="80" spans="1:9" ht="12.75" thickBot="1" x14ac:dyDescent="0.25">
      <c r="B80" s="126" t="s">
        <v>152</v>
      </c>
      <c r="C80" s="82">
        <v>782</v>
      </c>
      <c r="D80" s="131" t="s">
        <v>125</v>
      </c>
      <c r="E80" s="71">
        <f>'AT13'!G44</f>
        <v>68580663</v>
      </c>
    </row>
    <row r="81" spans="2:7" ht="12.75" thickBot="1" x14ac:dyDescent="0.25">
      <c r="B81" s="126" t="s">
        <v>149</v>
      </c>
      <c r="C81" s="82">
        <v>791</v>
      </c>
      <c r="D81" s="131" t="s">
        <v>125</v>
      </c>
      <c r="E81" s="75">
        <v>0</v>
      </c>
    </row>
    <row r="82" spans="2:7" ht="12.75" thickBot="1" x14ac:dyDescent="0.25">
      <c r="B82" s="126" t="s">
        <v>67</v>
      </c>
      <c r="C82" s="82">
        <v>275</v>
      </c>
      <c r="D82" s="131" t="s">
        <v>126</v>
      </c>
      <c r="E82" s="75"/>
    </row>
    <row r="83" spans="2:7" ht="12.75" thickBot="1" x14ac:dyDescent="0.25">
      <c r="B83" s="126" t="s">
        <v>68</v>
      </c>
      <c r="C83" s="95">
        <v>226</v>
      </c>
      <c r="D83" s="131" t="s">
        <v>126</v>
      </c>
      <c r="E83" s="179">
        <v>211000000</v>
      </c>
    </row>
    <row r="84" spans="2:7" ht="12.75" thickBot="1" x14ac:dyDescent="0.25">
      <c r="B84" s="150" t="s">
        <v>69</v>
      </c>
      <c r="C84" s="83">
        <v>231</v>
      </c>
      <c r="D84" s="151" t="s">
        <v>127</v>
      </c>
      <c r="E84" s="104">
        <v>0</v>
      </c>
    </row>
    <row r="85" spans="2:7" ht="12.75" thickBot="1" x14ac:dyDescent="0.25">
      <c r="B85" s="121" t="s">
        <v>70</v>
      </c>
      <c r="C85" s="83">
        <v>318</v>
      </c>
      <c r="D85" s="152" t="s">
        <v>127</v>
      </c>
      <c r="E85" s="106">
        <v>0</v>
      </c>
    </row>
    <row r="86" spans="2:7" ht="12.75" thickBot="1" x14ac:dyDescent="0.25">
      <c r="B86" s="122" t="s">
        <v>71</v>
      </c>
      <c r="C86" s="83">
        <v>232</v>
      </c>
      <c r="D86" s="153" t="s">
        <v>127</v>
      </c>
      <c r="E86" s="109">
        <f>-(E70+E71-E72+E73-E74-E75-E76+E77+E78+E79+E80+E81-E82-E83)+E84+E85</f>
        <v>-90037216.999999523</v>
      </c>
    </row>
    <row r="87" spans="2:7" ht="12.75" thickBot="1" x14ac:dyDescent="0.25">
      <c r="B87" s="150" t="s">
        <v>74</v>
      </c>
      <c r="C87" s="83">
        <v>625</v>
      </c>
      <c r="D87" s="154" t="s">
        <v>125</v>
      </c>
      <c r="E87" s="104">
        <v>0</v>
      </c>
      <c r="G87" s="78" t="s">
        <v>85</v>
      </c>
    </row>
    <row r="88" spans="2:7" ht="12.75" thickBot="1" x14ac:dyDescent="0.25">
      <c r="B88" s="121" t="s">
        <v>75</v>
      </c>
      <c r="C88" s="83">
        <v>626</v>
      </c>
      <c r="D88" s="155" t="s">
        <v>125</v>
      </c>
      <c r="E88" s="106">
        <v>0</v>
      </c>
      <c r="G88" s="78" t="s">
        <v>86</v>
      </c>
    </row>
    <row r="89" spans="2:7" ht="12.75" thickBot="1" x14ac:dyDescent="0.25">
      <c r="B89" s="121" t="s">
        <v>76</v>
      </c>
      <c r="C89" s="83">
        <v>627</v>
      </c>
      <c r="D89" s="155" t="s">
        <v>126</v>
      </c>
      <c r="E89" s="114">
        <f>E88</f>
        <v>0</v>
      </c>
      <c r="G89" s="78" t="s">
        <v>87</v>
      </c>
    </row>
    <row r="90" spans="2:7" ht="12.75" thickBot="1" x14ac:dyDescent="0.25">
      <c r="B90" s="119" t="s">
        <v>202</v>
      </c>
      <c r="C90" s="120">
        <v>838</v>
      </c>
      <c r="D90" s="153" t="s">
        <v>127</v>
      </c>
      <c r="E90" s="109">
        <f>+E87+E88-E89</f>
        <v>0</v>
      </c>
    </row>
    <row r="91" spans="2:7" ht="12.75" thickBot="1" x14ac:dyDescent="0.25">
      <c r="B91" s="150" t="s">
        <v>193</v>
      </c>
      <c r="C91" s="83">
        <v>818</v>
      </c>
      <c r="D91" s="151" t="s">
        <v>125</v>
      </c>
      <c r="E91" s="113"/>
    </row>
    <row r="92" spans="2:7" ht="12.75" thickBot="1" x14ac:dyDescent="0.25">
      <c r="B92" s="121" t="s">
        <v>203</v>
      </c>
      <c r="C92" s="83">
        <v>842</v>
      </c>
      <c r="D92" s="152" t="s">
        <v>126</v>
      </c>
      <c r="E92" s="114"/>
    </row>
    <row r="93" spans="2:7" ht="12.75" thickBot="1" x14ac:dyDescent="0.25">
      <c r="B93" s="121" t="s">
        <v>204</v>
      </c>
      <c r="C93" s="83">
        <v>819</v>
      </c>
      <c r="D93" s="152" t="s">
        <v>125</v>
      </c>
      <c r="E93" s="114"/>
    </row>
    <row r="94" spans="2:7" ht="12.75" thickBot="1" x14ac:dyDescent="0.25">
      <c r="B94" s="121" t="s">
        <v>205</v>
      </c>
      <c r="C94" s="83">
        <v>837</v>
      </c>
      <c r="D94" s="152" t="s">
        <v>126</v>
      </c>
      <c r="E94" s="114"/>
    </row>
    <row r="95" spans="2:7" ht="12.75" thickBot="1" x14ac:dyDescent="0.25">
      <c r="B95" s="121" t="s">
        <v>195</v>
      </c>
      <c r="C95" s="83">
        <v>820</v>
      </c>
      <c r="D95" s="152" t="s">
        <v>126</v>
      </c>
      <c r="E95" s="114"/>
    </row>
    <row r="96" spans="2:7" ht="12.75" thickBot="1" x14ac:dyDescent="0.25">
      <c r="B96" s="121" t="s">
        <v>73</v>
      </c>
      <c r="C96" s="83">
        <v>228</v>
      </c>
      <c r="D96" s="152" t="s">
        <v>127</v>
      </c>
      <c r="E96" s="114"/>
    </row>
    <row r="97" spans="2:5" ht="12.75" thickBot="1" x14ac:dyDescent="0.25">
      <c r="B97" s="122" t="s">
        <v>206</v>
      </c>
      <c r="C97" s="83">
        <v>840</v>
      </c>
      <c r="D97" s="153" t="s">
        <v>127</v>
      </c>
      <c r="E97" s="109"/>
    </row>
    <row r="98" spans="2:5" x14ac:dyDescent="0.2">
      <c r="C98" s="84"/>
      <c r="E98" s="71"/>
    </row>
    <row r="99" spans="2:5" ht="12.75" thickBot="1" x14ac:dyDescent="0.25"/>
    <row r="100" spans="2:5" ht="12.75" thickBot="1" x14ac:dyDescent="0.25">
      <c r="B100" s="126" t="s">
        <v>77</v>
      </c>
      <c r="C100" s="82">
        <v>650</v>
      </c>
      <c r="E100" s="127" t="s">
        <v>157</v>
      </c>
    </row>
    <row r="101" spans="2:5" ht="12.75" thickBot="1" x14ac:dyDescent="0.25">
      <c r="B101" s="126" t="s">
        <v>78</v>
      </c>
      <c r="C101" s="82">
        <v>903</v>
      </c>
      <c r="E101" s="127" t="s">
        <v>210</v>
      </c>
    </row>
  </sheetData>
  <hyperlinks>
    <hyperlink ref="E30" r:id="rId1"/>
  </hyperlinks>
  <pageMargins left="0.19685039370078741" right="0" top="0.59055118110236227" bottom="0.19685039370078741" header="0.51181102362204722" footer="0.51181102362204722"/>
  <pageSetup scale="89" orientation="landscape" horizontalDpi="360" verticalDpi="360" r:id="rId2"/>
  <headerFooter alignWithMargins="0"/>
  <rowBreaks count="1" manualBreakCount="1">
    <brk id="53" max="16383" man="1"/>
  </rowBreak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2"/>
  <dimension ref="A1:K43"/>
  <sheetViews>
    <sheetView topLeftCell="A10" workbookViewId="0">
      <selection activeCell="G12" sqref="G12"/>
    </sheetView>
  </sheetViews>
  <sheetFormatPr baseColWidth="10" defaultColWidth="9.140625" defaultRowHeight="12" x14ac:dyDescent="0.2"/>
  <cols>
    <col min="1" max="1" width="4.42578125" customWidth="1"/>
    <col min="2" max="6" width="9.140625" customWidth="1"/>
    <col min="7" max="7" width="13.5703125" bestFit="1" customWidth="1"/>
    <col min="8" max="8" width="9.140625" customWidth="1"/>
    <col min="9" max="14" width="3.5703125" customWidth="1"/>
  </cols>
  <sheetData>
    <row r="1" spans="1:11" s="57" customFormat="1" ht="12.75" x14ac:dyDescent="0.2">
      <c r="A1" s="58" t="s">
        <v>115</v>
      </c>
    </row>
    <row r="2" spans="1:11" s="57" customFormat="1" ht="12.75" x14ac:dyDescent="0.2">
      <c r="A2" s="58" t="s">
        <v>114</v>
      </c>
    </row>
    <row r="3" spans="1:11" ht="15" x14ac:dyDescent="0.25">
      <c r="A3" s="13" t="s">
        <v>158</v>
      </c>
    </row>
    <row r="4" spans="1:11" x14ac:dyDescent="0.2">
      <c r="A4" t="s">
        <v>94</v>
      </c>
      <c r="C4">
        <f>RIGHT(A3,4)-1</f>
        <v>1995</v>
      </c>
    </row>
    <row r="6" spans="1:11" x14ac:dyDescent="0.2">
      <c r="A6" s="12" t="s">
        <v>92</v>
      </c>
      <c r="G6" s="16"/>
    </row>
    <row r="7" spans="1:11" x14ac:dyDescent="0.2">
      <c r="A7" s="1"/>
      <c r="G7" s="16"/>
    </row>
    <row r="8" spans="1:11" x14ac:dyDescent="0.2">
      <c r="A8" t="str">
        <f>A6&amp;" de Arrastre al 31/12/"&amp;RIGHT($C$4-1,2)</f>
        <v>Pérdida Tributaria de Arrastre al 31/12/94</v>
      </c>
      <c r="G8" s="22">
        <v>-1820785497</v>
      </c>
    </row>
    <row r="9" spans="1:11" ht="12.75" thickBot="1" x14ac:dyDescent="0.25">
      <c r="A9" s="14" t="s">
        <v>90</v>
      </c>
      <c r="B9" t="str">
        <f>"Reajuste "&amp;$C$4&amp;":"</f>
        <v>Reajuste 1995:</v>
      </c>
      <c r="D9" s="20">
        <v>8.2000000000000003E-2</v>
      </c>
      <c r="G9" s="16">
        <f>ROUND(G8*D9,0)</f>
        <v>-149304411</v>
      </c>
    </row>
    <row r="10" spans="1:11" ht="12.75" thickBot="1" x14ac:dyDescent="0.25">
      <c r="A10" t="str">
        <f>LEFT(A8,LEN(A8)-12)&amp;", reajustada"</f>
        <v>Pérdida Tributaria de Arrastre, reajustada</v>
      </c>
      <c r="G10" s="17">
        <f>SUM(G8:G9)</f>
        <v>-1970089908</v>
      </c>
      <c r="I10" s="8"/>
    </row>
    <row r="11" spans="1:11" x14ac:dyDescent="0.2">
      <c r="G11" s="23"/>
    </row>
    <row r="12" spans="1:11" x14ac:dyDescent="0.2">
      <c r="A12" s="14" t="s">
        <v>90</v>
      </c>
      <c r="B12" t="str">
        <f>"Utilidad Tributaria según balance al 31/12/"&amp;RIGHT($C$4,2)</f>
        <v>Utilidad Tributaria según balance al 31/12/95</v>
      </c>
      <c r="G12" s="22">
        <v>73383568</v>
      </c>
    </row>
    <row r="13" spans="1:11" x14ac:dyDescent="0.2">
      <c r="A13" s="14" t="s">
        <v>90</v>
      </c>
      <c r="B13" t="s">
        <v>161</v>
      </c>
      <c r="G13" s="22">
        <v>50000000</v>
      </c>
    </row>
    <row r="14" spans="1:11" ht="12.75" thickBot="1" x14ac:dyDescent="0.25">
      <c r="A14" s="18" t="s">
        <v>170</v>
      </c>
      <c r="B14" s="18"/>
      <c r="C14" s="18"/>
      <c r="D14" s="18"/>
      <c r="E14" s="1"/>
      <c r="F14" s="1"/>
      <c r="G14" s="19">
        <f>SUM(G10:G13)</f>
        <v>-1846706340</v>
      </c>
    </row>
    <row r="15" spans="1:11" ht="13.5" thickTop="1" thickBot="1" x14ac:dyDescent="0.25">
      <c r="A15" s="14"/>
      <c r="G15" s="22"/>
    </row>
    <row r="16" spans="1:11" ht="12.75" thickBot="1" x14ac:dyDescent="0.25">
      <c r="A16" s="48" t="s">
        <v>90</v>
      </c>
      <c r="B16" s="47" t="s">
        <v>112</v>
      </c>
      <c r="C16" s="45"/>
      <c r="D16" s="45"/>
      <c r="E16" s="1"/>
      <c r="F16" s="1"/>
      <c r="G16" s="22">
        <v>1610056</v>
      </c>
      <c r="I16" s="8">
        <v>82</v>
      </c>
      <c r="K16" s="8"/>
    </row>
    <row r="17" spans="1:9" ht="12.75" thickBot="1" x14ac:dyDescent="0.25">
      <c r="A17" s="18" t="str">
        <f>A6&amp;" al 31/12/"&amp;RIGHT($C$4,2)</f>
        <v>Pérdida Tributaria al 31/12/95</v>
      </c>
      <c r="B17" s="18"/>
      <c r="C17" s="18"/>
      <c r="D17" s="18"/>
      <c r="E17" s="1"/>
      <c r="F17" s="1"/>
      <c r="G17" s="19">
        <f>SUM(G14:G16)</f>
        <v>-1845096284</v>
      </c>
    </row>
    <row r="18" spans="1:9" ht="13.5" thickTop="1" thickBot="1" x14ac:dyDescent="0.25">
      <c r="A18" s="47"/>
      <c r="B18" s="47"/>
      <c r="C18" s="45"/>
      <c r="D18" s="45"/>
      <c r="E18" s="1"/>
      <c r="F18" s="1"/>
      <c r="G18" s="46"/>
    </row>
    <row r="19" spans="1:9" ht="12.75" thickBot="1" x14ac:dyDescent="0.25">
      <c r="A19" s="14" t="s">
        <v>97</v>
      </c>
      <c r="B19" t="s">
        <v>108</v>
      </c>
      <c r="G19" s="22">
        <v>0</v>
      </c>
      <c r="I19" s="8">
        <v>242</v>
      </c>
    </row>
    <row r="20" spans="1:9" ht="12.75" thickBot="1" x14ac:dyDescent="0.25">
      <c r="A20" s="15" t="s">
        <v>91</v>
      </c>
      <c r="B20" s="18" t="str">
        <f>"RLI del ejercicio "&amp;$C$4</f>
        <v>RLI del ejercicio 1995</v>
      </c>
      <c r="C20" s="18"/>
      <c r="D20" s="18"/>
      <c r="E20" s="1"/>
      <c r="F20" s="1"/>
      <c r="G20" s="19">
        <f>IF(G19&gt;0,"¡signo del dividendo!",SUM(G17:G19))</f>
        <v>-1845096284</v>
      </c>
      <c r="I20" s="8">
        <v>229</v>
      </c>
    </row>
    <row r="21" spans="1:9" ht="12.75" thickTop="1" x14ac:dyDescent="0.2">
      <c r="G21" s="16"/>
    </row>
    <row r="22" spans="1:9" x14ac:dyDescent="0.2">
      <c r="G22" s="16"/>
    </row>
    <row r="23" spans="1:9" x14ac:dyDescent="0.2">
      <c r="G23" s="16"/>
    </row>
    <row r="24" spans="1:9" x14ac:dyDescent="0.2">
      <c r="G24" s="16"/>
    </row>
    <row r="25" spans="1:9" x14ac:dyDescent="0.2">
      <c r="A25" s="12" t="s">
        <v>93</v>
      </c>
      <c r="G25" s="16"/>
    </row>
    <row r="26" spans="1:9" x14ac:dyDescent="0.2">
      <c r="G26" s="16"/>
    </row>
    <row r="27" spans="1:9" x14ac:dyDescent="0.2">
      <c r="A27" t="str">
        <f>"Saldo "&amp;A25&amp;RIGHT($A$8,12)</f>
        <v>Saldo F.U.T. al 31/12/94</v>
      </c>
      <c r="G27" s="22">
        <v>-1820785497</v>
      </c>
    </row>
    <row r="28" spans="1:9" ht="12.75" thickBot="1" x14ac:dyDescent="0.25">
      <c r="A28" s="14" t="s">
        <v>90</v>
      </c>
      <c r="B28" t="str">
        <f>B9</f>
        <v>Reajuste 1995:</v>
      </c>
      <c r="D28" s="21">
        <f>D9</f>
        <v>8.2000000000000003E-2</v>
      </c>
      <c r="G28" s="16">
        <f>ROUND(G27*D28,0)</f>
        <v>-149304411</v>
      </c>
    </row>
    <row r="29" spans="1:9" ht="12.75" thickBot="1" x14ac:dyDescent="0.25">
      <c r="A29" t="str">
        <f>LEFT(A27,LEN(A27)-12)&amp;", reajustado"</f>
        <v>Saldo F.U.T., reajustado</v>
      </c>
      <c r="G29" s="17">
        <f>SUM(G27:G28)</f>
        <v>-1970089908</v>
      </c>
      <c r="I29" s="8">
        <v>284</v>
      </c>
    </row>
    <row r="30" spans="1:9" ht="12.75" thickBot="1" x14ac:dyDescent="0.25">
      <c r="G30" s="23"/>
    </row>
    <row r="31" spans="1:9" ht="12.75" thickBot="1" x14ac:dyDescent="0.25">
      <c r="A31" s="14" t="s">
        <v>97</v>
      </c>
      <c r="B31" t="s">
        <v>98</v>
      </c>
      <c r="G31" s="23">
        <f>G20</f>
        <v>-1845096284</v>
      </c>
      <c r="I31" s="8">
        <v>229</v>
      </c>
    </row>
    <row r="32" spans="1:9" x14ac:dyDescent="0.2">
      <c r="A32" t="str">
        <f>"Subtotal "&amp;RIGHT(A27,LEN(A27)-6)</f>
        <v>Subtotal F.U.T. al 31/12/94</v>
      </c>
      <c r="G32" s="17">
        <f>SUM(G29:G31)</f>
        <v>-3815186192</v>
      </c>
    </row>
    <row r="33" spans="1:9" ht="12.75" thickBot="1" x14ac:dyDescent="0.25">
      <c r="G33" s="23"/>
    </row>
    <row r="34" spans="1:9" ht="12.75" thickBot="1" x14ac:dyDescent="0.25">
      <c r="A34" s="14" t="s">
        <v>97</v>
      </c>
      <c r="B34" t="s">
        <v>111</v>
      </c>
      <c r="G34" s="23">
        <f>-G16</f>
        <v>-1610056</v>
      </c>
      <c r="I34" s="8">
        <v>305</v>
      </c>
    </row>
    <row r="35" spans="1:9" x14ac:dyDescent="0.2">
      <c r="G35" s="23"/>
    </row>
    <row r="36" spans="1:9" x14ac:dyDescent="0.2">
      <c r="A36" s="14" t="s">
        <v>90</v>
      </c>
      <c r="B36" t="str">
        <f>A10</f>
        <v>Pérdida Tributaria de Arrastre, reajustada</v>
      </c>
      <c r="G36" s="16">
        <f>-G10</f>
        <v>1970089908</v>
      </c>
    </row>
    <row r="37" spans="1:9" ht="12.75" thickBot="1" x14ac:dyDescent="0.25">
      <c r="A37" s="14" t="s">
        <v>90</v>
      </c>
      <c r="B37" t="str">
        <f>B16</f>
        <v>Crédito por Gastos de Capacitación</v>
      </c>
      <c r="G37" s="16">
        <f>G16</f>
        <v>1610056</v>
      </c>
    </row>
    <row r="38" spans="1:9" ht="12.75" thickBot="1" x14ac:dyDescent="0.25">
      <c r="A38" s="14" t="s">
        <v>90</v>
      </c>
      <c r="B38" t="s">
        <v>108</v>
      </c>
      <c r="G38" s="16">
        <f>-G19</f>
        <v>0</v>
      </c>
      <c r="I38" s="8">
        <v>242</v>
      </c>
    </row>
    <row r="39" spans="1:9" ht="12.75" thickBot="1" x14ac:dyDescent="0.25">
      <c r="A39" s="43" t="s">
        <v>109</v>
      </c>
      <c r="G39" s="42">
        <f>SUM(G36:G38)</f>
        <v>1971699964</v>
      </c>
      <c r="I39" s="8"/>
    </row>
    <row r="40" spans="1:9" ht="12.75" thickBot="1" x14ac:dyDescent="0.25">
      <c r="A40" s="18" t="str">
        <f>LEFT(A27,LEN(A27)-2)&amp;RIGHT($C$4,2)</f>
        <v>Saldo F.U.T. al 31/12/95</v>
      </c>
      <c r="B40" s="18"/>
      <c r="C40" s="18"/>
      <c r="D40" s="18"/>
      <c r="E40" s="1"/>
      <c r="F40" s="1"/>
      <c r="G40" s="19">
        <f>G32+G34+G39</f>
        <v>-1845096284</v>
      </c>
      <c r="I40" s="8">
        <v>232</v>
      </c>
    </row>
    <row r="41" spans="1:9" ht="12.75" thickTop="1" x14ac:dyDescent="0.2">
      <c r="G41" s="16"/>
    </row>
    <row r="42" spans="1:9" x14ac:dyDescent="0.2">
      <c r="G42" s="16"/>
    </row>
    <row r="43" spans="1:9" x14ac:dyDescent="0.2">
      <c r="G43" s="16"/>
    </row>
  </sheetData>
  <phoneticPr fontId="0" type="noConversion"/>
  <pageMargins left="0.75" right="0.75" top="1" bottom="1" header="0.5" footer="0.5"/>
  <pageSetup orientation="portrait" horizontalDpi="4294967292" verticalDpi="0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"/>
  <sheetViews>
    <sheetView topLeftCell="A52" workbookViewId="0">
      <selection activeCell="O66" sqref="O66"/>
    </sheetView>
  </sheetViews>
  <sheetFormatPr baseColWidth="10" defaultColWidth="9.140625" defaultRowHeight="12" x14ac:dyDescent="0.2"/>
  <cols>
    <col min="1" max="1" width="4.42578125" customWidth="1"/>
    <col min="2" max="6" width="9.140625" customWidth="1"/>
    <col min="7" max="7" width="15.5703125" bestFit="1" customWidth="1"/>
    <col min="8" max="8" width="9.140625" customWidth="1"/>
    <col min="9" max="9" width="5.140625" bestFit="1" customWidth="1"/>
    <col min="10" max="14" width="3.5703125" customWidth="1"/>
    <col min="16" max="16" width="16.42578125" customWidth="1"/>
  </cols>
  <sheetData>
    <row r="1" spans="1:16" s="57" customFormat="1" ht="12.75" x14ac:dyDescent="0.2">
      <c r="A1" s="58" t="s">
        <v>115</v>
      </c>
    </row>
    <row r="2" spans="1:16" s="57" customFormat="1" ht="12.75" x14ac:dyDescent="0.2">
      <c r="A2" s="58" t="s">
        <v>114</v>
      </c>
    </row>
    <row r="3" spans="1:16" ht="15" x14ac:dyDescent="0.25">
      <c r="A3" s="13" t="s">
        <v>239</v>
      </c>
    </row>
    <row r="4" spans="1:16" x14ac:dyDescent="0.2">
      <c r="A4" t="s">
        <v>94</v>
      </c>
      <c r="C4">
        <v>2014</v>
      </c>
    </row>
    <row r="6" spans="1:16" x14ac:dyDescent="0.2">
      <c r="A6" s="12" t="s">
        <v>92</v>
      </c>
      <c r="G6" s="16"/>
    </row>
    <row r="7" spans="1:16" x14ac:dyDescent="0.2">
      <c r="A7" s="1"/>
      <c r="G7" s="16"/>
    </row>
    <row r="8" spans="1:16" x14ac:dyDescent="0.2">
      <c r="A8" t="s">
        <v>240</v>
      </c>
      <c r="G8" s="173">
        <v>0</v>
      </c>
    </row>
    <row r="9" spans="1:16" ht="12.75" thickBot="1" x14ac:dyDescent="0.25">
      <c r="A9" s="14" t="s">
        <v>90</v>
      </c>
      <c r="B9" t="s">
        <v>241</v>
      </c>
      <c r="D9" s="88">
        <v>5.7000000000000002E-2</v>
      </c>
      <c r="G9" s="16">
        <v>0</v>
      </c>
    </row>
    <row r="10" spans="1:16" ht="12.75" thickBot="1" x14ac:dyDescent="0.25">
      <c r="A10" t="s">
        <v>242</v>
      </c>
      <c r="G10" s="17">
        <v>0</v>
      </c>
      <c r="I10" s="8">
        <v>634</v>
      </c>
    </row>
    <row r="11" spans="1:16" x14ac:dyDescent="0.2">
      <c r="G11" s="23"/>
      <c r="P11" s="177"/>
    </row>
    <row r="12" spans="1:16" x14ac:dyDescent="0.2">
      <c r="A12" s="14" t="s">
        <v>90</v>
      </c>
      <c r="B12" t="s">
        <v>243</v>
      </c>
      <c r="G12" s="59">
        <v>205881138</v>
      </c>
      <c r="P12" s="177"/>
    </row>
    <row r="13" spans="1:16" ht="12.75" thickBot="1" x14ac:dyDescent="0.25">
      <c r="A13" s="14" t="s">
        <v>90</v>
      </c>
      <c r="B13" t="s">
        <v>222</v>
      </c>
      <c r="G13" s="59">
        <v>64794566</v>
      </c>
    </row>
    <row r="14" spans="1:16" ht="12.75" thickBot="1" x14ac:dyDescent="0.25">
      <c r="A14" s="14" t="s">
        <v>90</v>
      </c>
      <c r="B14" s="47" t="s">
        <v>112</v>
      </c>
      <c r="C14" s="45"/>
      <c r="D14" s="45"/>
      <c r="E14" s="1"/>
      <c r="F14" s="1"/>
      <c r="G14" s="59">
        <v>0</v>
      </c>
      <c r="I14" s="8">
        <v>82</v>
      </c>
      <c r="K14" s="8">
        <v>769</v>
      </c>
      <c r="P14" s="177"/>
    </row>
    <row r="15" spans="1:16" ht="12.75" thickBot="1" x14ac:dyDescent="0.25">
      <c r="A15" s="14" t="s">
        <v>90</v>
      </c>
      <c r="B15" s="178" t="s">
        <v>230</v>
      </c>
      <c r="C15" s="45"/>
      <c r="D15" s="45"/>
      <c r="E15" s="1"/>
      <c r="F15" s="1"/>
      <c r="G15" s="59">
        <v>14461836</v>
      </c>
      <c r="I15" s="8"/>
      <c r="K15" s="10"/>
      <c r="P15" s="177"/>
    </row>
    <row r="16" spans="1:16" ht="12.75" thickBot="1" x14ac:dyDescent="0.25">
      <c r="A16" s="14" t="s">
        <v>90</v>
      </c>
      <c r="B16" s="197" t="s">
        <v>229</v>
      </c>
      <c r="C16" s="45"/>
      <c r="D16" s="45"/>
      <c r="E16" s="1"/>
      <c r="F16" s="1"/>
      <c r="G16" s="59">
        <v>0</v>
      </c>
      <c r="I16" s="8"/>
      <c r="K16" s="10"/>
      <c r="P16" s="177"/>
    </row>
    <row r="17" spans="1:16" ht="12.75" thickBot="1" x14ac:dyDescent="0.25">
      <c r="A17" s="14" t="s">
        <v>90</v>
      </c>
      <c r="B17" s="47" t="s">
        <v>217</v>
      </c>
      <c r="C17" s="45"/>
      <c r="D17" s="45"/>
      <c r="E17" s="1"/>
      <c r="F17" s="1"/>
      <c r="G17" s="59">
        <v>0</v>
      </c>
      <c r="I17" s="8">
        <v>639</v>
      </c>
      <c r="K17" s="10"/>
      <c r="P17" s="177"/>
    </row>
    <row r="18" spans="1:16" ht="12.75" thickBot="1" x14ac:dyDescent="0.25">
      <c r="A18" s="14" t="s">
        <v>90</v>
      </c>
      <c r="B18" s="197" t="s">
        <v>232</v>
      </c>
      <c r="C18" s="45"/>
      <c r="D18" s="45"/>
      <c r="E18" s="1"/>
      <c r="F18" s="1"/>
      <c r="G18" s="59">
        <v>27047753</v>
      </c>
      <c r="H18" s="196" t="s">
        <v>233</v>
      </c>
      <c r="I18" s="8"/>
      <c r="K18" s="10"/>
      <c r="P18" s="177"/>
    </row>
    <row r="19" spans="1:16" ht="12.75" thickBot="1" x14ac:dyDescent="0.25">
      <c r="A19" s="14" t="s">
        <v>90</v>
      </c>
      <c r="B19" s="197" t="s">
        <v>232</v>
      </c>
      <c r="C19" s="45"/>
      <c r="D19" s="45"/>
      <c r="E19" s="1"/>
      <c r="F19" s="1"/>
      <c r="G19" s="59">
        <v>25648236</v>
      </c>
      <c r="H19" s="196" t="s">
        <v>227</v>
      </c>
      <c r="I19" s="8"/>
      <c r="K19" s="10"/>
      <c r="P19" s="177"/>
    </row>
    <row r="20" spans="1:16" ht="12.75" thickBot="1" x14ac:dyDescent="0.25">
      <c r="A20" s="14" t="s">
        <v>90</v>
      </c>
      <c r="B20" s="197" t="s">
        <v>232</v>
      </c>
      <c r="C20" s="45"/>
      <c r="D20" s="45"/>
      <c r="E20" s="1"/>
      <c r="F20" s="1"/>
      <c r="G20" s="59">
        <v>24651442</v>
      </c>
      <c r="H20" s="196" t="s">
        <v>234</v>
      </c>
      <c r="I20" s="8"/>
      <c r="K20" s="10"/>
      <c r="P20" s="177"/>
    </row>
    <row r="21" spans="1:16" ht="12.75" thickBot="1" x14ac:dyDescent="0.25">
      <c r="A21" s="14" t="s">
        <v>90</v>
      </c>
      <c r="B21" s="197" t="s">
        <v>232</v>
      </c>
      <c r="C21" s="45"/>
      <c r="D21" s="45"/>
      <c r="E21" s="1"/>
      <c r="F21" s="1"/>
      <c r="G21" s="59">
        <v>14980959</v>
      </c>
      <c r="H21" s="196" t="s">
        <v>228</v>
      </c>
      <c r="I21" s="8"/>
      <c r="K21" s="10"/>
      <c r="P21" s="177"/>
    </row>
    <row r="22" spans="1:16" ht="12.75" thickBot="1" x14ac:dyDescent="0.25">
      <c r="A22" s="14" t="s">
        <v>90</v>
      </c>
      <c r="B22" s="197" t="s">
        <v>237</v>
      </c>
      <c r="C22" s="45"/>
      <c r="D22" s="45"/>
      <c r="E22" s="1"/>
      <c r="F22" s="1"/>
      <c r="G22" s="59">
        <v>14305949</v>
      </c>
      <c r="H22" s="196" t="s">
        <v>234</v>
      </c>
      <c r="I22" s="8"/>
      <c r="K22" s="10"/>
      <c r="P22" s="177"/>
    </row>
    <row r="23" spans="1:16" ht="12.75" thickBot="1" x14ac:dyDescent="0.25">
      <c r="A23" s="14" t="s">
        <v>90</v>
      </c>
      <c r="B23" s="197" t="s">
        <v>237</v>
      </c>
      <c r="C23" s="45"/>
      <c r="D23" s="45"/>
      <c r="E23" s="1"/>
      <c r="F23" s="1"/>
      <c r="G23" s="59">
        <v>13007779</v>
      </c>
      <c r="H23" s="196" t="s">
        <v>228</v>
      </c>
      <c r="I23" s="8"/>
      <c r="K23" s="10"/>
      <c r="P23" s="177"/>
    </row>
    <row r="24" spans="1:16" ht="12.75" thickBot="1" x14ac:dyDescent="0.25">
      <c r="A24" s="14" t="s">
        <v>90</v>
      </c>
      <c r="B24" s="197" t="s">
        <v>238</v>
      </c>
      <c r="C24" s="45"/>
      <c r="D24" s="45"/>
      <c r="E24" s="1"/>
      <c r="F24" s="1"/>
      <c r="G24" s="59">
        <v>1208580</v>
      </c>
      <c r="H24" s="196" t="s">
        <v>234</v>
      </c>
      <c r="I24" s="8"/>
      <c r="K24" s="10"/>
      <c r="P24" s="177"/>
    </row>
    <row r="25" spans="1:16" ht="12.75" thickBot="1" x14ac:dyDescent="0.25">
      <c r="A25" s="195" t="s">
        <v>97</v>
      </c>
      <c r="B25" s="178" t="s">
        <v>196</v>
      </c>
      <c r="C25" s="45"/>
      <c r="D25" s="45"/>
      <c r="E25" s="1"/>
      <c r="F25" s="1"/>
      <c r="G25" s="59">
        <v>-23460215</v>
      </c>
      <c r="H25" s="196" t="s">
        <v>227</v>
      </c>
      <c r="I25" s="8"/>
      <c r="K25" s="10"/>
    </row>
    <row r="26" spans="1:16" ht="12.75" thickBot="1" x14ac:dyDescent="0.25">
      <c r="A26" s="195" t="s">
        <v>97</v>
      </c>
      <c r="B26" s="197" t="s">
        <v>235</v>
      </c>
      <c r="C26" s="45"/>
      <c r="D26" s="45"/>
      <c r="E26" s="1"/>
      <c r="F26" s="1"/>
      <c r="G26" s="59">
        <v>-1959422</v>
      </c>
      <c r="H26" s="196" t="s">
        <v>233</v>
      </c>
      <c r="I26" s="8"/>
      <c r="K26" s="10"/>
    </row>
    <row r="27" spans="1:16" ht="12.75" thickBot="1" x14ac:dyDescent="0.25">
      <c r="A27" s="195" t="s">
        <v>97</v>
      </c>
      <c r="B27" s="197" t="s">
        <v>235</v>
      </c>
      <c r="C27" s="45"/>
      <c r="D27" s="45"/>
      <c r="E27" s="1"/>
      <c r="F27" s="1"/>
      <c r="G27" s="59">
        <v>-1096221</v>
      </c>
      <c r="H27" s="196" t="s">
        <v>227</v>
      </c>
      <c r="I27" s="8"/>
      <c r="K27" s="10"/>
    </row>
    <row r="28" spans="1:16" ht="12.75" thickBot="1" x14ac:dyDescent="0.25">
      <c r="A28" s="195" t="s">
        <v>97</v>
      </c>
      <c r="B28" s="197" t="s">
        <v>235</v>
      </c>
      <c r="C28" s="45"/>
      <c r="D28" s="45"/>
      <c r="E28" s="1"/>
      <c r="F28" s="1"/>
      <c r="G28" s="59">
        <v>-2704652</v>
      </c>
      <c r="H28" s="196" t="s">
        <v>234</v>
      </c>
      <c r="I28" s="8"/>
      <c r="K28" s="10"/>
    </row>
    <row r="29" spans="1:16" ht="12.75" thickBot="1" x14ac:dyDescent="0.25">
      <c r="A29" s="195" t="s">
        <v>97</v>
      </c>
      <c r="B29" s="197" t="s">
        <v>235</v>
      </c>
      <c r="C29" s="45"/>
      <c r="D29" s="45"/>
      <c r="E29" s="1"/>
      <c r="F29" s="1"/>
      <c r="G29" s="59">
        <v>-2980283</v>
      </c>
      <c r="H29" s="196" t="s">
        <v>228</v>
      </c>
      <c r="I29" s="8"/>
      <c r="K29" s="10"/>
    </row>
    <row r="30" spans="1:16" ht="12.75" thickBot="1" x14ac:dyDescent="0.25">
      <c r="A30" s="195" t="s">
        <v>97</v>
      </c>
      <c r="B30" s="197" t="s">
        <v>236</v>
      </c>
      <c r="C30" s="45"/>
      <c r="D30" s="45"/>
      <c r="E30" s="1"/>
      <c r="F30" s="1"/>
      <c r="G30" s="59">
        <v>-36329533</v>
      </c>
      <c r="H30" s="196" t="s">
        <v>233</v>
      </c>
      <c r="I30" s="8"/>
      <c r="K30" s="10"/>
    </row>
    <row r="31" spans="1:16" ht="12.75" thickBot="1" x14ac:dyDescent="0.25">
      <c r="A31" s="195" t="s">
        <v>97</v>
      </c>
      <c r="B31" s="197" t="s">
        <v>236</v>
      </c>
      <c r="C31" s="45"/>
      <c r="D31" s="45"/>
      <c r="E31" s="1"/>
      <c r="F31" s="1"/>
      <c r="G31" s="59">
        <v>-18227520</v>
      </c>
      <c r="H31" s="196" t="s">
        <v>227</v>
      </c>
      <c r="I31" s="8"/>
      <c r="K31" s="10"/>
    </row>
    <row r="32" spans="1:16" ht="12.75" thickBot="1" x14ac:dyDescent="0.25">
      <c r="A32" s="195" t="s">
        <v>97</v>
      </c>
      <c r="B32" s="197" t="s">
        <v>236</v>
      </c>
      <c r="C32" s="45"/>
      <c r="D32" s="45"/>
      <c r="E32" s="1"/>
      <c r="F32" s="1"/>
      <c r="G32" s="59">
        <v>-16001444</v>
      </c>
      <c r="H32" s="196" t="s">
        <v>234</v>
      </c>
      <c r="I32" s="8"/>
      <c r="K32" s="10"/>
    </row>
    <row r="33" spans="1:16" ht="12.75" thickBot="1" x14ac:dyDescent="0.25">
      <c r="A33" s="195" t="s">
        <v>97</v>
      </c>
      <c r="B33" s="197" t="s">
        <v>236</v>
      </c>
      <c r="C33" s="45"/>
      <c r="D33" s="45"/>
      <c r="E33" s="1"/>
      <c r="F33" s="1"/>
      <c r="G33" s="59">
        <v>-7699528</v>
      </c>
      <c r="H33" s="196" t="s">
        <v>228</v>
      </c>
      <c r="I33" s="8"/>
      <c r="K33" s="10"/>
    </row>
    <row r="34" spans="1:16" ht="12.75" thickBot="1" x14ac:dyDescent="0.25">
      <c r="A34" s="195" t="s">
        <v>97</v>
      </c>
      <c r="B34" s="178" t="s">
        <v>231</v>
      </c>
      <c r="C34" s="45"/>
      <c r="D34" s="45"/>
      <c r="E34" s="1"/>
      <c r="F34" s="1"/>
      <c r="G34" s="59">
        <v>-35088581</v>
      </c>
      <c r="H34" s="196" t="s">
        <v>227</v>
      </c>
      <c r="I34" s="8"/>
      <c r="K34" s="10"/>
    </row>
    <row r="35" spans="1:16" ht="12.75" thickBot="1" x14ac:dyDescent="0.25">
      <c r="A35" s="14" t="s">
        <v>97</v>
      </c>
      <c r="B35" s="47" t="s">
        <v>173</v>
      </c>
      <c r="C35" s="45"/>
      <c r="D35" s="45"/>
      <c r="E35" s="1"/>
      <c r="F35" s="1"/>
      <c r="G35" s="59">
        <v>0</v>
      </c>
      <c r="I35" s="8">
        <v>640</v>
      </c>
      <c r="K35" s="10"/>
      <c r="P35" s="177"/>
    </row>
    <row r="36" spans="1:16" ht="12.75" thickBot="1" x14ac:dyDescent="0.25">
      <c r="A36" s="18" t="s">
        <v>244</v>
      </c>
      <c r="B36" s="18"/>
      <c r="C36" s="18"/>
      <c r="D36" s="18"/>
      <c r="E36" s="1"/>
      <c r="F36" s="1"/>
      <c r="G36" s="19">
        <v>260440839</v>
      </c>
      <c r="P36" s="177"/>
    </row>
    <row r="37" spans="1:16" ht="13.5" thickTop="1" thickBot="1" x14ac:dyDescent="0.25">
      <c r="A37" s="47"/>
      <c r="B37" s="47"/>
      <c r="C37" s="45"/>
      <c r="D37" s="45"/>
      <c r="E37" s="1"/>
      <c r="F37" s="1"/>
      <c r="G37" s="46"/>
      <c r="P37" s="177"/>
    </row>
    <row r="38" spans="1:16" ht="12.75" thickBot="1" x14ac:dyDescent="0.25">
      <c r="A38" s="14" t="s">
        <v>97</v>
      </c>
      <c r="B38" t="s">
        <v>108</v>
      </c>
      <c r="G38" s="22">
        <v>0</v>
      </c>
      <c r="I38" s="8">
        <v>642</v>
      </c>
      <c r="P38" s="177"/>
    </row>
    <row r="39" spans="1:16" ht="12.75" thickBot="1" x14ac:dyDescent="0.25">
      <c r="A39" s="15" t="s">
        <v>91</v>
      </c>
      <c r="B39" s="18" t="s">
        <v>245</v>
      </c>
      <c r="C39" s="18"/>
      <c r="D39" s="18"/>
      <c r="E39" s="1"/>
      <c r="F39" s="1"/>
      <c r="G39" s="19">
        <v>260440839</v>
      </c>
      <c r="I39" s="8">
        <v>643</v>
      </c>
    </row>
    <row r="40" spans="1:16" ht="12.75" thickTop="1" x14ac:dyDescent="0.2">
      <c r="G40" s="16"/>
    </row>
    <row r="41" spans="1:16" x14ac:dyDescent="0.2">
      <c r="G41" s="16"/>
    </row>
    <row r="42" spans="1:16" x14ac:dyDescent="0.2">
      <c r="G42" s="16"/>
    </row>
    <row r="43" spans="1:16" x14ac:dyDescent="0.2">
      <c r="G43" s="16"/>
    </row>
    <row r="44" spans="1:16" x14ac:dyDescent="0.2">
      <c r="A44" s="12" t="s">
        <v>93</v>
      </c>
      <c r="G44" s="16"/>
    </row>
    <row r="45" spans="1:16" x14ac:dyDescent="0.2">
      <c r="G45" s="16"/>
    </row>
    <row r="46" spans="1:16" x14ac:dyDescent="0.2">
      <c r="A46" t="s">
        <v>246</v>
      </c>
      <c r="G46" s="173">
        <v>346549858.99999952</v>
      </c>
    </row>
    <row r="47" spans="1:16" ht="12.75" thickBot="1" x14ac:dyDescent="0.25">
      <c r="A47" s="14" t="s">
        <v>90</v>
      </c>
      <c r="B47" t="s">
        <v>241</v>
      </c>
      <c r="D47" s="21">
        <v>5.7000000000000002E-2</v>
      </c>
      <c r="G47" s="16">
        <v>19753342</v>
      </c>
    </row>
    <row r="48" spans="1:16" ht="12.75" thickBot="1" x14ac:dyDescent="0.25">
      <c r="A48" t="s">
        <v>247</v>
      </c>
      <c r="G48" s="17">
        <v>366303200.99999952</v>
      </c>
      <c r="I48" s="8">
        <v>284</v>
      </c>
    </row>
    <row r="49" spans="1:9" ht="12.75" thickBot="1" x14ac:dyDescent="0.25">
      <c r="G49" s="23"/>
    </row>
    <row r="50" spans="1:9" ht="12.75" thickBot="1" x14ac:dyDescent="0.25">
      <c r="A50" s="14" t="s">
        <v>97</v>
      </c>
      <c r="B50" t="s">
        <v>98</v>
      </c>
      <c r="G50" s="23">
        <v>260440839</v>
      </c>
      <c r="I50" s="8">
        <v>229</v>
      </c>
    </row>
    <row r="51" spans="1:9" x14ac:dyDescent="0.2">
      <c r="A51" t="s">
        <v>248</v>
      </c>
      <c r="G51" s="17">
        <v>626744039.99999952</v>
      </c>
    </row>
    <row r="52" spans="1:9" ht="12.75" thickBot="1" x14ac:dyDescent="0.25">
      <c r="G52" s="23"/>
    </row>
    <row r="53" spans="1:9" ht="12.75" thickBot="1" x14ac:dyDescent="0.25">
      <c r="A53" s="14" t="s">
        <v>97</v>
      </c>
      <c r="B53" t="s">
        <v>111</v>
      </c>
      <c r="G53" s="23">
        <v>0</v>
      </c>
      <c r="I53" s="8">
        <v>624</v>
      </c>
    </row>
    <row r="54" spans="1:9" x14ac:dyDescent="0.2">
      <c r="G54" s="23"/>
    </row>
    <row r="55" spans="1:9" x14ac:dyDescent="0.2">
      <c r="A55" s="14" t="s">
        <v>90</v>
      </c>
      <c r="B55" t="s">
        <v>242</v>
      </c>
      <c r="G55" s="16">
        <v>0</v>
      </c>
    </row>
    <row r="56" spans="1:9" ht="12.75" thickBot="1" x14ac:dyDescent="0.25">
      <c r="A56" s="14"/>
      <c r="G56" s="16"/>
    </row>
    <row r="57" spans="1:9" ht="12.75" thickBot="1" x14ac:dyDescent="0.25">
      <c r="A57" s="14" t="s">
        <v>90</v>
      </c>
      <c r="B57" t="s">
        <v>108</v>
      </c>
      <c r="G57" s="16">
        <v>0</v>
      </c>
      <c r="I57" s="8">
        <v>642</v>
      </c>
    </row>
    <row r="58" spans="1:9" ht="12.75" thickBot="1" x14ac:dyDescent="0.25">
      <c r="A58" s="14"/>
      <c r="G58" s="16"/>
    </row>
    <row r="59" spans="1:9" ht="12.75" thickBot="1" x14ac:dyDescent="0.25">
      <c r="A59" s="14" t="s">
        <v>97</v>
      </c>
      <c r="B59" t="s">
        <v>225</v>
      </c>
      <c r="G59" s="16">
        <v>-185000000</v>
      </c>
      <c r="I59" s="8">
        <v>642</v>
      </c>
    </row>
    <row r="60" spans="1:9" ht="12.75" thickBot="1" x14ac:dyDescent="0.25">
      <c r="A60" s="14"/>
      <c r="G60" s="16"/>
      <c r="I60" s="8"/>
    </row>
    <row r="61" spans="1:9" ht="12.75" thickBot="1" x14ac:dyDescent="0.25">
      <c r="A61" s="43" t="s">
        <v>109</v>
      </c>
      <c r="G61" s="42">
        <v>0</v>
      </c>
      <c r="I61" s="8">
        <v>782</v>
      </c>
    </row>
    <row r="62" spans="1:9" ht="12.75" thickBot="1" x14ac:dyDescent="0.25">
      <c r="A62" s="18" t="s">
        <v>249</v>
      </c>
      <c r="B62" s="18"/>
      <c r="C62" s="18"/>
      <c r="D62" s="18"/>
      <c r="E62" s="1"/>
      <c r="F62" s="1"/>
      <c r="G62" s="19">
        <v>441744039.99999952</v>
      </c>
      <c r="I62" s="8">
        <v>232</v>
      </c>
    </row>
    <row r="63" spans="1:9" ht="12.75" thickTop="1" x14ac:dyDescent="0.2">
      <c r="G63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N100"/>
  <sheetViews>
    <sheetView topLeftCell="A43" workbookViewId="0">
      <selection activeCell="E63" sqref="E63"/>
    </sheetView>
  </sheetViews>
  <sheetFormatPr baseColWidth="10" defaultColWidth="9.140625" defaultRowHeight="12" x14ac:dyDescent="0.2"/>
  <cols>
    <col min="1" max="1" width="13.85546875" style="134" customWidth="1"/>
    <col min="2" max="2" width="45" style="126" customWidth="1"/>
    <col min="3" max="3" width="5.28515625" style="80" customWidth="1"/>
    <col min="4" max="4" width="1.85546875" style="131" customWidth="1"/>
    <col min="5" max="5" width="15.7109375" style="124" customWidth="1"/>
    <col min="6" max="6" width="3" style="126" customWidth="1"/>
    <col min="7" max="7" width="11.5703125" style="78" customWidth="1"/>
    <col min="8" max="8" width="9.140625" style="126" customWidth="1"/>
    <col min="9" max="9" width="13.42578125" style="126" customWidth="1"/>
    <col min="10" max="10" width="10.42578125" style="126" customWidth="1"/>
    <col min="11" max="11" width="13.7109375" style="126" customWidth="1"/>
    <col min="12" max="12" width="13.28515625" style="126" customWidth="1"/>
    <col min="13" max="13" width="14.85546875" style="126" customWidth="1"/>
    <col min="14" max="16384" width="9.140625" style="126"/>
  </cols>
  <sheetData>
    <row r="1" spans="1:14" s="79" customFormat="1" ht="12.75" x14ac:dyDescent="0.2">
      <c r="A1" s="129" t="s">
        <v>115</v>
      </c>
      <c r="D1" s="129"/>
    </row>
    <row r="2" spans="1:14" s="79" customFormat="1" ht="12.75" x14ac:dyDescent="0.2">
      <c r="A2" s="129" t="s">
        <v>114</v>
      </c>
      <c r="D2" s="129"/>
    </row>
    <row r="3" spans="1:14" ht="12.75" x14ac:dyDescent="0.2">
      <c r="A3" s="130" t="str">
        <f>'AT12'!A3</f>
        <v>AÑO TRIBUTARIO 2012</v>
      </c>
    </row>
    <row r="4" spans="1:14" x14ac:dyDescent="0.2">
      <c r="A4" s="132" t="s">
        <v>0</v>
      </c>
      <c r="L4" s="133"/>
      <c r="M4" s="133"/>
      <c r="N4" s="133"/>
    </row>
    <row r="5" spans="1:14" ht="12.75" thickBot="1" x14ac:dyDescent="0.25">
      <c r="A5" s="134" t="s">
        <v>1</v>
      </c>
      <c r="B5" s="126" t="s">
        <v>2</v>
      </c>
      <c r="C5" s="81" t="s">
        <v>3</v>
      </c>
      <c r="E5" s="134" t="s">
        <v>4</v>
      </c>
      <c r="L5" s="135"/>
      <c r="M5" s="135"/>
      <c r="N5" s="133"/>
    </row>
    <row r="6" spans="1:14" ht="12.75" thickBot="1" x14ac:dyDescent="0.25">
      <c r="B6" s="126" t="s">
        <v>5</v>
      </c>
      <c r="C6" s="82" t="s">
        <v>6</v>
      </c>
      <c r="E6" s="124" t="str">
        <f>A2</f>
        <v>86.132.100-2</v>
      </c>
      <c r="L6" s="135"/>
      <c r="M6" s="135"/>
      <c r="N6" s="133"/>
    </row>
    <row r="7" spans="1:14" ht="12.75" thickBot="1" x14ac:dyDescent="0.25">
      <c r="B7" s="126" t="s">
        <v>7</v>
      </c>
      <c r="C7" s="82" t="s">
        <v>8</v>
      </c>
      <c r="E7" s="124" t="str">
        <f>A1</f>
        <v>DEMARKA S.A.</v>
      </c>
      <c r="L7" s="135"/>
      <c r="M7" s="135"/>
      <c r="N7" s="133"/>
    </row>
    <row r="8" spans="1:14" s="137" customFormat="1" ht="12.75" thickBot="1" x14ac:dyDescent="0.25">
      <c r="A8" s="136">
        <v>34</v>
      </c>
      <c r="B8" s="137" t="s">
        <v>104</v>
      </c>
      <c r="C8" s="83">
        <v>18</v>
      </c>
      <c r="D8" s="138"/>
      <c r="E8" s="74" t="str">
        <f>IF(E51&gt;0,E51,"PERDIDA")</f>
        <v>PERDIDA</v>
      </c>
      <c r="L8" s="139"/>
      <c r="M8" s="139"/>
      <c r="N8" s="93"/>
    </row>
    <row r="9" spans="1:14" s="137" customFormat="1" ht="12.75" thickBot="1" x14ac:dyDescent="0.25">
      <c r="A9" s="136"/>
      <c r="B9" s="93" t="s">
        <v>179</v>
      </c>
      <c r="C9" s="83">
        <v>19</v>
      </c>
      <c r="D9" s="138"/>
      <c r="E9" s="94">
        <v>0</v>
      </c>
      <c r="L9" s="139"/>
      <c r="M9" s="139"/>
      <c r="N9" s="93"/>
    </row>
    <row r="10" spans="1:14" s="137" customFormat="1" ht="12.75" thickBot="1" x14ac:dyDescent="0.25">
      <c r="A10" s="136"/>
      <c r="B10" s="137" t="s">
        <v>105</v>
      </c>
      <c r="C10" s="83">
        <v>20</v>
      </c>
      <c r="D10" s="138"/>
      <c r="E10" s="74">
        <f>MAX(ROUND(17%*E51-E9,0),0)</f>
        <v>0</v>
      </c>
      <c r="L10" s="139"/>
      <c r="M10" s="139"/>
      <c r="N10" s="93"/>
    </row>
    <row r="11" spans="1:14" s="137" customFormat="1" ht="12.75" thickBot="1" x14ac:dyDescent="0.25">
      <c r="A11" s="136">
        <v>48</v>
      </c>
      <c r="B11" s="137" t="s">
        <v>112</v>
      </c>
      <c r="C11" s="83">
        <v>82</v>
      </c>
      <c r="D11" s="138"/>
      <c r="E11" s="71">
        <v>4949349</v>
      </c>
      <c r="L11" s="139"/>
      <c r="M11" s="139"/>
      <c r="N11" s="93"/>
    </row>
    <row r="12" spans="1:14" s="137" customFormat="1" ht="12.75" thickBot="1" x14ac:dyDescent="0.25">
      <c r="A12" s="136">
        <v>52</v>
      </c>
      <c r="B12" s="137" t="s">
        <v>106</v>
      </c>
      <c r="C12" s="83">
        <v>167</v>
      </c>
      <c r="D12" s="138"/>
      <c r="E12" s="74">
        <f>E87</f>
        <v>0</v>
      </c>
      <c r="L12" s="139"/>
      <c r="M12" s="139"/>
      <c r="N12" s="93"/>
    </row>
    <row r="13" spans="1:14" s="137" customFormat="1" ht="12.75" thickBot="1" x14ac:dyDescent="0.25">
      <c r="A13" s="136"/>
      <c r="B13" s="137" t="s">
        <v>107</v>
      </c>
      <c r="C13" s="83">
        <v>747</v>
      </c>
      <c r="D13" s="138"/>
      <c r="E13" s="74">
        <f>E12</f>
        <v>0</v>
      </c>
      <c r="L13" s="139"/>
      <c r="M13" s="139"/>
      <c r="N13" s="93"/>
    </row>
    <row r="14" spans="1:14" ht="12.75" thickBot="1" x14ac:dyDescent="0.25">
      <c r="A14" s="134">
        <v>55</v>
      </c>
      <c r="B14" s="126" t="s">
        <v>9</v>
      </c>
      <c r="C14" s="82">
        <v>305</v>
      </c>
      <c r="E14" s="71">
        <f>E10-E11-E13</f>
        <v>-4949349</v>
      </c>
      <c r="L14" s="135"/>
      <c r="M14" s="135"/>
      <c r="N14" s="133"/>
    </row>
    <row r="15" spans="1:14" ht="12.75" thickBot="1" x14ac:dyDescent="0.25">
      <c r="A15" s="134">
        <v>56</v>
      </c>
      <c r="B15" s="126" t="str">
        <f>IF(E14&gt;0,"Impuesto Adeudado","SALDO A FAVOR")</f>
        <v>SALDO A FAVOR</v>
      </c>
      <c r="C15" s="82">
        <f>IF(E14&gt;0,90,85)</f>
        <v>85</v>
      </c>
      <c r="E15" s="71">
        <f>ABS(E14)</f>
        <v>4949349</v>
      </c>
      <c r="L15" s="135"/>
      <c r="M15" s="135"/>
      <c r="N15" s="133"/>
    </row>
    <row r="16" spans="1:14" ht="12.75" thickBot="1" x14ac:dyDescent="0.25">
      <c r="A16" s="134" t="str">
        <f>IF(E14&gt;0,59,"")</f>
        <v/>
      </c>
      <c r="B16" s="140" t="str">
        <f>IF($E$14&gt;0,0.7%,"")</f>
        <v/>
      </c>
      <c r="C16" s="82" t="str">
        <f>IF($E$14&gt;0,39,"")</f>
        <v/>
      </c>
      <c r="E16" s="71" t="str">
        <f>IF($E$14&gt;0,ROUND(B16*E15,0),"")</f>
        <v/>
      </c>
      <c r="L16" s="135"/>
      <c r="M16" s="135"/>
      <c r="N16" s="133"/>
    </row>
    <row r="17" spans="1:14" ht="12.75" thickBot="1" x14ac:dyDescent="0.25">
      <c r="A17" s="134">
        <v>58</v>
      </c>
      <c r="B17" s="126" t="str">
        <f>IF($E$14&gt;0,"TOTAL A PAGAR","DEVOLUCION SOLICITADA")</f>
        <v>DEVOLUCION SOLICITADA</v>
      </c>
      <c r="C17" s="82">
        <f>IF($E$14&gt;0,91,87)</f>
        <v>87</v>
      </c>
      <c r="E17" s="71">
        <f>SUM(E15:E16)</f>
        <v>4949349</v>
      </c>
      <c r="L17" s="135"/>
      <c r="M17" s="135"/>
      <c r="N17" s="133"/>
    </row>
    <row r="18" spans="1:14" ht="12.75" thickBot="1" x14ac:dyDescent="0.25">
      <c r="B18" s="126" t="str">
        <f>IF($E$14&gt;0,"","Nombre Institución Bancaria")</f>
        <v>Nombre Institución Bancaria</v>
      </c>
      <c r="C18" s="82">
        <f>IF($E$14&gt;0,"",301)</f>
        <v>301</v>
      </c>
      <c r="E18" s="73" t="s">
        <v>208</v>
      </c>
      <c r="L18" s="135"/>
      <c r="M18" s="135"/>
      <c r="N18" s="133"/>
    </row>
    <row r="19" spans="1:14" ht="12.75" thickBot="1" x14ac:dyDescent="0.25">
      <c r="B19" s="126" t="str">
        <f>IF($E$14&gt;0,"","Número de Cuenta")</f>
        <v>Número de Cuenta</v>
      </c>
      <c r="C19" s="82">
        <f>IF($E$14&gt;0,"",306)</f>
        <v>306</v>
      </c>
      <c r="E19" s="73">
        <v>1800188107</v>
      </c>
      <c r="L19" s="135"/>
      <c r="M19" s="135"/>
      <c r="N19" s="133"/>
    </row>
    <row r="20" spans="1:14" x14ac:dyDescent="0.2">
      <c r="C20" s="84"/>
      <c r="E20" s="71"/>
      <c r="L20" s="135"/>
      <c r="M20" s="135"/>
      <c r="N20" s="133"/>
    </row>
    <row r="21" spans="1:14" ht="12.75" thickBot="1" x14ac:dyDescent="0.25">
      <c r="A21" s="132" t="s">
        <v>10</v>
      </c>
      <c r="L21" s="135"/>
      <c r="M21" s="135"/>
      <c r="N21" s="133"/>
    </row>
    <row r="22" spans="1:14" ht="12.75" thickBot="1" x14ac:dyDescent="0.25">
      <c r="B22" s="126" t="s">
        <v>11</v>
      </c>
      <c r="C22" s="82" t="s">
        <v>12</v>
      </c>
      <c r="E22" s="124" t="s">
        <v>13</v>
      </c>
      <c r="L22" s="135"/>
      <c r="M22" s="135"/>
      <c r="N22" s="133"/>
    </row>
    <row r="23" spans="1:14" ht="12.75" thickBot="1" x14ac:dyDescent="0.25">
      <c r="B23" s="126" t="s">
        <v>14</v>
      </c>
      <c r="C23" s="82" t="s">
        <v>15</v>
      </c>
      <c r="E23" s="124" t="s">
        <v>16</v>
      </c>
      <c r="L23" s="135"/>
      <c r="M23" s="135"/>
      <c r="N23" s="133"/>
    </row>
    <row r="24" spans="1:14" ht="12.75" thickBot="1" x14ac:dyDescent="0.25">
      <c r="B24" s="126" t="s">
        <v>17</v>
      </c>
      <c r="C24" s="82">
        <v>53</v>
      </c>
      <c r="E24" s="134">
        <v>13</v>
      </c>
      <c r="L24" s="135"/>
      <c r="M24" s="135"/>
      <c r="N24" s="133"/>
    </row>
    <row r="25" spans="1:14" ht="12.75" thickBot="1" x14ac:dyDescent="0.25">
      <c r="B25" s="126" t="s">
        <v>18</v>
      </c>
      <c r="C25" s="82">
        <v>13</v>
      </c>
      <c r="E25" s="141" t="s">
        <v>117</v>
      </c>
      <c r="I25" s="142"/>
      <c r="L25" s="133"/>
      <c r="M25" s="133"/>
      <c r="N25" s="133"/>
    </row>
    <row r="26" spans="1:14" ht="12.75" thickBot="1" x14ac:dyDescent="0.25">
      <c r="B26" s="126" t="s">
        <v>19</v>
      </c>
      <c r="C26" s="82">
        <v>14</v>
      </c>
      <c r="E26" s="128">
        <v>61911</v>
      </c>
      <c r="I26" s="142"/>
      <c r="J26" s="142"/>
      <c r="K26" s="142"/>
      <c r="L26" s="133"/>
      <c r="M26" s="133"/>
      <c r="N26" s="133"/>
    </row>
    <row r="27" spans="1:14" ht="12.75" thickBot="1" x14ac:dyDescent="0.25">
      <c r="B27" s="126" t="s">
        <v>20</v>
      </c>
      <c r="C27" s="82" t="s">
        <v>21</v>
      </c>
      <c r="E27" s="134" t="s">
        <v>213</v>
      </c>
      <c r="I27" s="142"/>
      <c r="L27" s="133"/>
      <c r="M27" s="133"/>
      <c r="N27" s="133"/>
    </row>
    <row r="28" spans="1:14" ht="12.75" thickBot="1" x14ac:dyDescent="0.25">
      <c r="B28" s="126" t="s">
        <v>22</v>
      </c>
      <c r="C28" s="82">
        <v>48</v>
      </c>
      <c r="E28" s="134" t="s">
        <v>214</v>
      </c>
      <c r="I28" s="142"/>
      <c r="J28" s="142"/>
      <c r="K28" s="133"/>
      <c r="L28" s="135"/>
      <c r="M28" s="133"/>
      <c r="N28" s="133"/>
    </row>
    <row r="29" spans="1:14" ht="13.5" thickBot="1" x14ac:dyDescent="0.25">
      <c r="B29" s="126" t="s">
        <v>23</v>
      </c>
      <c r="C29" s="82">
        <v>55</v>
      </c>
      <c r="E29" s="143" t="s">
        <v>154</v>
      </c>
      <c r="I29" s="142"/>
      <c r="J29" s="142"/>
      <c r="K29" s="133"/>
      <c r="L29" s="133"/>
      <c r="M29" s="133"/>
      <c r="N29" s="133"/>
    </row>
    <row r="30" spans="1:14" ht="12.75" thickBot="1" x14ac:dyDescent="0.25">
      <c r="B30" s="126" t="s">
        <v>24</v>
      </c>
      <c r="C30" s="82">
        <v>614</v>
      </c>
      <c r="E30" s="134" t="s">
        <v>25</v>
      </c>
      <c r="K30" s="133"/>
      <c r="L30" s="133"/>
      <c r="M30" s="133"/>
      <c r="N30" s="133"/>
    </row>
    <row r="31" spans="1:14" x14ac:dyDescent="0.2">
      <c r="I31" s="142"/>
      <c r="K31" s="133"/>
      <c r="L31" s="133"/>
      <c r="M31" s="133"/>
      <c r="N31" s="133"/>
    </row>
    <row r="32" spans="1:14" ht="12.75" thickBot="1" x14ac:dyDescent="0.25">
      <c r="A32" s="132" t="s">
        <v>138</v>
      </c>
      <c r="B32" s="126" t="s">
        <v>27</v>
      </c>
      <c r="E32" s="69"/>
      <c r="K32" s="133"/>
      <c r="L32" s="133"/>
      <c r="M32" s="133"/>
      <c r="N32" s="133"/>
    </row>
    <row r="33" spans="1:14" ht="12.75" thickBot="1" x14ac:dyDescent="0.25">
      <c r="A33" s="132"/>
      <c r="B33" s="126" t="s">
        <v>28</v>
      </c>
      <c r="C33" s="82">
        <v>628</v>
      </c>
      <c r="D33" s="131" t="s">
        <v>125</v>
      </c>
      <c r="E33" s="60">
        <f>3365619102-0+81954188+3684462</f>
        <v>3451257752</v>
      </c>
      <c r="G33" s="78" t="s">
        <v>101</v>
      </c>
      <c r="I33" s="142"/>
      <c r="K33" s="135"/>
      <c r="L33" s="135"/>
      <c r="M33" s="135"/>
      <c r="N33" s="135"/>
    </row>
    <row r="34" spans="1:14" ht="12.75" thickBot="1" x14ac:dyDescent="0.25">
      <c r="A34" s="132"/>
      <c r="B34" s="126" t="s">
        <v>29</v>
      </c>
      <c r="C34" s="82">
        <v>629</v>
      </c>
      <c r="D34" s="131" t="s">
        <v>125</v>
      </c>
      <c r="E34" s="60">
        <v>1196523</v>
      </c>
      <c r="G34" s="78" t="s">
        <v>83</v>
      </c>
      <c r="K34" s="133"/>
      <c r="L34" s="133"/>
      <c r="M34" s="135"/>
      <c r="N34" s="133"/>
    </row>
    <row r="35" spans="1:14" ht="12.75" thickBot="1" x14ac:dyDescent="0.25">
      <c r="A35" s="132"/>
      <c r="B35" s="126" t="s">
        <v>30</v>
      </c>
      <c r="C35" s="82">
        <v>651</v>
      </c>
      <c r="D35" s="131" t="s">
        <v>125</v>
      </c>
      <c r="E35" s="60">
        <v>18799154</v>
      </c>
      <c r="G35" s="144"/>
      <c r="K35" s="135"/>
      <c r="L35" s="135"/>
      <c r="M35" s="135"/>
      <c r="N35" s="135"/>
    </row>
    <row r="36" spans="1:14" ht="12.75" thickBot="1" x14ac:dyDescent="0.25">
      <c r="A36" s="132"/>
      <c r="B36" s="126" t="s">
        <v>31</v>
      </c>
      <c r="C36" s="82">
        <v>630</v>
      </c>
      <c r="D36" s="131" t="s">
        <v>126</v>
      </c>
      <c r="E36" s="60">
        <f>1577511126+75473324</f>
        <v>1652984450</v>
      </c>
      <c r="G36" s="78" t="s">
        <v>80</v>
      </c>
      <c r="K36" s="135"/>
      <c r="L36" s="135"/>
      <c r="M36" s="135"/>
      <c r="N36" s="135"/>
    </row>
    <row r="37" spans="1:14" ht="12.75" thickBot="1" x14ac:dyDescent="0.25">
      <c r="A37" s="132"/>
      <c r="B37" s="126" t="s">
        <v>32</v>
      </c>
      <c r="C37" s="82">
        <v>631</v>
      </c>
      <c r="D37" s="131" t="s">
        <v>126</v>
      </c>
      <c r="E37" s="60">
        <f>720230108+13293866+18105503+11274507</f>
        <v>762903984</v>
      </c>
      <c r="G37" s="78" t="s">
        <v>81</v>
      </c>
      <c r="K37" s="135"/>
      <c r="L37" s="135"/>
      <c r="M37" s="135"/>
      <c r="N37" s="135"/>
    </row>
    <row r="38" spans="1:14" ht="12.75" thickBot="1" x14ac:dyDescent="0.25">
      <c r="A38" s="132"/>
      <c r="B38" s="126" t="s">
        <v>33</v>
      </c>
      <c r="C38" s="82">
        <v>632</v>
      </c>
      <c r="D38" s="131" t="s">
        <v>126</v>
      </c>
      <c r="E38" s="60">
        <v>73067037</v>
      </c>
      <c r="G38" s="78" t="s">
        <v>82</v>
      </c>
      <c r="K38" s="135"/>
      <c r="L38" s="135"/>
      <c r="M38" s="135"/>
      <c r="N38" s="135"/>
    </row>
    <row r="39" spans="1:14" ht="12.75" thickBot="1" x14ac:dyDescent="0.25">
      <c r="A39" s="132"/>
      <c r="B39" s="126" t="s">
        <v>34</v>
      </c>
      <c r="C39" s="82">
        <v>633</v>
      </c>
      <c r="D39" s="131" t="s">
        <v>126</v>
      </c>
      <c r="E39" s="60">
        <v>18738028</v>
      </c>
      <c r="G39" s="144"/>
      <c r="K39" s="135"/>
      <c r="L39" s="135"/>
      <c r="M39" s="135"/>
      <c r="N39" s="135"/>
    </row>
    <row r="40" spans="1:14" ht="12.75" thickBot="1" x14ac:dyDescent="0.25">
      <c r="A40" s="132"/>
      <c r="B40" s="126" t="s">
        <v>216</v>
      </c>
      <c r="C40" s="95">
        <v>792</v>
      </c>
      <c r="D40" s="131" t="s">
        <v>126</v>
      </c>
      <c r="E40" s="60">
        <v>808500</v>
      </c>
      <c r="G40" s="144"/>
      <c r="K40" s="135"/>
      <c r="L40" s="135"/>
      <c r="M40" s="135"/>
      <c r="N40" s="135"/>
    </row>
    <row r="41" spans="1:14" ht="12.75" thickBot="1" x14ac:dyDescent="0.25">
      <c r="A41" s="132"/>
      <c r="B41" s="126" t="s">
        <v>35</v>
      </c>
      <c r="C41" s="95">
        <v>635</v>
      </c>
      <c r="D41" s="131" t="s">
        <v>126</v>
      </c>
      <c r="E41" s="125">
        <f>SUM(E33:E35)-SUM(E36:E40)-E43+E44-SUM('AT12'!G12:'AT12'!G14)</f>
        <v>599651328</v>
      </c>
      <c r="G41" s="78" t="s">
        <v>120</v>
      </c>
      <c r="K41" s="135"/>
      <c r="L41" s="135"/>
      <c r="M41" s="135"/>
      <c r="N41" s="135"/>
    </row>
    <row r="42" spans="1:14" ht="12.75" thickBot="1" x14ac:dyDescent="0.25">
      <c r="A42" s="132"/>
      <c r="B42" s="145" t="s">
        <v>36</v>
      </c>
      <c r="C42" s="82">
        <v>636</v>
      </c>
      <c r="D42" s="146" t="s">
        <v>127</v>
      </c>
      <c r="E42" s="99">
        <f>SUM(E33:E35)-SUM(E36:E41)</f>
        <v>363100102</v>
      </c>
      <c r="K42" s="135"/>
      <c r="L42" s="135"/>
      <c r="M42" s="135"/>
      <c r="N42" s="135"/>
    </row>
    <row r="43" spans="1:14" ht="12.75" thickBot="1" x14ac:dyDescent="0.25">
      <c r="A43" s="132"/>
      <c r="B43" s="126" t="s">
        <v>37</v>
      </c>
      <c r="C43" s="96">
        <v>637</v>
      </c>
      <c r="D43" s="131" t="s">
        <v>126</v>
      </c>
      <c r="E43" s="60">
        <v>44753668</v>
      </c>
      <c r="G43" s="78" t="s">
        <v>82</v>
      </c>
      <c r="I43" s="147"/>
      <c r="K43" s="135"/>
      <c r="L43" s="135"/>
      <c r="M43" s="135"/>
      <c r="N43" s="135"/>
    </row>
    <row r="44" spans="1:14" ht="12.75" thickBot="1" x14ac:dyDescent="0.25">
      <c r="A44" s="132"/>
      <c r="B44" s="126" t="s">
        <v>38</v>
      </c>
      <c r="C44" s="82">
        <v>638</v>
      </c>
      <c r="D44" s="131" t="s">
        <v>125</v>
      </c>
      <c r="E44" s="60">
        <v>51119413</v>
      </c>
      <c r="G44" s="78" t="s">
        <v>83</v>
      </c>
      <c r="K44" s="135"/>
      <c r="L44" s="135"/>
      <c r="M44" s="135"/>
      <c r="N44" s="135"/>
    </row>
    <row r="45" spans="1:14" ht="12.75" thickBot="1" x14ac:dyDescent="0.25">
      <c r="A45" s="132"/>
      <c r="B45" s="126" t="s">
        <v>180</v>
      </c>
      <c r="C45" s="82">
        <v>639</v>
      </c>
      <c r="D45" s="131" t="s">
        <v>125</v>
      </c>
      <c r="E45" s="60">
        <v>810400</v>
      </c>
      <c r="I45" s="148"/>
      <c r="K45" s="135"/>
      <c r="L45" s="135"/>
      <c r="M45" s="135"/>
      <c r="N45" s="135"/>
    </row>
    <row r="46" spans="1:14" ht="12.75" thickBot="1" x14ac:dyDescent="0.25">
      <c r="A46" s="132"/>
      <c r="B46" s="126" t="s">
        <v>181</v>
      </c>
      <c r="C46" s="82">
        <v>634</v>
      </c>
      <c r="D46" s="131" t="s">
        <v>126</v>
      </c>
      <c r="E46" s="69">
        <f>-'AT12'!G10</f>
        <v>437446338</v>
      </c>
      <c r="I46" s="142"/>
      <c r="K46" s="135"/>
      <c r="L46" s="135"/>
      <c r="M46" s="135"/>
      <c r="N46" s="135"/>
    </row>
    <row r="47" spans="1:14" ht="12.75" thickBot="1" x14ac:dyDescent="0.25">
      <c r="A47" s="132"/>
      <c r="B47" s="126" t="s">
        <v>182</v>
      </c>
      <c r="C47" s="82">
        <v>640</v>
      </c>
      <c r="D47" s="131" t="s">
        <v>126</v>
      </c>
      <c r="E47" s="69">
        <f>'AT10'!G15</f>
        <v>0</v>
      </c>
      <c r="G47" s="78" t="s">
        <v>177</v>
      </c>
      <c r="I47" s="142"/>
      <c r="K47" s="135"/>
      <c r="L47" s="135"/>
      <c r="M47" s="135"/>
      <c r="N47" s="135"/>
    </row>
    <row r="48" spans="1:14" ht="12.75" thickBot="1" x14ac:dyDescent="0.25">
      <c r="A48" s="132"/>
      <c r="B48" s="126" t="s">
        <v>183</v>
      </c>
      <c r="C48" s="82">
        <v>807</v>
      </c>
      <c r="D48" s="149" t="s">
        <v>126</v>
      </c>
      <c r="E48" s="60">
        <v>0</v>
      </c>
      <c r="I48" s="142"/>
      <c r="K48" s="135"/>
      <c r="L48" s="135"/>
      <c r="M48" s="135"/>
      <c r="N48" s="135"/>
    </row>
    <row r="49" spans="1:13" ht="12.75" thickBot="1" x14ac:dyDescent="0.25">
      <c r="A49" s="132"/>
      <c r="B49" s="126" t="s">
        <v>42</v>
      </c>
      <c r="C49" s="82">
        <v>641</v>
      </c>
      <c r="D49" s="131" t="s">
        <v>126</v>
      </c>
      <c r="E49" s="60">
        <v>0</v>
      </c>
      <c r="I49" s="142"/>
      <c r="M49" s="142"/>
    </row>
    <row r="50" spans="1:13" ht="12.75" thickBot="1" x14ac:dyDescent="0.25">
      <c r="A50" s="132"/>
      <c r="B50" s="126" t="s">
        <v>43</v>
      </c>
      <c r="C50" s="95">
        <v>642</v>
      </c>
      <c r="D50" s="131" t="s">
        <v>126</v>
      </c>
      <c r="E50" s="69">
        <v>0</v>
      </c>
      <c r="I50" s="142"/>
    </row>
    <row r="51" spans="1:13" ht="12.75" thickBot="1" x14ac:dyDescent="0.25">
      <c r="A51" s="132"/>
      <c r="B51" s="145" t="s">
        <v>44</v>
      </c>
      <c r="C51" s="82">
        <v>643</v>
      </c>
      <c r="D51" s="146" t="s">
        <v>127</v>
      </c>
      <c r="E51" s="99">
        <f>E42-E43+E44+E45-SUM(E46:E50)</f>
        <v>-67170091</v>
      </c>
      <c r="I51" s="142"/>
    </row>
    <row r="52" spans="1:13" x14ac:dyDescent="0.2">
      <c r="E52" s="69"/>
      <c r="I52" s="142"/>
    </row>
    <row r="53" spans="1:13" ht="12.75" thickBot="1" x14ac:dyDescent="0.25">
      <c r="A53" s="132" t="s">
        <v>26</v>
      </c>
      <c r="B53" s="126" t="s">
        <v>47</v>
      </c>
      <c r="E53" s="69"/>
      <c r="I53" s="142"/>
      <c r="K53" s="148">
        <f>+E58+E60</f>
        <v>177392686</v>
      </c>
    </row>
    <row r="54" spans="1:13" ht="12.75" thickBot="1" x14ac:dyDescent="0.25">
      <c r="B54" s="126" t="s">
        <v>184</v>
      </c>
      <c r="C54" s="82">
        <v>101</v>
      </c>
      <c r="E54" s="60">
        <v>811076</v>
      </c>
      <c r="G54" s="78" t="s">
        <v>84</v>
      </c>
      <c r="I54" s="142"/>
    </row>
    <row r="55" spans="1:13" ht="12.75" thickBot="1" x14ac:dyDescent="0.25">
      <c r="B55" s="126" t="s">
        <v>146</v>
      </c>
      <c r="C55" s="82">
        <v>784</v>
      </c>
      <c r="E55" s="60">
        <f>28157201+6154140+5592691+1209213+756479+(4276.34*519.2)</f>
        <v>44089999.728</v>
      </c>
      <c r="I55" s="142"/>
      <c r="K55" s="126">
        <f>333084324-155691638</f>
        <v>177392686</v>
      </c>
    </row>
    <row r="56" spans="1:13" ht="12.75" thickBot="1" x14ac:dyDescent="0.25">
      <c r="B56" s="126" t="s">
        <v>187</v>
      </c>
      <c r="C56" s="82">
        <v>783</v>
      </c>
      <c r="E56" s="123">
        <v>0</v>
      </c>
      <c r="I56" s="142"/>
    </row>
    <row r="57" spans="1:13" ht="12.75" thickBot="1" x14ac:dyDescent="0.25">
      <c r="B57" s="126" t="s">
        <v>49</v>
      </c>
      <c r="C57" s="82">
        <v>129</v>
      </c>
      <c r="E57" s="60">
        <v>928385652</v>
      </c>
      <c r="G57" s="78" t="s">
        <v>84</v>
      </c>
      <c r="I57" s="142"/>
    </row>
    <row r="58" spans="1:13" ht="12.75" thickBot="1" x14ac:dyDescent="0.25">
      <c r="B58" s="126" t="s">
        <v>55</v>
      </c>
      <c r="C58" s="82">
        <v>647</v>
      </c>
      <c r="E58" s="60">
        <f>333084324-155691638-110375925+46063464</f>
        <v>113080225</v>
      </c>
      <c r="G58" s="78" t="s">
        <v>143</v>
      </c>
      <c r="I58" s="142"/>
    </row>
    <row r="59" spans="1:13" ht="12.75" thickBot="1" x14ac:dyDescent="0.25">
      <c r="B59" s="126" t="s">
        <v>209</v>
      </c>
      <c r="C59" s="82">
        <v>785</v>
      </c>
      <c r="E59" s="60">
        <f>E38</f>
        <v>73067037</v>
      </c>
      <c r="G59" s="78" t="s">
        <v>211</v>
      </c>
      <c r="I59" s="142"/>
    </row>
    <row r="60" spans="1:13" ht="12.75" thickBot="1" x14ac:dyDescent="0.25">
      <c r="B60" s="126" t="s">
        <v>56</v>
      </c>
      <c r="C60" s="82">
        <v>648</v>
      </c>
      <c r="E60" s="60">
        <f>110375925-46063464</f>
        <v>64312461</v>
      </c>
      <c r="I60" s="142"/>
    </row>
    <row r="61" spans="1:13" ht="12.75" thickBot="1" x14ac:dyDescent="0.25">
      <c r="B61" s="126" t="s">
        <v>50</v>
      </c>
      <c r="C61" s="82">
        <v>122</v>
      </c>
      <c r="E61" s="60">
        <v>2781379146</v>
      </c>
      <c r="G61" s="78" t="s">
        <v>99</v>
      </c>
      <c r="I61" s="142"/>
    </row>
    <row r="62" spans="1:13" ht="12.75" thickBot="1" x14ac:dyDescent="0.25">
      <c r="B62" s="126" t="s">
        <v>51</v>
      </c>
      <c r="C62" s="82">
        <v>123</v>
      </c>
      <c r="E62" s="60">
        <v>2478932478</v>
      </c>
      <c r="G62" s="78" t="s">
        <v>100</v>
      </c>
      <c r="I62" s="142"/>
    </row>
    <row r="63" spans="1:13" ht="12.75" thickBot="1" x14ac:dyDescent="0.25">
      <c r="B63" s="126" t="s">
        <v>52</v>
      </c>
      <c r="C63" s="82">
        <v>102</v>
      </c>
      <c r="E63" s="60">
        <f>2781379146-0-155691638-96076420-0</f>
        <v>2529611088</v>
      </c>
      <c r="G63" s="78" t="s">
        <v>110</v>
      </c>
      <c r="I63" s="142"/>
    </row>
    <row r="64" spans="1:13" ht="12.75" thickBot="1" x14ac:dyDescent="0.25">
      <c r="B64" s="126" t="s">
        <v>53</v>
      </c>
      <c r="C64" s="82">
        <v>645</v>
      </c>
      <c r="E64" s="60">
        <f>+E63-966991283+13225929-0-59955524+3577785</f>
        <v>1519467995</v>
      </c>
      <c r="G64" s="78" t="s">
        <v>102</v>
      </c>
      <c r="I64" s="142"/>
    </row>
    <row r="65" spans="1:9" ht="12.75" thickBot="1" x14ac:dyDescent="0.25">
      <c r="B65" s="126" t="s">
        <v>54</v>
      </c>
      <c r="C65" s="82">
        <v>646</v>
      </c>
      <c r="E65" s="60">
        <v>0</v>
      </c>
      <c r="I65" s="142"/>
    </row>
    <row r="66" spans="1:9" ht="12.75" thickBot="1" x14ac:dyDescent="0.25">
      <c r="B66" s="126" t="s">
        <v>200</v>
      </c>
      <c r="C66" s="82">
        <v>843</v>
      </c>
      <c r="E66" s="69">
        <f>E64</f>
        <v>1519467995</v>
      </c>
      <c r="I66" s="142"/>
    </row>
    <row r="67" spans="1:9" x14ac:dyDescent="0.2">
      <c r="I67" s="142"/>
    </row>
    <row r="68" spans="1:9" ht="12.75" thickBot="1" x14ac:dyDescent="0.25">
      <c r="A68" s="134" t="s">
        <v>201</v>
      </c>
      <c r="B68" s="126" t="s">
        <v>58</v>
      </c>
      <c r="I68" s="142"/>
    </row>
    <row r="69" spans="1:9" ht="12.75" thickBot="1" x14ac:dyDescent="0.25">
      <c r="B69" s="126" t="s">
        <v>147</v>
      </c>
      <c r="C69" s="82">
        <v>774</v>
      </c>
      <c r="D69" s="131" t="s">
        <v>125</v>
      </c>
      <c r="E69" s="75">
        <v>0</v>
      </c>
      <c r="I69" s="142"/>
    </row>
    <row r="70" spans="1:9" ht="12.75" thickBot="1" x14ac:dyDescent="0.25">
      <c r="B70" s="126" t="s">
        <v>148</v>
      </c>
      <c r="C70" s="82">
        <v>775</v>
      </c>
      <c r="D70" s="131" t="s">
        <v>125</v>
      </c>
      <c r="E70" s="75">
        <v>0</v>
      </c>
      <c r="I70" s="142"/>
    </row>
    <row r="71" spans="1:9" ht="12.75" thickBot="1" x14ac:dyDescent="0.25">
      <c r="B71" s="126" t="s">
        <v>60</v>
      </c>
      <c r="C71" s="82">
        <v>284</v>
      </c>
      <c r="D71" s="131" t="s">
        <v>126</v>
      </c>
      <c r="E71" s="69">
        <f>-'AT12'!G29</f>
        <v>437446338.00000048</v>
      </c>
      <c r="I71" s="142"/>
    </row>
    <row r="72" spans="1:9" ht="12.75" thickBot="1" x14ac:dyDescent="0.25">
      <c r="B72" s="126" t="s">
        <v>61</v>
      </c>
      <c r="C72" s="82">
        <v>225</v>
      </c>
      <c r="D72" s="131" t="s">
        <v>125</v>
      </c>
      <c r="E72" s="71">
        <f>MAX(E51,0)</f>
        <v>0</v>
      </c>
      <c r="I72" s="142"/>
    </row>
    <row r="73" spans="1:9" ht="12.75" thickBot="1" x14ac:dyDescent="0.25">
      <c r="B73" s="126" t="s">
        <v>62</v>
      </c>
      <c r="C73" s="82">
        <v>229</v>
      </c>
      <c r="D73" s="131" t="s">
        <v>126</v>
      </c>
      <c r="E73" s="71">
        <f>-MIN(E51,0)</f>
        <v>67170091</v>
      </c>
      <c r="I73" s="142"/>
    </row>
    <row r="74" spans="1:9" ht="12.75" thickBot="1" x14ac:dyDescent="0.25">
      <c r="B74" s="126" t="s">
        <v>63</v>
      </c>
      <c r="C74" s="82">
        <v>623</v>
      </c>
      <c r="D74" s="131" t="s">
        <v>126</v>
      </c>
      <c r="E74" s="75"/>
      <c r="I74" s="142"/>
    </row>
    <row r="75" spans="1:9" ht="12.75" thickBot="1" x14ac:dyDescent="0.25">
      <c r="B75" s="126" t="s">
        <v>64</v>
      </c>
      <c r="C75" s="82">
        <v>624</v>
      </c>
      <c r="D75" s="131" t="s">
        <v>126</v>
      </c>
      <c r="E75" s="75">
        <v>0</v>
      </c>
      <c r="I75" s="142"/>
    </row>
    <row r="76" spans="1:9" ht="12.75" thickBot="1" x14ac:dyDescent="0.25">
      <c r="B76" s="126" t="s">
        <v>65</v>
      </c>
      <c r="C76" s="82">
        <v>227</v>
      </c>
      <c r="D76" s="131" t="s">
        <v>125</v>
      </c>
      <c r="E76" s="75"/>
      <c r="I76" s="142"/>
    </row>
    <row r="77" spans="1:9" ht="12.75" thickBot="1" x14ac:dyDescent="0.25">
      <c r="B77" s="126" t="s">
        <v>191</v>
      </c>
      <c r="C77" s="82">
        <v>776</v>
      </c>
      <c r="D77" s="149" t="s">
        <v>125</v>
      </c>
      <c r="E77" s="75"/>
      <c r="I77" s="142"/>
    </row>
    <row r="78" spans="1:9" ht="12.75" thickBot="1" x14ac:dyDescent="0.25">
      <c r="B78" s="126" t="s">
        <v>192</v>
      </c>
      <c r="C78" s="82">
        <v>777</v>
      </c>
      <c r="D78" s="149" t="s">
        <v>125</v>
      </c>
      <c r="E78" s="71">
        <f>E50</f>
        <v>0</v>
      </c>
    </row>
    <row r="79" spans="1:9" ht="12.75" thickBot="1" x14ac:dyDescent="0.25">
      <c r="B79" s="126" t="s">
        <v>152</v>
      </c>
      <c r="C79" s="82">
        <v>782</v>
      </c>
      <c r="D79" s="131" t="s">
        <v>125</v>
      </c>
      <c r="E79" s="71">
        <f>'AT12'!G39</f>
        <v>437446338</v>
      </c>
    </row>
    <row r="80" spans="1:9" ht="12.75" thickBot="1" x14ac:dyDescent="0.25">
      <c r="B80" s="126" t="s">
        <v>149</v>
      </c>
      <c r="C80" s="82">
        <v>791</v>
      </c>
      <c r="D80" s="131" t="s">
        <v>125</v>
      </c>
      <c r="E80" s="75">
        <v>0</v>
      </c>
    </row>
    <row r="81" spans="2:7" ht="12.75" thickBot="1" x14ac:dyDescent="0.25">
      <c r="B81" s="126" t="s">
        <v>67</v>
      </c>
      <c r="C81" s="82">
        <v>275</v>
      </c>
      <c r="D81" s="131" t="s">
        <v>126</v>
      </c>
      <c r="E81" s="75"/>
    </row>
    <row r="82" spans="2:7" ht="12.75" thickBot="1" x14ac:dyDescent="0.25">
      <c r="B82" s="126" t="s">
        <v>68</v>
      </c>
      <c r="C82" s="95">
        <v>226</v>
      </c>
      <c r="D82" s="131" t="s">
        <v>126</v>
      </c>
      <c r="E82" s="75">
        <v>0</v>
      </c>
    </row>
    <row r="83" spans="2:7" ht="12.75" thickBot="1" x14ac:dyDescent="0.25">
      <c r="B83" s="150" t="s">
        <v>69</v>
      </c>
      <c r="C83" s="83">
        <v>231</v>
      </c>
      <c r="D83" s="151" t="s">
        <v>127</v>
      </c>
      <c r="E83" s="104">
        <v>0</v>
      </c>
    </row>
    <row r="84" spans="2:7" ht="12.75" thickBot="1" x14ac:dyDescent="0.25">
      <c r="B84" s="121" t="s">
        <v>70</v>
      </c>
      <c r="C84" s="83">
        <v>318</v>
      </c>
      <c r="D84" s="152" t="s">
        <v>127</v>
      </c>
      <c r="E84" s="106">
        <v>0</v>
      </c>
    </row>
    <row r="85" spans="2:7" ht="12.75" thickBot="1" x14ac:dyDescent="0.25">
      <c r="B85" s="122" t="s">
        <v>71</v>
      </c>
      <c r="C85" s="83">
        <v>232</v>
      </c>
      <c r="D85" s="153" t="s">
        <v>127</v>
      </c>
      <c r="E85" s="109">
        <f>-(E69+E70-E71+E72-E73-E74-E75+E76+E77+E78+E79+E80-E81-E82)+E83+E84</f>
        <v>67170091.000000477</v>
      </c>
    </row>
    <row r="86" spans="2:7" ht="12.75" thickBot="1" x14ac:dyDescent="0.25">
      <c r="B86" s="150" t="s">
        <v>74</v>
      </c>
      <c r="C86" s="83">
        <v>625</v>
      </c>
      <c r="D86" s="154" t="s">
        <v>125</v>
      </c>
      <c r="E86" s="104">
        <v>0</v>
      </c>
      <c r="G86" s="78" t="s">
        <v>85</v>
      </c>
    </row>
    <row r="87" spans="2:7" ht="12.75" thickBot="1" x14ac:dyDescent="0.25">
      <c r="B87" s="121" t="s">
        <v>75</v>
      </c>
      <c r="C87" s="83">
        <v>626</v>
      </c>
      <c r="D87" s="155" t="s">
        <v>125</v>
      </c>
      <c r="E87" s="106">
        <v>0</v>
      </c>
      <c r="G87" s="78" t="s">
        <v>86</v>
      </c>
    </row>
    <row r="88" spans="2:7" ht="12.75" thickBot="1" x14ac:dyDescent="0.25">
      <c r="B88" s="121" t="s">
        <v>76</v>
      </c>
      <c r="C88" s="83">
        <v>627</v>
      </c>
      <c r="D88" s="155" t="s">
        <v>126</v>
      </c>
      <c r="E88" s="114">
        <f>E87</f>
        <v>0</v>
      </c>
      <c r="G88" s="78" t="s">
        <v>87</v>
      </c>
    </row>
    <row r="89" spans="2:7" ht="12.75" thickBot="1" x14ac:dyDescent="0.25">
      <c r="B89" s="119" t="s">
        <v>202</v>
      </c>
      <c r="C89" s="120">
        <v>838</v>
      </c>
      <c r="D89" s="153" t="s">
        <v>127</v>
      </c>
      <c r="E89" s="109">
        <f>+E86+E87-E88</f>
        <v>0</v>
      </c>
    </row>
    <row r="90" spans="2:7" ht="12.75" thickBot="1" x14ac:dyDescent="0.25">
      <c r="B90" s="150" t="s">
        <v>193</v>
      </c>
      <c r="C90" s="83">
        <v>818</v>
      </c>
      <c r="D90" s="151" t="s">
        <v>125</v>
      </c>
      <c r="E90" s="113"/>
    </row>
    <row r="91" spans="2:7" ht="12.75" thickBot="1" x14ac:dyDescent="0.25">
      <c r="B91" s="121" t="s">
        <v>203</v>
      </c>
      <c r="C91" s="83">
        <v>842</v>
      </c>
      <c r="D91" s="152" t="s">
        <v>126</v>
      </c>
      <c r="E91" s="114"/>
    </row>
    <row r="92" spans="2:7" ht="12.75" thickBot="1" x14ac:dyDescent="0.25">
      <c r="B92" s="121" t="s">
        <v>204</v>
      </c>
      <c r="C92" s="83">
        <v>819</v>
      </c>
      <c r="D92" s="152" t="s">
        <v>125</v>
      </c>
      <c r="E92" s="114"/>
    </row>
    <row r="93" spans="2:7" ht="12.75" thickBot="1" x14ac:dyDescent="0.25">
      <c r="B93" s="121" t="s">
        <v>205</v>
      </c>
      <c r="C93" s="83">
        <v>837</v>
      </c>
      <c r="D93" s="152" t="s">
        <v>126</v>
      </c>
      <c r="E93" s="114"/>
    </row>
    <row r="94" spans="2:7" ht="12.75" thickBot="1" x14ac:dyDescent="0.25">
      <c r="B94" s="121" t="s">
        <v>195</v>
      </c>
      <c r="C94" s="83">
        <v>820</v>
      </c>
      <c r="D94" s="152" t="s">
        <v>126</v>
      </c>
      <c r="E94" s="114"/>
    </row>
    <row r="95" spans="2:7" ht="12.75" thickBot="1" x14ac:dyDescent="0.25">
      <c r="B95" s="121" t="s">
        <v>73</v>
      </c>
      <c r="C95" s="83">
        <v>228</v>
      </c>
      <c r="D95" s="152" t="s">
        <v>127</v>
      </c>
      <c r="E95" s="114"/>
    </row>
    <row r="96" spans="2:7" ht="12.75" thickBot="1" x14ac:dyDescent="0.25">
      <c r="B96" s="122" t="s">
        <v>206</v>
      </c>
      <c r="C96" s="83">
        <v>840</v>
      </c>
      <c r="D96" s="153" t="s">
        <v>127</v>
      </c>
      <c r="E96" s="109"/>
    </row>
    <row r="97" spans="2:5" x14ac:dyDescent="0.2">
      <c r="C97" s="84"/>
      <c r="E97" s="71"/>
    </row>
    <row r="98" spans="2:5" ht="12.75" thickBot="1" x14ac:dyDescent="0.25"/>
    <row r="99" spans="2:5" ht="12.75" thickBot="1" x14ac:dyDescent="0.25">
      <c r="B99" s="126" t="s">
        <v>77</v>
      </c>
      <c r="C99" s="82">
        <v>650</v>
      </c>
      <c r="E99" s="127" t="s">
        <v>157</v>
      </c>
    </row>
    <row r="100" spans="2:5" ht="12.75" thickBot="1" x14ac:dyDescent="0.25">
      <c r="B100" s="126" t="s">
        <v>78</v>
      </c>
      <c r="C100" s="82">
        <v>903</v>
      </c>
      <c r="E100" s="127" t="s">
        <v>210</v>
      </c>
    </row>
  </sheetData>
  <phoneticPr fontId="0" type="noConversion"/>
  <hyperlinks>
    <hyperlink ref="E29" r:id="rId1"/>
  </hyperlinks>
  <pageMargins left="0.19685039370078741" right="0" top="0.59055118110236227" bottom="0.19685039370078741" header="0.51181102362204722" footer="0.51181102362204722"/>
  <pageSetup scale="89" orientation="landscape" horizontalDpi="360" verticalDpi="360" r:id="rId2"/>
  <headerFooter alignWithMargins="0"/>
  <rowBreaks count="1" manualBreakCount="1">
    <brk id="52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N112"/>
  <sheetViews>
    <sheetView topLeftCell="A37" workbookViewId="0">
      <selection activeCell="E61" sqref="E61"/>
    </sheetView>
  </sheetViews>
  <sheetFormatPr baseColWidth="10" defaultColWidth="9.140625" defaultRowHeight="12" x14ac:dyDescent="0.2"/>
  <cols>
    <col min="1" max="1" width="13.85546875" style="134" customWidth="1"/>
    <col min="2" max="2" width="45" style="126" customWidth="1"/>
    <col min="3" max="3" width="5.28515625" style="80" customWidth="1"/>
    <col min="4" max="4" width="1.85546875" style="131" customWidth="1"/>
    <col min="5" max="5" width="15.7109375" style="124" customWidth="1"/>
    <col min="6" max="6" width="3" style="126" customWidth="1"/>
    <col min="7" max="7" width="11.5703125" style="78" customWidth="1"/>
    <col min="8" max="8" width="9.140625" style="126" customWidth="1"/>
    <col min="9" max="9" width="13.42578125" style="126" customWidth="1"/>
    <col min="10" max="10" width="10.42578125" style="126" customWidth="1"/>
    <col min="11" max="11" width="13.7109375" style="126" customWidth="1"/>
    <col min="12" max="12" width="13.28515625" style="126" customWidth="1"/>
    <col min="13" max="13" width="14.85546875" style="126" customWidth="1"/>
    <col min="14" max="16384" width="9.140625" style="126"/>
  </cols>
  <sheetData>
    <row r="1" spans="1:14" s="79" customFormat="1" ht="12.75" x14ac:dyDescent="0.2">
      <c r="A1" s="129" t="s">
        <v>115</v>
      </c>
      <c r="D1" s="129"/>
    </row>
    <row r="2" spans="1:14" s="79" customFormat="1" ht="12.75" x14ac:dyDescent="0.2">
      <c r="A2" s="129" t="s">
        <v>114</v>
      </c>
      <c r="D2" s="129"/>
    </row>
    <row r="3" spans="1:14" ht="12.75" x14ac:dyDescent="0.2">
      <c r="A3" s="130" t="str">
        <f>'AT11'!A3</f>
        <v>AÑO TRIBUTARIO 2011</v>
      </c>
    </row>
    <row r="4" spans="1:14" x14ac:dyDescent="0.2">
      <c r="A4" s="132" t="s">
        <v>0</v>
      </c>
      <c r="L4" s="133"/>
      <c r="M4" s="133"/>
      <c r="N4" s="133"/>
    </row>
    <row r="5" spans="1:14" ht="12.75" thickBot="1" x14ac:dyDescent="0.25">
      <c r="A5" s="134" t="s">
        <v>1</v>
      </c>
      <c r="B5" s="126" t="s">
        <v>2</v>
      </c>
      <c r="C5" s="81" t="s">
        <v>3</v>
      </c>
      <c r="E5" s="134" t="s">
        <v>4</v>
      </c>
      <c r="L5" s="135"/>
      <c r="M5" s="135"/>
      <c r="N5" s="133"/>
    </row>
    <row r="6" spans="1:14" ht="12.75" thickBot="1" x14ac:dyDescent="0.25">
      <c r="B6" s="126" t="s">
        <v>5</v>
      </c>
      <c r="C6" s="82" t="s">
        <v>6</v>
      </c>
      <c r="E6" s="124" t="str">
        <f>A2</f>
        <v>86.132.100-2</v>
      </c>
      <c r="L6" s="135"/>
      <c r="M6" s="135"/>
      <c r="N6" s="133"/>
    </row>
    <row r="7" spans="1:14" ht="12.75" thickBot="1" x14ac:dyDescent="0.25">
      <c r="B7" s="126" t="s">
        <v>7</v>
      </c>
      <c r="C7" s="82" t="s">
        <v>8</v>
      </c>
      <c r="E7" s="124" t="str">
        <f>A1</f>
        <v>DEMARKA S.A.</v>
      </c>
      <c r="L7" s="135"/>
      <c r="M7" s="135"/>
      <c r="N7" s="133"/>
    </row>
    <row r="8" spans="1:14" s="137" customFormat="1" ht="12.75" thickBot="1" x14ac:dyDescent="0.25">
      <c r="A8" s="136">
        <v>34</v>
      </c>
      <c r="B8" s="137" t="s">
        <v>104</v>
      </c>
      <c r="C8" s="83">
        <v>18</v>
      </c>
      <c r="D8" s="138"/>
      <c r="E8" s="74" t="str">
        <f>IF(E51&gt;0,E51,"PERDIDA")</f>
        <v>PERDIDA</v>
      </c>
      <c r="L8" s="139"/>
      <c r="M8" s="139"/>
      <c r="N8" s="93"/>
    </row>
    <row r="9" spans="1:14" s="137" customFormat="1" ht="12.75" thickBot="1" x14ac:dyDescent="0.25">
      <c r="A9" s="136"/>
      <c r="B9" s="93" t="s">
        <v>179</v>
      </c>
      <c r="C9" s="83">
        <v>19</v>
      </c>
      <c r="D9" s="138"/>
      <c r="E9" s="94">
        <v>0</v>
      </c>
      <c r="L9" s="139"/>
      <c r="M9" s="139"/>
      <c r="N9" s="93"/>
    </row>
    <row r="10" spans="1:14" s="137" customFormat="1" ht="12.75" thickBot="1" x14ac:dyDescent="0.25">
      <c r="A10" s="136"/>
      <c r="B10" s="137" t="s">
        <v>105</v>
      </c>
      <c r="C10" s="83">
        <v>20</v>
      </c>
      <c r="D10" s="138"/>
      <c r="E10" s="74">
        <f>MAX(ROUND(17%*E51-E9,0),0)</f>
        <v>0</v>
      </c>
      <c r="L10" s="139"/>
      <c r="M10" s="139"/>
      <c r="N10" s="93"/>
    </row>
    <row r="11" spans="1:14" s="137" customFormat="1" ht="12.75" thickBot="1" x14ac:dyDescent="0.25">
      <c r="A11" s="136">
        <v>48</v>
      </c>
      <c r="B11" s="137" t="s">
        <v>112</v>
      </c>
      <c r="C11" s="83">
        <v>82</v>
      </c>
      <c r="D11" s="138"/>
      <c r="E11" s="71">
        <v>4416676</v>
      </c>
      <c r="L11" s="139"/>
      <c r="M11" s="139"/>
      <c r="N11" s="93"/>
    </row>
    <row r="12" spans="1:14" s="137" customFormat="1" ht="12.75" thickBot="1" x14ac:dyDescent="0.25">
      <c r="A12" s="136">
        <v>52</v>
      </c>
      <c r="B12" s="137" t="s">
        <v>106</v>
      </c>
      <c r="C12" s="83">
        <v>167</v>
      </c>
      <c r="D12" s="138"/>
      <c r="E12" s="74">
        <f>E87</f>
        <v>0</v>
      </c>
      <c r="L12" s="139"/>
      <c r="M12" s="139"/>
      <c r="N12" s="93"/>
    </row>
    <row r="13" spans="1:14" s="137" customFormat="1" ht="12.75" thickBot="1" x14ac:dyDescent="0.25">
      <c r="A13" s="136"/>
      <c r="B13" s="137" t="s">
        <v>107</v>
      </c>
      <c r="C13" s="83">
        <v>747</v>
      </c>
      <c r="D13" s="138"/>
      <c r="E13" s="74">
        <f>E12</f>
        <v>0</v>
      </c>
      <c r="L13" s="139"/>
      <c r="M13" s="139"/>
      <c r="N13" s="93"/>
    </row>
    <row r="14" spans="1:14" ht="12.75" thickBot="1" x14ac:dyDescent="0.25">
      <c r="A14" s="134">
        <v>55</v>
      </c>
      <c r="B14" s="126" t="s">
        <v>9</v>
      </c>
      <c r="C14" s="82">
        <v>305</v>
      </c>
      <c r="E14" s="71">
        <f>E10-E11-E13</f>
        <v>-4416676</v>
      </c>
      <c r="L14" s="135"/>
      <c r="M14" s="135"/>
      <c r="N14" s="133"/>
    </row>
    <row r="15" spans="1:14" ht="12.75" thickBot="1" x14ac:dyDescent="0.25">
      <c r="A15" s="134">
        <v>56</v>
      </c>
      <c r="B15" s="126" t="str">
        <f>IF(E14&gt;0,"Impuesto Adeudado","SALDO A FAVOR")</f>
        <v>SALDO A FAVOR</v>
      </c>
      <c r="C15" s="82">
        <f>IF(E14&gt;0,90,85)</f>
        <v>85</v>
      </c>
      <c r="E15" s="71">
        <f>ABS(E14)</f>
        <v>4416676</v>
      </c>
      <c r="L15" s="135"/>
      <c r="M15" s="135"/>
      <c r="N15" s="133"/>
    </row>
    <row r="16" spans="1:14" ht="12.75" thickBot="1" x14ac:dyDescent="0.25">
      <c r="A16" s="134" t="str">
        <f>IF(E14&gt;0,59,"")</f>
        <v/>
      </c>
      <c r="B16" s="140" t="str">
        <f>IF($E$14&gt;0,0.7%,"")</f>
        <v/>
      </c>
      <c r="C16" s="82" t="str">
        <f>IF($E$14&gt;0,39,"")</f>
        <v/>
      </c>
      <c r="E16" s="71" t="str">
        <f>IF($E$14&gt;0,ROUND(B16*E15,0),"")</f>
        <v/>
      </c>
      <c r="L16" s="135"/>
      <c r="M16" s="135"/>
      <c r="N16" s="133"/>
    </row>
    <row r="17" spans="1:14" ht="12.75" thickBot="1" x14ac:dyDescent="0.25">
      <c r="A17" s="134">
        <v>58</v>
      </c>
      <c r="B17" s="126" t="str">
        <f>IF($E$14&gt;0,"TOTAL A PAGAR","DEVOLUCION SOLICITADA")</f>
        <v>DEVOLUCION SOLICITADA</v>
      </c>
      <c r="C17" s="82">
        <f>IF($E$14&gt;0,91,87)</f>
        <v>87</v>
      </c>
      <c r="E17" s="71">
        <f>SUM(E15:E16)</f>
        <v>4416676</v>
      </c>
      <c r="L17" s="135"/>
      <c r="M17" s="135"/>
      <c r="N17" s="133"/>
    </row>
    <row r="18" spans="1:14" ht="12.75" thickBot="1" x14ac:dyDescent="0.25">
      <c r="B18" s="126" t="str">
        <f>IF($E$14&gt;0,"","Nombre Institución Bancaria")</f>
        <v>Nombre Institución Bancaria</v>
      </c>
      <c r="C18" s="82">
        <f>IF($E$14&gt;0,"",301)</f>
        <v>301</v>
      </c>
      <c r="E18" s="73" t="s">
        <v>208</v>
      </c>
      <c r="L18" s="135"/>
      <c r="M18" s="135"/>
      <c r="N18" s="133"/>
    </row>
    <row r="19" spans="1:14" ht="12.75" thickBot="1" x14ac:dyDescent="0.25">
      <c r="B19" s="126" t="str">
        <f>IF($E$14&gt;0,"","Número de Cuenta")</f>
        <v>Número de Cuenta</v>
      </c>
      <c r="C19" s="82">
        <f>IF($E$14&gt;0,"",306)</f>
        <v>306</v>
      </c>
      <c r="E19" s="73">
        <v>1800188107</v>
      </c>
      <c r="L19" s="135"/>
      <c r="M19" s="135"/>
      <c r="N19" s="133"/>
    </row>
    <row r="20" spans="1:14" x14ac:dyDescent="0.2">
      <c r="C20" s="84"/>
      <c r="E20" s="71"/>
      <c r="L20" s="135"/>
      <c r="M20" s="135"/>
      <c r="N20" s="133"/>
    </row>
    <row r="21" spans="1:14" ht="12.75" thickBot="1" x14ac:dyDescent="0.25">
      <c r="A21" s="132" t="s">
        <v>10</v>
      </c>
      <c r="L21" s="135"/>
      <c r="M21" s="135"/>
      <c r="N21" s="133"/>
    </row>
    <row r="22" spans="1:14" ht="12.75" thickBot="1" x14ac:dyDescent="0.25">
      <c r="B22" s="126" t="s">
        <v>11</v>
      </c>
      <c r="C22" s="82" t="s">
        <v>12</v>
      </c>
      <c r="E22" s="124" t="s">
        <v>13</v>
      </c>
      <c r="L22" s="135"/>
      <c r="M22" s="135"/>
      <c r="N22" s="133"/>
    </row>
    <row r="23" spans="1:14" ht="12.75" thickBot="1" x14ac:dyDescent="0.25">
      <c r="B23" s="126" t="s">
        <v>14</v>
      </c>
      <c r="C23" s="82" t="s">
        <v>15</v>
      </c>
      <c r="E23" s="124" t="s">
        <v>16</v>
      </c>
      <c r="L23" s="135"/>
      <c r="M23" s="135"/>
      <c r="N23" s="133"/>
    </row>
    <row r="24" spans="1:14" ht="12.75" thickBot="1" x14ac:dyDescent="0.25">
      <c r="B24" s="126" t="s">
        <v>17</v>
      </c>
      <c r="C24" s="82">
        <v>53</v>
      </c>
      <c r="E24" s="134">
        <v>13</v>
      </c>
      <c r="L24" s="135"/>
      <c r="M24" s="135"/>
      <c r="N24" s="133"/>
    </row>
    <row r="25" spans="1:14" ht="12.75" thickBot="1" x14ac:dyDescent="0.25">
      <c r="B25" s="126" t="s">
        <v>18</v>
      </c>
      <c r="C25" s="82">
        <v>13</v>
      </c>
      <c r="E25" s="141" t="s">
        <v>117</v>
      </c>
      <c r="I25" s="142"/>
      <c r="L25" s="133"/>
      <c r="M25" s="133"/>
      <c r="N25" s="133"/>
    </row>
    <row r="26" spans="1:14" ht="12.75" thickBot="1" x14ac:dyDescent="0.25">
      <c r="B26" s="126" t="s">
        <v>19</v>
      </c>
      <c r="C26" s="82">
        <v>14</v>
      </c>
      <c r="E26" s="128">
        <v>61911</v>
      </c>
      <c r="I26" s="142"/>
      <c r="J26" s="142"/>
      <c r="K26" s="142"/>
      <c r="L26" s="133"/>
      <c r="M26" s="133"/>
      <c r="N26" s="133"/>
    </row>
    <row r="27" spans="1:14" ht="12.75" thickBot="1" x14ac:dyDescent="0.25">
      <c r="B27" s="126" t="s">
        <v>20</v>
      </c>
      <c r="C27" s="82" t="s">
        <v>21</v>
      </c>
      <c r="E27" s="134" t="s">
        <v>213</v>
      </c>
      <c r="I27" s="142"/>
      <c r="L27" s="133"/>
      <c r="M27" s="133"/>
      <c r="N27" s="133"/>
    </row>
    <row r="28" spans="1:14" ht="12.75" thickBot="1" x14ac:dyDescent="0.25">
      <c r="B28" s="126" t="s">
        <v>22</v>
      </c>
      <c r="C28" s="82">
        <v>48</v>
      </c>
      <c r="E28" s="134" t="s">
        <v>214</v>
      </c>
      <c r="I28" s="142"/>
      <c r="J28" s="142"/>
      <c r="K28" s="133"/>
      <c r="L28" s="135"/>
      <c r="M28" s="133"/>
      <c r="N28" s="133"/>
    </row>
    <row r="29" spans="1:14" ht="13.5" thickBot="1" x14ac:dyDescent="0.25">
      <c r="B29" s="126" t="s">
        <v>23</v>
      </c>
      <c r="C29" s="82">
        <v>55</v>
      </c>
      <c r="E29" s="143" t="s">
        <v>154</v>
      </c>
      <c r="I29" s="142"/>
      <c r="J29" s="142"/>
      <c r="K29" s="133"/>
      <c r="L29" s="133"/>
      <c r="M29" s="133"/>
      <c r="N29" s="133"/>
    </row>
    <row r="30" spans="1:14" ht="12.75" thickBot="1" x14ac:dyDescent="0.25">
      <c r="B30" s="126" t="s">
        <v>24</v>
      </c>
      <c r="C30" s="82">
        <v>614</v>
      </c>
      <c r="E30" s="134" t="s">
        <v>25</v>
      </c>
      <c r="K30" s="133"/>
      <c r="L30" s="133"/>
      <c r="M30" s="133"/>
      <c r="N30" s="133"/>
    </row>
    <row r="31" spans="1:14" x14ac:dyDescent="0.2">
      <c r="I31" s="142"/>
      <c r="K31" s="133"/>
      <c r="L31" s="133"/>
      <c r="M31" s="133"/>
      <c r="N31" s="133"/>
    </row>
    <row r="32" spans="1:14" ht="12.75" thickBot="1" x14ac:dyDescent="0.25">
      <c r="A32" s="132" t="s">
        <v>138</v>
      </c>
      <c r="B32" s="126" t="s">
        <v>27</v>
      </c>
      <c r="E32" s="69"/>
      <c r="K32" s="133"/>
      <c r="L32" s="133"/>
      <c r="M32" s="133"/>
      <c r="N32" s="133"/>
    </row>
    <row r="33" spans="1:14" ht="12.75" thickBot="1" x14ac:dyDescent="0.25">
      <c r="A33" s="132"/>
      <c r="B33" s="126" t="s">
        <v>28</v>
      </c>
      <c r="C33" s="82">
        <v>628</v>
      </c>
      <c r="D33" s="131" t="s">
        <v>125</v>
      </c>
      <c r="E33" s="60">
        <f>2828329481-5822284+77451515+13652002</f>
        <v>2913610714</v>
      </c>
      <c r="G33" s="78" t="s">
        <v>101</v>
      </c>
      <c r="I33" s="142"/>
      <c r="K33" s="135"/>
      <c r="L33" s="135"/>
      <c r="M33" s="135"/>
      <c r="N33" s="135"/>
    </row>
    <row r="34" spans="1:14" ht="12.75" thickBot="1" x14ac:dyDescent="0.25">
      <c r="A34" s="132"/>
      <c r="B34" s="126" t="s">
        <v>29</v>
      </c>
      <c r="C34" s="82">
        <v>629</v>
      </c>
      <c r="D34" s="131" t="s">
        <v>125</v>
      </c>
      <c r="E34" s="60">
        <v>763672</v>
      </c>
      <c r="G34" s="78" t="s">
        <v>83</v>
      </c>
      <c r="K34" s="133"/>
      <c r="L34" s="133"/>
      <c r="M34" s="135"/>
      <c r="N34" s="133"/>
    </row>
    <row r="35" spans="1:14" ht="12.75" thickBot="1" x14ac:dyDescent="0.25">
      <c r="A35" s="132"/>
      <c r="B35" s="126" t="s">
        <v>30</v>
      </c>
      <c r="C35" s="82">
        <v>651</v>
      </c>
      <c r="D35" s="131" t="s">
        <v>125</v>
      </c>
      <c r="E35" s="60">
        <v>7350967</v>
      </c>
      <c r="G35" s="144"/>
      <c r="K35" s="135"/>
      <c r="L35" s="135"/>
      <c r="M35" s="135"/>
      <c r="N35" s="135"/>
    </row>
    <row r="36" spans="1:14" ht="12.75" thickBot="1" x14ac:dyDescent="0.25">
      <c r="A36" s="132"/>
      <c r="B36" s="126" t="s">
        <v>31</v>
      </c>
      <c r="C36" s="82">
        <v>630</v>
      </c>
      <c r="D36" s="131" t="s">
        <v>126</v>
      </c>
      <c r="E36" s="60">
        <f>1355014174+72133138</f>
        <v>1427147312</v>
      </c>
      <c r="G36" s="78" t="s">
        <v>80</v>
      </c>
      <c r="K36" s="135"/>
      <c r="L36" s="135"/>
      <c r="M36" s="135"/>
      <c r="N36" s="135"/>
    </row>
    <row r="37" spans="1:14" ht="12.75" thickBot="1" x14ac:dyDescent="0.25">
      <c r="A37" s="132"/>
      <c r="B37" s="126" t="s">
        <v>32</v>
      </c>
      <c r="C37" s="82">
        <v>631</v>
      </c>
      <c r="D37" s="131" t="s">
        <v>126</v>
      </c>
      <c r="E37" s="60">
        <f>633501182+10768436+15855613+15511507</f>
        <v>675636738</v>
      </c>
      <c r="G37" s="78" t="s">
        <v>81</v>
      </c>
      <c r="K37" s="135"/>
      <c r="L37" s="135"/>
      <c r="M37" s="135"/>
      <c r="N37" s="135"/>
    </row>
    <row r="38" spans="1:14" ht="12.75" thickBot="1" x14ac:dyDescent="0.25">
      <c r="A38" s="132"/>
      <c r="B38" s="126" t="s">
        <v>33</v>
      </c>
      <c r="C38" s="82">
        <v>632</v>
      </c>
      <c r="D38" s="131" t="s">
        <v>126</v>
      </c>
      <c r="E38" s="60">
        <v>56076974</v>
      </c>
      <c r="G38" s="78" t="s">
        <v>82</v>
      </c>
      <c r="K38" s="135"/>
      <c r="L38" s="135"/>
      <c r="M38" s="135"/>
      <c r="N38" s="135"/>
    </row>
    <row r="39" spans="1:14" ht="12.75" thickBot="1" x14ac:dyDescent="0.25">
      <c r="A39" s="132"/>
      <c r="B39" s="126" t="s">
        <v>34</v>
      </c>
      <c r="C39" s="82">
        <v>633</v>
      </c>
      <c r="D39" s="131" t="s">
        <v>126</v>
      </c>
      <c r="E39" s="60">
        <v>21804919</v>
      </c>
      <c r="G39" s="144"/>
      <c r="K39" s="135"/>
      <c r="L39" s="135"/>
      <c r="M39" s="135"/>
      <c r="N39" s="135"/>
    </row>
    <row r="40" spans="1:14" ht="12.75" thickBot="1" x14ac:dyDescent="0.25">
      <c r="A40" s="132"/>
      <c r="B40" s="126" t="s">
        <v>216</v>
      </c>
      <c r="C40" s="95">
        <v>792</v>
      </c>
      <c r="D40" s="131" t="s">
        <v>126</v>
      </c>
      <c r="E40" s="60">
        <v>5000000</v>
      </c>
      <c r="G40" s="144"/>
      <c r="K40" s="135"/>
      <c r="L40" s="135"/>
      <c r="M40" s="135"/>
      <c r="N40" s="135"/>
    </row>
    <row r="41" spans="1:14" ht="12.75" thickBot="1" x14ac:dyDescent="0.25">
      <c r="A41" s="132"/>
      <c r="B41" s="126" t="s">
        <v>35</v>
      </c>
      <c r="C41" s="95">
        <v>635</v>
      </c>
      <c r="D41" s="131" t="s">
        <v>126</v>
      </c>
      <c r="E41" s="125">
        <f>SUM(E33:E35)-SUM(E36:E40)-E43+E44-SUM('AT11'!G12:'AT11'!G14)</f>
        <v>354432226</v>
      </c>
      <c r="G41" s="78" t="s">
        <v>120</v>
      </c>
      <c r="K41" s="135"/>
      <c r="L41" s="135"/>
      <c r="M41" s="135"/>
      <c r="N41" s="135"/>
    </row>
    <row r="42" spans="1:14" ht="12.75" thickBot="1" x14ac:dyDescent="0.25">
      <c r="A42" s="132"/>
      <c r="B42" s="145" t="s">
        <v>36</v>
      </c>
      <c r="C42" s="82">
        <v>636</v>
      </c>
      <c r="D42" s="146" t="s">
        <v>127</v>
      </c>
      <c r="E42" s="99">
        <f>SUM(E33:E35)-SUM(E36:E41)</f>
        <v>381627184</v>
      </c>
      <c r="K42" s="135"/>
      <c r="L42" s="135"/>
      <c r="M42" s="135"/>
      <c r="N42" s="135"/>
    </row>
    <row r="43" spans="1:14" ht="12.75" thickBot="1" x14ac:dyDescent="0.25">
      <c r="A43" s="132"/>
      <c r="B43" s="126" t="s">
        <v>37</v>
      </c>
      <c r="C43" s="96">
        <v>637</v>
      </c>
      <c r="D43" s="131" t="s">
        <v>126</v>
      </c>
      <c r="E43" s="60">
        <v>21835565</v>
      </c>
      <c r="G43" s="78" t="s">
        <v>82</v>
      </c>
      <c r="I43" s="147"/>
      <c r="K43" s="135"/>
      <c r="L43" s="135"/>
      <c r="M43" s="135"/>
      <c r="N43" s="135"/>
    </row>
    <row r="44" spans="1:14" ht="12.75" thickBot="1" x14ac:dyDescent="0.25">
      <c r="A44" s="132"/>
      <c r="B44" s="126" t="s">
        <v>38</v>
      </c>
      <c r="C44" s="82">
        <v>638</v>
      </c>
      <c r="D44" s="131" t="s">
        <v>125</v>
      </c>
      <c r="E44" s="60">
        <v>4960243</v>
      </c>
      <c r="G44" s="78" t="s">
        <v>83</v>
      </c>
      <c r="K44" s="135"/>
      <c r="L44" s="135"/>
      <c r="M44" s="135"/>
      <c r="N44" s="135"/>
    </row>
    <row r="45" spans="1:14" ht="12.75" thickBot="1" x14ac:dyDescent="0.25">
      <c r="A45" s="132"/>
      <c r="B45" s="126" t="s">
        <v>180</v>
      </c>
      <c r="C45" s="82">
        <v>639</v>
      </c>
      <c r="D45" s="131" t="s">
        <v>125</v>
      </c>
      <c r="E45" s="69">
        <v>5000000</v>
      </c>
      <c r="I45" s="148"/>
      <c r="K45" s="135"/>
      <c r="L45" s="135"/>
      <c r="M45" s="135"/>
      <c r="N45" s="135"/>
    </row>
    <row r="46" spans="1:14" ht="12.75" thickBot="1" x14ac:dyDescent="0.25">
      <c r="A46" s="132"/>
      <c r="B46" s="126" t="s">
        <v>181</v>
      </c>
      <c r="C46" s="82">
        <v>634</v>
      </c>
      <c r="D46" s="131" t="s">
        <v>126</v>
      </c>
      <c r="E46" s="69">
        <f>-'AT11'!G10</f>
        <v>790778174</v>
      </c>
      <c r="I46" s="142"/>
      <c r="K46" s="135"/>
      <c r="L46" s="135"/>
      <c r="M46" s="135"/>
      <c r="N46" s="135"/>
    </row>
    <row r="47" spans="1:14" ht="12.75" thickBot="1" x14ac:dyDescent="0.25">
      <c r="A47" s="132"/>
      <c r="B47" s="126" t="s">
        <v>182</v>
      </c>
      <c r="C47" s="82">
        <v>640</v>
      </c>
      <c r="D47" s="131" t="s">
        <v>126</v>
      </c>
      <c r="E47" s="69">
        <f>'AT10'!G15</f>
        <v>0</v>
      </c>
      <c r="G47" s="78" t="s">
        <v>177</v>
      </c>
      <c r="I47" s="142"/>
      <c r="K47" s="135"/>
      <c r="L47" s="135"/>
      <c r="M47" s="135"/>
      <c r="N47" s="135"/>
    </row>
    <row r="48" spans="1:14" ht="12.75" thickBot="1" x14ac:dyDescent="0.25">
      <c r="A48" s="132"/>
      <c r="B48" s="126" t="s">
        <v>183</v>
      </c>
      <c r="C48" s="82">
        <v>807</v>
      </c>
      <c r="D48" s="149" t="s">
        <v>126</v>
      </c>
      <c r="E48" s="60">
        <v>0</v>
      </c>
      <c r="I48" s="142"/>
      <c r="K48" s="135"/>
      <c r="L48" s="135"/>
      <c r="M48" s="135"/>
      <c r="N48" s="135"/>
    </row>
    <row r="49" spans="1:13" ht="12.75" thickBot="1" x14ac:dyDescent="0.25">
      <c r="A49" s="132"/>
      <c r="B49" s="126" t="s">
        <v>42</v>
      </c>
      <c r="C49" s="82">
        <v>641</v>
      </c>
      <c r="D49" s="131" t="s">
        <v>126</v>
      </c>
      <c r="E49" s="60">
        <v>0</v>
      </c>
      <c r="I49" s="142"/>
      <c r="M49" s="142"/>
    </row>
    <row r="50" spans="1:13" ht="12.75" thickBot="1" x14ac:dyDescent="0.25">
      <c r="A50" s="132"/>
      <c r="B50" s="126" t="s">
        <v>43</v>
      </c>
      <c r="C50" s="95">
        <v>642</v>
      </c>
      <c r="D50" s="131" t="s">
        <v>126</v>
      </c>
      <c r="E50" s="69">
        <v>0</v>
      </c>
      <c r="I50" s="142"/>
    </row>
    <row r="51" spans="1:13" ht="12.75" thickBot="1" x14ac:dyDescent="0.25">
      <c r="A51" s="132"/>
      <c r="B51" s="145" t="s">
        <v>44</v>
      </c>
      <c r="C51" s="82">
        <v>643</v>
      </c>
      <c r="D51" s="146" t="s">
        <v>127</v>
      </c>
      <c r="E51" s="99">
        <f>E42-E43+E44+E45-SUM(E46:E50)</f>
        <v>-421026312</v>
      </c>
      <c r="I51" s="142"/>
    </row>
    <row r="52" spans="1:13" x14ac:dyDescent="0.2">
      <c r="E52" s="69"/>
      <c r="I52" s="142"/>
    </row>
    <row r="53" spans="1:13" ht="12.75" thickBot="1" x14ac:dyDescent="0.25">
      <c r="A53" s="132" t="s">
        <v>26</v>
      </c>
      <c r="B53" s="126" t="s">
        <v>47</v>
      </c>
      <c r="E53" s="69"/>
      <c r="I53" s="142"/>
    </row>
    <row r="54" spans="1:13" ht="12.75" thickBot="1" x14ac:dyDescent="0.25">
      <c r="B54" s="126" t="s">
        <v>184</v>
      </c>
      <c r="C54" s="82">
        <v>101</v>
      </c>
      <c r="E54" s="60">
        <v>443746</v>
      </c>
      <c r="G54" s="78" t="s">
        <v>84</v>
      </c>
      <c r="I54" s="142"/>
    </row>
    <row r="55" spans="1:13" ht="12.75" thickBot="1" x14ac:dyDescent="0.25">
      <c r="B55" s="126" t="s">
        <v>146</v>
      </c>
      <c r="C55" s="82">
        <v>784</v>
      </c>
      <c r="E55" s="60">
        <f>17868391+11145932+8707651+99748+277375+(488.62*468.01)</f>
        <v>38327776.0462</v>
      </c>
      <c r="I55" s="142"/>
    </row>
    <row r="56" spans="1:13" ht="12.75" thickBot="1" x14ac:dyDescent="0.25">
      <c r="B56" s="126" t="s">
        <v>187</v>
      </c>
      <c r="C56" s="82">
        <v>783</v>
      </c>
      <c r="E56" s="123">
        <v>0</v>
      </c>
      <c r="I56" s="142"/>
    </row>
    <row r="57" spans="1:13" ht="12.75" thickBot="1" x14ac:dyDescent="0.25">
      <c r="B57" s="126" t="s">
        <v>49</v>
      </c>
      <c r="C57" s="82">
        <v>129</v>
      </c>
      <c r="E57" s="60">
        <f>747226558-267492</f>
        <v>746959066</v>
      </c>
      <c r="G57" s="78" t="s">
        <v>84</v>
      </c>
      <c r="I57" s="142"/>
    </row>
    <row r="58" spans="1:13" ht="12.75" thickBot="1" x14ac:dyDescent="0.25">
      <c r="B58" s="126" t="s">
        <v>55</v>
      </c>
      <c r="C58" s="82">
        <v>647</v>
      </c>
      <c r="E58" s="60">
        <f>474911495-99879987-106232844+23087853</f>
        <v>291886517</v>
      </c>
      <c r="G58" s="78" t="s">
        <v>143</v>
      </c>
      <c r="I58" s="142"/>
    </row>
    <row r="59" spans="1:13" ht="12.75" thickBot="1" x14ac:dyDescent="0.25">
      <c r="B59" s="126" t="s">
        <v>209</v>
      </c>
      <c r="C59" s="82">
        <v>785</v>
      </c>
      <c r="E59" s="60">
        <f>E38</f>
        <v>56076974</v>
      </c>
      <c r="G59" s="78" t="s">
        <v>211</v>
      </c>
      <c r="I59" s="142"/>
    </row>
    <row r="60" spans="1:13" ht="12.75" thickBot="1" x14ac:dyDescent="0.25">
      <c r="B60" s="126" t="s">
        <v>56</v>
      </c>
      <c r="C60" s="82">
        <v>648</v>
      </c>
      <c r="E60" s="60">
        <f>106232844-23087853</f>
        <v>83144991</v>
      </c>
      <c r="I60" s="142"/>
    </row>
    <row r="61" spans="1:13" ht="12.75" thickBot="1" x14ac:dyDescent="0.25">
      <c r="B61" s="126" t="s">
        <v>50</v>
      </c>
      <c r="C61" s="82">
        <v>122</v>
      </c>
      <c r="E61" s="60">
        <v>2522164108</v>
      </c>
      <c r="G61" s="78" t="s">
        <v>99</v>
      </c>
      <c r="I61" s="142"/>
    </row>
    <row r="62" spans="1:13" ht="12.75" thickBot="1" x14ac:dyDescent="0.25">
      <c r="B62" s="126" t="s">
        <v>51</v>
      </c>
      <c r="C62" s="82">
        <v>123</v>
      </c>
      <c r="E62" s="60">
        <v>2227077175</v>
      </c>
      <c r="G62" s="78" t="s">
        <v>100</v>
      </c>
      <c r="I62" s="142"/>
    </row>
    <row r="63" spans="1:13" ht="12.75" thickBot="1" x14ac:dyDescent="0.25">
      <c r="B63" s="126" t="s">
        <v>52</v>
      </c>
      <c r="C63" s="82">
        <v>102</v>
      </c>
      <c r="E63" s="60">
        <f>2522164108-0-99879987-140873465-0</f>
        <v>2281410656</v>
      </c>
      <c r="G63" s="78" t="s">
        <v>110</v>
      </c>
      <c r="I63" s="142"/>
    </row>
    <row r="64" spans="1:13" ht="12.75" thickBot="1" x14ac:dyDescent="0.25">
      <c r="B64" s="126" t="s">
        <v>53</v>
      </c>
      <c r="C64" s="82">
        <v>645</v>
      </c>
      <c r="E64" s="60">
        <f>+E63-1092755208+10058165-0-44372653+5246200</f>
        <v>1159587160</v>
      </c>
      <c r="G64" s="78" t="s">
        <v>102</v>
      </c>
      <c r="I64" s="142"/>
    </row>
    <row r="65" spans="1:9" ht="12.75" thickBot="1" x14ac:dyDescent="0.25">
      <c r="B65" s="126" t="s">
        <v>54</v>
      </c>
      <c r="C65" s="82">
        <v>646</v>
      </c>
      <c r="E65" s="60">
        <v>0</v>
      </c>
      <c r="I65" s="142"/>
    </row>
    <row r="66" spans="1:9" ht="12.75" thickBot="1" x14ac:dyDescent="0.25">
      <c r="B66" s="126" t="s">
        <v>200</v>
      </c>
      <c r="C66" s="82">
        <v>843</v>
      </c>
      <c r="E66" s="69">
        <f>E64</f>
        <v>1159587160</v>
      </c>
      <c r="I66" s="142"/>
    </row>
    <row r="67" spans="1:9" x14ac:dyDescent="0.2">
      <c r="I67" s="142"/>
    </row>
    <row r="68" spans="1:9" ht="12.75" thickBot="1" x14ac:dyDescent="0.25">
      <c r="A68" s="134" t="s">
        <v>201</v>
      </c>
      <c r="B68" s="126" t="s">
        <v>58</v>
      </c>
      <c r="I68" s="142"/>
    </row>
    <row r="69" spans="1:9" ht="12.75" thickBot="1" x14ac:dyDescent="0.25">
      <c r="B69" s="126" t="s">
        <v>147</v>
      </c>
      <c r="C69" s="82">
        <v>774</v>
      </c>
      <c r="D69" s="131" t="s">
        <v>125</v>
      </c>
      <c r="E69" s="75">
        <v>0</v>
      </c>
      <c r="I69" s="142"/>
    </row>
    <row r="70" spans="1:9" ht="12.75" thickBot="1" x14ac:dyDescent="0.25">
      <c r="B70" s="126" t="s">
        <v>148</v>
      </c>
      <c r="C70" s="82">
        <v>775</v>
      </c>
      <c r="D70" s="131" t="s">
        <v>125</v>
      </c>
      <c r="E70" s="75">
        <v>0</v>
      </c>
      <c r="I70" s="142"/>
    </row>
    <row r="71" spans="1:9" ht="12.75" thickBot="1" x14ac:dyDescent="0.25">
      <c r="B71" s="126" t="s">
        <v>60</v>
      </c>
      <c r="C71" s="82">
        <v>284</v>
      </c>
      <c r="D71" s="131" t="s">
        <v>126</v>
      </c>
      <c r="E71" s="69">
        <f>-'AT11'!G29</f>
        <v>790778174.00000048</v>
      </c>
      <c r="I71" s="142"/>
    </row>
    <row r="72" spans="1:9" ht="12.75" thickBot="1" x14ac:dyDescent="0.25">
      <c r="B72" s="126" t="s">
        <v>61</v>
      </c>
      <c r="C72" s="82">
        <v>225</v>
      </c>
      <c r="D72" s="131" t="s">
        <v>125</v>
      </c>
      <c r="E72" s="71">
        <f>MAX(E51,0)</f>
        <v>0</v>
      </c>
      <c r="I72" s="142"/>
    </row>
    <row r="73" spans="1:9" ht="12.75" thickBot="1" x14ac:dyDescent="0.25">
      <c r="B73" s="126" t="s">
        <v>62</v>
      </c>
      <c r="C73" s="82">
        <v>229</v>
      </c>
      <c r="D73" s="131" t="s">
        <v>126</v>
      </c>
      <c r="E73" s="71">
        <f>-MIN(E51,0)</f>
        <v>421026312</v>
      </c>
      <c r="I73" s="142"/>
    </row>
    <row r="74" spans="1:9" ht="12.75" thickBot="1" x14ac:dyDescent="0.25">
      <c r="B74" s="126" t="s">
        <v>63</v>
      </c>
      <c r="C74" s="82">
        <v>623</v>
      </c>
      <c r="D74" s="131" t="s">
        <v>126</v>
      </c>
      <c r="E74" s="75"/>
      <c r="I74" s="142"/>
    </row>
    <row r="75" spans="1:9" ht="12.75" thickBot="1" x14ac:dyDescent="0.25">
      <c r="B75" s="126" t="s">
        <v>64</v>
      </c>
      <c r="C75" s="82">
        <v>624</v>
      </c>
      <c r="D75" s="131" t="s">
        <v>126</v>
      </c>
      <c r="E75" s="75">
        <v>0</v>
      </c>
      <c r="I75" s="142"/>
    </row>
    <row r="76" spans="1:9" ht="12.75" thickBot="1" x14ac:dyDescent="0.25">
      <c r="B76" s="126" t="s">
        <v>65</v>
      </c>
      <c r="C76" s="82">
        <v>227</v>
      </c>
      <c r="D76" s="131" t="s">
        <v>125</v>
      </c>
      <c r="E76" s="75"/>
      <c r="I76" s="142"/>
    </row>
    <row r="77" spans="1:9" ht="12.75" thickBot="1" x14ac:dyDescent="0.25">
      <c r="B77" s="126" t="s">
        <v>191</v>
      </c>
      <c r="C77" s="82">
        <v>776</v>
      </c>
      <c r="D77" s="149" t="s">
        <v>125</v>
      </c>
      <c r="E77" s="75"/>
      <c r="I77" s="142"/>
    </row>
    <row r="78" spans="1:9" ht="12.75" thickBot="1" x14ac:dyDescent="0.25">
      <c r="B78" s="126" t="s">
        <v>192</v>
      </c>
      <c r="C78" s="82">
        <v>777</v>
      </c>
      <c r="D78" s="149" t="s">
        <v>125</v>
      </c>
      <c r="E78" s="71">
        <f>E50</f>
        <v>0</v>
      </c>
    </row>
    <row r="79" spans="1:9" ht="12.75" thickBot="1" x14ac:dyDescent="0.25">
      <c r="B79" s="126" t="s">
        <v>152</v>
      </c>
      <c r="C79" s="82">
        <v>782</v>
      </c>
      <c r="D79" s="131" t="s">
        <v>125</v>
      </c>
      <c r="E79" s="71">
        <f>'AT11'!G39</f>
        <v>790778174</v>
      </c>
    </row>
    <row r="80" spans="1:9" ht="12.75" thickBot="1" x14ac:dyDescent="0.25">
      <c r="B80" s="126" t="s">
        <v>149</v>
      </c>
      <c r="C80" s="82">
        <v>791</v>
      </c>
      <c r="D80" s="131" t="s">
        <v>125</v>
      </c>
      <c r="E80" s="75">
        <v>0</v>
      </c>
    </row>
    <row r="81" spans="2:7" ht="12.75" thickBot="1" x14ac:dyDescent="0.25">
      <c r="B81" s="126" t="s">
        <v>67</v>
      </c>
      <c r="C81" s="82">
        <v>275</v>
      </c>
      <c r="D81" s="131" t="s">
        <v>126</v>
      </c>
      <c r="E81" s="75"/>
    </row>
    <row r="82" spans="2:7" ht="12.75" thickBot="1" x14ac:dyDescent="0.25">
      <c r="B82" s="126" t="s">
        <v>68</v>
      </c>
      <c r="C82" s="95">
        <v>226</v>
      </c>
      <c r="D82" s="131" t="s">
        <v>126</v>
      </c>
      <c r="E82" s="75">
        <v>0</v>
      </c>
    </row>
    <row r="83" spans="2:7" ht="12.75" thickBot="1" x14ac:dyDescent="0.25">
      <c r="B83" s="150" t="s">
        <v>69</v>
      </c>
      <c r="C83" s="83">
        <v>231</v>
      </c>
      <c r="D83" s="151" t="s">
        <v>127</v>
      </c>
      <c r="E83" s="104">
        <v>0</v>
      </c>
    </row>
    <row r="84" spans="2:7" ht="12.75" thickBot="1" x14ac:dyDescent="0.25">
      <c r="B84" s="121" t="s">
        <v>70</v>
      </c>
      <c r="C84" s="83">
        <v>318</v>
      </c>
      <c r="D84" s="152" t="s">
        <v>127</v>
      </c>
      <c r="E84" s="106">
        <v>0</v>
      </c>
    </row>
    <row r="85" spans="2:7" ht="12.75" thickBot="1" x14ac:dyDescent="0.25">
      <c r="B85" s="122" t="s">
        <v>71</v>
      </c>
      <c r="C85" s="83">
        <v>232</v>
      </c>
      <c r="D85" s="153" t="s">
        <v>127</v>
      </c>
      <c r="E85" s="109">
        <f>-(E69+E70-E71+E72-E73-E74-E75+E76+E77+E78+E79+E80-E81-E82)+E83+E84</f>
        <v>421026312.00000048</v>
      </c>
    </row>
    <row r="86" spans="2:7" ht="12.75" thickBot="1" x14ac:dyDescent="0.25">
      <c r="B86" s="150" t="s">
        <v>74</v>
      </c>
      <c r="C86" s="83">
        <v>625</v>
      </c>
      <c r="D86" s="154" t="s">
        <v>125</v>
      </c>
      <c r="E86" s="104">
        <v>0</v>
      </c>
      <c r="G86" s="78" t="s">
        <v>85</v>
      </c>
    </row>
    <row r="87" spans="2:7" ht="12.75" thickBot="1" x14ac:dyDescent="0.25">
      <c r="B87" s="121" t="s">
        <v>75</v>
      </c>
      <c r="C87" s="83">
        <v>626</v>
      </c>
      <c r="D87" s="155" t="s">
        <v>125</v>
      </c>
      <c r="E87" s="106">
        <v>0</v>
      </c>
      <c r="G87" s="78" t="s">
        <v>86</v>
      </c>
    </row>
    <row r="88" spans="2:7" ht="12.75" thickBot="1" x14ac:dyDescent="0.25">
      <c r="B88" s="121" t="s">
        <v>76</v>
      </c>
      <c r="C88" s="83">
        <v>627</v>
      </c>
      <c r="D88" s="155" t="s">
        <v>126</v>
      </c>
      <c r="E88" s="114">
        <f>E87</f>
        <v>0</v>
      </c>
      <c r="G88" s="78" t="s">
        <v>87</v>
      </c>
    </row>
    <row r="89" spans="2:7" ht="12.75" thickBot="1" x14ac:dyDescent="0.25">
      <c r="B89" s="119" t="s">
        <v>202</v>
      </c>
      <c r="C89" s="120">
        <v>838</v>
      </c>
      <c r="D89" s="153" t="s">
        <v>127</v>
      </c>
      <c r="E89" s="109">
        <f>+E86+E87-E88</f>
        <v>0</v>
      </c>
    </row>
    <row r="90" spans="2:7" ht="12.75" thickBot="1" x14ac:dyDescent="0.25">
      <c r="B90" s="150" t="s">
        <v>193</v>
      </c>
      <c r="C90" s="83">
        <v>818</v>
      </c>
      <c r="D90" s="151" t="s">
        <v>125</v>
      </c>
      <c r="E90" s="113"/>
    </row>
    <row r="91" spans="2:7" ht="12.75" thickBot="1" x14ac:dyDescent="0.25">
      <c r="B91" s="121" t="s">
        <v>203</v>
      </c>
      <c r="C91" s="83">
        <v>842</v>
      </c>
      <c r="D91" s="152" t="s">
        <v>126</v>
      </c>
      <c r="E91" s="114"/>
    </row>
    <row r="92" spans="2:7" ht="12.75" thickBot="1" x14ac:dyDescent="0.25">
      <c r="B92" s="121" t="s">
        <v>204</v>
      </c>
      <c r="C92" s="83">
        <v>819</v>
      </c>
      <c r="D92" s="152" t="s">
        <v>125</v>
      </c>
      <c r="E92" s="114"/>
    </row>
    <row r="93" spans="2:7" ht="12.75" thickBot="1" x14ac:dyDescent="0.25">
      <c r="B93" s="121" t="s">
        <v>205</v>
      </c>
      <c r="C93" s="83">
        <v>837</v>
      </c>
      <c r="D93" s="152" t="s">
        <v>126</v>
      </c>
      <c r="E93" s="114"/>
    </row>
    <row r="94" spans="2:7" ht="12.75" thickBot="1" x14ac:dyDescent="0.25">
      <c r="B94" s="121" t="s">
        <v>195</v>
      </c>
      <c r="C94" s="83">
        <v>820</v>
      </c>
      <c r="D94" s="152" t="s">
        <v>126</v>
      </c>
      <c r="E94" s="114"/>
    </row>
    <row r="95" spans="2:7" ht="12.75" thickBot="1" x14ac:dyDescent="0.25">
      <c r="B95" s="121" t="s">
        <v>73</v>
      </c>
      <c r="C95" s="83">
        <v>228</v>
      </c>
      <c r="D95" s="152" t="s">
        <v>127</v>
      </c>
      <c r="E95" s="114"/>
    </row>
    <row r="96" spans="2:7" ht="12.75" thickBot="1" x14ac:dyDescent="0.25">
      <c r="B96" s="122" t="s">
        <v>206</v>
      </c>
      <c r="C96" s="83">
        <v>840</v>
      </c>
      <c r="D96" s="153" t="s">
        <v>127</v>
      </c>
      <c r="E96" s="109"/>
    </row>
    <row r="97" spans="2:9" x14ac:dyDescent="0.2">
      <c r="C97" s="84"/>
      <c r="E97" s="71"/>
    </row>
    <row r="98" spans="2:9" ht="12.75" thickBot="1" x14ac:dyDescent="0.25"/>
    <row r="99" spans="2:9" ht="12.75" thickBot="1" x14ac:dyDescent="0.25">
      <c r="B99" s="126" t="s">
        <v>77</v>
      </c>
      <c r="C99" s="82">
        <v>650</v>
      </c>
      <c r="E99" s="127" t="s">
        <v>157</v>
      </c>
    </row>
    <row r="100" spans="2:9" ht="12.75" thickBot="1" x14ac:dyDescent="0.25">
      <c r="B100" s="126" t="s">
        <v>78</v>
      </c>
      <c r="C100" s="82">
        <v>903</v>
      </c>
      <c r="E100" s="127" t="s">
        <v>210</v>
      </c>
    </row>
    <row r="106" spans="2:9" x14ac:dyDescent="0.2">
      <c r="I106" s="126">
        <v>2835440</v>
      </c>
    </row>
    <row r="107" spans="2:9" x14ac:dyDescent="0.2">
      <c r="H107" s="126">
        <v>37605</v>
      </c>
      <c r="I107" s="126">
        <f>+I106/H107</f>
        <v>75.400611620795104</v>
      </c>
    </row>
    <row r="108" spans="2:9" x14ac:dyDescent="0.2">
      <c r="G108" s="78">
        <v>75.400000000000006</v>
      </c>
      <c r="H108" s="126">
        <v>37643</v>
      </c>
      <c r="I108" s="126">
        <f>+G108*H108</f>
        <v>2838282.2</v>
      </c>
    </row>
    <row r="110" spans="2:9" x14ac:dyDescent="0.2">
      <c r="I110" s="126">
        <v>2835440</v>
      </c>
    </row>
    <row r="111" spans="2:9" x14ac:dyDescent="0.2">
      <c r="H111" s="126">
        <v>37643</v>
      </c>
      <c r="I111" s="126">
        <f>+I110/H111</f>
        <v>75.324495922216613</v>
      </c>
    </row>
    <row r="112" spans="2:9" x14ac:dyDescent="0.2">
      <c r="G112" s="78">
        <v>75.319999999999993</v>
      </c>
      <c r="H112" s="126">
        <v>37681</v>
      </c>
      <c r="I112" s="126">
        <f>+G112*H112</f>
        <v>2838132.92</v>
      </c>
    </row>
  </sheetData>
  <phoneticPr fontId="0" type="noConversion"/>
  <hyperlinks>
    <hyperlink ref="E29" r:id="rId1"/>
  </hyperlinks>
  <pageMargins left="0.19685039370078741" right="0" top="0.59055118110236227" bottom="0.19685039370078741" header="0.51181102362204722" footer="0.51181102362204722"/>
  <pageSetup scale="89" orientation="landscape" horizontalDpi="360" verticalDpi="360" r:id="rId2"/>
  <headerFooter alignWithMargins="0"/>
  <rowBreaks count="1" manualBreakCount="1">
    <brk id="52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N103"/>
  <sheetViews>
    <sheetView topLeftCell="A49" workbookViewId="0">
      <selection activeCell="E62" sqref="E62"/>
    </sheetView>
  </sheetViews>
  <sheetFormatPr baseColWidth="10" defaultColWidth="9.140625" defaultRowHeight="12" x14ac:dyDescent="0.2"/>
  <cols>
    <col min="1" max="1" width="13.85546875" style="134" customWidth="1"/>
    <col min="2" max="2" width="45" style="126" customWidth="1"/>
    <col min="3" max="3" width="5.28515625" style="80" customWidth="1"/>
    <col min="4" max="4" width="1.85546875" style="131" customWidth="1"/>
    <col min="5" max="5" width="15.7109375" style="124" customWidth="1"/>
    <col min="6" max="6" width="3" style="126" customWidth="1"/>
    <col min="7" max="7" width="11.5703125" style="78" customWidth="1"/>
    <col min="8" max="8" width="9.140625" style="126" customWidth="1"/>
    <col min="9" max="9" width="13.42578125" style="126" customWidth="1"/>
    <col min="10" max="10" width="10.42578125" style="126" customWidth="1"/>
    <col min="11" max="11" width="13.7109375" style="126" customWidth="1"/>
    <col min="12" max="12" width="13.28515625" style="126" customWidth="1"/>
    <col min="13" max="13" width="14.85546875" style="126" customWidth="1"/>
    <col min="14" max="16384" width="9.140625" style="126"/>
  </cols>
  <sheetData>
    <row r="1" spans="1:14" s="79" customFormat="1" ht="12.75" x14ac:dyDescent="0.2">
      <c r="A1" s="129" t="s">
        <v>115</v>
      </c>
      <c r="D1" s="129"/>
    </row>
    <row r="2" spans="1:14" s="79" customFormat="1" ht="12.75" x14ac:dyDescent="0.2">
      <c r="A2" s="129" t="s">
        <v>114</v>
      </c>
      <c r="D2" s="129"/>
    </row>
    <row r="3" spans="1:14" ht="12.75" x14ac:dyDescent="0.2">
      <c r="A3" s="130" t="str">
        <f>'AT10'!A3</f>
        <v>AÑO TRIBUTARIO 2010</v>
      </c>
    </row>
    <row r="4" spans="1:14" x14ac:dyDescent="0.2">
      <c r="A4" s="132" t="s">
        <v>0</v>
      </c>
      <c r="L4" s="133"/>
      <c r="M4" s="133"/>
      <c r="N4" s="133"/>
    </row>
    <row r="5" spans="1:14" ht="12.75" thickBot="1" x14ac:dyDescent="0.25">
      <c r="A5" s="134" t="s">
        <v>1</v>
      </c>
      <c r="B5" s="126" t="s">
        <v>2</v>
      </c>
      <c r="C5" s="81" t="s">
        <v>3</v>
      </c>
      <c r="E5" s="134" t="s">
        <v>4</v>
      </c>
      <c r="L5" s="135"/>
      <c r="M5" s="135"/>
      <c r="N5" s="133"/>
    </row>
    <row r="6" spans="1:14" ht="12.75" thickBot="1" x14ac:dyDescent="0.25">
      <c r="B6" s="126" t="s">
        <v>5</v>
      </c>
      <c r="C6" s="82" t="s">
        <v>6</v>
      </c>
      <c r="E6" s="124" t="str">
        <f>A2</f>
        <v>86.132.100-2</v>
      </c>
      <c r="L6" s="135"/>
      <c r="M6" s="135"/>
      <c r="N6" s="133"/>
    </row>
    <row r="7" spans="1:14" ht="12.75" thickBot="1" x14ac:dyDescent="0.25">
      <c r="B7" s="126" t="s">
        <v>7</v>
      </c>
      <c r="C7" s="82" t="s">
        <v>8</v>
      </c>
      <c r="E7" s="124" t="str">
        <f>A1</f>
        <v>DEMARKA S.A.</v>
      </c>
      <c r="L7" s="135"/>
      <c r="M7" s="135"/>
      <c r="N7" s="133"/>
    </row>
    <row r="8" spans="1:14" s="137" customFormat="1" ht="12.75" thickBot="1" x14ac:dyDescent="0.25">
      <c r="A8" s="136">
        <v>34</v>
      </c>
      <c r="B8" s="137" t="s">
        <v>104</v>
      </c>
      <c r="C8" s="83">
        <v>18</v>
      </c>
      <c r="D8" s="138"/>
      <c r="E8" s="74" t="str">
        <f>IF(E50&gt;0,E50,"PERDIDA")</f>
        <v>PERDIDA</v>
      </c>
      <c r="L8" s="139"/>
      <c r="M8" s="139"/>
      <c r="N8" s="93"/>
    </row>
    <row r="9" spans="1:14" s="137" customFormat="1" ht="12.75" thickBot="1" x14ac:dyDescent="0.25">
      <c r="A9" s="136"/>
      <c r="B9" s="93" t="s">
        <v>179</v>
      </c>
      <c r="C9" s="83">
        <v>19</v>
      </c>
      <c r="D9" s="138"/>
      <c r="E9" s="94">
        <v>0</v>
      </c>
      <c r="L9" s="139"/>
      <c r="M9" s="139"/>
      <c r="N9" s="93"/>
    </row>
    <row r="10" spans="1:14" s="137" customFormat="1" ht="12.75" thickBot="1" x14ac:dyDescent="0.25">
      <c r="A10" s="136"/>
      <c r="B10" s="137" t="s">
        <v>105</v>
      </c>
      <c r="C10" s="83">
        <v>20</v>
      </c>
      <c r="D10" s="138"/>
      <c r="E10" s="74">
        <f>MAX(ROUND(17%*E50-E9,0),0)</f>
        <v>0</v>
      </c>
      <c r="L10" s="139"/>
      <c r="M10" s="139"/>
      <c r="N10" s="93"/>
    </row>
    <row r="11" spans="1:14" s="137" customFormat="1" ht="12.75" thickBot="1" x14ac:dyDescent="0.25">
      <c r="A11" s="136">
        <v>48</v>
      </c>
      <c r="B11" s="137" t="s">
        <v>112</v>
      </c>
      <c r="C11" s="83">
        <v>82</v>
      </c>
      <c r="D11" s="138"/>
      <c r="E11" s="71">
        <v>0</v>
      </c>
      <c r="L11" s="139"/>
      <c r="M11" s="139"/>
      <c r="N11" s="93"/>
    </row>
    <row r="12" spans="1:14" s="137" customFormat="1" ht="12.75" thickBot="1" x14ac:dyDescent="0.25">
      <c r="A12" s="136">
        <v>52</v>
      </c>
      <c r="B12" s="137" t="s">
        <v>106</v>
      </c>
      <c r="C12" s="83">
        <v>167</v>
      </c>
      <c r="D12" s="138"/>
      <c r="E12" s="74">
        <f>E90</f>
        <v>0</v>
      </c>
      <c r="L12" s="139"/>
      <c r="M12" s="139"/>
      <c r="N12" s="93"/>
    </row>
    <row r="13" spans="1:14" s="137" customFormat="1" ht="12.75" thickBot="1" x14ac:dyDescent="0.25">
      <c r="A13" s="136"/>
      <c r="B13" s="137" t="s">
        <v>107</v>
      </c>
      <c r="C13" s="83">
        <v>747</v>
      </c>
      <c r="D13" s="138"/>
      <c r="E13" s="74">
        <f>E12</f>
        <v>0</v>
      </c>
      <c r="L13" s="139"/>
      <c r="M13" s="139"/>
      <c r="N13" s="93"/>
    </row>
    <row r="14" spans="1:14" ht="12.75" thickBot="1" x14ac:dyDescent="0.25">
      <c r="A14" s="134">
        <v>55</v>
      </c>
      <c r="B14" s="126" t="s">
        <v>9</v>
      </c>
      <c r="C14" s="82">
        <v>305</v>
      </c>
      <c r="E14" s="71">
        <f>E10-E11-E13</f>
        <v>0</v>
      </c>
      <c r="L14" s="135"/>
      <c r="M14" s="135"/>
      <c r="N14" s="133"/>
    </row>
    <row r="15" spans="1:14" ht="12.75" thickBot="1" x14ac:dyDescent="0.25">
      <c r="A15" s="134">
        <v>56</v>
      </c>
      <c r="B15" s="126" t="str">
        <f>IF(E14&gt;0,"Impuesto Adeudado","SALDO A FAVOR")</f>
        <v>SALDO A FAVOR</v>
      </c>
      <c r="C15" s="82">
        <f>IF(E14&gt;0,90,85)</f>
        <v>85</v>
      </c>
      <c r="E15" s="71">
        <f>ABS(E14)</f>
        <v>0</v>
      </c>
      <c r="L15" s="135"/>
      <c r="M15" s="135"/>
      <c r="N15" s="133"/>
    </row>
    <row r="16" spans="1:14" ht="12.75" thickBot="1" x14ac:dyDescent="0.25">
      <c r="A16" s="134" t="str">
        <f>IF(E14&gt;0,59,"")</f>
        <v/>
      </c>
      <c r="B16" s="140" t="str">
        <f>IF($E$14&gt;0,0.7%,"")</f>
        <v/>
      </c>
      <c r="C16" s="82" t="str">
        <f>IF($E$14&gt;0,39,"")</f>
        <v/>
      </c>
      <c r="E16" s="71" t="str">
        <f>IF($E$14&gt;0,ROUND(B16*E15,0),"")</f>
        <v/>
      </c>
      <c r="L16" s="135"/>
      <c r="M16" s="135"/>
      <c r="N16" s="133"/>
    </row>
    <row r="17" spans="1:14" ht="12.75" thickBot="1" x14ac:dyDescent="0.25">
      <c r="A17" s="134">
        <v>58</v>
      </c>
      <c r="B17" s="126" t="str">
        <f>IF($E$14&gt;0,"TOTAL A PAGAR","DEVOLUCION SOLICITADA")</f>
        <v>DEVOLUCION SOLICITADA</v>
      </c>
      <c r="C17" s="82">
        <f>IF($E$14&gt;0,91,87)</f>
        <v>87</v>
      </c>
      <c r="E17" s="71">
        <f>SUM(E15:E16)</f>
        <v>0</v>
      </c>
      <c r="L17" s="135"/>
      <c r="M17" s="135"/>
      <c r="N17" s="133"/>
    </row>
    <row r="18" spans="1:14" ht="12.75" thickBot="1" x14ac:dyDescent="0.25">
      <c r="B18" s="126" t="str">
        <f>IF($E$14&gt;0,"","Nombre Institución Bancaria")</f>
        <v>Nombre Institución Bancaria</v>
      </c>
      <c r="C18" s="82">
        <f>IF($E$14&gt;0,"",301)</f>
        <v>301</v>
      </c>
      <c r="E18" s="73" t="s">
        <v>208</v>
      </c>
      <c r="L18" s="135"/>
      <c r="M18" s="135"/>
      <c r="N18" s="133"/>
    </row>
    <row r="19" spans="1:14" ht="12.75" thickBot="1" x14ac:dyDescent="0.25">
      <c r="B19" s="126" t="str">
        <f>IF($E$14&gt;0,"","Número de Cuenta")</f>
        <v>Número de Cuenta</v>
      </c>
      <c r="C19" s="82">
        <f>IF($E$14&gt;0,"",306)</f>
        <v>306</v>
      </c>
      <c r="E19" s="73">
        <v>1800188107</v>
      </c>
      <c r="L19" s="135"/>
      <c r="M19" s="135"/>
      <c r="N19" s="133"/>
    </row>
    <row r="20" spans="1:14" x14ac:dyDescent="0.2">
      <c r="C20" s="84"/>
      <c r="E20" s="71"/>
      <c r="L20" s="135"/>
      <c r="M20" s="135"/>
      <c r="N20" s="133"/>
    </row>
    <row r="21" spans="1:14" ht="12.75" thickBot="1" x14ac:dyDescent="0.25">
      <c r="A21" s="132" t="s">
        <v>10</v>
      </c>
      <c r="L21" s="135"/>
      <c r="M21" s="135"/>
      <c r="N21" s="133"/>
    </row>
    <row r="22" spans="1:14" ht="12.75" thickBot="1" x14ac:dyDescent="0.25">
      <c r="B22" s="126" t="s">
        <v>11</v>
      </c>
      <c r="C22" s="82" t="s">
        <v>12</v>
      </c>
      <c r="E22" s="124" t="s">
        <v>13</v>
      </c>
      <c r="L22" s="135"/>
      <c r="M22" s="135"/>
      <c r="N22" s="133"/>
    </row>
    <row r="23" spans="1:14" ht="12.75" thickBot="1" x14ac:dyDescent="0.25">
      <c r="B23" s="126" t="s">
        <v>14</v>
      </c>
      <c r="C23" s="82" t="s">
        <v>15</v>
      </c>
      <c r="E23" s="124" t="s">
        <v>16</v>
      </c>
      <c r="L23" s="135"/>
      <c r="M23" s="135"/>
      <c r="N23" s="133"/>
    </row>
    <row r="24" spans="1:14" ht="12.75" thickBot="1" x14ac:dyDescent="0.25">
      <c r="B24" s="126" t="s">
        <v>17</v>
      </c>
      <c r="C24" s="82">
        <v>53</v>
      </c>
      <c r="E24" s="134">
        <v>13</v>
      </c>
      <c r="L24" s="135"/>
      <c r="M24" s="135"/>
      <c r="N24" s="133"/>
    </row>
    <row r="25" spans="1:14" ht="12.75" thickBot="1" x14ac:dyDescent="0.25">
      <c r="B25" s="126" t="s">
        <v>18</v>
      </c>
      <c r="C25" s="82">
        <v>13</v>
      </c>
      <c r="E25" s="141" t="s">
        <v>117</v>
      </c>
      <c r="I25" s="142"/>
      <c r="L25" s="133"/>
      <c r="M25" s="133"/>
      <c r="N25" s="133"/>
    </row>
    <row r="26" spans="1:14" ht="12.75" thickBot="1" x14ac:dyDescent="0.25">
      <c r="B26" s="126" t="s">
        <v>19</v>
      </c>
      <c r="C26" s="82">
        <v>14</v>
      </c>
      <c r="E26" s="128">
        <v>61911</v>
      </c>
      <c r="I26" s="142"/>
      <c r="J26" s="142"/>
      <c r="K26" s="142"/>
      <c r="L26" s="133"/>
      <c r="M26" s="133"/>
      <c r="N26" s="133"/>
    </row>
    <row r="27" spans="1:14" ht="12.75" thickBot="1" x14ac:dyDescent="0.25">
      <c r="B27" s="126" t="s">
        <v>20</v>
      </c>
      <c r="C27" s="82" t="s">
        <v>21</v>
      </c>
      <c r="E27" s="134" t="s">
        <v>213</v>
      </c>
      <c r="I27" s="142"/>
      <c r="L27" s="133"/>
      <c r="M27" s="133"/>
      <c r="N27" s="133"/>
    </row>
    <row r="28" spans="1:14" ht="12.75" thickBot="1" x14ac:dyDescent="0.25">
      <c r="B28" s="126" t="s">
        <v>22</v>
      </c>
      <c r="C28" s="82">
        <v>48</v>
      </c>
      <c r="E28" s="134" t="s">
        <v>214</v>
      </c>
      <c r="I28" s="142"/>
      <c r="J28" s="142"/>
      <c r="K28" s="133"/>
      <c r="L28" s="135"/>
      <c r="M28" s="133"/>
      <c r="N28" s="133"/>
    </row>
    <row r="29" spans="1:14" ht="13.5" thickBot="1" x14ac:dyDescent="0.25">
      <c r="B29" s="126" t="s">
        <v>23</v>
      </c>
      <c r="C29" s="82">
        <v>55</v>
      </c>
      <c r="E29" s="143" t="s">
        <v>154</v>
      </c>
      <c r="I29" s="142"/>
      <c r="J29" s="142"/>
      <c r="K29" s="133"/>
      <c r="L29" s="133"/>
      <c r="M29" s="133"/>
      <c r="N29" s="133"/>
    </row>
    <row r="30" spans="1:14" ht="12.75" thickBot="1" x14ac:dyDescent="0.25">
      <c r="B30" s="126" t="s">
        <v>24</v>
      </c>
      <c r="C30" s="82">
        <v>614</v>
      </c>
      <c r="E30" s="134" t="s">
        <v>25</v>
      </c>
      <c r="K30" s="133"/>
      <c r="L30" s="133"/>
      <c r="M30" s="133"/>
      <c r="N30" s="133"/>
    </row>
    <row r="31" spans="1:14" x14ac:dyDescent="0.2">
      <c r="I31" s="142"/>
      <c r="K31" s="133"/>
      <c r="L31" s="133"/>
      <c r="M31" s="133"/>
      <c r="N31" s="133"/>
    </row>
    <row r="32" spans="1:14" ht="12.75" thickBot="1" x14ac:dyDescent="0.25">
      <c r="A32" s="132" t="s">
        <v>138</v>
      </c>
      <c r="B32" s="126" t="s">
        <v>27</v>
      </c>
      <c r="E32" s="69"/>
      <c r="K32" s="133"/>
      <c r="L32" s="133"/>
      <c r="M32" s="133"/>
      <c r="N32" s="133"/>
    </row>
    <row r="33" spans="1:14" ht="12.75" thickBot="1" x14ac:dyDescent="0.25">
      <c r="A33" s="132"/>
      <c r="B33" s="126" t="s">
        <v>28</v>
      </c>
      <c r="C33" s="82">
        <v>628</v>
      </c>
      <c r="D33" s="131" t="s">
        <v>125</v>
      </c>
      <c r="E33" s="60">
        <v>2522235897</v>
      </c>
      <c r="G33" s="78" t="s">
        <v>101</v>
      </c>
      <c r="I33" s="142"/>
      <c r="K33" s="135"/>
      <c r="L33" s="135"/>
      <c r="M33" s="135"/>
      <c r="N33" s="135"/>
    </row>
    <row r="34" spans="1:14" ht="12.75" thickBot="1" x14ac:dyDescent="0.25">
      <c r="A34" s="132"/>
      <c r="B34" s="126" t="s">
        <v>29</v>
      </c>
      <c r="C34" s="82">
        <v>629</v>
      </c>
      <c r="D34" s="131" t="s">
        <v>125</v>
      </c>
      <c r="E34" s="60">
        <v>484654</v>
      </c>
      <c r="G34" s="78" t="s">
        <v>83</v>
      </c>
      <c r="K34" s="133"/>
      <c r="L34" s="133"/>
      <c r="M34" s="135"/>
      <c r="N34" s="133"/>
    </row>
    <row r="35" spans="1:14" ht="12.75" thickBot="1" x14ac:dyDescent="0.25">
      <c r="A35" s="132"/>
      <c r="B35" s="126" t="s">
        <v>30</v>
      </c>
      <c r="C35" s="82">
        <v>651</v>
      </c>
      <c r="D35" s="131" t="s">
        <v>125</v>
      </c>
      <c r="E35" s="60">
        <f>158711652-143461740</f>
        <v>15249912</v>
      </c>
      <c r="G35" s="144"/>
      <c r="K35" s="135"/>
      <c r="L35" s="135"/>
      <c r="M35" s="135"/>
      <c r="N35" s="135"/>
    </row>
    <row r="36" spans="1:14" ht="12.75" thickBot="1" x14ac:dyDescent="0.25">
      <c r="A36" s="132"/>
      <c r="B36" s="126" t="s">
        <v>31</v>
      </c>
      <c r="C36" s="82">
        <v>630</v>
      </c>
      <c r="D36" s="131" t="s">
        <v>126</v>
      </c>
      <c r="E36" s="60">
        <v>1402442887</v>
      </c>
      <c r="G36" s="78" t="s">
        <v>80</v>
      </c>
      <c r="K36" s="135"/>
      <c r="L36" s="135"/>
      <c r="M36" s="135"/>
      <c r="N36" s="135"/>
    </row>
    <row r="37" spans="1:14" ht="12.75" thickBot="1" x14ac:dyDescent="0.25">
      <c r="A37" s="132"/>
      <c r="B37" s="126" t="s">
        <v>32</v>
      </c>
      <c r="C37" s="82">
        <v>631</v>
      </c>
      <c r="D37" s="131" t="s">
        <v>126</v>
      </c>
      <c r="E37" s="60">
        <f>541789643+6347507+12760624+25225251</f>
        <v>586123025</v>
      </c>
      <c r="G37" s="78" t="s">
        <v>81</v>
      </c>
      <c r="K37" s="135"/>
      <c r="L37" s="135"/>
      <c r="M37" s="135"/>
      <c r="N37" s="135"/>
    </row>
    <row r="38" spans="1:14" ht="12.75" thickBot="1" x14ac:dyDescent="0.25">
      <c r="A38" s="132"/>
      <c r="B38" s="126" t="s">
        <v>33</v>
      </c>
      <c r="C38" s="82">
        <v>632</v>
      </c>
      <c r="D38" s="131" t="s">
        <v>126</v>
      </c>
      <c r="E38" s="60">
        <v>36667117</v>
      </c>
      <c r="G38" s="78" t="s">
        <v>82</v>
      </c>
      <c r="K38" s="135"/>
      <c r="L38" s="135"/>
      <c r="M38" s="135"/>
      <c r="N38" s="135"/>
    </row>
    <row r="39" spans="1:14" ht="12.75" thickBot="1" x14ac:dyDescent="0.25">
      <c r="A39" s="132"/>
      <c r="B39" s="126" t="s">
        <v>34</v>
      </c>
      <c r="C39" s="82">
        <v>633</v>
      </c>
      <c r="D39" s="131" t="s">
        <v>126</v>
      </c>
      <c r="E39" s="60">
        <v>37674878</v>
      </c>
      <c r="G39" s="144"/>
      <c r="K39" s="135"/>
      <c r="L39" s="135"/>
      <c r="M39" s="135"/>
      <c r="N39" s="135"/>
    </row>
    <row r="40" spans="1:14" ht="12.75" thickBot="1" x14ac:dyDescent="0.25">
      <c r="A40" s="132"/>
      <c r="B40" s="126" t="s">
        <v>35</v>
      </c>
      <c r="C40" s="95">
        <v>635</v>
      </c>
      <c r="D40" s="131" t="s">
        <v>126</v>
      </c>
      <c r="E40" s="125">
        <f>SUM(E33:E35)-SUM(E36:E39)-E42+E43-SUM('AT10'!G12:'AT10'!G14)</f>
        <v>212858962</v>
      </c>
      <c r="G40" s="78" t="s">
        <v>120</v>
      </c>
      <c r="K40" s="135"/>
      <c r="L40" s="135"/>
      <c r="M40" s="135"/>
      <c r="N40" s="135"/>
    </row>
    <row r="41" spans="1:14" ht="12.75" thickBot="1" x14ac:dyDescent="0.25">
      <c r="A41" s="132"/>
      <c r="B41" s="145" t="s">
        <v>36</v>
      </c>
      <c r="C41" s="82">
        <v>636</v>
      </c>
      <c r="D41" s="146" t="s">
        <v>127</v>
      </c>
      <c r="E41" s="99">
        <f>SUM(E33:E35)-SUM(E36:E40)</f>
        <v>262203594</v>
      </c>
      <c r="K41" s="135"/>
      <c r="L41" s="135"/>
      <c r="M41" s="135"/>
      <c r="N41" s="135"/>
    </row>
    <row r="42" spans="1:14" ht="12.75" thickBot="1" x14ac:dyDescent="0.25">
      <c r="A42" s="132"/>
      <c r="B42" s="126" t="s">
        <v>37</v>
      </c>
      <c r="C42" s="96">
        <v>637</v>
      </c>
      <c r="D42" s="131" t="s">
        <v>126</v>
      </c>
      <c r="E42" s="60">
        <v>20910591</v>
      </c>
      <c r="G42" s="78" t="s">
        <v>82</v>
      </c>
      <c r="I42" s="147"/>
      <c r="K42" s="135"/>
      <c r="L42" s="135"/>
      <c r="M42" s="135"/>
      <c r="N42" s="135"/>
    </row>
    <row r="43" spans="1:14" ht="12.75" thickBot="1" x14ac:dyDescent="0.25">
      <c r="A43" s="132"/>
      <c r="B43" s="126" t="s">
        <v>38</v>
      </c>
      <c r="C43" s="82">
        <v>638</v>
      </c>
      <c r="D43" s="131" t="s">
        <v>125</v>
      </c>
      <c r="E43" s="60">
        <v>23328655</v>
      </c>
      <c r="G43" s="78" t="s">
        <v>83</v>
      </c>
      <c r="K43" s="135"/>
      <c r="L43" s="135"/>
      <c r="M43" s="135"/>
      <c r="N43" s="135"/>
    </row>
    <row r="44" spans="1:14" ht="12.75" thickBot="1" x14ac:dyDescent="0.25">
      <c r="A44" s="132"/>
      <c r="B44" s="126" t="s">
        <v>180</v>
      </c>
      <c r="C44" s="82">
        <v>639</v>
      </c>
      <c r="D44" s="131" t="s">
        <v>125</v>
      </c>
      <c r="E44" s="69">
        <v>0</v>
      </c>
      <c r="I44" s="148"/>
      <c r="K44" s="135"/>
      <c r="L44" s="135"/>
      <c r="M44" s="135"/>
      <c r="N44" s="135"/>
    </row>
    <row r="45" spans="1:14" ht="12.75" thickBot="1" x14ac:dyDescent="0.25">
      <c r="A45" s="132"/>
      <c r="B45" s="126" t="s">
        <v>181</v>
      </c>
      <c r="C45" s="82">
        <v>634</v>
      </c>
      <c r="D45" s="131" t="s">
        <v>126</v>
      </c>
      <c r="E45" s="69">
        <f>-'AT10'!G10</f>
        <v>1036112559</v>
      </c>
      <c r="I45" s="142"/>
      <c r="K45" s="135"/>
      <c r="L45" s="135"/>
      <c r="M45" s="135"/>
      <c r="N45" s="135"/>
    </row>
    <row r="46" spans="1:14" ht="12.75" thickBot="1" x14ac:dyDescent="0.25">
      <c r="A46" s="132"/>
      <c r="B46" s="126" t="s">
        <v>182</v>
      </c>
      <c r="C46" s="82">
        <v>640</v>
      </c>
      <c r="D46" s="131" t="s">
        <v>126</v>
      </c>
      <c r="E46" s="69">
        <f>'AT09'!G15</f>
        <v>0</v>
      </c>
      <c r="G46" s="78" t="s">
        <v>177</v>
      </c>
      <c r="I46" s="142"/>
      <c r="K46" s="135"/>
      <c r="L46" s="135"/>
      <c r="M46" s="135"/>
      <c r="N46" s="135"/>
    </row>
    <row r="47" spans="1:14" ht="12.75" thickBot="1" x14ac:dyDescent="0.25">
      <c r="A47" s="132"/>
      <c r="B47" s="126" t="s">
        <v>183</v>
      </c>
      <c r="C47" s="82">
        <v>807</v>
      </c>
      <c r="D47" s="149" t="s">
        <v>126</v>
      </c>
      <c r="E47" s="60">
        <v>0</v>
      </c>
      <c r="I47" s="142"/>
      <c r="K47" s="135"/>
      <c r="L47" s="135"/>
      <c r="M47" s="135"/>
      <c r="N47" s="135"/>
    </row>
    <row r="48" spans="1:14" ht="12.75" thickBot="1" x14ac:dyDescent="0.25">
      <c r="A48" s="132"/>
      <c r="B48" s="126" t="s">
        <v>42</v>
      </c>
      <c r="C48" s="82">
        <v>641</v>
      </c>
      <c r="D48" s="131" t="s">
        <v>126</v>
      </c>
      <c r="E48" s="60">
        <v>0</v>
      </c>
      <c r="I48" s="142"/>
      <c r="M48" s="142"/>
    </row>
    <row r="49" spans="1:9" ht="12.75" thickBot="1" x14ac:dyDescent="0.25">
      <c r="A49" s="132"/>
      <c r="B49" s="126" t="s">
        <v>43</v>
      </c>
      <c r="C49" s="95">
        <v>642</v>
      </c>
      <c r="D49" s="131" t="s">
        <v>126</v>
      </c>
      <c r="E49" s="69">
        <f>-'AT10'!G18</f>
        <v>0</v>
      </c>
      <c r="I49" s="142"/>
    </row>
    <row r="50" spans="1:9" ht="12.75" thickBot="1" x14ac:dyDescent="0.25">
      <c r="A50" s="132"/>
      <c r="B50" s="145" t="s">
        <v>44</v>
      </c>
      <c r="C50" s="82">
        <v>643</v>
      </c>
      <c r="D50" s="146" t="s">
        <v>127</v>
      </c>
      <c r="E50" s="99">
        <f>E41-E42+E43+E44-SUM(E45:E49)</f>
        <v>-771490901</v>
      </c>
      <c r="I50" s="142"/>
    </row>
    <row r="51" spans="1:9" x14ac:dyDescent="0.2">
      <c r="E51" s="69"/>
      <c r="I51" s="142"/>
    </row>
    <row r="52" spans="1:9" ht="12.75" thickBot="1" x14ac:dyDescent="0.25">
      <c r="A52" s="132" t="s">
        <v>26</v>
      </c>
      <c r="B52" s="126" t="s">
        <v>47</v>
      </c>
      <c r="E52" s="69"/>
      <c r="I52" s="142"/>
    </row>
    <row r="53" spans="1:9" ht="12.75" thickBot="1" x14ac:dyDescent="0.25">
      <c r="B53" s="126" t="s">
        <v>184</v>
      </c>
      <c r="C53" s="82">
        <v>101</v>
      </c>
      <c r="E53" s="60">
        <v>626734</v>
      </c>
      <c r="G53" s="78" t="s">
        <v>84</v>
      </c>
      <c r="I53" s="142"/>
    </row>
    <row r="54" spans="1:9" ht="12.75" thickBot="1" x14ac:dyDescent="0.25">
      <c r="B54" s="126" t="s">
        <v>146</v>
      </c>
      <c r="C54" s="82">
        <v>784</v>
      </c>
      <c r="E54" s="60">
        <v>30668001</v>
      </c>
      <c r="I54" s="142"/>
    </row>
    <row r="55" spans="1:9" ht="12.75" thickBot="1" x14ac:dyDescent="0.25">
      <c r="B55" s="126" t="s">
        <v>185</v>
      </c>
      <c r="C55" s="82">
        <v>778</v>
      </c>
      <c r="E55" s="123">
        <v>0</v>
      </c>
      <c r="I55" s="142"/>
    </row>
    <row r="56" spans="1:9" ht="12.75" thickBot="1" x14ac:dyDescent="0.25">
      <c r="B56" s="126" t="s">
        <v>186</v>
      </c>
      <c r="C56" s="82">
        <v>816</v>
      </c>
      <c r="E56" s="60">
        <f>178224537+561776171+51521566+7832016+34752473+111830503+76010089</f>
        <v>1021947355</v>
      </c>
      <c r="I56" s="142"/>
    </row>
    <row r="57" spans="1:9" ht="12.75" thickBot="1" x14ac:dyDescent="0.25">
      <c r="B57" s="126" t="s">
        <v>187</v>
      </c>
      <c r="C57" s="82">
        <v>783</v>
      </c>
      <c r="E57" s="123">
        <v>0</v>
      </c>
      <c r="I57" s="142"/>
    </row>
    <row r="58" spans="1:9" ht="12.75" thickBot="1" x14ac:dyDescent="0.25">
      <c r="B58" s="126" t="s">
        <v>49</v>
      </c>
      <c r="C58" s="82">
        <v>129</v>
      </c>
      <c r="E58" s="60">
        <v>657348897</v>
      </c>
      <c r="G58" s="78" t="s">
        <v>84</v>
      </c>
      <c r="I58" s="142"/>
    </row>
    <row r="59" spans="1:9" ht="12.75" thickBot="1" x14ac:dyDescent="0.25">
      <c r="B59" s="126" t="s">
        <v>55</v>
      </c>
      <c r="C59" s="82">
        <v>647</v>
      </c>
      <c r="E59" s="60">
        <f>217518360-67208316-49163670+8193945</f>
        <v>109340319</v>
      </c>
      <c r="G59" s="78" t="s">
        <v>143</v>
      </c>
      <c r="I59" s="142"/>
    </row>
    <row r="60" spans="1:9" ht="12.75" thickBot="1" x14ac:dyDescent="0.25">
      <c r="B60" s="126" t="s">
        <v>209</v>
      </c>
      <c r="C60" s="82">
        <v>785</v>
      </c>
      <c r="E60" s="60">
        <f>E38</f>
        <v>36667117</v>
      </c>
      <c r="G60" s="78" t="s">
        <v>211</v>
      </c>
      <c r="I60" s="142"/>
    </row>
    <row r="61" spans="1:9" ht="12.75" thickBot="1" x14ac:dyDescent="0.25">
      <c r="B61" s="126" t="s">
        <v>56</v>
      </c>
      <c r="C61" s="82">
        <v>648</v>
      </c>
      <c r="E61" s="60">
        <f>49163670-8193945</f>
        <v>40969725</v>
      </c>
      <c r="I61" s="142"/>
    </row>
    <row r="62" spans="1:9" ht="12.75" thickBot="1" x14ac:dyDescent="0.25">
      <c r="B62" s="126" t="s">
        <v>50</v>
      </c>
      <c r="C62" s="82">
        <v>122</v>
      </c>
      <c r="E62" s="60">
        <v>2041212345</v>
      </c>
      <c r="G62" s="78" t="s">
        <v>99</v>
      </c>
      <c r="I62" s="142"/>
    </row>
    <row r="63" spans="1:9" ht="12.75" thickBot="1" x14ac:dyDescent="0.25">
      <c r="B63" s="126" t="s">
        <v>189</v>
      </c>
      <c r="C63" s="82">
        <v>779</v>
      </c>
      <c r="E63" s="60">
        <v>0</v>
      </c>
      <c r="I63" s="142"/>
    </row>
    <row r="64" spans="1:9" ht="12.75" thickBot="1" x14ac:dyDescent="0.25">
      <c r="B64" s="126" t="s">
        <v>190</v>
      </c>
      <c r="C64" s="82">
        <v>817</v>
      </c>
      <c r="E64" s="60">
        <f>78293047-6200656+251366478+81329608+9865350+18339307-1135585</f>
        <v>431857549</v>
      </c>
      <c r="I64" s="142"/>
    </row>
    <row r="65" spans="1:9" ht="12.75" thickBot="1" x14ac:dyDescent="0.25">
      <c r="B65" s="126" t="s">
        <v>51</v>
      </c>
      <c r="C65" s="82">
        <v>123</v>
      </c>
      <c r="E65" s="60">
        <v>1807675813</v>
      </c>
      <c r="G65" s="78" t="s">
        <v>100</v>
      </c>
      <c r="I65" s="142"/>
    </row>
    <row r="66" spans="1:9" ht="12.75" thickBot="1" x14ac:dyDescent="0.25">
      <c r="B66" s="126" t="s">
        <v>52</v>
      </c>
      <c r="C66" s="82">
        <v>102</v>
      </c>
      <c r="E66" s="60">
        <f>2041212345-0-67208316-72677106-0</f>
        <v>1901326923</v>
      </c>
      <c r="G66" s="78" t="s">
        <v>110</v>
      </c>
      <c r="I66" s="142"/>
    </row>
    <row r="67" spans="1:9" ht="12.75" thickBot="1" x14ac:dyDescent="0.25">
      <c r="B67" s="126" t="s">
        <v>53</v>
      </c>
      <c r="C67" s="82">
        <v>645</v>
      </c>
      <c r="E67" s="60">
        <f>+E66-1054302024+7336241-0-18802099+450149</f>
        <v>836009190</v>
      </c>
      <c r="G67" s="78" t="s">
        <v>102</v>
      </c>
      <c r="I67" s="142"/>
    </row>
    <row r="68" spans="1:9" ht="12.75" thickBot="1" x14ac:dyDescent="0.25">
      <c r="B68" s="126" t="s">
        <v>54</v>
      </c>
      <c r="C68" s="82">
        <v>646</v>
      </c>
      <c r="E68" s="60">
        <v>0</v>
      </c>
      <c r="I68" s="142"/>
    </row>
    <row r="69" spans="1:9" ht="12.75" thickBot="1" x14ac:dyDescent="0.25">
      <c r="B69" s="126" t="s">
        <v>200</v>
      </c>
      <c r="C69" s="82">
        <v>843</v>
      </c>
      <c r="E69" s="69">
        <f>E67</f>
        <v>836009190</v>
      </c>
      <c r="I69" s="142"/>
    </row>
    <row r="70" spans="1:9" x14ac:dyDescent="0.2">
      <c r="I70" s="142"/>
    </row>
    <row r="71" spans="1:9" ht="12.75" thickBot="1" x14ac:dyDescent="0.25">
      <c r="A71" s="134" t="s">
        <v>201</v>
      </c>
      <c r="B71" s="126" t="s">
        <v>58</v>
      </c>
      <c r="I71" s="142"/>
    </row>
    <row r="72" spans="1:9" ht="12.75" thickBot="1" x14ac:dyDescent="0.25">
      <c r="B72" s="126" t="s">
        <v>147</v>
      </c>
      <c r="C72" s="82">
        <v>774</v>
      </c>
      <c r="D72" s="131" t="s">
        <v>125</v>
      </c>
      <c r="E72" s="75">
        <v>0</v>
      </c>
      <c r="I72" s="142"/>
    </row>
    <row r="73" spans="1:9" ht="12.75" thickBot="1" x14ac:dyDescent="0.25">
      <c r="B73" s="126" t="s">
        <v>148</v>
      </c>
      <c r="C73" s="82">
        <v>775</v>
      </c>
      <c r="D73" s="131" t="s">
        <v>125</v>
      </c>
      <c r="E73" s="75">
        <v>0</v>
      </c>
      <c r="I73" s="142"/>
    </row>
    <row r="74" spans="1:9" ht="12.75" thickBot="1" x14ac:dyDescent="0.25">
      <c r="B74" s="126" t="s">
        <v>60</v>
      </c>
      <c r="C74" s="82">
        <v>284</v>
      </c>
      <c r="D74" s="131" t="s">
        <v>126</v>
      </c>
      <c r="E74" s="69">
        <f>-'AT10'!G28</f>
        <v>1036112559.0000005</v>
      </c>
      <c r="I74" s="142"/>
    </row>
    <row r="75" spans="1:9" ht="12.75" thickBot="1" x14ac:dyDescent="0.25">
      <c r="B75" s="126" t="s">
        <v>61</v>
      </c>
      <c r="C75" s="82">
        <v>225</v>
      </c>
      <c r="D75" s="131" t="s">
        <v>125</v>
      </c>
      <c r="E75" s="71">
        <f>MAX(E50,0)</f>
        <v>0</v>
      </c>
      <c r="I75" s="142"/>
    </row>
    <row r="76" spans="1:9" ht="12.75" thickBot="1" x14ac:dyDescent="0.25">
      <c r="B76" s="126" t="s">
        <v>62</v>
      </c>
      <c r="C76" s="82">
        <v>229</v>
      </c>
      <c r="D76" s="131" t="s">
        <v>126</v>
      </c>
      <c r="E76" s="71">
        <f>-MIN(E50,0)</f>
        <v>771490901</v>
      </c>
      <c r="I76" s="142"/>
    </row>
    <row r="77" spans="1:9" ht="12.75" thickBot="1" x14ac:dyDescent="0.25">
      <c r="B77" s="126" t="s">
        <v>63</v>
      </c>
      <c r="C77" s="82">
        <v>623</v>
      </c>
      <c r="D77" s="131" t="s">
        <v>126</v>
      </c>
      <c r="E77" s="75"/>
      <c r="I77" s="142"/>
    </row>
    <row r="78" spans="1:9" ht="12.75" thickBot="1" x14ac:dyDescent="0.25">
      <c r="B78" s="126" t="s">
        <v>64</v>
      </c>
      <c r="C78" s="82">
        <v>624</v>
      </c>
      <c r="D78" s="131" t="s">
        <v>126</v>
      </c>
      <c r="E78" s="75">
        <v>0</v>
      </c>
      <c r="I78" s="142">
        <f>SUM(I44:I77)</f>
        <v>0</v>
      </c>
    </row>
    <row r="79" spans="1:9" ht="12.75" thickBot="1" x14ac:dyDescent="0.25">
      <c r="B79" s="126" t="s">
        <v>65</v>
      </c>
      <c r="C79" s="82">
        <v>227</v>
      </c>
      <c r="D79" s="131" t="s">
        <v>125</v>
      </c>
      <c r="E79" s="75"/>
      <c r="I79" s="142">
        <f>+I78+E40</f>
        <v>212858962</v>
      </c>
    </row>
    <row r="80" spans="1:9" ht="12.75" thickBot="1" x14ac:dyDescent="0.25">
      <c r="B80" s="126" t="s">
        <v>191</v>
      </c>
      <c r="C80" s="82">
        <v>776</v>
      </c>
      <c r="D80" s="149" t="s">
        <v>125</v>
      </c>
      <c r="E80" s="75"/>
      <c r="I80" s="142"/>
    </row>
    <row r="81" spans="2:7" ht="12.75" thickBot="1" x14ac:dyDescent="0.25">
      <c r="B81" s="126" t="s">
        <v>192</v>
      </c>
      <c r="C81" s="82">
        <v>777</v>
      </c>
      <c r="D81" s="149" t="s">
        <v>125</v>
      </c>
      <c r="E81" s="71">
        <f>E49</f>
        <v>0</v>
      </c>
    </row>
    <row r="82" spans="2:7" ht="12.75" thickBot="1" x14ac:dyDescent="0.25">
      <c r="B82" s="126" t="s">
        <v>152</v>
      </c>
      <c r="C82" s="82">
        <v>782</v>
      </c>
      <c r="D82" s="131" t="s">
        <v>125</v>
      </c>
      <c r="E82" s="71">
        <f>'AT10'!G38</f>
        <v>1036112559</v>
      </c>
    </row>
    <row r="83" spans="2:7" ht="12.75" thickBot="1" x14ac:dyDescent="0.25">
      <c r="B83" s="126" t="s">
        <v>149</v>
      </c>
      <c r="C83" s="82">
        <v>791</v>
      </c>
      <c r="D83" s="131" t="s">
        <v>125</v>
      </c>
      <c r="E83" s="75">
        <v>0</v>
      </c>
    </row>
    <row r="84" spans="2:7" ht="12.75" thickBot="1" x14ac:dyDescent="0.25">
      <c r="B84" s="126" t="s">
        <v>67</v>
      </c>
      <c r="C84" s="82">
        <v>275</v>
      </c>
      <c r="D84" s="131" t="s">
        <v>126</v>
      </c>
      <c r="E84" s="75"/>
    </row>
    <row r="85" spans="2:7" ht="12.75" thickBot="1" x14ac:dyDescent="0.25">
      <c r="B85" s="126" t="s">
        <v>68</v>
      </c>
      <c r="C85" s="95">
        <v>226</v>
      </c>
      <c r="D85" s="131" t="s">
        <v>126</v>
      </c>
      <c r="E85" s="75">
        <v>0</v>
      </c>
    </row>
    <row r="86" spans="2:7" ht="12.75" thickBot="1" x14ac:dyDescent="0.25">
      <c r="B86" s="150" t="s">
        <v>69</v>
      </c>
      <c r="C86" s="83">
        <v>231</v>
      </c>
      <c r="D86" s="151" t="s">
        <v>127</v>
      </c>
      <c r="E86" s="104">
        <v>0</v>
      </c>
    </row>
    <row r="87" spans="2:7" ht="12.75" thickBot="1" x14ac:dyDescent="0.25">
      <c r="B87" s="121" t="s">
        <v>70</v>
      </c>
      <c r="C87" s="83">
        <v>318</v>
      </c>
      <c r="D87" s="152" t="s">
        <v>127</v>
      </c>
      <c r="E87" s="106">
        <v>0</v>
      </c>
    </row>
    <row r="88" spans="2:7" ht="12.75" thickBot="1" x14ac:dyDescent="0.25">
      <c r="B88" s="122" t="s">
        <v>71</v>
      </c>
      <c r="C88" s="83">
        <v>232</v>
      </c>
      <c r="D88" s="153" t="s">
        <v>127</v>
      </c>
      <c r="E88" s="109">
        <f>-(E72+E73-E74+E75-E76-E77-E78+E79+E80+E81+E82+E83-E84-E85)+E86+E87</f>
        <v>771490901.00000048</v>
      </c>
    </row>
    <row r="89" spans="2:7" ht="12.75" thickBot="1" x14ac:dyDescent="0.25">
      <c r="B89" s="150" t="s">
        <v>74</v>
      </c>
      <c r="C89" s="83">
        <v>625</v>
      </c>
      <c r="D89" s="154" t="s">
        <v>125</v>
      </c>
      <c r="E89" s="104">
        <v>0</v>
      </c>
      <c r="G89" s="78" t="s">
        <v>85</v>
      </c>
    </row>
    <row r="90" spans="2:7" ht="12.75" thickBot="1" x14ac:dyDescent="0.25">
      <c r="B90" s="121" t="s">
        <v>75</v>
      </c>
      <c r="C90" s="83">
        <v>626</v>
      </c>
      <c r="D90" s="155" t="s">
        <v>125</v>
      </c>
      <c r="E90" s="106">
        <v>0</v>
      </c>
      <c r="G90" s="78" t="s">
        <v>86</v>
      </c>
    </row>
    <row r="91" spans="2:7" ht="12.75" thickBot="1" x14ac:dyDescent="0.25">
      <c r="B91" s="121" t="s">
        <v>76</v>
      </c>
      <c r="C91" s="83">
        <v>627</v>
      </c>
      <c r="D91" s="155" t="s">
        <v>126</v>
      </c>
      <c r="E91" s="114">
        <f>E90</f>
        <v>0</v>
      </c>
      <c r="G91" s="78" t="s">
        <v>87</v>
      </c>
    </row>
    <row r="92" spans="2:7" ht="12.75" thickBot="1" x14ac:dyDescent="0.25">
      <c r="B92" s="119" t="s">
        <v>202</v>
      </c>
      <c r="C92" s="120">
        <v>838</v>
      </c>
      <c r="D92" s="153" t="s">
        <v>127</v>
      </c>
      <c r="E92" s="109">
        <f>+E89+E90-E91</f>
        <v>0</v>
      </c>
    </row>
    <row r="93" spans="2:7" ht="12.75" thickBot="1" x14ac:dyDescent="0.25">
      <c r="B93" s="150" t="s">
        <v>193</v>
      </c>
      <c r="C93" s="83">
        <v>818</v>
      </c>
      <c r="D93" s="151" t="s">
        <v>125</v>
      </c>
      <c r="E93" s="113"/>
    </row>
    <row r="94" spans="2:7" ht="12.75" thickBot="1" x14ac:dyDescent="0.25">
      <c r="B94" s="121" t="s">
        <v>203</v>
      </c>
      <c r="C94" s="83">
        <v>842</v>
      </c>
      <c r="D94" s="152" t="s">
        <v>126</v>
      </c>
      <c r="E94" s="114"/>
    </row>
    <row r="95" spans="2:7" ht="12.75" thickBot="1" x14ac:dyDescent="0.25">
      <c r="B95" s="121" t="s">
        <v>204</v>
      </c>
      <c r="C95" s="83">
        <v>819</v>
      </c>
      <c r="D95" s="152" t="s">
        <v>125</v>
      </c>
      <c r="E95" s="114"/>
    </row>
    <row r="96" spans="2:7" ht="12.75" thickBot="1" x14ac:dyDescent="0.25">
      <c r="B96" s="121" t="s">
        <v>205</v>
      </c>
      <c r="C96" s="83">
        <v>837</v>
      </c>
      <c r="D96" s="152" t="s">
        <v>126</v>
      </c>
      <c r="E96" s="114"/>
    </row>
    <row r="97" spans="2:5" ht="12.75" thickBot="1" x14ac:dyDescent="0.25">
      <c r="B97" s="121" t="s">
        <v>195</v>
      </c>
      <c r="C97" s="83">
        <v>820</v>
      </c>
      <c r="D97" s="152" t="s">
        <v>126</v>
      </c>
      <c r="E97" s="114"/>
    </row>
    <row r="98" spans="2:5" ht="12.75" thickBot="1" x14ac:dyDescent="0.25">
      <c r="B98" s="121" t="s">
        <v>73</v>
      </c>
      <c r="C98" s="83">
        <v>228</v>
      </c>
      <c r="D98" s="152" t="s">
        <v>127</v>
      </c>
      <c r="E98" s="114"/>
    </row>
    <row r="99" spans="2:5" ht="12.75" thickBot="1" x14ac:dyDescent="0.25">
      <c r="B99" s="122" t="s">
        <v>206</v>
      </c>
      <c r="C99" s="83">
        <v>840</v>
      </c>
      <c r="D99" s="153" t="s">
        <v>127</v>
      </c>
      <c r="E99" s="109"/>
    </row>
    <row r="100" spans="2:5" x14ac:dyDescent="0.2">
      <c r="C100" s="84"/>
      <c r="E100" s="71"/>
    </row>
    <row r="101" spans="2:5" ht="12.75" thickBot="1" x14ac:dyDescent="0.25"/>
    <row r="102" spans="2:5" ht="12.75" thickBot="1" x14ac:dyDescent="0.25">
      <c r="B102" s="126" t="s">
        <v>77</v>
      </c>
      <c r="C102" s="82">
        <v>650</v>
      </c>
      <c r="E102" s="127" t="s">
        <v>157</v>
      </c>
    </row>
    <row r="103" spans="2:5" ht="12.75" thickBot="1" x14ac:dyDescent="0.25">
      <c r="B103" s="126" t="s">
        <v>78</v>
      </c>
      <c r="C103" s="82">
        <v>903</v>
      </c>
      <c r="E103" s="127" t="s">
        <v>210</v>
      </c>
    </row>
  </sheetData>
  <phoneticPr fontId="0" type="noConversion"/>
  <hyperlinks>
    <hyperlink ref="E29" r:id="rId1"/>
  </hyperlinks>
  <pageMargins left="0.19685039370078741" right="0" top="0.59055118110236227" bottom="0.19685039370078741" header="0.51181102362204722" footer="0.51181102362204722"/>
  <pageSetup scale="89" orientation="landscape" horizontalDpi="360" verticalDpi="360" r:id="rId2"/>
  <headerFooter alignWithMargins="0"/>
  <rowBreaks count="1" manualBreakCount="1">
    <brk id="51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G359"/>
  <sheetViews>
    <sheetView topLeftCell="A22" workbookViewId="0">
      <selection activeCell="H16" sqref="H16"/>
    </sheetView>
  </sheetViews>
  <sheetFormatPr baseColWidth="10" defaultColWidth="9.140625" defaultRowHeight="12" x14ac:dyDescent="0.2"/>
  <cols>
    <col min="1" max="1" width="13.85546875" style="6" customWidth="1"/>
    <col min="2" max="2" width="45" style="3" customWidth="1"/>
    <col min="3" max="3" width="5.28515625" style="80" customWidth="1"/>
    <col min="4" max="4" width="1.85546875" style="50" customWidth="1"/>
    <col min="5" max="5" width="15.7109375" style="25" customWidth="1"/>
    <col min="6" max="6" width="3" style="3" customWidth="1"/>
    <col min="7" max="7" width="11.5703125" style="24" customWidth="1"/>
    <col min="8" max="16384" width="9.140625" style="3"/>
  </cols>
  <sheetData>
    <row r="1" spans="1:5" s="55" customFormat="1" ht="12.75" x14ac:dyDescent="0.2">
      <c r="A1" s="56" t="s">
        <v>115</v>
      </c>
      <c r="C1" s="79"/>
      <c r="D1" s="56"/>
    </row>
    <row r="2" spans="1:5" s="55" customFormat="1" ht="12.75" x14ac:dyDescent="0.2">
      <c r="A2" s="56" t="s">
        <v>114</v>
      </c>
      <c r="C2" s="79"/>
      <c r="D2" s="56"/>
    </row>
    <row r="3" spans="1:5" ht="12.75" x14ac:dyDescent="0.2">
      <c r="A3" s="2" t="str">
        <f>'AT09'!A3</f>
        <v>AÑO TRIBUTARIO 2009</v>
      </c>
    </row>
    <row r="4" spans="1:5" x14ac:dyDescent="0.2">
      <c r="A4" s="5" t="s">
        <v>0</v>
      </c>
    </row>
    <row r="5" spans="1:5" ht="12.75" thickBot="1" x14ac:dyDescent="0.25">
      <c r="A5" s="6" t="s">
        <v>1</v>
      </c>
      <c r="B5" s="3" t="s">
        <v>2</v>
      </c>
      <c r="C5" s="81" t="s">
        <v>3</v>
      </c>
      <c r="E5" s="6" t="s">
        <v>4</v>
      </c>
    </row>
    <row r="6" spans="1:5" ht="12.75" thickBot="1" x14ac:dyDescent="0.25">
      <c r="B6" s="3" t="s">
        <v>5</v>
      </c>
      <c r="C6" s="82" t="s">
        <v>6</v>
      </c>
      <c r="E6" s="25" t="str">
        <f>A2</f>
        <v>86.132.100-2</v>
      </c>
    </row>
    <row r="7" spans="1:5" ht="12.75" thickBot="1" x14ac:dyDescent="0.25">
      <c r="B7" s="3" t="s">
        <v>7</v>
      </c>
      <c r="C7" s="82" t="s">
        <v>8</v>
      </c>
      <c r="E7" s="25" t="str">
        <f>A1</f>
        <v>DEMARKA S.A.</v>
      </c>
    </row>
    <row r="8" spans="1:5" s="40" customFormat="1" ht="12.75" thickBot="1" x14ac:dyDescent="0.25">
      <c r="A8" s="39">
        <v>34</v>
      </c>
      <c r="B8" s="40" t="s">
        <v>104</v>
      </c>
      <c r="C8" s="83">
        <v>18</v>
      </c>
      <c r="D8" s="51"/>
      <c r="E8" s="74" t="str">
        <f>IF(E50&gt;0,E50,"PERDIDA")</f>
        <v>PERDIDA</v>
      </c>
    </row>
    <row r="9" spans="1:5" s="40" customFormat="1" ht="12.75" thickBot="1" x14ac:dyDescent="0.25">
      <c r="A9" s="39"/>
      <c r="B9" s="93" t="s">
        <v>179</v>
      </c>
      <c r="C9" s="83">
        <v>19</v>
      </c>
      <c r="D9" s="51"/>
      <c r="E9" s="94">
        <v>0</v>
      </c>
    </row>
    <row r="10" spans="1:5" s="40" customFormat="1" ht="12.75" thickBot="1" x14ac:dyDescent="0.25">
      <c r="A10" s="39"/>
      <c r="B10" s="40" t="s">
        <v>105</v>
      </c>
      <c r="C10" s="83">
        <v>20</v>
      </c>
      <c r="D10" s="51"/>
      <c r="E10" s="74">
        <f>MAX(ROUND(17%*E50-E9,0),0)</f>
        <v>0</v>
      </c>
    </row>
    <row r="11" spans="1:5" s="40" customFormat="1" ht="12.75" thickBot="1" x14ac:dyDescent="0.25">
      <c r="A11" s="39">
        <v>48</v>
      </c>
      <c r="B11" s="40" t="s">
        <v>112</v>
      </c>
      <c r="C11" s="83">
        <v>82</v>
      </c>
      <c r="D11" s="51"/>
      <c r="E11" s="71">
        <f>'AT04'!G13</f>
        <v>0</v>
      </c>
    </row>
    <row r="12" spans="1:5" s="40" customFormat="1" ht="12.75" thickBot="1" x14ac:dyDescent="0.25">
      <c r="A12" s="39">
        <v>52</v>
      </c>
      <c r="B12" s="40" t="s">
        <v>106</v>
      </c>
      <c r="C12" s="83">
        <v>167</v>
      </c>
      <c r="D12" s="51"/>
      <c r="E12" s="74">
        <f>E90</f>
        <v>0</v>
      </c>
    </row>
    <row r="13" spans="1:5" s="40" customFormat="1" ht="12.75" thickBot="1" x14ac:dyDescent="0.25">
      <c r="A13" s="39"/>
      <c r="B13" s="40" t="s">
        <v>107</v>
      </c>
      <c r="C13" s="83">
        <v>747</v>
      </c>
      <c r="D13" s="51"/>
      <c r="E13" s="74">
        <f>E12</f>
        <v>0</v>
      </c>
    </row>
    <row r="14" spans="1:5" ht="12.75" thickBot="1" x14ac:dyDescent="0.25">
      <c r="A14" s="6">
        <v>55</v>
      </c>
      <c r="B14" s="3" t="s">
        <v>9</v>
      </c>
      <c r="C14" s="82">
        <v>305</v>
      </c>
      <c r="E14" s="71">
        <f>E10-E11-E13</f>
        <v>0</v>
      </c>
    </row>
    <row r="15" spans="1:5" ht="12.75" thickBot="1" x14ac:dyDescent="0.25">
      <c r="A15" s="6">
        <v>56</v>
      </c>
      <c r="B15" s="3" t="str">
        <f>IF(E14&gt;0,"Impuesto Adeudado","SALDO A FAVOR")</f>
        <v>SALDO A FAVOR</v>
      </c>
      <c r="C15" s="82">
        <f>IF(E14&gt;0,90,85)</f>
        <v>85</v>
      </c>
      <c r="E15" s="71">
        <f>ABS(E14)</f>
        <v>0</v>
      </c>
    </row>
    <row r="16" spans="1:5" ht="12.75" thickBot="1" x14ac:dyDescent="0.25">
      <c r="A16" s="6" t="str">
        <f>IF(E14&gt;0,59,"")</f>
        <v/>
      </c>
      <c r="B16" s="9" t="str">
        <f>IF($E$14&gt;0,0.7%,"")</f>
        <v/>
      </c>
      <c r="C16" s="82" t="str">
        <f>IF($E$14&gt;0,39,"")</f>
        <v/>
      </c>
      <c r="E16" s="71" t="str">
        <f>IF($E$14&gt;0,ROUND(B16*E15,0),"")</f>
        <v/>
      </c>
    </row>
    <row r="17" spans="1:5" ht="12.75" thickBot="1" x14ac:dyDescent="0.25">
      <c r="A17" s="6">
        <v>58</v>
      </c>
      <c r="B17" s="3" t="str">
        <f>IF($E$14&gt;0,"TOTAL A PAGAR","DEVOLUCION SOLICITADA")</f>
        <v>DEVOLUCION SOLICITADA</v>
      </c>
      <c r="C17" s="82">
        <f>IF($E$14&gt;0,91,87)</f>
        <v>87</v>
      </c>
      <c r="E17" s="71">
        <f>SUM(E15:E16)</f>
        <v>0</v>
      </c>
    </row>
    <row r="18" spans="1:5" ht="12.75" thickBot="1" x14ac:dyDescent="0.25">
      <c r="B18" s="3" t="str">
        <f>IF($E$14&gt;0,"","Nombre Institución Bancaria")</f>
        <v>Nombre Institución Bancaria</v>
      </c>
      <c r="C18" s="82">
        <f>IF($E$14&gt;0,"",301)</f>
        <v>301</v>
      </c>
      <c r="E18" s="73" t="s">
        <v>208</v>
      </c>
    </row>
    <row r="19" spans="1:5" ht="12.75" thickBot="1" x14ac:dyDescent="0.25">
      <c r="B19" s="3" t="str">
        <f>IF($E$14&gt;0,"","Número de Cuenta")</f>
        <v>Número de Cuenta</v>
      </c>
      <c r="C19" s="82">
        <f>IF($E$14&gt;0,"",306)</f>
        <v>306</v>
      </c>
      <c r="E19" s="73">
        <v>1800188107</v>
      </c>
    </row>
    <row r="20" spans="1:5" x14ac:dyDescent="0.2">
      <c r="C20" s="84"/>
      <c r="E20" s="26"/>
    </row>
    <row r="21" spans="1:5" ht="12.75" thickBot="1" x14ac:dyDescent="0.25">
      <c r="A21" s="5" t="s">
        <v>10</v>
      </c>
    </row>
    <row r="22" spans="1:5" ht="12.75" thickBot="1" x14ac:dyDescent="0.25">
      <c r="B22" s="3" t="s">
        <v>11</v>
      </c>
      <c r="C22" s="82" t="s">
        <v>12</v>
      </c>
      <c r="E22" s="25" t="s">
        <v>13</v>
      </c>
    </row>
    <row r="23" spans="1:5" ht="12.75" thickBot="1" x14ac:dyDescent="0.25">
      <c r="B23" s="3" t="s">
        <v>14</v>
      </c>
      <c r="C23" s="82" t="s">
        <v>15</v>
      </c>
      <c r="E23" s="25" t="s">
        <v>16</v>
      </c>
    </row>
    <row r="24" spans="1:5" ht="12.75" thickBot="1" x14ac:dyDescent="0.25">
      <c r="B24" s="3" t="s">
        <v>17</v>
      </c>
      <c r="C24" s="82">
        <v>53</v>
      </c>
      <c r="E24" s="6">
        <v>13</v>
      </c>
    </row>
    <row r="25" spans="1:5" ht="12.75" thickBot="1" x14ac:dyDescent="0.25">
      <c r="B25" s="3" t="s">
        <v>18</v>
      </c>
      <c r="C25" s="82">
        <v>13</v>
      </c>
      <c r="E25" s="62" t="s">
        <v>117</v>
      </c>
    </row>
    <row r="26" spans="1:5" ht="12.75" thickBot="1" x14ac:dyDescent="0.25">
      <c r="B26" s="3" t="s">
        <v>19</v>
      </c>
      <c r="C26" s="82">
        <v>14</v>
      </c>
      <c r="E26" s="128">
        <v>61911</v>
      </c>
    </row>
    <row r="27" spans="1:5" ht="12.75" thickBot="1" x14ac:dyDescent="0.25">
      <c r="B27" s="3" t="s">
        <v>20</v>
      </c>
      <c r="C27" s="82" t="s">
        <v>21</v>
      </c>
      <c r="E27" s="6" t="s">
        <v>175</v>
      </c>
    </row>
    <row r="28" spans="1:5" ht="12.75" thickBot="1" x14ac:dyDescent="0.25">
      <c r="B28" s="3" t="s">
        <v>22</v>
      </c>
      <c r="C28" s="82">
        <v>48</v>
      </c>
      <c r="E28" s="6" t="s">
        <v>176</v>
      </c>
    </row>
    <row r="29" spans="1:5" ht="13.5" thickBot="1" x14ac:dyDescent="0.25">
      <c r="B29" s="3" t="s">
        <v>23</v>
      </c>
      <c r="C29" s="82">
        <v>55</v>
      </c>
      <c r="E29" s="72" t="s">
        <v>154</v>
      </c>
    </row>
    <row r="30" spans="1:5" ht="12.75" thickBot="1" x14ac:dyDescent="0.25">
      <c r="B30" s="3" t="s">
        <v>24</v>
      </c>
      <c r="C30" s="82">
        <v>614</v>
      </c>
      <c r="E30" s="6" t="s">
        <v>25</v>
      </c>
    </row>
    <row r="32" spans="1:5" ht="12.75" thickBot="1" x14ac:dyDescent="0.25">
      <c r="A32" s="5" t="s">
        <v>138</v>
      </c>
      <c r="B32" s="3" t="s">
        <v>27</v>
      </c>
      <c r="E32" s="31"/>
    </row>
    <row r="33" spans="1:7" ht="12.75" thickBot="1" x14ac:dyDescent="0.25">
      <c r="A33" s="5"/>
      <c r="B33" s="3" t="s">
        <v>28</v>
      </c>
      <c r="C33" s="82">
        <v>628</v>
      </c>
      <c r="D33" s="50" t="s">
        <v>125</v>
      </c>
      <c r="E33" s="60">
        <f>2367811651-28499438</f>
        <v>2339312213</v>
      </c>
      <c r="G33" s="24" t="s">
        <v>101</v>
      </c>
    </row>
    <row r="34" spans="1:7" ht="12.75" thickBot="1" x14ac:dyDescent="0.25">
      <c r="A34" s="5"/>
      <c r="B34" s="3" t="s">
        <v>29</v>
      </c>
      <c r="C34" s="82">
        <v>629</v>
      </c>
      <c r="D34" s="50" t="s">
        <v>125</v>
      </c>
      <c r="E34" s="60">
        <v>19030</v>
      </c>
      <c r="G34" s="24" t="s">
        <v>83</v>
      </c>
    </row>
    <row r="35" spans="1:7" ht="12.75" thickBot="1" x14ac:dyDescent="0.25">
      <c r="A35" s="5"/>
      <c r="B35" s="3" t="s">
        <v>30</v>
      </c>
      <c r="C35" s="82">
        <v>651</v>
      </c>
      <c r="D35" s="50" t="s">
        <v>125</v>
      </c>
      <c r="E35" s="60">
        <f>6090825-126687</f>
        <v>5964138</v>
      </c>
      <c r="G35" s="49"/>
    </row>
    <row r="36" spans="1:7" ht="12.75" thickBot="1" x14ac:dyDescent="0.25">
      <c r="A36" s="5"/>
      <c r="B36" s="3" t="s">
        <v>31</v>
      </c>
      <c r="C36" s="82">
        <v>630</v>
      </c>
      <c r="D36" s="50" t="s">
        <v>126</v>
      </c>
      <c r="E36" s="60">
        <f>1276240331-1974371</f>
        <v>1274265960</v>
      </c>
      <c r="G36" s="24" t="s">
        <v>80</v>
      </c>
    </row>
    <row r="37" spans="1:7" ht="12.75" thickBot="1" x14ac:dyDescent="0.25">
      <c r="A37" s="5"/>
      <c r="B37" s="3" t="s">
        <v>32</v>
      </c>
      <c r="C37" s="82">
        <v>631</v>
      </c>
      <c r="D37" s="50" t="s">
        <v>126</v>
      </c>
      <c r="E37" s="60">
        <f>507819377+4561566+11759195+22487602</f>
        <v>546627740</v>
      </c>
      <c r="G37" s="24" t="s">
        <v>81</v>
      </c>
    </row>
    <row r="38" spans="1:7" ht="12.75" thickBot="1" x14ac:dyDescent="0.25">
      <c r="A38" s="5"/>
      <c r="B38" s="3" t="s">
        <v>33</v>
      </c>
      <c r="C38" s="82">
        <v>632</v>
      </c>
      <c r="D38" s="50" t="s">
        <v>126</v>
      </c>
      <c r="E38" s="60">
        <v>17258415</v>
      </c>
      <c r="G38" s="24" t="s">
        <v>82</v>
      </c>
    </row>
    <row r="39" spans="1:7" ht="12.75" thickBot="1" x14ac:dyDescent="0.25">
      <c r="A39" s="5"/>
      <c r="B39" s="3" t="s">
        <v>34</v>
      </c>
      <c r="C39" s="82">
        <v>633</v>
      </c>
      <c r="D39" s="50" t="s">
        <v>126</v>
      </c>
      <c r="E39" s="60">
        <v>47793373</v>
      </c>
      <c r="G39" s="49"/>
    </row>
    <row r="40" spans="1:7" ht="12.75" thickBot="1" x14ac:dyDescent="0.25">
      <c r="A40" s="5"/>
      <c r="B40" s="3" t="s">
        <v>35</v>
      </c>
      <c r="C40" s="95">
        <v>635</v>
      </c>
      <c r="D40" s="50" t="s">
        <v>126</v>
      </c>
      <c r="E40" s="125">
        <f>SUM(E33:E35)-SUM(E36:E39)-E42+E43-SUM('AT09'!G12:'AT09'!G14)</f>
        <v>393438764</v>
      </c>
      <c r="G40" s="24" t="s">
        <v>120</v>
      </c>
    </row>
    <row r="41" spans="1:7" ht="12.75" thickBot="1" x14ac:dyDescent="0.25">
      <c r="A41" s="5"/>
      <c r="B41" s="97" t="s">
        <v>36</v>
      </c>
      <c r="C41" s="82">
        <v>636</v>
      </c>
      <c r="D41" s="98" t="s">
        <v>127</v>
      </c>
      <c r="E41" s="99">
        <f>SUM(E33:E35)-SUM(E36:E40)</f>
        <v>65911129</v>
      </c>
    </row>
    <row r="42" spans="1:7" ht="12.75" thickBot="1" x14ac:dyDescent="0.25">
      <c r="A42" s="5"/>
      <c r="B42" s="3" t="s">
        <v>37</v>
      </c>
      <c r="C42" s="96">
        <v>637</v>
      </c>
      <c r="D42" s="50" t="s">
        <v>126</v>
      </c>
      <c r="E42" s="60">
        <v>70760607</v>
      </c>
      <c r="G42" s="24" t="s">
        <v>82</v>
      </c>
    </row>
    <row r="43" spans="1:7" ht="12.75" thickBot="1" x14ac:dyDescent="0.25">
      <c r="A43" s="5"/>
      <c r="B43" s="3" t="s">
        <v>38</v>
      </c>
      <c r="C43" s="82">
        <v>638</v>
      </c>
      <c r="D43" s="50" t="s">
        <v>125</v>
      </c>
      <c r="E43" s="60">
        <v>76029513</v>
      </c>
      <c r="G43" s="24" t="s">
        <v>83</v>
      </c>
    </row>
    <row r="44" spans="1:7" ht="12.75" thickBot="1" x14ac:dyDescent="0.25">
      <c r="A44" s="5"/>
      <c r="B44" s="3" t="s">
        <v>180</v>
      </c>
      <c r="C44" s="82">
        <v>639</v>
      </c>
      <c r="D44" s="50" t="s">
        <v>125</v>
      </c>
      <c r="E44" s="69">
        <v>0</v>
      </c>
    </row>
    <row r="45" spans="1:7" ht="12.75" thickBot="1" x14ac:dyDescent="0.25">
      <c r="A45" s="5"/>
      <c r="B45" s="3" t="s">
        <v>181</v>
      </c>
      <c r="C45" s="82">
        <v>634</v>
      </c>
      <c r="D45" s="50" t="s">
        <v>126</v>
      </c>
      <c r="E45" s="69">
        <f>-'AT09'!G10</f>
        <v>1107292594</v>
      </c>
    </row>
    <row r="46" spans="1:7" ht="12.75" thickBot="1" x14ac:dyDescent="0.25">
      <c r="A46" s="5"/>
      <c r="B46" s="3" t="s">
        <v>182</v>
      </c>
      <c r="C46" s="82">
        <v>640</v>
      </c>
      <c r="D46" s="50" t="s">
        <v>126</v>
      </c>
      <c r="E46" s="69">
        <f>'AT09'!G15</f>
        <v>0</v>
      </c>
      <c r="G46" s="24" t="s">
        <v>177</v>
      </c>
    </row>
    <row r="47" spans="1:7" ht="12.75" thickBot="1" x14ac:dyDescent="0.25">
      <c r="A47" s="5"/>
      <c r="B47" s="3" t="s">
        <v>183</v>
      </c>
      <c r="C47" s="82">
        <v>807</v>
      </c>
      <c r="D47" s="100" t="s">
        <v>126</v>
      </c>
      <c r="E47" s="60">
        <v>0</v>
      </c>
    </row>
    <row r="48" spans="1:7" ht="12.75" thickBot="1" x14ac:dyDescent="0.25">
      <c r="A48" s="5"/>
      <c r="B48" s="3" t="s">
        <v>42</v>
      </c>
      <c r="C48" s="82">
        <v>641</v>
      </c>
      <c r="D48" s="50" t="s">
        <v>126</v>
      </c>
      <c r="E48" s="60">
        <v>0</v>
      </c>
    </row>
    <row r="49" spans="1:7" ht="12.75" thickBot="1" x14ac:dyDescent="0.25">
      <c r="A49" s="5"/>
      <c r="B49" s="3" t="s">
        <v>43</v>
      </c>
      <c r="C49" s="95">
        <v>642</v>
      </c>
      <c r="D49" s="50" t="s">
        <v>126</v>
      </c>
      <c r="E49" s="69">
        <f>-'AT09'!G18</f>
        <v>0</v>
      </c>
    </row>
    <row r="50" spans="1:7" ht="12.75" thickBot="1" x14ac:dyDescent="0.25">
      <c r="A50" s="5"/>
      <c r="B50" s="97" t="s">
        <v>44</v>
      </c>
      <c r="C50" s="82">
        <v>643</v>
      </c>
      <c r="D50" s="98" t="s">
        <v>127</v>
      </c>
      <c r="E50" s="99">
        <f>E41-E42+E43+E44-SUM(E45:E49)</f>
        <v>-1036112559</v>
      </c>
    </row>
    <row r="51" spans="1:7" x14ac:dyDescent="0.2">
      <c r="E51" s="69"/>
    </row>
    <row r="52" spans="1:7" ht="12.75" thickBot="1" x14ac:dyDescent="0.25">
      <c r="A52" s="5" t="s">
        <v>26</v>
      </c>
      <c r="B52" s="3" t="s">
        <v>47</v>
      </c>
      <c r="E52" s="69"/>
    </row>
    <row r="53" spans="1:7" ht="12.75" thickBot="1" x14ac:dyDescent="0.25">
      <c r="B53" s="3" t="s">
        <v>184</v>
      </c>
      <c r="C53" s="82">
        <v>101</v>
      </c>
      <c r="E53" s="60">
        <v>443271</v>
      </c>
      <c r="G53" s="24" t="s">
        <v>84</v>
      </c>
    </row>
    <row r="54" spans="1:7" ht="12.75" thickBot="1" x14ac:dyDescent="0.25">
      <c r="B54" s="3" t="s">
        <v>146</v>
      </c>
      <c r="C54" s="82">
        <v>784</v>
      </c>
      <c r="E54" s="60">
        <f>6717395+30475399+810406+(371.3*636.45)</f>
        <v>38239513.884999998</v>
      </c>
      <c r="G54" s="78"/>
    </row>
    <row r="55" spans="1:7" ht="12.75" thickBot="1" x14ac:dyDescent="0.25">
      <c r="B55" s="3" t="s">
        <v>185</v>
      </c>
      <c r="C55" s="82">
        <v>778</v>
      </c>
      <c r="E55" s="123">
        <v>0</v>
      </c>
    </row>
    <row r="56" spans="1:7" ht="12.75" thickBot="1" x14ac:dyDescent="0.25">
      <c r="B56" s="3" t="s">
        <v>186</v>
      </c>
      <c r="C56" s="82">
        <v>816</v>
      </c>
      <c r="E56" s="60">
        <f>467461704+50697784+6190305+35837772+20401526+50477577+358689330</f>
        <v>989755998</v>
      </c>
    </row>
    <row r="57" spans="1:7" ht="12.75" thickBot="1" x14ac:dyDescent="0.25">
      <c r="B57" s="3" t="s">
        <v>187</v>
      </c>
      <c r="C57" s="82">
        <v>783</v>
      </c>
      <c r="E57" s="123">
        <v>0</v>
      </c>
    </row>
    <row r="58" spans="1:7" ht="12.75" thickBot="1" x14ac:dyDescent="0.25">
      <c r="B58" s="3" t="s">
        <v>49</v>
      </c>
      <c r="C58" s="82">
        <v>129</v>
      </c>
      <c r="E58" s="60">
        <f>727321634-555</f>
        <v>727321079</v>
      </c>
      <c r="G58" s="24" t="s">
        <v>84</v>
      </c>
    </row>
    <row r="59" spans="1:7" ht="12.75" thickBot="1" x14ac:dyDescent="0.25">
      <c r="B59" s="3" t="s">
        <v>55</v>
      </c>
      <c r="C59" s="82">
        <v>647</v>
      </c>
      <c r="E59" s="60">
        <f>54943370-42217653</f>
        <v>12725717</v>
      </c>
      <c r="G59" s="24" t="s">
        <v>143</v>
      </c>
    </row>
    <row r="60" spans="1:7" ht="12.75" thickBot="1" x14ac:dyDescent="0.25">
      <c r="B60" s="126" t="s">
        <v>209</v>
      </c>
      <c r="C60" s="82">
        <v>785</v>
      </c>
      <c r="E60" s="60">
        <f>E38</f>
        <v>17258415</v>
      </c>
      <c r="G60" s="24" t="s">
        <v>211</v>
      </c>
    </row>
    <row r="61" spans="1:7" ht="12.75" thickBot="1" x14ac:dyDescent="0.25">
      <c r="B61" s="3" t="s">
        <v>56</v>
      </c>
      <c r="C61" s="82">
        <v>648</v>
      </c>
      <c r="E61" s="60">
        <v>0</v>
      </c>
    </row>
    <row r="62" spans="1:7" ht="12.75" thickBot="1" x14ac:dyDescent="0.25">
      <c r="B62" s="3" t="s">
        <v>50</v>
      </c>
      <c r="C62" s="82">
        <v>122</v>
      </c>
      <c r="E62" s="60">
        <v>1863482004</v>
      </c>
      <c r="G62" s="24" t="s">
        <v>99</v>
      </c>
    </row>
    <row r="63" spans="1:7" ht="12.75" thickBot="1" x14ac:dyDescent="0.25">
      <c r="B63" s="3" t="s">
        <v>189</v>
      </c>
      <c r="C63" s="82">
        <v>779</v>
      </c>
      <c r="E63" s="60">
        <v>0</v>
      </c>
    </row>
    <row r="64" spans="1:7" ht="12.75" thickBot="1" x14ac:dyDescent="0.25">
      <c r="B64" s="3" t="s">
        <v>190</v>
      </c>
      <c r="C64" s="82">
        <v>817</v>
      </c>
      <c r="E64" s="60">
        <f>99673918-4037873+47637278+222054081+431455+788245</f>
        <v>366547104</v>
      </c>
    </row>
    <row r="65" spans="1:7" ht="12.75" thickBot="1" x14ac:dyDescent="0.25">
      <c r="B65" s="3" t="s">
        <v>51</v>
      </c>
      <c r="C65" s="82">
        <v>123</v>
      </c>
      <c r="E65" s="60">
        <v>1793914681</v>
      </c>
      <c r="G65" s="24" t="s">
        <v>100</v>
      </c>
    </row>
    <row r="66" spans="1:7" ht="12.75" thickBot="1" x14ac:dyDescent="0.25">
      <c r="B66" s="3" t="s">
        <v>52</v>
      </c>
      <c r="C66" s="82">
        <v>102</v>
      </c>
      <c r="E66" s="60">
        <f>1863482004-11661757-42217653-37467239-0</f>
        <v>1772135355</v>
      </c>
      <c r="G66" s="24" t="s">
        <v>110</v>
      </c>
    </row>
    <row r="67" spans="1:7" ht="12.75" thickBot="1" x14ac:dyDescent="0.25">
      <c r="B67" s="3" t="s">
        <v>53</v>
      </c>
      <c r="C67" s="82">
        <v>645</v>
      </c>
      <c r="E67" s="60">
        <f>+E66-1153951409+4037873-0</f>
        <v>622221819</v>
      </c>
      <c r="G67" s="24" t="s">
        <v>102</v>
      </c>
    </row>
    <row r="68" spans="1:7" ht="12.75" thickBot="1" x14ac:dyDescent="0.25">
      <c r="B68" s="3" t="s">
        <v>54</v>
      </c>
      <c r="C68" s="82">
        <v>646</v>
      </c>
      <c r="E68" s="60">
        <v>0</v>
      </c>
    </row>
    <row r="69" spans="1:7" ht="12.75" thickBot="1" x14ac:dyDescent="0.25">
      <c r="B69" s="3" t="s">
        <v>200</v>
      </c>
      <c r="C69" s="82">
        <v>843</v>
      </c>
      <c r="E69" s="69">
        <f>E67</f>
        <v>622221819</v>
      </c>
    </row>
    <row r="70" spans="1:7" x14ac:dyDescent="0.2">
      <c r="E70" s="124"/>
    </row>
    <row r="71" spans="1:7" ht="12.75" thickBot="1" x14ac:dyDescent="0.25">
      <c r="A71" s="6" t="s">
        <v>201</v>
      </c>
      <c r="B71" s="3" t="s">
        <v>58</v>
      </c>
      <c r="E71" s="124"/>
    </row>
    <row r="72" spans="1:7" ht="12.75" thickBot="1" x14ac:dyDescent="0.25">
      <c r="B72" s="3" t="s">
        <v>147</v>
      </c>
      <c r="C72" s="82">
        <v>774</v>
      </c>
      <c r="D72" s="50" t="s">
        <v>125</v>
      </c>
      <c r="E72" s="75">
        <v>0</v>
      </c>
    </row>
    <row r="73" spans="1:7" ht="12.75" thickBot="1" x14ac:dyDescent="0.25">
      <c r="B73" s="3" t="s">
        <v>148</v>
      </c>
      <c r="C73" s="82">
        <v>775</v>
      </c>
      <c r="D73" s="50" t="s">
        <v>125</v>
      </c>
      <c r="E73" s="75">
        <v>0</v>
      </c>
    </row>
    <row r="74" spans="1:7" ht="12.75" thickBot="1" x14ac:dyDescent="0.25">
      <c r="B74" s="3" t="s">
        <v>60</v>
      </c>
      <c r="C74" s="82">
        <v>284</v>
      </c>
      <c r="D74" s="50" t="s">
        <v>126</v>
      </c>
      <c r="E74" s="69">
        <f>-'AT09'!G28</f>
        <v>1107292594.0000005</v>
      </c>
    </row>
    <row r="75" spans="1:7" ht="12.75" thickBot="1" x14ac:dyDescent="0.25">
      <c r="B75" s="3" t="s">
        <v>61</v>
      </c>
      <c r="C75" s="82">
        <v>225</v>
      </c>
      <c r="D75" s="50" t="s">
        <v>125</v>
      </c>
      <c r="E75" s="71">
        <f>MAX(E50,0)</f>
        <v>0</v>
      </c>
    </row>
    <row r="76" spans="1:7" ht="12.75" thickBot="1" x14ac:dyDescent="0.25">
      <c r="B76" s="3" t="s">
        <v>62</v>
      </c>
      <c r="C76" s="82">
        <v>229</v>
      </c>
      <c r="D76" s="50" t="s">
        <v>126</v>
      </c>
      <c r="E76" s="71">
        <f>-MIN(E50,0)</f>
        <v>1036112559</v>
      </c>
    </row>
    <row r="77" spans="1:7" ht="12.75" thickBot="1" x14ac:dyDescent="0.25">
      <c r="B77" s="3" t="s">
        <v>63</v>
      </c>
      <c r="C77" s="82">
        <v>623</v>
      </c>
      <c r="D77" s="50" t="s">
        <v>126</v>
      </c>
      <c r="E77" s="75"/>
    </row>
    <row r="78" spans="1:7" ht="12.75" thickBot="1" x14ac:dyDescent="0.25">
      <c r="B78" s="3" t="s">
        <v>64</v>
      </c>
      <c r="C78" s="82">
        <v>624</v>
      </c>
      <c r="D78" s="50" t="s">
        <v>126</v>
      </c>
      <c r="E78" s="75">
        <v>0</v>
      </c>
    </row>
    <row r="79" spans="1:7" ht="12.75" thickBot="1" x14ac:dyDescent="0.25">
      <c r="B79" s="3" t="s">
        <v>65</v>
      </c>
      <c r="C79" s="82">
        <v>227</v>
      </c>
      <c r="D79" s="50" t="s">
        <v>125</v>
      </c>
      <c r="E79" s="75"/>
    </row>
    <row r="80" spans="1:7" ht="12.75" thickBot="1" x14ac:dyDescent="0.25">
      <c r="B80" s="3" t="s">
        <v>191</v>
      </c>
      <c r="C80" s="82">
        <v>776</v>
      </c>
      <c r="D80" s="100" t="s">
        <v>125</v>
      </c>
      <c r="E80" s="75"/>
    </row>
    <row r="81" spans="2:7" ht="12.75" thickBot="1" x14ac:dyDescent="0.25">
      <c r="B81" s="3" t="s">
        <v>192</v>
      </c>
      <c r="C81" s="82">
        <v>777</v>
      </c>
      <c r="D81" s="100" t="s">
        <v>125</v>
      </c>
      <c r="E81" s="71">
        <f>E49</f>
        <v>0</v>
      </c>
    </row>
    <row r="82" spans="2:7" ht="12.75" thickBot="1" x14ac:dyDescent="0.25">
      <c r="B82" s="3" t="s">
        <v>152</v>
      </c>
      <c r="C82" s="82">
        <v>782</v>
      </c>
      <c r="D82" s="50" t="s">
        <v>125</v>
      </c>
      <c r="E82" s="71">
        <f>'AT09'!G38</f>
        <v>1107292594</v>
      </c>
    </row>
    <row r="83" spans="2:7" ht="12.75" thickBot="1" x14ac:dyDescent="0.25">
      <c r="B83" s="3" t="s">
        <v>149</v>
      </c>
      <c r="C83" s="82">
        <v>791</v>
      </c>
      <c r="D83" s="50" t="s">
        <v>125</v>
      </c>
      <c r="E83" s="75">
        <v>0</v>
      </c>
    </row>
    <row r="84" spans="2:7" ht="12.75" thickBot="1" x14ac:dyDescent="0.25">
      <c r="B84" s="3" t="s">
        <v>67</v>
      </c>
      <c r="C84" s="82">
        <v>275</v>
      </c>
      <c r="D84" s="50" t="s">
        <v>126</v>
      </c>
      <c r="E84" s="75"/>
    </row>
    <row r="85" spans="2:7" ht="12.75" thickBot="1" x14ac:dyDescent="0.25">
      <c r="B85" s="3" t="s">
        <v>68</v>
      </c>
      <c r="C85" s="95">
        <v>226</v>
      </c>
      <c r="D85" s="50" t="s">
        <v>126</v>
      </c>
      <c r="E85" s="75">
        <v>0</v>
      </c>
    </row>
    <row r="86" spans="2:7" ht="12.75" thickBot="1" x14ac:dyDescent="0.25">
      <c r="B86" s="110" t="s">
        <v>69</v>
      </c>
      <c r="C86" s="41">
        <v>231</v>
      </c>
      <c r="D86" s="103" t="s">
        <v>127</v>
      </c>
      <c r="E86" s="104">
        <v>0</v>
      </c>
    </row>
    <row r="87" spans="2:7" ht="12.75" thickBot="1" x14ac:dyDescent="0.25">
      <c r="B87" s="111" t="s">
        <v>70</v>
      </c>
      <c r="C87" s="41">
        <v>318</v>
      </c>
      <c r="D87" s="101" t="s">
        <v>127</v>
      </c>
      <c r="E87" s="106">
        <v>0</v>
      </c>
    </row>
    <row r="88" spans="2:7" ht="12.75" thickBot="1" x14ac:dyDescent="0.25">
      <c r="B88" s="118" t="s">
        <v>71</v>
      </c>
      <c r="C88" s="41">
        <v>232</v>
      </c>
      <c r="D88" s="108" t="s">
        <v>127</v>
      </c>
      <c r="E88" s="109">
        <f>-(E72+E73-E74+E75-E76-E77-E78+E79+E80+E81+E82+E83-E84-E85)+E86+E87</f>
        <v>1036112559.0000005</v>
      </c>
    </row>
    <row r="89" spans="2:7" ht="12.75" thickBot="1" x14ac:dyDescent="0.25">
      <c r="B89" s="110" t="s">
        <v>74</v>
      </c>
      <c r="C89" s="41">
        <v>625</v>
      </c>
      <c r="D89" s="115" t="s">
        <v>125</v>
      </c>
      <c r="E89" s="104">
        <v>0</v>
      </c>
      <c r="G89" s="24" t="s">
        <v>85</v>
      </c>
    </row>
    <row r="90" spans="2:7" ht="12.75" thickBot="1" x14ac:dyDescent="0.25">
      <c r="B90" s="111" t="s">
        <v>75</v>
      </c>
      <c r="C90" s="41">
        <v>626</v>
      </c>
      <c r="D90" s="116" t="s">
        <v>125</v>
      </c>
      <c r="E90" s="106">
        <v>0</v>
      </c>
      <c r="G90" s="24" t="s">
        <v>86</v>
      </c>
    </row>
    <row r="91" spans="2:7" ht="12.75" thickBot="1" x14ac:dyDescent="0.25">
      <c r="B91" s="111" t="s">
        <v>76</v>
      </c>
      <c r="C91" s="41">
        <v>627</v>
      </c>
      <c r="D91" s="116" t="s">
        <v>126</v>
      </c>
      <c r="E91" s="114">
        <f>E90</f>
        <v>0</v>
      </c>
      <c r="G91" s="24" t="s">
        <v>87</v>
      </c>
    </row>
    <row r="92" spans="2:7" ht="12.75" thickBot="1" x14ac:dyDescent="0.25">
      <c r="B92" s="119" t="s">
        <v>202</v>
      </c>
      <c r="C92" s="120">
        <v>838</v>
      </c>
      <c r="D92" s="108" t="s">
        <v>127</v>
      </c>
      <c r="E92" s="109">
        <f>+E89+E90-E91</f>
        <v>0</v>
      </c>
    </row>
    <row r="93" spans="2:7" ht="12.75" thickBot="1" x14ac:dyDescent="0.25">
      <c r="B93" s="110" t="s">
        <v>193</v>
      </c>
      <c r="C93" s="41">
        <v>818</v>
      </c>
      <c r="D93" s="103" t="s">
        <v>125</v>
      </c>
      <c r="E93" s="113"/>
    </row>
    <row r="94" spans="2:7" ht="12.75" thickBot="1" x14ac:dyDescent="0.25">
      <c r="B94" s="121" t="s">
        <v>203</v>
      </c>
      <c r="C94" s="83">
        <v>842</v>
      </c>
      <c r="D94" s="101" t="s">
        <v>126</v>
      </c>
      <c r="E94" s="114"/>
    </row>
    <row r="95" spans="2:7" ht="12.75" thickBot="1" x14ac:dyDescent="0.25">
      <c r="B95" s="111" t="s">
        <v>204</v>
      </c>
      <c r="C95" s="41">
        <v>819</v>
      </c>
      <c r="D95" s="101" t="s">
        <v>125</v>
      </c>
      <c r="E95" s="114"/>
    </row>
    <row r="96" spans="2:7" ht="12.75" thickBot="1" x14ac:dyDescent="0.25">
      <c r="B96" s="121" t="s">
        <v>205</v>
      </c>
      <c r="C96" s="83">
        <v>837</v>
      </c>
      <c r="D96" s="101" t="s">
        <v>126</v>
      </c>
      <c r="E96" s="114"/>
    </row>
    <row r="97" spans="2:5" ht="12.75" thickBot="1" x14ac:dyDescent="0.25">
      <c r="B97" s="111" t="s">
        <v>195</v>
      </c>
      <c r="C97" s="41">
        <v>820</v>
      </c>
      <c r="D97" s="101" t="s">
        <v>126</v>
      </c>
      <c r="E97" s="114"/>
    </row>
    <row r="98" spans="2:5" ht="12.75" thickBot="1" x14ac:dyDescent="0.25">
      <c r="B98" s="111" t="s">
        <v>73</v>
      </c>
      <c r="C98" s="41">
        <v>228</v>
      </c>
      <c r="D98" s="101" t="s">
        <v>127</v>
      </c>
      <c r="E98" s="114"/>
    </row>
    <row r="99" spans="2:5" ht="12.75" thickBot="1" x14ac:dyDescent="0.25">
      <c r="B99" s="122" t="s">
        <v>206</v>
      </c>
      <c r="C99" s="83">
        <v>840</v>
      </c>
      <c r="D99" s="108" t="s">
        <v>127</v>
      </c>
      <c r="E99" s="109"/>
    </row>
    <row r="100" spans="2:5" x14ac:dyDescent="0.2">
      <c r="C100" s="84"/>
      <c r="E100" s="71"/>
    </row>
    <row r="101" spans="2:5" ht="12.75" thickBot="1" x14ac:dyDescent="0.25">
      <c r="E101" s="124"/>
    </row>
    <row r="102" spans="2:5" ht="12.75" thickBot="1" x14ac:dyDescent="0.25">
      <c r="B102" s="3" t="s">
        <v>77</v>
      </c>
      <c r="C102" s="82">
        <v>650</v>
      </c>
      <c r="E102" s="127" t="s">
        <v>157</v>
      </c>
    </row>
    <row r="103" spans="2:5" ht="12.75" thickBot="1" x14ac:dyDescent="0.25">
      <c r="B103" s="3" t="s">
        <v>78</v>
      </c>
      <c r="C103" s="82">
        <v>903</v>
      </c>
      <c r="E103" s="127" t="s">
        <v>210</v>
      </c>
    </row>
    <row r="104" spans="2:5" x14ac:dyDescent="0.2">
      <c r="E104" s="124"/>
    </row>
    <row r="105" spans="2:5" x14ac:dyDescent="0.2">
      <c r="E105" s="124"/>
    </row>
    <row r="106" spans="2:5" x14ac:dyDescent="0.2">
      <c r="E106" s="124"/>
    </row>
    <row r="107" spans="2:5" x14ac:dyDescent="0.2">
      <c r="E107" s="124"/>
    </row>
    <row r="108" spans="2:5" x14ac:dyDescent="0.2">
      <c r="E108" s="124"/>
    </row>
    <row r="109" spans="2:5" x14ac:dyDescent="0.2">
      <c r="E109" s="124"/>
    </row>
    <row r="110" spans="2:5" x14ac:dyDescent="0.2">
      <c r="E110" s="124"/>
    </row>
    <row r="111" spans="2:5" x14ac:dyDescent="0.2">
      <c r="E111" s="124"/>
    </row>
    <row r="112" spans="2:5" x14ac:dyDescent="0.2">
      <c r="E112" s="124"/>
    </row>
    <row r="113" spans="5:5" x14ac:dyDescent="0.2">
      <c r="E113" s="124"/>
    </row>
    <row r="114" spans="5:5" x14ac:dyDescent="0.2">
      <c r="E114" s="124"/>
    </row>
    <row r="115" spans="5:5" x14ac:dyDescent="0.2">
      <c r="E115" s="124"/>
    </row>
    <row r="116" spans="5:5" x14ac:dyDescent="0.2">
      <c r="E116" s="124"/>
    </row>
    <row r="117" spans="5:5" x14ac:dyDescent="0.2">
      <c r="E117" s="124"/>
    </row>
    <row r="118" spans="5:5" x14ac:dyDescent="0.2">
      <c r="E118" s="124"/>
    </row>
    <row r="119" spans="5:5" x14ac:dyDescent="0.2">
      <c r="E119" s="124"/>
    </row>
    <row r="120" spans="5:5" x14ac:dyDescent="0.2">
      <c r="E120" s="124"/>
    </row>
    <row r="121" spans="5:5" x14ac:dyDescent="0.2">
      <c r="E121" s="124"/>
    </row>
    <row r="122" spans="5:5" x14ac:dyDescent="0.2">
      <c r="E122" s="124"/>
    </row>
    <row r="123" spans="5:5" x14ac:dyDescent="0.2">
      <c r="E123" s="124"/>
    </row>
    <row r="124" spans="5:5" x14ac:dyDescent="0.2">
      <c r="E124" s="124"/>
    </row>
    <row r="125" spans="5:5" x14ac:dyDescent="0.2">
      <c r="E125" s="124"/>
    </row>
    <row r="126" spans="5:5" x14ac:dyDescent="0.2">
      <c r="E126" s="124"/>
    </row>
    <row r="127" spans="5:5" x14ac:dyDescent="0.2">
      <c r="E127" s="124"/>
    </row>
    <row r="128" spans="5:5" x14ac:dyDescent="0.2">
      <c r="E128" s="124"/>
    </row>
    <row r="129" spans="5:5" x14ac:dyDescent="0.2">
      <c r="E129" s="124"/>
    </row>
    <row r="130" spans="5:5" x14ac:dyDescent="0.2">
      <c r="E130" s="124"/>
    </row>
    <row r="131" spans="5:5" x14ac:dyDescent="0.2">
      <c r="E131" s="124"/>
    </row>
    <row r="132" spans="5:5" x14ac:dyDescent="0.2">
      <c r="E132" s="124"/>
    </row>
    <row r="133" spans="5:5" x14ac:dyDescent="0.2">
      <c r="E133" s="124"/>
    </row>
    <row r="134" spans="5:5" x14ac:dyDescent="0.2">
      <c r="E134" s="124"/>
    </row>
    <row r="135" spans="5:5" x14ac:dyDescent="0.2">
      <c r="E135" s="124"/>
    </row>
    <row r="136" spans="5:5" x14ac:dyDescent="0.2">
      <c r="E136" s="124"/>
    </row>
    <row r="137" spans="5:5" x14ac:dyDescent="0.2">
      <c r="E137" s="124"/>
    </row>
    <row r="138" spans="5:5" x14ac:dyDescent="0.2">
      <c r="E138" s="124"/>
    </row>
    <row r="139" spans="5:5" x14ac:dyDescent="0.2">
      <c r="E139" s="124"/>
    </row>
    <row r="140" spans="5:5" x14ac:dyDescent="0.2">
      <c r="E140" s="124"/>
    </row>
    <row r="141" spans="5:5" x14ac:dyDescent="0.2">
      <c r="E141" s="124"/>
    </row>
    <row r="142" spans="5:5" x14ac:dyDescent="0.2">
      <c r="E142" s="124"/>
    </row>
    <row r="143" spans="5:5" x14ac:dyDescent="0.2">
      <c r="E143" s="124"/>
    </row>
    <row r="144" spans="5:5" x14ac:dyDescent="0.2">
      <c r="E144" s="124"/>
    </row>
    <row r="145" spans="5:5" x14ac:dyDescent="0.2">
      <c r="E145" s="124"/>
    </row>
    <row r="146" spans="5:5" x14ac:dyDescent="0.2">
      <c r="E146" s="124"/>
    </row>
    <row r="147" spans="5:5" x14ac:dyDescent="0.2">
      <c r="E147" s="124"/>
    </row>
    <row r="148" spans="5:5" x14ac:dyDescent="0.2">
      <c r="E148" s="124"/>
    </row>
    <row r="149" spans="5:5" x14ac:dyDescent="0.2">
      <c r="E149" s="124"/>
    </row>
    <row r="150" spans="5:5" x14ac:dyDescent="0.2">
      <c r="E150" s="124"/>
    </row>
    <row r="151" spans="5:5" x14ac:dyDescent="0.2">
      <c r="E151" s="124"/>
    </row>
    <row r="152" spans="5:5" x14ac:dyDescent="0.2">
      <c r="E152" s="124"/>
    </row>
    <row r="153" spans="5:5" x14ac:dyDescent="0.2">
      <c r="E153" s="124"/>
    </row>
    <row r="154" spans="5:5" x14ac:dyDescent="0.2">
      <c r="E154" s="124"/>
    </row>
    <row r="155" spans="5:5" x14ac:dyDescent="0.2">
      <c r="E155" s="124"/>
    </row>
    <row r="156" spans="5:5" x14ac:dyDescent="0.2">
      <c r="E156" s="124"/>
    </row>
    <row r="157" spans="5:5" x14ac:dyDescent="0.2">
      <c r="E157" s="124"/>
    </row>
    <row r="158" spans="5:5" x14ac:dyDescent="0.2">
      <c r="E158" s="124"/>
    </row>
    <row r="159" spans="5:5" x14ac:dyDescent="0.2">
      <c r="E159" s="124"/>
    </row>
    <row r="160" spans="5:5" x14ac:dyDescent="0.2">
      <c r="E160" s="124"/>
    </row>
    <row r="161" spans="5:5" x14ac:dyDescent="0.2">
      <c r="E161" s="124"/>
    </row>
    <row r="162" spans="5:5" x14ac:dyDescent="0.2">
      <c r="E162" s="124"/>
    </row>
    <row r="163" spans="5:5" x14ac:dyDescent="0.2">
      <c r="E163" s="124"/>
    </row>
    <row r="164" spans="5:5" x14ac:dyDescent="0.2">
      <c r="E164" s="124"/>
    </row>
    <row r="165" spans="5:5" x14ac:dyDescent="0.2">
      <c r="E165" s="124"/>
    </row>
    <row r="166" spans="5:5" x14ac:dyDescent="0.2">
      <c r="E166" s="124"/>
    </row>
    <row r="167" spans="5:5" x14ac:dyDescent="0.2">
      <c r="E167" s="124"/>
    </row>
    <row r="168" spans="5:5" x14ac:dyDescent="0.2">
      <c r="E168" s="124"/>
    </row>
    <row r="169" spans="5:5" x14ac:dyDescent="0.2">
      <c r="E169" s="124"/>
    </row>
    <row r="170" spans="5:5" x14ac:dyDescent="0.2">
      <c r="E170" s="124"/>
    </row>
    <row r="171" spans="5:5" x14ac:dyDescent="0.2">
      <c r="E171" s="124"/>
    </row>
    <row r="172" spans="5:5" x14ac:dyDescent="0.2">
      <c r="E172" s="124"/>
    </row>
    <row r="173" spans="5:5" x14ac:dyDescent="0.2">
      <c r="E173" s="124"/>
    </row>
    <row r="174" spans="5:5" x14ac:dyDescent="0.2">
      <c r="E174" s="124"/>
    </row>
    <row r="175" spans="5:5" x14ac:dyDescent="0.2">
      <c r="E175" s="124"/>
    </row>
    <row r="176" spans="5:5" x14ac:dyDescent="0.2">
      <c r="E176" s="124"/>
    </row>
    <row r="177" spans="5:5" x14ac:dyDescent="0.2">
      <c r="E177" s="124"/>
    </row>
    <row r="178" spans="5:5" x14ac:dyDescent="0.2">
      <c r="E178" s="124"/>
    </row>
    <row r="179" spans="5:5" x14ac:dyDescent="0.2">
      <c r="E179" s="124"/>
    </row>
    <row r="180" spans="5:5" x14ac:dyDescent="0.2">
      <c r="E180" s="124"/>
    </row>
    <row r="181" spans="5:5" x14ac:dyDescent="0.2">
      <c r="E181" s="124"/>
    </row>
    <row r="182" spans="5:5" x14ac:dyDescent="0.2">
      <c r="E182" s="124"/>
    </row>
    <row r="183" spans="5:5" x14ac:dyDescent="0.2">
      <c r="E183" s="124"/>
    </row>
    <row r="184" spans="5:5" x14ac:dyDescent="0.2">
      <c r="E184" s="124"/>
    </row>
    <row r="185" spans="5:5" x14ac:dyDescent="0.2">
      <c r="E185" s="124"/>
    </row>
    <row r="186" spans="5:5" x14ac:dyDescent="0.2">
      <c r="E186" s="124"/>
    </row>
    <row r="187" spans="5:5" x14ac:dyDescent="0.2">
      <c r="E187" s="124"/>
    </row>
    <row r="188" spans="5:5" x14ac:dyDescent="0.2">
      <c r="E188" s="124"/>
    </row>
    <row r="189" spans="5:5" x14ac:dyDescent="0.2">
      <c r="E189" s="124"/>
    </row>
    <row r="190" spans="5:5" x14ac:dyDescent="0.2">
      <c r="E190" s="124"/>
    </row>
    <row r="191" spans="5:5" x14ac:dyDescent="0.2">
      <c r="E191" s="124"/>
    </row>
    <row r="192" spans="5:5" x14ac:dyDescent="0.2">
      <c r="E192" s="124"/>
    </row>
    <row r="193" spans="5:5" x14ac:dyDescent="0.2">
      <c r="E193" s="124"/>
    </row>
    <row r="194" spans="5:5" x14ac:dyDescent="0.2">
      <c r="E194" s="124"/>
    </row>
    <row r="195" spans="5:5" x14ac:dyDescent="0.2">
      <c r="E195" s="124"/>
    </row>
    <row r="196" spans="5:5" x14ac:dyDescent="0.2">
      <c r="E196" s="124"/>
    </row>
    <row r="197" spans="5:5" x14ac:dyDescent="0.2">
      <c r="E197" s="124"/>
    </row>
    <row r="198" spans="5:5" x14ac:dyDescent="0.2">
      <c r="E198" s="124"/>
    </row>
    <row r="199" spans="5:5" x14ac:dyDescent="0.2">
      <c r="E199" s="124"/>
    </row>
    <row r="200" spans="5:5" x14ac:dyDescent="0.2">
      <c r="E200" s="124"/>
    </row>
    <row r="201" spans="5:5" x14ac:dyDescent="0.2">
      <c r="E201" s="124"/>
    </row>
    <row r="202" spans="5:5" x14ac:dyDescent="0.2">
      <c r="E202" s="124"/>
    </row>
    <row r="203" spans="5:5" x14ac:dyDescent="0.2">
      <c r="E203" s="124"/>
    </row>
    <row r="204" spans="5:5" x14ac:dyDescent="0.2">
      <c r="E204" s="124"/>
    </row>
    <row r="205" spans="5:5" x14ac:dyDescent="0.2">
      <c r="E205" s="124"/>
    </row>
    <row r="206" spans="5:5" x14ac:dyDescent="0.2">
      <c r="E206" s="124"/>
    </row>
    <row r="207" spans="5:5" x14ac:dyDescent="0.2">
      <c r="E207" s="124"/>
    </row>
    <row r="208" spans="5:5" x14ac:dyDescent="0.2">
      <c r="E208" s="124"/>
    </row>
    <row r="209" spans="5:5" x14ac:dyDescent="0.2">
      <c r="E209" s="124"/>
    </row>
    <row r="210" spans="5:5" x14ac:dyDescent="0.2">
      <c r="E210" s="124"/>
    </row>
    <row r="211" spans="5:5" x14ac:dyDescent="0.2">
      <c r="E211" s="124"/>
    </row>
    <row r="212" spans="5:5" x14ac:dyDescent="0.2">
      <c r="E212" s="124"/>
    </row>
    <row r="213" spans="5:5" x14ac:dyDescent="0.2">
      <c r="E213" s="124"/>
    </row>
    <row r="214" spans="5:5" x14ac:dyDescent="0.2">
      <c r="E214" s="124"/>
    </row>
    <row r="215" spans="5:5" x14ac:dyDescent="0.2">
      <c r="E215" s="124"/>
    </row>
    <row r="216" spans="5:5" x14ac:dyDescent="0.2">
      <c r="E216" s="124"/>
    </row>
    <row r="217" spans="5:5" x14ac:dyDescent="0.2">
      <c r="E217" s="124"/>
    </row>
    <row r="218" spans="5:5" x14ac:dyDescent="0.2">
      <c r="E218" s="124"/>
    </row>
    <row r="219" spans="5:5" x14ac:dyDescent="0.2">
      <c r="E219" s="124"/>
    </row>
    <row r="220" spans="5:5" x14ac:dyDescent="0.2">
      <c r="E220" s="124"/>
    </row>
    <row r="221" spans="5:5" x14ac:dyDescent="0.2">
      <c r="E221" s="124"/>
    </row>
    <row r="222" spans="5:5" x14ac:dyDescent="0.2">
      <c r="E222" s="124"/>
    </row>
    <row r="223" spans="5:5" x14ac:dyDescent="0.2">
      <c r="E223" s="124"/>
    </row>
    <row r="224" spans="5:5" x14ac:dyDescent="0.2">
      <c r="E224" s="124"/>
    </row>
    <row r="225" spans="5:5" x14ac:dyDescent="0.2">
      <c r="E225" s="124"/>
    </row>
    <row r="226" spans="5:5" x14ac:dyDescent="0.2">
      <c r="E226" s="124"/>
    </row>
    <row r="227" spans="5:5" x14ac:dyDescent="0.2">
      <c r="E227" s="124"/>
    </row>
    <row r="228" spans="5:5" x14ac:dyDescent="0.2">
      <c r="E228" s="124"/>
    </row>
    <row r="229" spans="5:5" x14ac:dyDescent="0.2">
      <c r="E229" s="124"/>
    </row>
    <row r="230" spans="5:5" x14ac:dyDescent="0.2">
      <c r="E230" s="124"/>
    </row>
    <row r="231" spans="5:5" x14ac:dyDescent="0.2">
      <c r="E231" s="124"/>
    </row>
    <row r="232" spans="5:5" x14ac:dyDescent="0.2">
      <c r="E232" s="124"/>
    </row>
    <row r="233" spans="5:5" x14ac:dyDescent="0.2">
      <c r="E233" s="124"/>
    </row>
    <row r="234" spans="5:5" x14ac:dyDescent="0.2">
      <c r="E234" s="124"/>
    </row>
    <row r="235" spans="5:5" x14ac:dyDescent="0.2">
      <c r="E235" s="124"/>
    </row>
    <row r="236" spans="5:5" x14ac:dyDescent="0.2">
      <c r="E236" s="124"/>
    </row>
    <row r="237" spans="5:5" x14ac:dyDescent="0.2">
      <c r="E237" s="124"/>
    </row>
    <row r="238" spans="5:5" x14ac:dyDescent="0.2">
      <c r="E238" s="124"/>
    </row>
    <row r="239" spans="5:5" x14ac:dyDescent="0.2">
      <c r="E239" s="124"/>
    </row>
    <row r="240" spans="5:5" x14ac:dyDescent="0.2">
      <c r="E240" s="124"/>
    </row>
    <row r="241" spans="5:5" x14ac:dyDescent="0.2">
      <c r="E241" s="124"/>
    </row>
    <row r="242" spans="5:5" x14ac:dyDescent="0.2">
      <c r="E242" s="124"/>
    </row>
    <row r="243" spans="5:5" x14ac:dyDescent="0.2">
      <c r="E243" s="124"/>
    </row>
    <row r="244" spans="5:5" x14ac:dyDescent="0.2">
      <c r="E244" s="124"/>
    </row>
    <row r="245" spans="5:5" x14ac:dyDescent="0.2">
      <c r="E245" s="124"/>
    </row>
    <row r="246" spans="5:5" x14ac:dyDescent="0.2">
      <c r="E246" s="124"/>
    </row>
    <row r="247" spans="5:5" x14ac:dyDescent="0.2">
      <c r="E247" s="124"/>
    </row>
    <row r="248" spans="5:5" x14ac:dyDescent="0.2">
      <c r="E248" s="124"/>
    </row>
    <row r="249" spans="5:5" x14ac:dyDescent="0.2">
      <c r="E249" s="124"/>
    </row>
    <row r="250" spans="5:5" x14ac:dyDescent="0.2">
      <c r="E250" s="124"/>
    </row>
    <row r="251" spans="5:5" x14ac:dyDescent="0.2">
      <c r="E251" s="124"/>
    </row>
    <row r="252" spans="5:5" x14ac:dyDescent="0.2">
      <c r="E252" s="124"/>
    </row>
    <row r="253" spans="5:5" x14ac:dyDescent="0.2">
      <c r="E253" s="124"/>
    </row>
    <row r="254" spans="5:5" x14ac:dyDescent="0.2">
      <c r="E254" s="124"/>
    </row>
    <row r="255" spans="5:5" x14ac:dyDescent="0.2">
      <c r="E255" s="124"/>
    </row>
    <row r="256" spans="5:5" x14ac:dyDescent="0.2">
      <c r="E256" s="124"/>
    </row>
    <row r="257" spans="5:5" x14ac:dyDescent="0.2">
      <c r="E257" s="124"/>
    </row>
    <row r="258" spans="5:5" x14ac:dyDescent="0.2">
      <c r="E258" s="124"/>
    </row>
    <row r="259" spans="5:5" x14ac:dyDescent="0.2">
      <c r="E259" s="124"/>
    </row>
    <row r="260" spans="5:5" x14ac:dyDescent="0.2">
      <c r="E260" s="124"/>
    </row>
    <row r="261" spans="5:5" x14ac:dyDescent="0.2">
      <c r="E261" s="124"/>
    </row>
    <row r="262" spans="5:5" x14ac:dyDescent="0.2">
      <c r="E262" s="124"/>
    </row>
    <row r="263" spans="5:5" x14ac:dyDescent="0.2">
      <c r="E263" s="124"/>
    </row>
    <row r="264" spans="5:5" x14ac:dyDescent="0.2">
      <c r="E264" s="124"/>
    </row>
    <row r="265" spans="5:5" x14ac:dyDescent="0.2">
      <c r="E265" s="124"/>
    </row>
    <row r="266" spans="5:5" x14ac:dyDescent="0.2">
      <c r="E266" s="124"/>
    </row>
    <row r="267" spans="5:5" x14ac:dyDescent="0.2">
      <c r="E267" s="124"/>
    </row>
    <row r="268" spans="5:5" x14ac:dyDescent="0.2">
      <c r="E268" s="124"/>
    </row>
    <row r="269" spans="5:5" x14ac:dyDescent="0.2">
      <c r="E269" s="124"/>
    </row>
    <row r="270" spans="5:5" x14ac:dyDescent="0.2">
      <c r="E270" s="124"/>
    </row>
    <row r="271" spans="5:5" x14ac:dyDescent="0.2">
      <c r="E271" s="124"/>
    </row>
    <row r="272" spans="5:5" x14ac:dyDescent="0.2">
      <c r="E272" s="124"/>
    </row>
    <row r="273" spans="5:5" x14ac:dyDescent="0.2">
      <c r="E273" s="124"/>
    </row>
    <row r="274" spans="5:5" x14ac:dyDescent="0.2">
      <c r="E274" s="124"/>
    </row>
    <row r="275" spans="5:5" x14ac:dyDescent="0.2">
      <c r="E275" s="124"/>
    </row>
    <row r="276" spans="5:5" x14ac:dyDescent="0.2">
      <c r="E276" s="124"/>
    </row>
    <row r="277" spans="5:5" x14ac:dyDescent="0.2">
      <c r="E277" s="124"/>
    </row>
    <row r="278" spans="5:5" x14ac:dyDescent="0.2">
      <c r="E278" s="124"/>
    </row>
    <row r="279" spans="5:5" x14ac:dyDescent="0.2">
      <c r="E279" s="124"/>
    </row>
    <row r="280" spans="5:5" x14ac:dyDescent="0.2">
      <c r="E280" s="124"/>
    </row>
    <row r="281" spans="5:5" x14ac:dyDescent="0.2">
      <c r="E281" s="124"/>
    </row>
    <row r="282" spans="5:5" x14ac:dyDescent="0.2">
      <c r="E282" s="124"/>
    </row>
    <row r="283" spans="5:5" x14ac:dyDescent="0.2">
      <c r="E283" s="124"/>
    </row>
    <row r="284" spans="5:5" x14ac:dyDescent="0.2">
      <c r="E284" s="124"/>
    </row>
    <row r="285" spans="5:5" x14ac:dyDescent="0.2">
      <c r="E285" s="124"/>
    </row>
    <row r="286" spans="5:5" x14ac:dyDescent="0.2">
      <c r="E286" s="124"/>
    </row>
    <row r="287" spans="5:5" x14ac:dyDescent="0.2">
      <c r="E287" s="124"/>
    </row>
    <row r="288" spans="5:5" x14ac:dyDescent="0.2">
      <c r="E288" s="124"/>
    </row>
    <row r="289" spans="5:5" x14ac:dyDescent="0.2">
      <c r="E289" s="124"/>
    </row>
    <row r="290" spans="5:5" x14ac:dyDescent="0.2">
      <c r="E290" s="124"/>
    </row>
    <row r="291" spans="5:5" x14ac:dyDescent="0.2">
      <c r="E291" s="124"/>
    </row>
    <row r="292" spans="5:5" x14ac:dyDescent="0.2">
      <c r="E292" s="124"/>
    </row>
    <row r="293" spans="5:5" x14ac:dyDescent="0.2">
      <c r="E293" s="124"/>
    </row>
    <row r="294" spans="5:5" x14ac:dyDescent="0.2">
      <c r="E294" s="124"/>
    </row>
    <row r="295" spans="5:5" x14ac:dyDescent="0.2">
      <c r="E295" s="124"/>
    </row>
    <row r="296" spans="5:5" x14ac:dyDescent="0.2">
      <c r="E296" s="124"/>
    </row>
    <row r="297" spans="5:5" x14ac:dyDescent="0.2">
      <c r="E297" s="124"/>
    </row>
    <row r="298" spans="5:5" x14ac:dyDescent="0.2">
      <c r="E298" s="124"/>
    </row>
    <row r="299" spans="5:5" x14ac:dyDescent="0.2">
      <c r="E299" s="124"/>
    </row>
    <row r="300" spans="5:5" x14ac:dyDescent="0.2">
      <c r="E300" s="124"/>
    </row>
    <row r="301" spans="5:5" x14ac:dyDescent="0.2">
      <c r="E301" s="124"/>
    </row>
    <row r="302" spans="5:5" x14ac:dyDescent="0.2">
      <c r="E302" s="124"/>
    </row>
    <row r="303" spans="5:5" x14ac:dyDescent="0.2">
      <c r="E303" s="124"/>
    </row>
    <row r="304" spans="5:5" x14ac:dyDescent="0.2">
      <c r="E304" s="124"/>
    </row>
    <row r="305" spans="5:5" x14ac:dyDescent="0.2">
      <c r="E305" s="124"/>
    </row>
    <row r="306" spans="5:5" x14ac:dyDescent="0.2">
      <c r="E306" s="124"/>
    </row>
    <row r="307" spans="5:5" x14ac:dyDescent="0.2">
      <c r="E307" s="124"/>
    </row>
    <row r="308" spans="5:5" x14ac:dyDescent="0.2">
      <c r="E308" s="124"/>
    </row>
    <row r="309" spans="5:5" x14ac:dyDescent="0.2">
      <c r="E309" s="124"/>
    </row>
    <row r="310" spans="5:5" x14ac:dyDescent="0.2">
      <c r="E310" s="124"/>
    </row>
    <row r="311" spans="5:5" x14ac:dyDescent="0.2">
      <c r="E311" s="124"/>
    </row>
    <row r="312" spans="5:5" x14ac:dyDescent="0.2">
      <c r="E312" s="124"/>
    </row>
    <row r="313" spans="5:5" x14ac:dyDescent="0.2">
      <c r="E313" s="124"/>
    </row>
    <row r="314" spans="5:5" x14ac:dyDescent="0.2">
      <c r="E314" s="124"/>
    </row>
    <row r="315" spans="5:5" x14ac:dyDescent="0.2">
      <c r="E315" s="124"/>
    </row>
    <row r="316" spans="5:5" x14ac:dyDescent="0.2">
      <c r="E316" s="124"/>
    </row>
    <row r="317" spans="5:5" x14ac:dyDescent="0.2">
      <c r="E317" s="124"/>
    </row>
    <row r="318" spans="5:5" x14ac:dyDescent="0.2">
      <c r="E318" s="124"/>
    </row>
    <row r="319" spans="5:5" x14ac:dyDescent="0.2">
      <c r="E319" s="124"/>
    </row>
    <row r="320" spans="5:5" x14ac:dyDescent="0.2">
      <c r="E320" s="124"/>
    </row>
    <row r="321" spans="5:5" x14ac:dyDescent="0.2">
      <c r="E321" s="124"/>
    </row>
    <row r="322" spans="5:5" x14ac:dyDescent="0.2">
      <c r="E322" s="124"/>
    </row>
    <row r="323" spans="5:5" x14ac:dyDescent="0.2">
      <c r="E323" s="124"/>
    </row>
    <row r="324" spans="5:5" x14ac:dyDescent="0.2">
      <c r="E324" s="124"/>
    </row>
    <row r="325" spans="5:5" x14ac:dyDescent="0.2">
      <c r="E325" s="124"/>
    </row>
    <row r="326" spans="5:5" x14ac:dyDescent="0.2">
      <c r="E326" s="124"/>
    </row>
    <row r="327" spans="5:5" x14ac:dyDescent="0.2">
      <c r="E327" s="124"/>
    </row>
    <row r="328" spans="5:5" x14ac:dyDescent="0.2">
      <c r="E328" s="124"/>
    </row>
    <row r="329" spans="5:5" x14ac:dyDescent="0.2">
      <c r="E329" s="124"/>
    </row>
    <row r="330" spans="5:5" x14ac:dyDescent="0.2">
      <c r="E330" s="124"/>
    </row>
    <row r="331" spans="5:5" x14ac:dyDescent="0.2">
      <c r="E331" s="124"/>
    </row>
    <row r="332" spans="5:5" x14ac:dyDescent="0.2">
      <c r="E332" s="124"/>
    </row>
    <row r="333" spans="5:5" x14ac:dyDescent="0.2">
      <c r="E333" s="124"/>
    </row>
    <row r="334" spans="5:5" x14ac:dyDescent="0.2">
      <c r="E334" s="124"/>
    </row>
    <row r="335" spans="5:5" x14ac:dyDescent="0.2">
      <c r="E335" s="124"/>
    </row>
    <row r="336" spans="5:5" x14ac:dyDescent="0.2">
      <c r="E336" s="124"/>
    </row>
    <row r="337" spans="5:5" x14ac:dyDescent="0.2">
      <c r="E337" s="124"/>
    </row>
    <row r="338" spans="5:5" x14ac:dyDescent="0.2">
      <c r="E338" s="124"/>
    </row>
    <row r="339" spans="5:5" x14ac:dyDescent="0.2">
      <c r="E339" s="124"/>
    </row>
    <row r="340" spans="5:5" x14ac:dyDescent="0.2">
      <c r="E340" s="124"/>
    </row>
    <row r="341" spans="5:5" x14ac:dyDescent="0.2">
      <c r="E341" s="124"/>
    </row>
    <row r="342" spans="5:5" x14ac:dyDescent="0.2">
      <c r="E342" s="124"/>
    </row>
    <row r="343" spans="5:5" x14ac:dyDescent="0.2">
      <c r="E343" s="124"/>
    </row>
    <row r="344" spans="5:5" x14ac:dyDescent="0.2">
      <c r="E344" s="124"/>
    </row>
    <row r="345" spans="5:5" x14ac:dyDescent="0.2">
      <c r="E345" s="124"/>
    </row>
    <row r="346" spans="5:5" x14ac:dyDescent="0.2">
      <c r="E346" s="124"/>
    </row>
    <row r="347" spans="5:5" x14ac:dyDescent="0.2">
      <c r="E347" s="124"/>
    </row>
    <row r="348" spans="5:5" x14ac:dyDescent="0.2">
      <c r="E348" s="124"/>
    </row>
    <row r="349" spans="5:5" x14ac:dyDescent="0.2">
      <c r="E349" s="124"/>
    </row>
    <row r="350" spans="5:5" x14ac:dyDescent="0.2">
      <c r="E350" s="124"/>
    </row>
    <row r="351" spans="5:5" x14ac:dyDescent="0.2">
      <c r="E351" s="124"/>
    </row>
    <row r="352" spans="5:5" x14ac:dyDescent="0.2">
      <c r="E352" s="124"/>
    </row>
    <row r="353" spans="5:5" x14ac:dyDescent="0.2">
      <c r="E353" s="124"/>
    </row>
    <row r="354" spans="5:5" x14ac:dyDescent="0.2">
      <c r="E354" s="124"/>
    </row>
    <row r="355" spans="5:5" x14ac:dyDescent="0.2">
      <c r="E355" s="124"/>
    </row>
    <row r="356" spans="5:5" x14ac:dyDescent="0.2">
      <c r="E356" s="124"/>
    </row>
    <row r="357" spans="5:5" x14ac:dyDescent="0.2">
      <c r="E357" s="124"/>
    </row>
    <row r="358" spans="5:5" x14ac:dyDescent="0.2">
      <c r="E358" s="124"/>
    </row>
    <row r="359" spans="5:5" x14ac:dyDescent="0.2">
      <c r="E359" s="124"/>
    </row>
  </sheetData>
  <phoneticPr fontId="0" type="noConversion"/>
  <hyperlinks>
    <hyperlink ref="E29" r:id="rId1"/>
  </hyperlinks>
  <pageMargins left="0.19685039370078741" right="0" top="0.59055118110236227" bottom="0.19685039370078741" header="0.51181102362204722" footer="0.51181102362204722"/>
  <pageSetup scale="89" orientation="landscape" horizontalDpi="360" verticalDpi="360" r:id="rId2"/>
  <headerFooter alignWithMargins="0"/>
  <rowBreaks count="1" manualBreakCount="1">
    <brk id="5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G103"/>
  <sheetViews>
    <sheetView topLeftCell="A23" workbookViewId="0">
      <selection activeCell="E104" sqref="E104"/>
    </sheetView>
  </sheetViews>
  <sheetFormatPr baseColWidth="10" defaultColWidth="9.140625" defaultRowHeight="12" x14ac:dyDescent="0.2"/>
  <cols>
    <col min="1" max="1" width="13.85546875" style="6" customWidth="1"/>
    <col min="2" max="2" width="45" style="3" customWidth="1"/>
    <col min="3" max="3" width="5.28515625" style="80" customWidth="1"/>
    <col min="4" max="4" width="1.85546875" style="50" customWidth="1"/>
    <col min="5" max="5" width="15.7109375" style="25" customWidth="1"/>
    <col min="6" max="6" width="3" style="3" customWidth="1"/>
    <col min="7" max="7" width="11.5703125" style="24" customWidth="1"/>
    <col min="8" max="16384" width="9.140625" style="3"/>
  </cols>
  <sheetData>
    <row r="1" spans="1:5" s="55" customFormat="1" ht="12.75" x14ac:dyDescent="0.2">
      <c r="A1" s="56" t="s">
        <v>115</v>
      </c>
      <c r="C1" s="79"/>
      <c r="D1" s="56"/>
    </row>
    <row r="2" spans="1:5" s="55" customFormat="1" ht="12.75" x14ac:dyDescent="0.2">
      <c r="A2" s="56" t="s">
        <v>114</v>
      </c>
      <c r="C2" s="79"/>
      <c r="D2" s="56"/>
    </row>
    <row r="3" spans="1:5" ht="12.75" x14ac:dyDescent="0.2">
      <c r="A3" s="2" t="str">
        <f>'AT08'!A3</f>
        <v>AÑO TRIBUTARIO 2008</v>
      </c>
    </row>
    <row r="4" spans="1:5" x14ac:dyDescent="0.2">
      <c r="A4" s="5" t="s">
        <v>0</v>
      </c>
    </row>
    <row r="5" spans="1:5" ht="12.75" thickBot="1" x14ac:dyDescent="0.25">
      <c r="A5" s="6" t="s">
        <v>1</v>
      </c>
      <c r="B5" s="3" t="s">
        <v>2</v>
      </c>
      <c r="C5" s="81" t="s">
        <v>3</v>
      </c>
      <c r="E5" s="6" t="s">
        <v>4</v>
      </c>
    </row>
    <row r="6" spans="1:5" ht="12.75" thickBot="1" x14ac:dyDescent="0.25">
      <c r="B6" s="3" t="s">
        <v>5</v>
      </c>
      <c r="C6" s="82" t="s">
        <v>6</v>
      </c>
      <c r="E6" s="25" t="str">
        <f>A2</f>
        <v>86.132.100-2</v>
      </c>
    </row>
    <row r="7" spans="1:5" ht="12.75" thickBot="1" x14ac:dyDescent="0.25">
      <c r="B7" s="3" t="s">
        <v>7</v>
      </c>
      <c r="C7" s="82" t="s">
        <v>8</v>
      </c>
      <c r="E7" s="25" t="str">
        <f>A1</f>
        <v>DEMARKA S.A.</v>
      </c>
    </row>
    <row r="8" spans="1:5" s="40" customFormat="1" ht="12.75" thickBot="1" x14ac:dyDescent="0.25">
      <c r="A8" s="39">
        <v>34</v>
      </c>
      <c r="B8" s="40" t="s">
        <v>104</v>
      </c>
      <c r="C8" s="83">
        <v>18</v>
      </c>
      <c r="D8" s="51"/>
      <c r="E8" s="74" t="str">
        <f>IF(E50&gt;0,E50,"PERDIDA")</f>
        <v>PERDIDA</v>
      </c>
    </row>
    <row r="9" spans="1:5" s="40" customFormat="1" ht="12.75" thickBot="1" x14ac:dyDescent="0.25">
      <c r="A9" s="39"/>
      <c r="B9" s="93" t="s">
        <v>179</v>
      </c>
      <c r="C9" s="83">
        <v>19</v>
      </c>
      <c r="D9" s="51"/>
      <c r="E9" s="94">
        <v>0</v>
      </c>
    </row>
    <row r="10" spans="1:5" s="40" customFormat="1" ht="12.75" thickBot="1" x14ac:dyDescent="0.25">
      <c r="A10" s="39"/>
      <c r="B10" s="40" t="s">
        <v>105</v>
      </c>
      <c r="C10" s="83">
        <v>20</v>
      </c>
      <c r="D10" s="51"/>
      <c r="E10" s="74">
        <f>MAX(ROUND(17%*E50-E9,0),0)</f>
        <v>0</v>
      </c>
    </row>
    <row r="11" spans="1:5" s="40" customFormat="1" ht="12.75" thickBot="1" x14ac:dyDescent="0.25">
      <c r="A11" s="39">
        <v>48</v>
      </c>
      <c r="B11" s="40" t="s">
        <v>112</v>
      </c>
      <c r="C11" s="83">
        <v>82</v>
      </c>
      <c r="D11" s="51"/>
      <c r="E11" s="71">
        <f>'AT04'!G13</f>
        <v>0</v>
      </c>
    </row>
    <row r="12" spans="1:5" s="40" customFormat="1" ht="12.75" thickBot="1" x14ac:dyDescent="0.25">
      <c r="A12" s="39">
        <v>52</v>
      </c>
      <c r="B12" s="40" t="s">
        <v>106</v>
      </c>
      <c r="C12" s="83">
        <v>167</v>
      </c>
      <c r="D12" s="51"/>
      <c r="E12" s="74">
        <f>E90</f>
        <v>0</v>
      </c>
    </row>
    <row r="13" spans="1:5" s="40" customFormat="1" ht="12.75" thickBot="1" x14ac:dyDescent="0.25">
      <c r="A13" s="39"/>
      <c r="B13" s="40" t="s">
        <v>107</v>
      </c>
      <c r="C13" s="83">
        <v>747</v>
      </c>
      <c r="D13" s="51"/>
      <c r="E13" s="74">
        <f>E12</f>
        <v>0</v>
      </c>
    </row>
    <row r="14" spans="1:5" ht="12.75" thickBot="1" x14ac:dyDescent="0.25">
      <c r="A14" s="6">
        <v>55</v>
      </c>
      <c r="B14" s="3" t="s">
        <v>9</v>
      </c>
      <c r="C14" s="82">
        <v>305</v>
      </c>
      <c r="E14" s="71">
        <f>E10-E11-E13</f>
        <v>0</v>
      </c>
    </row>
    <row r="15" spans="1:5" ht="12.75" thickBot="1" x14ac:dyDescent="0.25">
      <c r="A15" s="6">
        <v>56</v>
      </c>
      <c r="B15" s="3" t="str">
        <f>IF(E14&gt;0,"Impuesto Adeudado","SALDO A FAVOR")</f>
        <v>SALDO A FAVOR</v>
      </c>
      <c r="C15" s="82">
        <f>IF(E14&gt;0,90,85)</f>
        <v>85</v>
      </c>
      <c r="E15" s="71">
        <f>ABS(E14)</f>
        <v>0</v>
      </c>
    </row>
    <row r="16" spans="1:5" ht="12.75" thickBot="1" x14ac:dyDescent="0.25">
      <c r="A16" s="6" t="str">
        <f>IF(E14&gt;0,59,"")</f>
        <v/>
      </c>
      <c r="B16" s="9" t="str">
        <f>IF($E$14&gt;0,0.7%,"")</f>
        <v/>
      </c>
      <c r="C16" s="82" t="str">
        <f>IF($E$14&gt;0,39,"")</f>
        <v/>
      </c>
      <c r="E16" s="71" t="str">
        <f>IF($E$14&gt;0,ROUND(B16*E15,0),"")</f>
        <v/>
      </c>
    </row>
    <row r="17" spans="1:5" ht="12.75" thickBot="1" x14ac:dyDescent="0.25">
      <c r="A17" s="6">
        <v>58</v>
      </c>
      <c r="B17" s="3" t="str">
        <f>IF($E$14&gt;0,"TOTAL A PAGAR","DEVOLUCION SOLICITADA")</f>
        <v>DEVOLUCION SOLICITADA</v>
      </c>
      <c r="C17" s="82">
        <f>IF($E$14&gt;0,91,87)</f>
        <v>87</v>
      </c>
      <c r="E17" s="71">
        <f>SUM(E15:E16)</f>
        <v>0</v>
      </c>
    </row>
    <row r="18" spans="1:5" ht="12.75" thickBot="1" x14ac:dyDescent="0.25">
      <c r="B18" s="3" t="str">
        <f>IF($E$14&gt;0,"","Nombre Institución Bancaria")</f>
        <v>Nombre Institución Bancaria</v>
      </c>
      <c r="C18" s="82">
        <f>IF($E$14&gt;0,"",301)</f>
        <v>301</v>
      </c>
      <c r="E18" s="73" t="s">
        <v>116</v>
      </c>
    </row>
    <row r="19" spans="1:5" ht="12.75" thickBot="1" x14ac:dyDescent="0.25">
      <c r="B19" s="3" t="str">
        <f>IF($E$14&gt;0,"","Número de Cuenta")</f>
        <v>Número de Cuenta</v>
      </c>
      <c r="C19" s="82">
        <f>IF($E$14&gt;0,"",306)</f>
        <v>306</v>
      </c>
      <c r="E19" s="73">
        <v>12778451</v>
      </c>
    </row>
    <row r="20" spans="1:5" x14ac:dyDescent="0.2">
      <c r="C20" s="84"/>
      <c r="E20" s="26"/>
    </row>
    <row r="21" spans="1:5" ht="12.75" thickBot="1" x14ac:dyDescent="0.25">
      <c r="A21" s="5" t="s">
        <v>10</v>
      </c>
    </row>
    <row r="22" spans="1:5" ht="12.75" thickBot="1" x14ac:dyDescent="0.25">
      <c r="B22" s="3" t="s">
        <v>11</v>
      </c>
      <c r="C22" s="82" t="s">
        <v>12</v>
      </c>
      <c r="E22" s="25" t="s">
        <v>13</v>
      </c>
    </row>
    <row r="23" spans="1:5" ht="12.75" thickBot="1" x14ac:dyDescent="0.25">
      <c r="B23" s="3" t="s">
        <v>14</v>
      </c>
      <c r="C23" s="82" t="s">
        <v>15</v>
      </c>
      <c r="E23" s="25" t="s">
        <v>16</v>
      </c>
    </row>
    <row r="24" spans="1:5" ht="12.75" thickBot="1" x14ac:dyDescent="0.25">
      <c r="B24" s="3" t="s">
        <v>17</v>
      </c>
      <c r="C24" s="82">
        <v>53</v>
      </c>
      <c r="E24" s="6">
        <v>13</v>
      </c>
    </row>
    <row r="25" spans="1:5" ht="12.75" thickBot="1" x14ac:dyDescent="0.25">
      <c r="B25" s="3" t="s">
        <v>18</v>
      </c>
      <c r="C25" s="82">
        <v>13</v>
      </c>
      <c r="E25" s="62" t="s">
        <v>117</v>
      </c>
    </row>
    <row r="26" spans="1:5" ht="12.75" thickBot="1" x14ac:dyDescent="0.25">
      <c r="B26" s="3" t="s">
        <v>19</v>
      </c>
      <c r="C26" s="82">
        <v>14</v>
      </c>
      <c r="E26" s="63">
        <v>61911</v>
      </c>
    </row>
    <row r="27" spans="1:5" ht="12.75" thickBot="1" x14ac:dyDescent="0.25">
      <c r="B27" s="3" t="s">
        <v>20</v>
      </c>
      <c r="C27" s="82" t="s">
        <v>21</v>
      </c>
      <c r="E27" s="6" t="s">
        <v>175</v>
      </c>
    </row>
    <row r="28" spans="1:5" ht="12.75" thickBot="1" x14ac:dyDescent="0.25">
      <c r="B28" s="3" t="s">
        <v>22</v>
      </c>
      <c r="C28" s="82">
        <v>48</v>
      </c>
      <c r="E28" s="6" t="s">
        <v>176</v>
      </c>
    </row>
    <row r="29" spans="1:5" ht="13.5" thickBot="1" x14ac:dyDescent="0.25">
      <c r="B29" s="3" t="s">
        <v>23</v>
      </c>
      <c r="C29" s="82">
        <v>55</v>
      </c>
      <c r="E29" s="72" t="s">
        <v>154</v>
      </c>
    </row>
    <row r="30" spans="1:5" ht="12.75" thickBot="1" x14ac:dyDescent="0.25">
      <c r="B30" s="3" t="s">
        <v>24</v>
      </c>
      <c r="C30" s="82">
        <v>614</v>
      </c>
      <c r="E30" s="6" t="s">
        <v>25</v>
      </c>
    </row>
    <row r="32" spans="1:5" ht="12.75" thickBot="1" x14ac:dyDescent="0.25">
      <c r="A32" s="5" t="s">
        <v>138</v>
      </c>
      <c r="B32" s="3" t="s">
        <v>27</v>
      </c>
      <c r="E32" s="31"/>
    </row>
    <row r="33" spans="1:7" ht="12.75" thickBot="1" x14ac:dyDescent="0.25">
      <c r="A33" s="5"/>
      <c r="B33" s="3" t="s">
        <v>28</v>
      </c>
      <c r="C33" s="82">
        <v>628</v>
      </c>
      <c r="D33" s="50" t="s">
        <v>125</v>
      </c>
      <c r="E33" s="60">
        <f>2126090553-25917076</f>
        <v>2100173477</v>
      </c>
      <c r="G33" s="24" t="s">
        <v>101</v>
      </c>
    </row>
    <row r="34" spans="1:7" ht="12.75" thickBot="1" x14ac:dyDescent="0.25">
      <c r="A34" s="5"/>
      <c r="B34" s="3" t="s">
        <v>29</v>
      </c>
      <c r="C34" s="82">
        <v>629</v>
      </c>
      <c r="D34" s="50" t="s">
        <v>125</v>
      </c>
      <c r="E34" s="60">
        <v>0</v>
      </c>
      <c r="G34" s="24" t="s">
        <v>83</v>
      </c>
    </row>
    <row r="35" spans="1:7" ht="12.75" thickBot="1" x14ac:dyDescent="0.25">
      <c r="A35" s="5"/>
      <c r="B35" s="3" t="s">
        <v>30</v>
      </c>
      <c r="C35" s="82">
        <v>651</v>
      </c>
      <c r="D35" s="50" t="s">
        <v>125</v>
      </c>
      <c r="E35" s="60">
        <f>18271642-70632</f>
        <v>18201010</v>
      </c>
      <c r="G35" s="49"/>
    </row>
    <row r="36" spans="1:7" ht="12.75" thickBot="1" x14ac:dyDescent="0.25">
      <c r="A36" s="5"/>
      <c r="B36" s="3" t="s">
        <v>31</v>
      </c>
      <c r="C36" s="82">
        <v>630</v>
      </c>
      <c r="D36" s="50" t="s">
        <v>126</v>
      </c>
      <c r="E36" s="60">
        <v>1230421883</v>
      </c>
      <c r="G36" s="24" t="s">
        <v>80</v>
      </c>
    </row>
    <row r="37" spans="1:7" ht="12.75" thickBot="1" x14ac:dyDescent="0.25">
      <c r="A37" s="5"/>
      <c r="B37" s="3" t="s">
        <v>32</v>
      </c>
      <c r="C37" s="82">
        <v>631</v>
      </c>
      <c r="D37" s="50" t="s">
        <v>126</v>
      </c>
      <c r="E37" s="60">
        <f>473005818+3732975+10472294+27739521</f>
        <v>514950608</v>
      </c>
      <c r="G37" s="24" t="s">
        <v>81</v>
      </c>
    </row>
    <row r="38" spans="1:7" ht="12.75" thickBot="1" x14ac:dyDescent="0.25">
      <c r="A38" s="5"/>
      <c r="B38" s="3" t="s">
        <v>33</v>
      </c>
      <c r="C38" s="82">
        <v>632</v>
      </c>
      <c r="D38" s="50" t="s">
        <v>126</v>
      </c>
      <c r="E38" s="60">
        <v>16066388</v>
      </c>
      <c r="G38" s="24" t="s">
        <v>82</v>
      </c>
    </row>
    <row r="39" spans="1:7" ht="12.75" thickBot="1" x14ac:dyDescent="0.25">
      <c r="A39" s="5"/>
      <c r="B39" s="3" t="s">
        <v>34</v>
      </c>
      <c r="C39" s="82">
        <v>633</v>
      </c>
      <c r="D39" s="50" t="s">
        <v>126</v>
      </c>
      <c r="E39" s="60">
        <v>52355926</v>
      </c>
      <c r="G39" s="49"/>
    </row>
    <row r="40" spans="1:7" ht="12.75" thickBot="1" x14ac:dyDescent="0.25">
      <c r="A40" s="5"/>
      <c r="B40" s="3" t="s">
        <v>35</v>
      </c>
      <c r="C40" s="95">
        <v>635</v>
      </c>
      <c r="D40" s="50" t="s">
        <v>126</v>
      </c>
      <c r="E40" s="69">
        <f>SUM(E33:E35)-SUM(E36:E39)-E42+E43-SUM('AT08'!G12:'AT08'!G14)</f>
        <v>165471140</v>
      </c>
      <c r="G40" s="24" t="s">
        <v>120</v>
      </c>
    </row>
    <row r="41" spans="1:7" ht="12.75" thickBot="1" x14ac:dyDescent="0.25">
      <c r="A41" s="5"/>
      <c r="B41" s="97" t="s">
        <v>36</v>
      </c>
      <c r="C41" s="82">
        <v>636</v>
      </c>
      <c r="D41" s="98" t="s">
        <v>127</v>
      </c>
      <c r="E41" s="99">
        <f>SUM(E33:E35)-SUM(E36:E40)</f>
        <v>139108542</v>
      </c>
    </row>
    <row r="42" spans="1:7" ht="12.75" thickBot="1" x14ac:dyDescent="0.25">
      <c r="A42" s="5"/>
      <c r="B42" s="3" t="s">
        <v>37</v>
      </c>
      <c r="C42" s="96">
        <v>637</v>
      </c>
      <c r="D42" s="50" t="s">
        <v>126</v>
      </c>
      <c r="E42" s="60">
        <v>23335844</v>
      </c>
      <c r="G42" s="24" t="s">
        <v>82</v>
      </c>
    </row>
    <row r="43" spans="1:7" ht="12.75" thickBot="1" x14ac:dyDescent="0.25">
      <c r="A43" s="5"/>
      <c r="B43" s="3" t="s">
        <v>38</v>
      </c>
      <c r="C43" s="82">
        <v>638</v>
      </c>
      <c r="D43" s="50" t="s">
        <v>125</v>
      </c>
      <c r="E43" s="60">
        <v>62516919</v>
      </c>
      <c r="G43" s="24" t="s">
        <v>83</v>
      </c>
    </row>
    <row r="44" spans="1:7" ht="12.75" thickBot="1" x14ac:dyDescent="0.25">
      <c r="A44" s="5"/>
      <c r="B44" s="3" t="s">
        <v>180</v>
      </c>
      <c r="C44" s="82">
        <v>639</v>
      </c>
      <c r="D44" s="50" t="s">
        <v>125</v>
      </c>
      <c r="E44" s="69">
        <v>0</v>
      </c>
    </row>
    <row r="45" spans="1:7" ht="12.75" thickBot="1" x14ac:dyDescent="0.25">
      <c r="A45" s="5"/>
      <c r="B45" s="3" t="s">
        <v>181</v>
      </c>
      <c r="C45" s="82">
        <v>634</v>
      </c>
      <c r="D45" s="50" t="s">
        <v>126</v>
      </c>
      <c r="E45" s="69">
        <f>-'AT08'!G10</f>
        <v>1195087224</v>
      </c>
    </row>
    <row r="46" spans="1:7" ht="12.75" thickBot="1" x14ac:dyDescent="0.25">
      <c r="A46" s="5"/>
      <c r="B46" s="3" t="s">
        <v>182</v>
      </c>
      <c r="C46" s="82">
        <v>640</v>
      </c>
      <c r="D46" s="50" t="s">
        <v>126</v>
      </c>
      <c r="E46" s="69">
        <f>'AT08'!G15</f>
        <v>0</v>
      </c>
      <c r="G46" s="24" t="s">
        <v>177</v>
      </c>
    </row>
    <row r="47" spans="1:7" ht="12.75" thickBot="1" x14ac:dyDescent="0.25">
      <c r="A47" s="5"/>
      <c r="B47" s="3" t="s">
        <v>183</v>
      </c>
      <c r="C47" s="82">
        <v>807</v>
      </c>
      <c r="D47" s="100" t="s">
        <v>126</v>
      </c>
      <c r="E47" s="60">
        <v>0</v>
      </c>
    </row>
    <row r="48" spans="1:7" ht="12.75" thickBot="1" x14ac:dyDescent="0.25">
      <c r="A48" s="5"/>
      <c r="B48" s="3" t="s">
        <v>42</v>
      </c>
      <c r="C48" s="82">
        <v>641</v>
      </c>
      <c r="D48" s="50" t="s">
        <v>126</v>
      </c>
      <c r="E48" s="60">
        <v>0</v>
      </c>
    </row>
    <row r="49" spans="1:7" ht="12.75" thickBot="1" x14ac:dyDescent="0.25">
      <c r="A49" s="5"/>
      <c r="B49" s="3" t="s">
        <v>43</v>
      </c>
      <c r="C49" s="95">
        <v>642</v>
      </c>
      <c r="D49" s="50" t="s">
        <v>126</v>
      </c>
      <c r="E49" s="69">
        <f>-'AT08'!G18</f>
        <v>0</v>
      </c>
    </row>
    <row r="50" spans="1:7" ht="12.75" thickBot="1" x14ac:dyDescent="0.25">
      <c r="A50" s="5"/>
      <c r="B50" s="97" t="s">
        <v>44</v>
      </c>
      <c r="C50" s="82">
        <v>643</v>
      </c>
      <c r="D50" s="98" t="s">
        <v>127</v>
      </c>
      <c r="E50" s="99">
        <f>E41-E42+E43+E44-SUM(E45:E49)</f>
        <v>-1016797607</v>
      </c>
    </row>
    <row r="51" spans="1:7" x14ac:dyDescent="0.2">
      <c r="E51" s="69"/>
    </row>
    <row r="52" spans="1:7" ht="12.75" thickBot="1" x14ac:dyDescent="0.25">
      <c r="A52" s="5" t="s">
        <v>26</v>
      </c>
      <c r="B52" s="3" t="s">
        <v>47</v>
      </c>
      <c r="E52" s="69"/>
    </row>
    <row r="53" spans="1:7" ht="12.75" thickBot="1" x14ac:dyDescent="0.25">
      <c r="B53" s="3" t="s">
        <v>184</v>
      </c>
      <c r="C53" s="82">
        <v>101</v>
      </c>
      <c r="E53" s="60">
        <v>506523</v>
      </c>
      <c r="G53" s="24" t="s">
        <v>84</v>
      </c>
    </row>
    <row r="54" spans="1:7" ht="12.75" thickBot="1" x14ac:dyDescent="0.25">
      <c r="B54" s="3" t="s">
        <v>146</v>
      </c>
      <c r="C54" s="82">
        <v>784</v>
      </c>
      <c r="E54" s="60">
        <f>13361514+13040702+10416998+(1898.11*496.89)</f>
        <v>37762365.877899997</v>
      </c>
      <c r="G54" s="78"/>
    </row>
    <row r="55" spans="1:7" ht="12.75" thickBot="1" x14ac:dyDescent="0.25">
      <c r="B55" s="3" t="s">
        <v>185</v>
      </c>
      <c r="C55" s="82">
        <v>778</v>
      </c>
      <c r="E55" s="60"/>
    </row>
    <row r="56" spans="1:7" ht="12.75" thickBot="1" x14ac:dyDescent="0.25">
      <c r="B56" s="3" t="s">
        <v>186</v>
      </c>
      <c r="C56" s="82">
        <v>816</v>
      </c>
      <c r="E56" s="60">
        <f>373899020+53663754+13661830+20231099+16573533+175473775+411450093</f>
        <v>1064953104</v>
      </c>
    </row>
    <row r="57" spans="1:7" ht="12.75" thickBot="1" x14ac:dyDescent="0.25">
      <c r="B57" s="3" t="s">
        <v>187</v>
      </c>
      <c r="C57" s="82">
        <v>783</v>
      </c>
      <c r="E57" s="60"/>
    </row>
    <row r="58" spans="1:7" ht="12.75" thickBot="1" x14ac:dyDescent="0.25">
      <c r="B58" s="3" t="s">
        <v>49</v>
      </c>
      <c r="C58" s="82">
        <v>129</v>
      </c>
      <c r="E58" s="60">
        <v>623091245</v>
      </c>
      <c r="G58" s="24" t="s">
        <v>84</v>
      </c>
    </row>
    <row r="59" spans="1:7" ht="12.75" thickBot="1" x14ac:dyDescent="0.25">
      <c r="B59" s="3" t="s">
        <v>55</v>
      </c>
      <c r="C59" s="82">
        <v>647</v>
      </c>
      <c r="E59" s="60">
        <f>76912895-29287559-E60</f>
        <v>47625336</v>
      </c>
      <c r="G59" s="24" t="s">
        <v>143</v>
      </c>
    </row>
    <row r="60" spans="1:7" ht="12.75" thickBot="1" x14ac:dyDescent="0.25">
      <c r="B60" s="3" t="s">
        <v>188</v>
      </c>
      <c r="C60" s="82">
        <v>785</v>
      </c>
      <c r="E60" s="60"/>
    </row>
    <row r="61" spans="1:7" ht="12.75" thickBot="1" x14ac:dyDescent="0.25">
      <c r="B61" s="3" t="s">
        <v>56</v>
      </c>
      <c r="C61" s="82">
        <v>648</v>
      </c>
      <c r="E61" s="60"/>
    </row>
    <row r="62" spans="1:7" ht="12.75" thickBot="1" x14ac:dyDescent="0.25">
      <c r="B62" s="3" t="s">
        <v>50</v>
      </c>
      <c r="C62" s="82">
        <v>122</v>
      </c>
      <c r="E62" s="60">
        <v>1897913007</v>
      </c>
      <c r="G62" s="24" t="s">
        <v>99</v>
      </c>
    </row>
    <row r="63" spans="1:7" ht="12.75" thickBot="1" x14ac:dyDescent="0.25">
      <c r="B63" s="3" t="s">
        <v>189</v>
      </c>
      <c r="C63" s="82">
        <v>779</v>
      </c>
      <c r="E63" s="60"/>
    </row>
    <row r="64" spans="1:7" ht="12.75" thickBot="1" x14ac:dyDescent="0.25">
      <c r="B64" s="3" t="s">
        <v>190</v>
      </c>
      <c r="C64" s="82">
        <v>817</v>
      </c>
      <c r="E64" s="60">
        <f>92146238-3209564+68219837+337245299+5145697+124132489</f>
        <v>623679996</v>
      </c>
    </row>
    <row r="65" spans="1:7" ht="12.75" thickBot="1" x14ac:dyDescent="0.25">
      <c r="B65" s="3" t="s">
        <v>51</v>
      </c>
      <c r="C65" s="82">
        <v>123</v>
      </c>
      <c r="E65" s="60">
        <v>1826395209</v>
      </c>
      <c r="G65" s="24" t="s">
        <v>100</v>
      </c>
    </row>
    <row r="66" spans="1:7" ht="12.75" thickBot="1" x14ac:dyDescent="0.25">
      <c r="B66" s="3" t="s">
        <v>52</v>
      </c>
      <c r="C66" s="82">
        <v>102</v>
      </c>
      <c r="E66" s="60">
        <f>1897913007-0-29287559-65446720-3698998</f>
        <v>1799479730</v>
      </c>
      <c r="G66" s="24" t="s">
        <v>110</v>
      </c>
    </row>
    <row r="67" spans="1:7" ht="12.75" thickBot="1" x14ac:dyDescent="0.25">
      <c r="B67" s="3" t="s">
        <v>53</v>
      </c>
      <c r="C67" s="82">
        <v>645</v>
      </c>
      <c r="E67" s="60">
        <f>+E66-1389276838+6356130-0</f>
        <v>416559022</v>
      </c>
      <c r="G67" s="24" t="s">
        <v>102</v>
      </c>
    </row>
    <row r="68" spans="1:7" ht="12.75" thickBot="1" x14ac:dyDescent="0.25">
      <c r="B68" s="3" t="s">
        <v>54</v>
      </c>
      <c r="C68" s="82">
        <v>646</v>
      </c>
      <c r="E68" s="60"/>
    </row>
    <row r="69" spans="1:7" ht="12.75" thickBot="1" x14ac:dyDescent="0.25">
      <c r="B69" s="3" t="s">
        <v>200</v>
      </c>
      <c r="C69" s="82">
        <v>843</v>
      </c>
      <c r="E69" s="69">
        <f>E67</f>
        <v>416559022</v>
      </c>
    </row>
    <row r="71" spans="1:7" ht="12.75" thickBot="1" x14ac:dyDescent="0.25">
      <c r="A71" s="6" t="s">
        <v>201</v>
      </c>
      <c r="B71" s="3" t="s">
        <v>58</v>
      </c>
    </row>
    <row r="72" spans="1:7" ht="12.75" thickBot="1" x14ac:dyDescent="0.25">
      <c r="B72" s="3" t="s">
        <v>147</v>
      </c>
      <c r="C72" s="82">
        <v>774</v>
      </c>
      <c r="D72" s="50" t="s">
        <v>125</v>
      </c>
      <c r="E72" s="75">
        <v>0</v>
      </c>
    </row>
    <row r="73" spans="1:7" ht="12.75" thickBot="1" x14ac:dyDescent="0.25">
      <c r="B73" s="3" t="s">
        <v>148</v>
      </c>
      <c r="C73" s="82">
        <v>775</v>
      </c>
      <c r="D73" s="50" t="s">
        <v>125</v>
      </c>
      <c r="E73" s="75">
        <v>0</v>
      </c>
    </row>
    <row r="74" spans="1:7" ht="12.75" thickBot="1" x14ac:dyDescent="0.25">
      <c r="B74" s="3" t="s">
        <v>60</v>
      </c>
      <c r="C74" s="82">
        <v>284</v>
      </c>
      <c r="D74" s="50" t="s">
        <v>126</v>
      </c>
      <c r="E74" s="69">
        <f>-'AT08'!G28</f>
        <v>1195087224.0000005</v>
      </c>
    </row>
    <row r="75" spans="1:7" ht="12.75" thickBot="1" x14ac:dyDescent="0.25">
      <c r="B75" s="3" t="s">
        <v>61</v>
      </c>
      <c r="C75" s="82">
        <v>225</v>
      </c>
      <c r="D75" s="50" t="s">
        <v>125</v>
      </c>
      <c r="E75" s="71">
        <f>MAX(E50,0)</f>
        <v>0</v>
      </c>
    </row>
    <row r="76" spans="1:7" ht="12.75" thickBot="1" x14ac:dyDescent="0.25">
      <c r="B76" s="3" t="s">
        <v>62</v>
      </c>
      <c r="C76" s="82">
        <v>229</v>
      </c>
      <c r="D76" s="50" t="s">
        <v>126</v>
      </c>
      <c r="E76" s="71">
        <f>-MIN(E50,0)</f>
        <v>1016797607</v>
      </c>
    </row>
    <row r="77" spans="1:7" ht="12.75" thickBot="1" x14ac:dyDescent="0.25">
      <c r="B77" s="3" t="s">
        <v>63</v>
      </c>
      <c r="C77" s="82">
        <v>623</v>
      </c>
      <c r="D77" s="50" t="s">
        <v>126</v>
      </c>
      <c r="E77" s="75"/>
    </row>
    <row r="78" spans="1:7" ht="12.75" thickBot="1" x14ac:dyDescent="0.25">
      <c r="B78" s="3" t="s">
        <v>64</v>
      </c>
      <c r="C78" s="82">
        <v>624</v>
      </c>
      <c r="D78" s="50" t="s">
        <v>126</v>
      </c>
      <c r="E78" s="75">
        <v>0</v>
      </c>
    </row>
    <row r="79" spans="1:7" ht="12.75" thickBot="1" x14ac:dyDescent="0.25">
      <c r="B79" s="3" t="s">
        <v>65</v>
      </c>
      <c r="C79" s="82">
        <v>227</v>
      </c>
      <c r="D79" s="50" t="s">
        <v>125</v>
      </c>
      <c r="E79" s="75"/>
    </row>
    <row r="80" spans="1:7" ht="12.75" thickBot="1" x14ac:dyDescent="0.25">
      <c r="B80" s="3" t="s">
        <v>191</v>
      </c>
      <c r="C80" s="82">
        <v>776</v>
      </c>
      <c r="D80" s="100" t="s">
        <v>125</v>
      </c>
      <c r="E80" s="75"/>
    </row>
    <row r="81" spans="2:7" ht="12.75" thickBot="1" x14ac:dyDescent="0.25">
      <c r="B81" s="3" t="s">
        <v>192</v>
      </c>
      <c r="C81" s="82">
        <v>777</v>
      </c>
      <c r="D81" s="100" t="s">
        <v>125</v>
      </c>
      <c r="E81" s="71">
        <f>E49</f>
        <v>0</v>
      </c>
    </row>
    <row r="82" spans="2:7" ht="12.75" thickBot="1" x14ac:dyDescent="0.25">
      <c r="B82" s="3" t="s">
        <v>152</v>
      </c>
      <c r="C82" s="82">
        <v>782</v>
      </c>
      <c r="D82" s="50" t="s">
        <v>125</v>
      </c>
      <c r="E82" s="71">
        <f>'AT08'!G38</f>
        <v>1195087224</v>
      </c>
    </row>
    <row r="83" spans="2:7" ht="12.75" thickBot="1" x14ac:dyDescent="0.25">
      <c r="B83" s="3" t="s">
        <v>149</v>
      </c>
      <c r="C83" s="82">
        <v>791</v>
      </c>
      <c r="D83" s="50" t="s">
        <v>125</v>
      </c>
      <c r="E83" s="75">
        <v>0</v>
      </c>
    </row>
    <row r="84" spans="2:7" ht="12.75" thickBot="1" x14ac:dyDescent="0.25">
      <c r="B84" s="3" t="s">
        <v>67</v>
      </c>
      <c r="C84" s="82">
        <v>275</v>
      </c>
      <c r="D84" s="50" t="s">
        <v>126</v>
      </c>
      <c r="E84" s="75"/>
    </row>
    <row r="85" spans="2:7" ht="12.75" thickBot="1" x14ac:dyDescent="0.25">
      <c r="B85" s="3" t="s">
        <v>68</v>
      </c>
      <c r="C85" s="95">
        <v>226</v>
      </c>
      <c r="D85" s="50" t="s">
        <v>126</v>
      </c>
      <c r="E85" s="75">
        <v>0</v>
      </c>
    </row>
    <row r="86" spans="2:7" ht="12.75" thickBot="1" x14ac:dyDescent="0.25">
      <c r="B86" s="110" t="s">
        <v>69</v>
      </c>
      <c r="C86" s="41">
        <v>231</v>
      </c>
      <c r="D86" s="103" t="s">
        <v>127</v>
      </c>
      <c r="E86" s="104">
        <v>0</v>
      </c>
    </row>
    <row r="87" spans="2:7" ht="12.75" thickBot="1" x14ac:dyDescent="0.25">
      <c r="B87" s="111" t="s">
        <v>70</v>
      </c>
      <c r="C87" s="41">
        <v>318</v>
      </c>
      <c r="D87" s="101" t="s">
        <v>127</v>
      </c>
      <c r="E87" s="106">
        <v>0</v>
      </c>
    </row>
    <row r="88" spans="2:7" ht="12.75" thickBot="1" x14ac:dyDescent="0.25">
      <c r="B88" s="118" t="s">
        <v>71</v>
      </c>
      <c r="C88" s="41">
        <v>232</v>
      </c>
      <c r="D88" s="108" t="s">
        <v>127</v>
      </c>
      <c r="E88" s="109">
        <f>-(E72+E73-E74+E75-E76-E77-E78+E79+E80+E81+E82+E83-E84-E85)+E86+E87</f>
        <v>1016797607.0000005</v>
      </c>
    </row>
    <row r="89" spans="2:7" ht="12.75" thickBot="1" x14ac:dyDescent="0.25">
      <c r="B89" s="110" t="s">
        <v>74</v>
      </c>
      <c r="C89" s="41">
        <v>625</v>
      </c>
      <c r="D89" s="115" t="s">
        <v>125</v>
      </c>
      <c r="E89" s="104">
        <v>0</v>
      </c>
      <c r="G89" s="24" t="s">
        <v>85</v>
      </c>
    </row>
    <row r="90" spans="2:7" ht="12.75" thickBot="1" x14ac:dyDescent="0.25">
      <c r="B90" s="111" t="s">
        <v>75</v>
      </c>
      <c r="C90" s="41">
        <v>626</v>
      </c>
      <c r="D90" s="116" t="s">
        <v>125</v>
      </c>
      <c r="E90" s="106">
        <v>0</v>
      </c>
      <c r="G90" s="24" t="s">
        <v>86</v>
      </c>
    </row>
    <row r="91" spans="2:7" ht="12.75" thickBot="1" x14ac:dyDescent="0.25">
      <c r="B91" s="111" t="s">
        <v>76</v>
      </c>
      <c r="C91" s="41">
        <v>627</v>
      </c>
      <c r="D91" s="116" t="s">
        <v>126</v>
      </c>
      <c r="E91" s="114">
        <f>E90</f>
        <v>0</v>
      </c>
      <c r="G91" s="24" t="s">
        <v>87</v>
      </c>
    </row>
    <row r="92" spans="2:7" ht="12.75" thickBot="1" x14ac:dyDescent="0.25">
      <c r="B92" s="119" t="s">
        <v>202</v>
      </c>
      <c r="C92" s="120">
        <v>838</v>
      </c>
      <c r="D92" s="108" t="s">
        <v>127</v>
      </c>
      <c r="E92" s="109">
        <f>+E89+E90-E91</f>
        <v>0</v>
      </c>
    </row>
    <row r="93" spans="2:7" ht="12.75" thickBot="1" x14ac:dyDescent="0.25">
      <c r="B93" s="110" t="s">
        <v>193</v>
      </c>
      <c r="C93" s="41">
        <v>818</v>
      </c>
      <c r="D93" s="103" t="s">
        <v>125</v>
      </c>
      <c r="E93" s="113"/>
    </row>
    <row r="94" spans="2:7" ht="12.75" thickBot="1" x14ac:dyDescent="0.25">
      <c r="B94" s="121" t="s">
        <v>203</v>
      </c>
      <c r="C94" s="83">
        <v>842</v>
      </c>
      <c r="D94" s="101" t="s">
        <v>126</v>
      </c>
      <c r="E94" s="114"/>
    </row>
    <row r="95" spans="2:7" ht="12.75" thickBot="1" x14ac:dyDescent="0.25">
      <c r="B95" s="111" t="s">
        <v>204</v>
      </c>
      <c r="C95" s="41">
        <v>819</v>
      </c>
      <c r="D95" s="101" t="s">
        <v>125</v>
      </c>
      <c r="E95" s="114"/>
    </row>
    <row r="96" spans="2:7" ht="12.75" thickBot="1" x14ac:dyDescent="0.25">
      <c r="B96" s="121" t="s">
        <v>205</v>
      </c>
      <c r="C96" s="83">
        <v>837</v>
      </c>
      <c r="D96" s="101" t="s">
        <v>126</v>
      </c>
      <c r="E96" s="114"/>
    </row>
    <row r="97" spans="2:5" ht="12.75" thickBot="1" x14ac:dyDescent="0.25">
      <c r="B97" s="111" t="s">
        <v>195</v>
      </c>
      <c r="C97" s="41">
        <v>820</v>
      </c>
      <c r="D97" s="101" t="s">
        <v>126</v>
      </c>
      <c r="E97" s="114"/>
    </row>
    <row r="98" spans="2:5" ht="12.75" thickBot="1" x14ac:dyDescent="0.25">
      <c r="B98" s="111" t="s">
        <v>73</v>
      </c>
      <c r="C98" s="41">
        <v>228</v>
      </c>
      <c r="D98" s="101" t="s">
        <v>127</v>
      </c>
      <c r="E98" s="114"/>
    </row>
    <row r="99" spans="2:5" ht="12.75" thickBot="1" x14ac:dyDescent="0.25">
      <c r="B99" s="122" t="s">
        <v>206</v>
      </c>
      <c r="C99" s="83">
        <v>840</v>
      </c>
      <c r="D99" s="108" t="s">
        <v>127</v>
      </c>
      <c r="E99" s="109"/>
    </row>
    <row r="100" spans="2:5" x14ac:dyDescent="0.2">
      <c r="C100" s="84"/>
      <c r="E100" s="71"/>
    </row>
    <row r="101" spans="2:5" ht="12.75" thickBot="1" x14ac:dyDescent="0.25"/>
    <row r="102" spans="2:5" ht="12.75" thickBot="1" x14ac:dyDescent="0.25">
      <c r="B102" s="3" t="s">
        <v>77</v>
      </c>
      <c r="C102" s="82">
        <v>650</v>
      </c>
      <c r="E102" s="28" t="s">
        <v>157</v>
      </c>
    </row>
    <row r="103" spans="2:5" ht="12.75" thickBot="1" x14ac:dyDescent="0.25">
      <c r="B103" s="3" t="s">
        <v>78</v>
      </c>
      <c r="C103" s="82">
        <v>903</v>
      </c>
      <c r="E103" s="28"/>
    </row>
  </sheetData>
  <phoneticPr fontId="0" type="noConversion"/>
  <hyperlinks>
    <hyperlink ref="E29" r:id="rId1"/>
  </hyperlinks>
  <pageMargins left="0.19685039370078741" right="0" top="0.59055118110236227" bottom="0.19685039370078741" header="0.51181102362204722" footer="0.51181102362204722"/>
  <pageSetup scale="89" orientation="landscape" horizontalDpi="360" verticalDpi="360" r:id="rId2"/>
  <headerFooter alignWithMargins="0"/>
  <rowBreaks count="1" manualBreakCount="1">
    <brk id="5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41</vt:i4>
      </vt:variant>
      <vt:variant>
        <vt:lpstr>Rangos con nombre</vt:lpstr>
      </vt:variant>
      <vt:variant>
        <vt:i4>34</vt:i4>
      </vt:variant>
    </vt:vector>
  </HeadingPairs>
  <TitlesOfParts>
    <vt:vector size="75" baseType="lpstr">
      <vt:lpstr>F.22AT16</vt:lpstr>
      <vt:lpstr>F.22AT15</vt:lpstr>
      <vt:lpstr>F.22AT14</vt:lpstr>
      <vt:lpstr>F.22AT13</vt:lpstr>
      <vt:lpstr>F.22AT12</vt:lpstr>
      <vt:lpstr>F.22AT11</vt:lpstr>
      <vt:lpstr>F.22AT10</vt:lpstr>
      <vt:lpstr>F.22AT09</vt:lpstr>
      <vt:lpstr>F.22AT08</vt:lpstr>
      <vt:lpstr>F.22AT07</vt:lpstr>
      <vt:lpstr>F.22AT06</vt:lpstr>
      <vt:lpstr>F.22AT05</vt:lpstr>
      <vt:lpstr>F.22AT04</vt:lpstr>
      <vt:lpstr>F.22AT03</vt:lpstr>
      <vt:lpstr>F.22AT02</vt:lpstr>
      <vt:lpstr>F.22AT01</vt:lpstr>
      <vt:lpstr>F.22AT00</vt:lpstr>
      <vt:lpstr>F.22AT99</vt:lpstr>
      <vt:lpstr>AT16</vt:lpstr>
      <vt:lpstr>AT15</vt:lpstr>
      <vt:lpstr>AT14</vt:lpstr>
      <vt:lpstr>AT13</vt:lpstr>
      <vt:lpstr>AT12</vt:lpstr>
      <vt:lpstr>AT11</vt:lpstr>
      <vt:lpstr>AT10</vt:lpstr>
      <vt:lpstr>AT09</vt:lpstr>
      <vt:lpstr>AT08</vt:lpstr>
      <vt:lpstr>AT07</vt:lpstr>
      <vt:lpstr>AT06</vt:lpstr>
      <vt:lpstr>AT05</vt:lpstr>
      <vt:lpstr>AT04</vt:lpstr>
      <vt:lpstr>AT03</vt:lpstr>
      <vt:lpstr>AT02</vt:lpstr>
      <vt:lpstr>AT01</vt:lpstr>
      <vt:lpstr>AT00</vt:lpstr>
      <vt:lpstr>AT99</vt:lpstr>
      <vt:lpstr>Errores</vt:lpstr>
      <vt:lpstr>AT98</vt:lpstr>
      <vt:lpstr>AT97</vt:lpstr>
      <vt:lpstr>AT96</vt:lpstr>
      <vt:lpstr>Hoja2</vt:lpstr>
      <vt:lpstr>F.22AT00!_Li53</vt:lpstr>
      <vt:lpstr>F.22AT01!_Li53</vt:lpstr>
      <vt:lpstr>F.22AT02!_Li53</vt:lpstr>
      <vt:lpstr>F.22AT03!_Li53</vt:lpstr>
      <vt:lpstr>F.22AT04!_Li53</vt:lpstr>
      <vt:lpstr>F.22AT05!_Li53</vt:lpstr>
      <vt:lpstr>F.22AT06!_Li53</vt:lpstr>
      <vt:lpstr>F.22AT99!_Li53</vt:lpstr>
      <vt:lpstr>'AT13'!Área_de_impresión</vt:lpstr>
      <vt:lpstr>'AT14'!Área_de_impresión</vt:lpstr>
      <vt:lpstr>F.22AT11!Área_de_impresión</vt:lpstr>
      <vt:lpstr>F.22AT12!Área_de_impresión</vt:lpstr>
      <vt:lpstr>F.22AT13!Área_de_impresión</vt:lpstr>
      <vt:lpstr>F.22AT14!Área_de_impresión</vt:lpstr>
      <vt:lpstr>F.22AT15!Área_de_impresión</vt:lpstr>
      <vt:lpstr>F.22AT16!Área_de_impresión</vt:lpstr>
      <vt:lpstr>F.22AT00!ReajTrim</vt:lpstr>
      <vt:lpstr>F.22AT01!ReajTrim</vt:lpstr>
      <vt:lpstr>F.22AT02!ReajTrim</vt:lpstr>
      <vt:lpstr>F.22AT03!ReajTrim</vt:lpstr>
      <vt:lpstr>F.22AT04!ReajTrim</vt:lpstr>
      <vt:lpstr>F.22AT05!ReajTrim</vt:lpstr>
      <vt:lpstr>F.22AT06!ReajTrim</vt:lpstr>
      <vt:lpstr>F.22AT07!ReajTrim</vt:lpstr>
      <vt:lpstr>F.22AT08!ReajTrim</vt:lpstr>
      <vt:lpstr>F.22AT09!ReajTrim</vt:lpstr>
      <vt:lpstr>F.22AT10!ReajTrim</vt:lpstr>
      <vt:lpstr>F.22AT11!ReajTrim</vt:lpstr>
      <vt:lpstr>F.22AT12!ReajTrim</vt:lpstr>
      <vt:lpstr>F.22AT13!ReajTrim</vt:lpstr>
      <vt:lpstr>F.22AT14!ReajTrim</vt:lpstr>
      <vt:lpstr>F.22AT15!ReajTrim</vt:lpstr>
      <vt:lpstr>F.22AT16!ReajTrim</vt:lpstr>
      <vt:lpstr>F.22AT99!ReajTrim</vt:lpstr>
    </vt:vector>
  </TitlesOfParts>
  <Company>DEMARKA S.A.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Patricio Ruiz</dc:creator>
  <cp:lastModifiedBy>Christian Esteban Martinez Guerrero</cp:lastModifiedBy>
  <cp:lastPrinted>2016-11-24T20:32:26Z</cp:lastPrinted>
  <dcterms:created xsi:type="dcterms:W3CDTF">2001-04-18T18:43:55Z</dcterms:created>
  <dcterms:modified xsi:type="dcterms:W3CDTF">2017-04-25T03:19:06Z</dcterms:modified>
</cp:coreProperties>
</file>