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ESIS Zemax\ESIS_SVLS_06_14_2016_FINAL\Tolerance\"/>
    </mc:Choice>
  </mc:AlternateContent>
  <bookViews>
    <workbookView xWindow="43823" yWindow="-4343" windowWidth="30300" windowHeight="18398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A24" i="1"/>
  <c r="B48" i="1"/>
  <c r="D49" i="1"/>
  <c r="B49" i="1"/>
  <c r="B61" i="1"/>
  <c r="A61" i="1"/>
  <c r="A62" i="1"/>
  <c r="G55" i="1"/>
  <c r="D55" i="1"/>
  <c r="D54" i="1"/>
  <c r="A37" i="1"/>
  <c r="B55" i="1"/>
  <c r="G56" i="1"/>
  <c r="D56" i="1"/>
  <c r="B56" i="1"/>
  <c r="B57" i="1"/>
  <c r="B54" i="1"/>
  <c r="B59" i="1"/>
  <c r="A59" i="1"/>
  <c r="A60" i="1"/>
  <c r="A26" i="1"/>
  <c r="A27" i="1"/>
  <c r="A30" i="1"/>
  <c r="C42" i="1"/>
  <c r="C43" i="1"/>
  <c r="A23" i="1"/>
  <c r="A21" i="1"/>
</calcChain>
</file>

<file path=xl/sharedStrings.xml><?xml version="1.0" encoding="utf-8"?>
<sst xmlns="http://schemas.openxmlformats.org/spreadsheetml/2006/main" count="111" uniqueCount="104">
  <si>
    <t>Spatial resolution of ESIS</t>
  </si>
  <si>
    <t>EFL, m</t>
  </si>
  <si>
    <t>pixel size, m</t>
  </si>
  <si>
    <t>pixel, radians</t>
  </si>
  <si>
    <t>pixel, arc seconds</t>
  </si>
  <si>
    <t>grating-to-detector distance, m</t>
  </si>
  <si>
    <t>Engineering requirement</t>
  </si>
  <si>
    <t>MFG</t>
  </si>
  <si>
    <t>Mount</t>
  </si>
  <si>
    <t>Thermal</t>
  </si>
  <si>
    <t>Optics error breakdowns</t>
  </si>
  <si>
    <t>Total focus error (m)</t>
  </si>
  <si>
    <t>f-ratio (geometrical, not effective!)</t>
  </si>
  <si>
    <t>??????</t>
  </si>
  <si>
    <t>NOTES</t>
  </si>
  <si>
    <t>???</t>
  </si>
  <si>
    <t>Grating alignment</t>
  </si>
  <si>
    <t>Prime focus (m)</t>
  </si>
  <si>
    <t>Primary f-ratio</t>
  </si>
  <si>
    <t>Magnification</t>
  </si>
  <si>
    <t>Pointing jitter</t>
  </si>
  <si>
    <t>SPARCS drift</t>
  </si>
  <si>
    <t>arcsec RMS</t>
  </si>
  <si>
    <t>arcsec per exposure</t>
  </si>
  <si>
    <t>arcsec at  limb per exp</t>
  </si>
  <si>
    <t>solar radius in arc seconds</t>
  </si>
  <si>
    <t>arcsec/sec on sky at limb</t>
  </si>
  <si>
    <t>RMS arcsec per exposure</t>
  </si>
  <si>
    <t>CCK 2014-Oct-9 composed</t>
  </si>
  <si>
    <t>Modification history:</t>
  </si>
  <si>
    <t>CCK 2014-Dec-22 version first circulated via email</t>
  </si>
  <si>
    <t>CCK 2015-Jan-13 added SPARCS &amp; RLG</t>
  </si>
  <si>
    <t>RLG drift</t>
  </si>
  <si>
    <t>roll spec per SRHB RIG, x10 derate, deg/hr = arcsec/sec</t>
  </si>
  <si>
    <t>exposure time, s (for purpose of integrating any pointing drifts)</t>
  </si>
  <si>
    <t>CCD charge diffusion (this should be similar in scale to the field-free region on the backside; I have no idea what value to use!)</t>
  </si>
  <si>
    <t>CCK 2015-Jan-27 aperture updated to 150mm; added charge diffusion term (WAG).</t>
  </si>
  <si>
    <t>CCK 2015-Mar-23 major update:</t>
  </si>
  <si>
    <t>* Added term for design aberrations</t>
  </si>
  <si>
    <t>* Alternative to RMS radius for contributions calculated by Fourier model</t>
  </si>
  <si>
    <t>Design RMS radius</t>
  </si>
  <si>
    <t>*** Horiba estimate is 3-5 urad slope error.</t>
  </si>
  <si>
    <t>MOSES thermal pointing drift relative to LISS is allocated the same value as SPARCS.</t>
  </si>
  <si>
    <t>threshold resolution, arc seconds (per proposal table)</t>
  </si>
  <si>
    <t>threshold resolution, pixels</t>
  </si>
  <si>
    <t>required resolution, pixels (pixel limited resolution)</t>
  </si>
  <si>
    <t>Primary-to-stop alignment</t>
  </si>
  <si>
    <t>Decenter</t>
  </si>
  <si>
    <t>primary diameter (m)</t>
  </si>
  <si>
    <t>Field stop Defocus*</t>
  </si>
  <si>
    <t>Defocus at field stop contains a factor of M because the spot will be magnified on the focal plane.</t>
  </si>
  <si>
    <t>RMS slope error (rad)</t>
  </si>
  <si>
    <t>Primary</t>
  </si>
  <si>
    <t>Grating</t>
  </si>
  <si>
    <t>Proposed requirement:</t>
  </si>
  <si>
    <t>TOTAL MTF DEGRADATION</t>
  </si>
  <si>
    <t>Diffraction</t>
  </si>
  <si>
    <t>Consistent with Fourier Optics results.</t>
  </si>
  <si>
    <t>CCK 2015-May-12</t>
  </si>
  <si>
    <t>Updated mirror/grating requirements for consistency with modeling.</t>
  </si>
  <si>
    <t>Consistent with Fourier Optics simulation and Horiba email comments.***</t>
  </si>
  <si>
    <t>arcsec P-P (SPARCS VII spec)</t>
  </si>
  <si>
    <t>Gaussian blur terms (m):</t>
  </si>
  <si>
    <t>TOTAL (RSS)</t>
  </si>
  <si>
    <t>* The defocused spot looks like one trapezoidal octant of the primary.The geometric radius of this trapezoid must be less than 1/4 the projected diameter of the primary.</t>
  </si>
  <si>
    <t>arc second spatial resolution</t>
  </si>
  <si>
    <t>(m) spatial resolution, distance in focal plane</t>
  </si>
  <si>
    <t>CCK 2015-Jun-07</t>
  </si>
  <si>
    <t>Downgraded to 2" resolution (science requirement) and re-ran Fourier model. Now we have margin.</t>
  </si>
  <si>
    <t>Field stop to grating distance error</t>
  </si>
  <si>
    <t>Detector lateral placement</t>
  </si>
  <si>
    <t>CCK 2015-Jun</t>
  </si>
  <si>
    <t>inputting tolerances from Zemax analysis for v.5</t>
  </si>
  <si>
    <t>Decenter (mm)</t>
  </si>
  <si>
    <t>Detector Defocus*  **</t>
  </si>
  <si>
    <t>**</t>
  </si>
  <si>
    <t>I expected this to be conservative, but Hans' Zemax estimate is larger, about 0.6 um RMS. Why?</t>
  </si>
  <si>
    <t>MTF degradation (minimum value) at desired resolution (similar modulation to Rayleigh criterion)</t>
  </si>
  <si>
    <t>CCK 2015-Oct-17</t>
  </si>
  <si>
    <t>Point release, V5.1. Minor corrections that do not affect the results.</t>
  </si>
  <si>
    <t>Edge defocus (m) due to CCD tip/tilt</t>
  </si>
  <si>
    <t>CCK 2015-Oct-20</t>
  </si>
  <si>
    <t>(m) due to discreteness of shimming</t>
  </si>
  <si>
    <t>(m) due to focus procedural error</t>
  </si>
  <si>
    <t>Point release, V5.2. Broke out defocus terms to include tip/tilt, procedural, and discretization (shimming) errors. Results in a 1% hit to MTF.</t>
  </si>
  <si>
    <t>Variation in grating radius</t>
  </si>
  <si>
    <t>This corresponds to ±2.5mm (±0.4%) in grating radius, per Zemax tolerancing by Hans 2015-Dec-10</t>
  </si>
  <si>
    <t>CCK 2015-Dec-10</t>
  </si>
  <si>
    <t>Point release, V5.3. Included Hans' tolerancing of grating radius.</t>
  </si>
  <si>
    <t>CCK 2016-Jul-07</t>
  </si>
  <si>
    <t>Degrade SPARCS pointing specs per Hoxworth email dated yesterday.</t>
  </si>
  <si>
    <t>arcsec drift per second (SPARCS per Chris Hoxworth 2016-Jul-06)</t>
  </si>
  <si>
    <t>Used 1/( 2 * sqrt(2) ) = 1/sqrt(8) to convert from PK-PK to RMS</t>
  </si>
  <si>
    <t>MTF DEGRADATION DUE TO INSTRUMENT ONLY (NOT SPARCS)</t>
  </si>
  <si>
    <t>RSS GAUSSIAN BLUR WITHOUT SPARCS</t>
  </si>
  <si>
    <t>MTF Degradation (@ 39µm period)</t>
  </si>
  <si>
    <t>CCK 2016-Aug-13</t>
  </si>
  <si>
    <t>Updated primary requirements. Fixed a documentation error. Broke out detailed budget for field stop defocus.</t>
  </si>
  <si>
    <t>locating prime focus</t>
  </si>
  <si>
    <t>discrete shimming</t>
  </si>
  <si>
    <t>thermal (stop)</t>
  </si>
  <si>
    <t>thermal (primary)</t>
  </si>
  <si>
    <t>stop thickness</t>
  </si>
  <si>
    <t>Zemax RMS radius (m), worst case OV line (Hans, Sept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</si>
</sst>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0" fillId="0" borderId="0" xfId="0" applyNumberFormat="1" applyFill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38" zoomScale="90" zoomScaleNormal="90" zoomScalePageLayoutView="200" workbookViewId="0">
      <selection activeCell="E47" sqref="E47"/>
    </sheetView>
  </sheetViews>
  <sheetFormatPr defaultColWidth="11" defaultRowHeight="15.75" x14ac:dyDescent="0.5"/>
  <cols>
    <col min="1" max="1" width="14.8125" customWidth="1"/>
    <col min="2" max="2" width="8.6875" customWidth="1"/>
    <col min="3" max="3" width="22.5" customWidth="1"/>
    <col min="4" max="4" width="19" customWidth="1"/>
    <col min="5" max="5" width="22.5" customWidth="1"/>
    <col min="6" max="7" width="12.1875" bestFit="1" customWidth="1"/>
    <col min="8" max="8" width="11.8125" customWidth="1"/>
  </cols>
  <sheetData>
    <row r="1" spans="1:2" x14ac:dyDescent="0.5">
      <c r="A1" t="s">
        <v>0</v>
      </c>
    </row>
    <row r="2" spans="1:2" x14ac:dyDescent="0.5">
      <c r="A2" t="s">
        <v>29</v>
      </c>
    </row>
    <row r="3" spans="1:2" x14ac:dyDescent="0.5">
      <c r="A3" t="s">
        <v>28</v>
      </c>
    </row>
    <row r="4" spans="1:2" x14ac:dyDescent="0.5">
      <c r="A4" t="s">
        <v>30</v>
      </c>
    </row>
    <row r="5" spans="1:2" x14ac:dyDescent="0.5">
      <c r="A5" t="s">
        <v>31</v>
      </c>
    </row>
    <row r="6" spans="1:2" x14ac:dyDescent="0.5">
      <c r="A6" t="s">
        <v>36</v>
      </c>
    </row>
    <row r="7" spans="1:2" x14ac:dyDescent="0.5">
      <c r="A7" t="s">
        <v>37</v>
      </c>
    </row>
    <row r="8" spans="1:2" x14ac:dyDescent="0.5">
      <c r="B8" t="s">
        <v>39</v>
      </c>
    </row>
    <row r="9" spans="1:2" x14ac:dyDescent="0.5">
      <c r="B9" t="s">
        <v>38</v>
      </c>
    </row>
    <row r="10" spans="1:2" x14ac:dyDescent="0.5">
      <c r="A10" t="s">
        <v>58</v>
      </c>
      <c r="B10" t="s">
        <v>59</v>
      </c>
    </row>
    <row r="11" spans="1:2" x14ac:dyDescent="0.5">
      <c r="A11" t="s">
        <v>67</v>
      </c>
      <c r="B11" t="s">
        <v>68</v>
      </c>
    </row>
    <row r="12" spans="1:2" x14ac:dyDescent="0.5">
      <c r="A12" t="s">
        <v>71</v>
      </c>
      <c r="B12" t="s">
        <v>72</v>
      </c>
    </row>
    <row r="13" spans="1:2" x14ac:dyDescent="0.5">
      <c r="A13" t="s">
        <v>78</v>
      </c>
      <c r="B13" t="s">
        <v>79</v>
      </c>
    </row>
    <row r="14" spans="1:2" x14ac:dyDescent="0.5">
      <c r="A14" t="s">
        <v>81</v>
      </c>
      <c r="B14" t="s">
        <v>84</v>
      </c>
    </row>
    <row r="15" spans="1:2" x14ac:dyDescent="0.5">
      <c r="A15" t="s">
        <v>87</v>
      </c>
      <c r="B15" t="s">
        <v>88</v>
      </c>
    </row>
    <row r="16" spans="1:2" x14ac:dyDescent="0.5">
      <c r="A16" t="s">
        <v>89</v>
      </c>
      <c r="B16" t="s">
        <v>90</v>
      </c>
    </row>
    <row r="17" spans="1:3" x14ac:dyDescent="0.5">
      <c r="A17" t="s">
        <v>96</v>
      </c>
      <c r="B17" t="s">
        <v>97</v>
      </c>
    </row>
    <row r="19" spans="1:3" x14ac:dyDescent="0.5">
      <c r="A19">
        <v>0.15</v>
      </c>
      <c r="B19" t="s">
        <v>48</v>
      </c>
      <c r="C19" t="s">
        <v>13</v>
      </c>
    </row>
    <row r="20" spans="1:3" x14ac:dyDescent="0.5">
      <c r="A20">
        <v>4</v>
      </c>
      <c r="B20" t="s">
        <v>1</v>
      </c>
    </row>
    <row r="21" spans="1:3" x14ac:dyDescent="0.5">
      <c r="A21">
        <f>A20/A19</f>
        <v>26.666666666666668</v>
      </c>
      <c r="B21" t="s">
        <v>12</v>
      </c>
    </row>
    <row r="22" spans="1:3" x14ac:dyDescent="0.5">
      <c r="A22">
        <v>1</v>
      </c>
      <c r="B22" t="s">
        <v>17</v>
      </c>
    </row>
    <row r="23" spans="1:3" x14ac:dyDescent="0.5">
      <c r="A23">
        <f>A22/A19</f>
        <v>6.666666666666667</v>
      </c>
      <c r="B23" t="s">
        <v>18</v>
      </c>
    </row>
    <row r="24" spans="1:3" x14ac:dyDescent="0.5">
      <c r="A24">
        <f>A20/A22</f>
        <v>4</v>
      </c>
      <c r="B24" t="s">
        <v>19</v>
      </c>
    </row>
    <row r="25" spans="1:3" x14ac:dyDescent="0.5">
      <c r="A25" s="1">
        <v>1.5E-5</v>
      </c>
      <c r="B25" t="s">
        <v>2</v>
      </c>
    </row>
    <row r="26" spans="1:3" x14ac:dyDescent="0.5">
      <c r="A26" s="1">
        <f>A25/A20</f>
        <v>3.7500000000000001E-6</v>
      </c>
      <c r="B26" t="s">
        <v>3</v>
      </c>
    </row>
    <row r="27" spans="1:3" x14ac:dyDescent="0.5">
      <c r="A27" s="1">
        <f>A26*180/3.14159*3600</f>
        <v>0.77349367676877001</v>
      </c>
      <c r="B27" t="s">
        <v>4</v>
      </c>
    </row>
    <row r="28" spans="1:3" x14ac:dyDescent="0.5">
      <c r="A28" s="1">
        <v>2</v>
      </c>
      <c r="B28" t="s">
        <v>45</v>
      </c>
    </row>
    <row r="29" spans="1:3" x14ac:dyDescent="0.5">
      <c r="A29" s="1">
        <v>2</v>
      </c>
      <c r="B29" t="s">
        <v>43</v>
      </c>
    </row>
    <row r="30" spans="1:3" x14ac:dyDescent="0.5">
      <c r="A30" s="1">
        <f>A29/A27</f>
        <v>2.585670781893004</v>
      </c>
      <c r="B30" t="s">
        <v>44</v>
      </c>
    </row>
    <row r="31" spans="1:3" x14ac:dyDescent="0.5">
      <c r="A31">
        <v>1.573</v>
      </c>
      <c r="B31" t="s">
        <v>5</v>
      </c>
    </row>
    <row r="32" spans="1:3" x14ac:dyDescent="0.5">
      <c r="A32">
        <v>2</v>
      </c>
      <c r="B32" t="s">
        <v>34</v>
      </c>
    </row>
    <row r="33" spans="1:17" x14ac:dyDescent="0.5">
      <c r="A33" s="1">
        <v>960</v>
      </c>
      <c r="B33" t="s">
        <v>25</v>
      </c>
    </row>
    <row r="34" spans="1:17" x14ac:dyDescent="0.5">
      <c r="A34" s="1"/>
    </row>
    <row r="35" spans="1:17" x14ac:dyDescent="0.5">
      <c r="A35" t="s">
        <v>54</v>
      </c>
    </row>
    <row r="36" spans="1:17" x14ac:dyDescent="0.5">
      <c r="A36">
        <v>2</v>
      </c>
      <c r="B36" t="s">
        <v>65</v>
      </c>
    </row>
    <row r="37" spans="1:17" x14ac:dyDescent="0.5">
      <c r="A37">
        <f>(A36/3600)*(PI()/180)*A20</f>
        <v>3.8785094488762879E-5</v>
      </c>
      <c r="B37" t="s">
        <v>66</v>
      </c>
    </row>
    <row r="38" spans="1:17" x14ac:dyDescent="0.5">
      <c r="A38" s="3">
        <v>8.8999999999999996E-2</v>
      </c>
      <c r="B38" s="2" t="s">
        <v>77</v>
      </c>
    </row>
    <row r="39" spans="1:17" x14ac:dyDescent="0.5">
      <c r="B39" s="1"/>
      <c r="E39" t="s">
        <v>10</v>
      </c>
    </row>
    <row r="40" spans="1:17" x14ac:dyDescent="0.5">
      <c r="A40" t="s">
        <v>95</v>
      </c>
      <c r="B40" s="1"/>
      <c r="C40" t="s">
        <v>6</v>
      </c>
      <c r="E40" t="s">
        <v>7</v>
      </c>
      <c r="F40" t="s">
        <v>8</v>
      </c>
      <c r="G40" t="s">
        <v>9</v>
      </c>
    </row>
    <row r="41" spans="1:17" x14ac:dyDescent="0.5">
      <c r="A41" s="6">
        <v>0.83299999999999996</v>
      </c>
      <c r="B41" s="1" t="s">
        <v>56</v>
      </c>
      <c r="H41" s="4" t="s">
        <v>57</v>
      </c>
    </row>
    <row r="42" spans="1:17" x14ac:dyDescent="0.5">
      <c r="A42" s="6">
        <v>0.7</v>
      </c>
      <c r="B42" t="s">
        <v>52</v>
      </c>
      <c r="C42" s="4">
        <f>SQRT(SUMSQ(E42:G42))</f>
        <v>1.0862780491200216E-6</v>
      </c>
      <c r="D42" t="s">
        <v>51</v>
      </c>
      <c r="E42" s="1">
        <v>9.9999999999999995E-7</v>
      </c>
      <c r="F42" s="1">
        <v>2.9999999999999999E-7</v>
      </c>
      <c r="G42" s="1">
        <v>2.9999999999999999E-7</v>
      </c>
      <c r="H42" s="4" t="s">
        <v>57</v>
      </c>
    </row>
    <row r="43" spans="1:17" x14ac:dyDescent="0.5">
      <c r="A43" s="6">
        <v>0.6</v>
      </c>
      <c r="B43" t="s">
        <v>53</v>
      </c>
      <c r="C43" s="4">
        <f>SQRT(SUMSQ(E43:G43))</f>
        <v>3.0298514815086234E-6</v>
      </c>
      <c r="D43" t="s">
        <v>51</v>
      </c>
      <c r="E43" s="1">
        <v>3.0000000000000001E-6</v>
      </c>
      <c r="F43" s="1">
        <v>2.9999999999999999E-7</v>
      </c>
      <c r="G43" s="1">
        <v>2.9999999999999999E-7</v>
      </c>
      <c r="H43" s="4" t="s">
        <v>60</v>
      </c>
    </row>
    <row r="44" spans="1:17" x14ac:dyDescent="0.5">
      <c r="A44" s="6"/>
      <c r="C44" s="1"/>
      <c r="D44" s="4"/>
      <c r="F44" s="1"/>
      <c r="G44" s="1"/>
      <c r="H44" s="1"/>
      <c r="I44" s="4"/>
    </row>
    <row r="45" spans="1:17" x14ac:dyDescent="0.5">
      <c r="A45" s="6"/>
      <c r="B45" t="s">
        <v>62</v>
      </c>
    </row>
    <row r="46" spans="1:17" x14ac:dyDescent="0.5">
      <c r="A46" s="6"/>
      <c r="B46" s="1">
        <v>1.718648043634E-6</v>
      </c>
      <c r="C46" t="s">
        <v>40</v>
      </c>
      <c r="D46" s="1">
        <v>1.718648043634E-6</v>
      </c>
      <c r="E46" s="5" t="s">
        <v>103</v>
      </c>
    </row>
    <row r="47" spans="1:17" x14ac:dyDescent="0.5">
      <c r="A47" s="6"/>
      <c r="B47" s="1">
        <v>6.7999999999999995E-7</v>
      </c>
      <c r="C47" t="s">
        <v>85</v>
      </c>
      <c r="D47" s="1" t="s">
        <v>86</v>
      </c>
      <c r="E47" s="5"/>
    </row>
    <row r="48" spans="1:17" x14ac:dyDescent="0.5">
      <c r="A48" s="6"/>
      <c r="B48" s="1">
        <f>(D48/$A$20)*($A$19/4)*$A$24/SQRT(6)</f>
        <v>1.2103072956898179E-6</v>
      </c>
      <c r="C48" t="s">
        <v>49</v>
      </c>
      <c r="D48" s="1">
        <f>SQRT(SUMSQ(F48,I48,K48,P48))</f>
        <v>7.9056941504209485E-5</v>
      </c>
      <c r="E48" t="s">
        <v>11</v>
      </c>
      <c r="F48" s="1">
        <v>5.0000000000000002E-5</v>
      </c>
      <c r="G48" t="s">
        <v>98</v>
      </c>
      <c r="I48" s="1">
        <v>2.5000000000000001E-5</v>
      </c>
      <c r="J48" t="s">
        <v>102</v>
      </c>
      <c r="K48" s="1">
        <v>2.5000000000000001E-5</v>
      </c>
      <c r="L48" t="s">
        <v>99</v>
      </c>
      <c r="N48" s="1">
        <v>5.0000000000000002E-5</v>
      </c>
      <c r="O48" t="s">
        <v>100</v>
      </c>
      <c r="P48" s="1">
        <v>5.0000000000000002E-5</v>
      </c>
      <c r="Q48" t="s">
        <v>101</v>
      </c>
    </row>
    <row r="49" spans="1:16" x14ac:dyDescent="0.5">
      <c r="A49" s="6"/>
      <c r="B49" s="1">
        <f>(D49/$A$20)*($A$19/4)/SQRT(6)</f>
        <v>5.7409915846480737E-7</v>
      </c>
      <c r="C49" t="s">
        <v>74</v>
      </c>
      <c r="D49" s="1">
        <f>SQRT(G49^2+K49^2+O49^2)</f>
        <v>1.4999999999999999E-4</v>
      </c>
      <c r="E49" t="s">
        <v>11</v>
      </c>
      <c r="G49" s="1">
        <v>1E-4</v>
      </c>
      <c r="H49" t="s">
        <v>80</v>
      </c>
      <c r="K49" s="1">
        <v>5.0000000000000002E-5</v>
      </c>
      <c r="L49" t="s">
        <v>82</v>
      </c>
      <c r="O49" s="1">
        <v>1E-4</v>
      </c>
      <c r="P49" t="s">
        <v>83</v>
      </c>
    </row>
    <row r="50" spans="1:16" x14ac:dyDescent="0.5">
      <c r="A50" s="6"/>
      <c r="B50" s="1">
        <v>3.9999999999999998E-7</v>
      </c>
      <c r="C50" t="s">
        <v>70</v>
      </c>
      <c r="D50" s="1">
        <v>1E-3</v>
      </c>
      <c r="E50" t="s">
        <v>73</v>
      </c>
    </row>
    <row r="51" spans="1:16" x14ac:dyDescent="0.5">
      <c r="A51" s="6"/>
      <c r="B51" s="1">
        <v>9.9999999999999995E-7</v>
      </c>
      <c r="C51" t="s">
        <v>46</v>
      </c>
      <c r="D51" t="s">
        <v>15</v>
      </c>
      <c r="E51" t="s">
        <v>47</v>
      </c>
    </row>
    <row r="52" spans="1:16" x14ac:dyDescent="0.5">
      <c r="A52" s="6"/>
      <c r="B52" s="1">
        <v>9.9999999999999995E-7</v>
      </c>
      <c r="C52" t="s">
        <v>16</v>
      </c>
      <c r="D52" t="s">
        <v>15</v>
      </c>
      <c r="E52" t="s">
        <v>47</v>
      </c>
    </row>
    <row r="53" spans="1:16" x14ac:dyDescent="0.5">
      <c r="A53" s="6"/>
      <c r="B53" s="1">
        <v>9.9999999999999995E-7</v>
      </c>
      <c r="C53" t="s">
        <v>16</v>
      </c>
      <c r="D53" t="s">
        <v>15</v>
      </c>
      <c r="E53" t="s">
        <v>69</v>
      </c>
    </row>
    <row r="54" spans="1:16" x14ac:dyDescent="0.5">
      <c r="A54" s="6"/>
      <c r="B54" s="1">
        <f>(D54/3600)*(3.14159/180)*A20</f>
        <v>3.4281475196108725E-6</v>
      </c>
      <c r="C54" t="s">
        <v>20</v>
      </c>
      <c r="D54">
        <f>G54/SQRT(8)</f>
        <v>0.17677669529663687</v>
      </c>
      <c r="E54" t="s">
        <v>22</v>
      </c>
      <c r="G54">
        <v>0.5</v>
      </c>
      <c r="H54" t="s">
        <v>61</v>
      </c>
    </row>
    <row r="55" spans="1:16" x14ac:dyDescent="0.5">
      <c r="A55" s="6"/>
      <c r="B55" s="1">
        <f>(D55/3600)*(3.14159/180)*A20</f>
        <v>1.9197626109820888E-7</v>
      </c>
      <c r="C55" t="s">
        <v>21</v>
      </c>
      <c r="D55">
        <f>G55/SQRT(8)</f>
        <v>9.899494936611665E-3</v>
      </c>
      <c r="E55" t="s">
        <v>27</v>
      </c>
      <c r="G55">
        <f>J55*A32</f>
        <v>2.8000000000000001E-2</v>
      </c>
      <c r="H55" t="s">
        <v>23</v>
      </c>
      <c r="J55">
        <v>1.4E-2</v>
      </c>
      <c r="K55" t="s">
        <v>91</v>
      </c>
    </row>
    <row r="56" spans="1:16" x14ac:dyDescent="0.5">
      <c r="A56" s="6"/>
      <c r="B56" s="1">
        <f>(D56/3600)*(3.14159/180)*A20</f>
        <v>1.8803512665942685E-10</v>
      </c>
      <c r="C56" t="s">
        <v>32</v>
      </c>
      <c r="D56">
        <f>G56*A32</f>
        <v>9.6962654320987638E-6</v>
      </c>
      <c r="E56" t="s">
        <v>24</v>
      </c>
      <c r="G56">
        <f>J56*(3.14159/180/3600)</f>
        <v>4.8481327160493819E-6</v>
      </c>
      <c r="H56" t="s">
        <v>26</v>
      </c>
      <c r="J56">
        <v>1</v>
      </c>
      <c r="K56" t="s">
        <v>33</v>
      </c>
    </row>
    <row r="57" spans="1:16" x14ac:dyDescent="0.5">
      <c r="A57" s="6"/>
      <c r="B57" s="1">
        <f>B55</f>
        <v>1.9197626109820888E-7</v>
      </c>
      <c r="C57" t="s">
        <v>42</v>
      </c>
    </row>
    <row r="58" spans="1:16" x14ac:dyDescent="0.5">
      <c r="A58" s="6"/>
      <c r="B58" s="1">
        <v>1.9999999999999999E-6</v>
      </c>
      <c r="C58" t="s">
        <v>35</v>
      </c>
    </row>
    <row r="59" spans="1:16" x14ac:dyDescent="0.5">
      <c r="A59" s="6">
        <f>EXP(-4*PI()^2*B59^2/0.00003^2)</f>
        <v>0.34597913305882227</v>
      </c>
      <c r="B59" s="2">
        <f>SQRT(SUMSQ(B46:B58))</f>
        <v>4.9189927742230781E-6</v>
      </c>
      <c r="C59" t="s">
        <v>63</v>
      </c>
    </row>
    <row r="60" spans="1:16" x14ac:dyDescent="0.5">
      <c r="A60" s="8">
        <f>A41*A42*A43*A59</f>
        <v>0.12104425949195954</v>
      </c>
      <c r="B60" s="2" t="s">
        <v>55</v>
      </c>
    </row>
    <row r="61" spans="1:16" x14ac:dyDescent="0.5">
      <c r="A61" s="6">
        <f>EXP(-4*PI()^2*B61^2/0.00003^2)</f>
        <v>0.58121498487942358</v>
      </c>
      <c r="B61" s="2">
        <f>SQRT(SUMSQ(B46:B53,B58))</f>
        <v>3.517184199276031E-6</v>
      </c>
      <c r="C61" t="s">
        <v>94</v>
      </c>
    </row>
    <row r="62" spans="1:16" x14ac:dyDescent="0.5">
      <c r="A62" s="7">
        <f>A41*A42*A43*A61</f>
        <v>0.2033438746099151</v>
      </c>
      <c r="B62" s="2" t="s">
        <v>93</v>
      </c>
    </row>
    <row r="64" spans="1:16" x14ac:dyDescent="0.5">
      <c r="A64" t="s">
        <v>14</v>
      </c>
    </row>
    <row r="65" spans="1:2" x14ac:dyDescent="0.5">
      <c r="A65" t="s">
        <v>64</v>
      </c>
    </row>
    <row r="66" spans="1:2" x14ac:dyDescent="0.5">
      <c r="B66" t="s">
        <v>92</v>
      </c>
    </row>
    <row r="67" spans="1:2" x14ac:dyDescent="0.5">
      <c r="B67" t="s">
        <v>50</v>
      </c>
    </row>
    <row r="68" spans="1:2" x14ac:dyDescent="0.5">
      <c r="A68" t="s">
        <v>75</v>
      </c>
      <c r="B68" t="s">
        <v>76</v>
      </c>
    </row>
    <row r="69" spans="1:2" x14ac:dyDescent="0.5">
      <c r="A69" t="s">
        <v>41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Montana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Kankelborg</dc:creator>
  <cp:lastModifiedBy>z29v763</cp:lastModifiedBy>
  <dcterms:created xsi:type="dcterms:W3CDTF">2014-10-09T20:39:45Z</dcterms:created>
  <dcterms:modified xsi:type="dcterms:W3CDTF">2016-09-21T18:11:51Z</dcterms:modified>
</cp:coreProperties>
</file>