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checkouts\ads-bee\excel\"/>
    </mc:Choice>
  </mc:AlternateContent>
  <xr:revisionPtr revIDLastSave="0" documentId="13_ncr:1_{49402DEE-F3AC-45ED-9F8E-76DB197EF770}" xr6:coauthVersionLast="47" xr6:coauthVersionMax="47" xr10:uidLastSave="{00000000-0000-0000-0000-000000000000}"/>
  <bookViews>
    <workbookView xWindow="6" yWindow="6" windowWidth="23028" windowHeight="13668" xr2:uid="{ACA008B4-9B4D-4199-B30B-92BCAB53FB39}"/>
  </bookViews>
  <sheets>
    <sheet name="TLV3542 Noise Figure" sheetId="2" r:id="rId1"/>
    <sheet name="AD8314 Input Match" sheetId="1" r:id="rId2"/>
  </sheets>
  <definedNames>
    <definedName name="C_bp_lf">'AD8314 Input Match'!$B$13</definedName>
    <definedName name="C_bp_lf_bot">'AD8314 Input Match'!$B$14</definedName>
    <definedName name="C_bp_lf_top">'AD8314 Input Match'!$B$15</definedName>
    <definedName name="f_r_bp_center">'AD8314 Input Match'!$B$7</definedName>
    <definedName name="f_r_bp_lf">'AD8314 Input Match'!$B$10</definedName>
    <definedName name="L_bp_hf">'AD8314 Input Match'!$B$23</definedName>
    <definedName name="L_bp_lf">'AD8314 Input Match'!$B$12</definedName>
    <definedName name="R_bp_L">'AD8314 Input Match'!$B$4</definedName>
    <definedName name="R_s">'AD8314 Input Match'!$B$3</definedName>
    <definedName name="w_r_bp_center">'AD8314 Input Match'!$B$8</definedName>
    <definedName name="w_r_bp_lf">'AD8314 Input Match'!$B$11</definedName>
    <definedName name="X_bp_L">'AD8314 Input Match'!$B$5</definedName>
    <definedName name="Z_bp_L">'AD8314 Input Match'!$B$6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6" i="1"/>
  <c r="B11" i="1"/>
  <c r="B13" i="1" s="1"/>
  <c r="B15" i="1" s="1"/>
  <c r="B17" i="1" s="1"/>
  <c r="B8" i="1"/>
  <c r="B18" i="1" s="1"/>
  <c r="B19" i="1" s="1"/>
</calcChain>
</file>

<file path=xl/sharedStrings.xml><?xml version="1.0" encoding="utf-8"?>
<sst xmlns="http://schemas.openxmlformats.org/spreadsheetml/2006/main" count="60" uniqueCount="44">
  <si>
    <t>Parameter</t>
  </si>
  <si>
    <t>Value</t>
  </si>
  <si>
    <t>Units</t>
  </si>
  <si>
    <t>Note</t>
  </si>
  <si>
    <t>Bandpass Filter</t>
  </si>
  <si>
    <t>MHz</t>
  </si>
  <si>
    <t>f_r,bp,center</t>
  </si>
  <si>
    <t>w_r,bp,center</t>
  </si>
  <si>
    <t>Mrad/s</t>
  </si>
  <si>
    <t>Bandpass filter inductor value.</t>
  </si>
  <si>
    <t>nH</t>
  </si>
  <si>
    <t>f_r,bp,lf</t>
  </si>
  <si>
    <t>w_r,bp,lf</t>
  </si>
  <si>
    <t>Low Frequency</t>
  </si>
  <si>
    <t>L_bp,lf</t>
  </si>
  <si>
    <t>L_bp,hf</t>
  </si>
  <si>
    <t>C_bp,lf</t>
  </si>
  <si>
    <t>pF</t>
  </si>
  <si>
    <t>R_s</t>
  </si>
  <si>
    <t>Ohms</t>
  </si>
  <si>
    <t>Source impedance, from AD8314 datasheet (in parallel with AD8314 input, should yield 50 Ohms).</t>
  </si>
  <si>
    <t>C_bp,lf,bot</t>
  </si>
  <si>
    <t>C_bp,lf_top</t>
  </si>
  <si>
    <t>Bottom capacitor value for tapped input of low frequency side of coupled resonator bandpass filter.</t>
  </si>
  <si>
    <t>Top capacitor value for tapped input of low frequency side of coupled resonator bandpass filter.</t>
  </si>
  <si>
    <t>Coupling</t>
  </si>
  <si>
    <t>C_bp,coupling</t>
  </si>
  <si>
    <t>Z_bp_L</t>
  </si>
  <si>
    <t>Magnitude of bandpass filter load impedance (same as input impedance of AS8314 at bandpass filter resonant frequency).</t>
  </si>
  <si>
    <t>R_s' of coupled resonator equivalent circuit. Must be &gt; Z_bp_L, preferably by a good amount.</t>
  </si>
  <si>
    <t>Q</t>
  </si>
  <si>
    <t>Loaded Q of a single resonator in the bandpass filter. R is dominated by R_L. Q = X / R for reactance in prallel with resistance.</t>
  </si>
  <si>
    <t>Value of coupling capacitor connecting low frequency and high frequency resonators in bandpass filter.</t>
  </si>
  <si>
    <t>X_bp,L</t>
  </si>
  <si>
    <t>R_bp,L</t>
  </si>
  <si>
    <t>j*Ohms</t>
  </si>
  <si>
    <t>Resistance of AD8314 input at resonant frequency.</t>
  </si>
  <si>
    <t>Reactance of AD8314 input at resonant frequency.</t>
  </si>
  <si>
    <t>Reactance of bandpass filter low frequency resoinator's equivalent capacitor.</t>
  </si>
  <si>
    <t>X_bp,lf,tot</t>
  </si>
  <si>
    <t>R_bp,sp</t>
  </si>
  <si>
    <t>X_bp,lf</t>
  </si>
  <si>
    <t>R_bp,lf,tot</t>
  </si>
  <si>
    <t>Noise figure calculation paper: https://www.ti.com/lit/an/slyt094/slyt094.pdf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</si>
</sst>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5093732</xdr:colOff>
      <xdr:row>1</xdr:row>
      <xdr:rowOff>182879</xdr:rowOff>
    </xdr:from>
    <xdr:to>
      <xdr:col>11</xdr:col>
      <xdr:colOff>60960</xdr:colOff>
      <xdr:row>14</xdr:row>
      <xdr:rowOff>118476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98D1B-D8FF-54CD-11C2-AB33870EF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012" y="365759"/>
          <a:ext cx="4724638" cy="34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1A8BE-3B15-4627-BC31-B7CF5AD21860}">
  <dimension ref="A1:D2"/>
  <sheetViews>
    <sheetView tabSelected="1" workbookViewId="0">
      <selection activeCell="B1" sqref="A1:XFD1"/>
    </sheetView>
  </sheetViews>
  <sheetFormatPr defaultRowHeight="14.4" x14ac:dyDescent="0.55000000000000004"/>
  <cols>
    <col min="1" max="1" width="24.47265625" customWidth="1"/>
  </cols>
  <sheetData>
    <row r="1" spans="1:4" x14ac:dyDescent="0.55000000000000004">
      <c r="A1" t="s">
        <v>43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4AD-DB26-46BE-8BA2-682774885DB9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4.4" x14ac:dyDescent="0.55000000000000004"/>
  <cols>
    <col min="1" max="1" width="26.3125" customWidth="1"/>
    <col min="2" max="2" width="11.578125" bestFit="1" customWidth="1"/>
    <col min="4" max="4" width="72.89453125" style="4" customWidth="1"/>
  </cols>
  <sheetData>
    <row r="1" spans="1:4" x14ac:dyDescent="0.55000000000000004">
      <c r="A1" t="s">
        <v>0</v>
      </c>
      <c r="B1" t="s">
        <v>1</v>
      </c>
      <c r="C1" t="s">
        <v>2</v>
      </c>
      <c r="D1" s="4" t="s">
        <v>3</v>
      </c>
    </row>
    <row r="2" spans="1:4" x14ac:dyDescent="0.55000000000000004">
      <c r="A2" s="2" t="s">
        <v>4</v>
      </c>
    </row>
    <row r="3" spans="1:4" ht="43.2" x14ac:dyDescent="0.55000000000000004">
      <c r="A3" t="s">
        <v>18</v>
      </c>
      <c r="B3">
        <v>52.3</v>
      </c>
      <c r="C3" t="s">
        <v>19</v>
      </c>
      <c r="D3" s="4" t="s">
        <v>20</v>
      </c>
    </row>
    <row r="4" spans="1:4" x14ac:dyDescent="0.55000000000000004">
      <c r="A4" t="s">
        <v>34</v>
      </c>
      <c r="B4">
        <v>760</v>
      </c>
      <c r="C4" t="s">
        <v>19</v>
      </c>
      <c r="D4" s="4" t="s">
        <v>36</v>
      </c>
    </row>
    <row r="5" spans="1:4" x14ac:dyDescent="0.55000000000000004">
      <c r="A5" t="s">
        <v>33</v>
      </c>
      <c r="B5">
        <v>-106</v>
      </c>
      <c r="C5" t="s">
        <v>35</v>
      </c>
      <c r="D5" s="4" t="s">
        <v>37</v>
      </c>
    </row>
    <row r="6" spans="1:4" ht="43.2" x14ac:dyDescent="0.55000000000000004">
      <c r="A6" t="s">
        <v>27</v>
      </c>
      <c r="B6" s="1">
        <f>SQRT(R_bp_L^2+X_bp_L^2)</f>
        <v>767.3565012430663</v>
      </c>
      <c r="C6" t="s">
        <v>19</v>
      </c>
      <c r="D6" s="4" t="s">
        <v>28</v>
      </c>
    </row>
    <row r="7" spans="1:4" x14ac:dyDescent="0.55000000000000004">
      <c r="A7" t="s">
        <v>6</v>
      </c>
      <c r="B7">
        <v>1090</v>
      </c>
      <c r="C7" t="s">
        <v>5</v>
      </c>
    </row>
    <row r="8" spans="1:4" x14ac:dyDescent="0.55000000000000004">
      <c r="A8" t="s">
        <v>7</v>
      </c>
      <c r="B8" s="1">
        <f>2*PI()*f_r_bp_center</f>
        <v>6848.671984825749</v>
      </c>
      <c r="C8" t="s">
        <v>8</v>
      </c>
    </row>
    <row r="9" spans="1:4" x14ac:dyDescent="0.55000000000000004">
      <c r="A9" s="3" t="s">
        <v>13</v>
      </c>
    </row>
    <row r="10" spans="1:4" x14ac:dyDescent="0.55000000000000004">
      <c r="A10" t="s">
        <v>11</v>
      </c>
      <c r="B10">
        <v>1075</v>
      </c>
      <c r="C10" t="s">
        <v>5</v>
      </c>
    </row>
    <row r="11" spans="1:4" x14ac:dyDescent="0.55000000000000004">
      <c r="A11" t="s">
        <v>12</v>
      </c>
      <c r="B11" s="1">
        <f>2*PI()*f_r_bp_lf</f>
        <v>6754.4242052180552</v>
      </c>
      <c r="C11" t="s">
        <v>8</v>
      </c>
    </row>
    <row r="12" spans="1:4" x14ac:dyDescent="0.55000000000000004">
      <c r="A12" t="s">
        <v>14</v>
      </c>
      <c r="B12">
        <v>6.8</v>
      </c>
      <c r="C12" t="s">
        <v>10</v>
      </c>
      <c r="D12" s="4" t="s">
        <v>9</v>
      </c>
    </row>
    <row r="13" spans="1:4" x14ac:dyDescent="0.55000000000000004">
      <c r="A13" t="s">
        <v>16</v>
      </c>
      <c r="B13" s="1">
        <f>1/((w_r_bp_lf*1000000)^2*L_bp_lf*0.000000001)*1000000000000</f>
        <v>3.2234016365710483</v>
      </c>
      <c r="C13" t="s">
        <v>17</v>
      </c>
    </row>
    <row r="14" spans="1:4" ht="43.2" x14ac:dyDescent="0.55000000000000004">
      <c r="A14" t="s">
        <v>21</v>
      </c>
      <c r="B14">
        <v>20</v>
      </c>
      <c r="C14" t="s">
        <v>17</v>
      </c>
      <c r="D14" s="4" t="s">
        <v>23</v>
      </c>
    </row>
    <row r="15" spans="1:4" ht="43.2" x14ac:dyDescent="0.55000000000000004">
      <c r="A15" t="s">
        <v>22</v>
      </c>
      <c r="B15" s="1">
        <f>C_bp_lf*C_bp_lf_bot/(C_bp_lf_bot-C_bp_lf)</f>
        <v>3.8427356568274194</v>
      </c>
      <c r="C15" t="s">
        <v>17</v>
      </c>
      <c r="D15" s="4" t="s">
        <v>24</v>
      </c>
    </row>
    <row r="16" spans="1:4" s="3" customFormat="1" x14ac:dyDescent="0.55000000000000004">
      <c r="A16" s="3" t="s">
        <v>25</v>
      </c>
      <c r="D16" s="5"/>
    </row>
    <row r="17" spans="1:4" ht="28.8" x14ac:dyDescent="0.55000000000000004">
      <c r="A17" t="s">
        <v>40</v>
      </c>
      <c r="B17">
        <f>R_s*(1+C_bp_lf_bot/C_bp_lf_top)^2</f>
        <v>2013.4128500415541</v>
      </c>
      <c r="C17" t="s">
        <v>19</v>
      </c>
      <c r="D17" s="4" t="s">
        <v>29</v>
      </c>
    </row>
    <row r="18" spans="1:4" x14ac:dyDescent="0.55000000000000004">
      <c r="A18" t="s">
        <v>41</v>
      </c>
      <c r="B18">
        <f>-1/(w_r_bp_center*1000000*C_bp_lf*0.000000000001)</f>
        <v>-45.298019211141273</v>
      </c>
      <c r="C18" t="s">
        <v>35</v>
      </c>
      <c r="D18" s="4" t="s">
        <v>38</v>
      </c>
    </row>
    <row r="19" spans="1:4" x14ac:dyDescent="0.55000000000000004">
      <c r="A19" t="s">
        <v>39</v>
      </c>
      <c r="B19">
        <f>1/(1/B18+1/X_bp_L)</f>
        <v>-31.735974214442297</v>
      </c>
      <c r="C19" t="s">
        <v>35</v>
      </c>
    </row>
    <row r="20" spans="1:4" x14ac:dyDescent="0.55000000000000004">
      <c r="A20" t="s">
        <v>42</v>
      </c>
      <c r="B20">
        <f>1/(1/B17+1/B4)</f>
        <v>551.73674053203229</v>
      </c>
      <c r="C20" t="s">
        <v>19</v>
      </c>
    </row>
    <row r="21" spans="1:4" ht="28.8" x14ac:dyDescent="0.55000000000000004">
      <c r="A21" t="s">
        <v>30</v>
      </c>
      <c r="B21">
        <f>ABS(B20/B19)</f>
        <v>17.385215175809851</v>
      </c>
      <c r="D21" s="4" t="s">
        <v>31</v>
      </c>
    </row>
    <row r="22" spans="1:4" ht="28.8" x14ac:dyDescent="0.55000000000000004">
      <c r="A22" t="s">
        <v>26</v>
      </c>
      <c r="B22">
        <f>C_bp_lf/B21</f>
        <v>0.18541051140144393</v>
      </c>
      <c r="C22" t="s">
        <v>17</v>
      </c>
      <c r="D22" s="4" t="s">
        <v>32</v>
      </c>
    </row>
    <row r="23" spans="1:4" x14ac:dyDescent="0.55000000000000004">
      <c r="A23" t="s">
        <v>15</v>
      </c>
      <c r="B23">
        <v>10</v>
      </c>
      <c r="C23" t="s">
        <v>10</v>
      </c>
    </row>
  </sheetData>
  <conditionalFormatting sqref="B17">
    <cfRule type="cellIs" dxfId="0" priority="1" operator="lessThan">
      <formula>$B$6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TLV3542 Noise Figure</vt:lpstr>
      <vt:lpstr>AD8314 Input Match</vt:lpstr>
      <vt:lpstr>C_bp_lf</vt:lpstr>
      <vt:lpstr>C_bp_lf_bot</vt:lpstr>
      <vt:lpstr>C_bp_lf_top</vt:lpstr>
      <vt:lpstr>f_r_bp_center</vt:lpstr>
      <vt:lpstr>f_r_bp_lf</vt:lpstr>
      <vt:lpstr>L_bp_hf</vt:lpstr>
      <vt:lpstr>L_bp_lf</vt:lpstr>
      <vt:lpstr>R_bp_L</vt:lpstr>
      <vt:lpstr>R_s</vt:lpstr>
      <vt:lpstr>w_r_bp_center</vt:lpstr>
      <vt:lpstr>w_r_bp_lf</vt:lpstr>
      <vt:lpstr>X_bp_L</vt:lpstr>
      <vt:lpstr>Z_bp_L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McNelly</dc:creator>
  <cp:lastModifiedBy>John McNelly</cp:lastModifiedBy>
  <dcterms:created xsi:type="dcterms:W3CDTF">2023-02-15T00:00:22Z</dcterms:created>
  <dcterms:modified xsi:type="dcterms:W3CDTF">2024-06-21T11:52:31Z</dcterms:modified>
</cp:coreProperties>
</file>